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rogram17/Downloads/"/>
    </mc:Choice>
  </mc:AlternateContent>
  <xr:revisionPtr revIDLastSave="0" documentId="8_{84027A25-1AAD-0E40-BD8F-1FE2D65111BC}" xr6:coauthVersionLast="45" xr6:coauthVersionMax="45" xr10:uidLastSave="{00000000-0000-0000-0000-000000000000}"/>
  <bookViews>
    <workbookView xWindow="0" yWindow="460" windowWidth="26640" windowHeight="13540" activeTab="4" xr2:uid="{00000000-000D-0000-FFFF-FFFF00000000}"/>
  </bookViews>
  <sheets>
    <sheet name="DI" sheetId="1" r:id="rId1"/>
    <sheet name="DII" sheetId="2" r:id="rId2"/>
    <sheet name="DIII" sheetId="3" r:id="rId3"/>
    <sheet name="JC" sheetId="4" r:id="rId4"/>
    <sheet name="NAIA" sheetId="5" r:id="rId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500" i="5" l="1"/>
  <c r="O500" i="5"/>
  <c r="AD499" i="5"/>
  <c r="O499" i="5"/>
  <c r="AD498" i="5"/>
  <c r="O498" i="5"/>
  <c r="N498" i="5"/>
  <c r="AD497" i="5"/>
  <c r="O497" i="5"/>
  <c r="AD496" i="5"/>
  <c r="O496" i="5"/>
  <c r="AD495" i="5"/>
  <c r="O495" i="5"/>
  <c r="N495" i="5"/>
  <c r="AD494" i="5"/>
  <c r="O494" i="5"/>
  <c r="N494" i="5"/>
  <c r="AD493" i="5"/>
  <c r="O493" i="5"/>
  <c r="N493" i="5"/>
  <c r="AD492" i="5"/>
  <c r="O492" i="5"/>
  <c r="N492" i="5"/>
  <c r="AD491" i="5"/>
  <c r="O491" i="5"/>
  <c r="N491" i="5"/>
  <c r="AD490" i="5"/>
  <c r="O490" i="5"/>
  <c r="N490" i="5"/>
  <c r="AD489" i="5"/>
  <c r="AD488" i="5"/>
  <c r="O488" i="5"/>
  <c r="AD487" i="5"/>
  <c r="O487" i="5"/>
  <c r="AD486" i="5"/>
  <c r="O486" i="5"/>
  <c r="AD485" i="5"/>
  <c r="O485" i="5"/>
  <c r="AD484" i="5"/>
  <c r="O484" i="5"/>
  <c r="AD483" i="5"/>
  <c r="O483" i="5"/>
  <c r="AD482" i="5"/>
  <c r="O482" i="5"/>
  <c r="AD481" i="5"/>
  <c r="O481" i="5"/>
  <c r="N481" i="5"/>
  <c r="AD480" i="5"/>
  <c r="O480" i="5"/>
  <c r="N480" i="5"/>
  <c r="AD479" i="5"/>
  <c r="O479" i="5"/>
  <c r="N479" i="5"/>
  <c r="AD478" i="5"/>
  <c r="O478" i="5"/>
  <c r="N478" i="5"/>
  <c r="AD477" i="5"/>
  <c r="O477" i="5"/>
  <c r="AD476" i="5"/>
  <c r="O476" i="5"/>
  <c r="N476" i="5"/>
  <c r="AD475" i="5"/>
  <c r="O475" i="5"/>
  <c r="AD474" i="5"/>
  <c r="O474" i="5"/>
  <c r="AD473" i="5"/>
  <c r="O473" i="5"/>
  <c r="N473" i="5"/>
  <c r="AD472" i="5"/>
  <c r="O472" i="5"/>
  <c r="N472" i="5"/>
  <c r="AD471" i="5"/>
  <c r="O471" i="5"/>
  <c r="N471" i="5"/>
  <c r="AD470" i="5"/>
  <c r="O470" i="5"/>
  <c r="N470" i="5"/>
  <c r="AD469" i="5"/>
  <c r="O469" i="5"/>
  <c r="N469" i="5"/>
  <c r="AD468" i="5"/>
  <c r="O468" i="5"/>
  <c r="N468" i="5"/>
  <c r="AD467" i="5"/>
  <c r="O467" i="5"/>
  <c r="AD466" i="5"/>
  <c r="O466" i="5"/>
  <c r="N466" i="5"/>
  <c r="AD465" i="5"/>
  <c r="O465" i="5"/>
  <c r="N465" i="5"/>
  <c r="AD464" i="5"/>
  <c r="O464" i="5"/>
  <c r="N464" i="5"/>
  <c r="AD463" i="5"/>
  <c r="O463" i="5"/>
  <c r="N463" i="5"/>
  <c r="AD462" i="5"/>
  <c r="O462" i="5"/>
  <c r="N462" i="5"/>
  <c r="AD461" i="5"/>
  <c r="O461" i="5"/>
  <c r="N461" i="5"/>
  <c r="AD460" i="5"/>
  <c r="O460" i="5"/>
  <c r="N460" i="5"/>
  <c r="AD459" i="5"/>
  <c r="O459" i="5"/>
  <c r="N459" i="5"/>
  <c r="AD458" i="5"/>
  <c r="O458" i="5"/>
  <c r="N458" i="5"/>
  <c r="AD457" i="5"/>
  <c r="O457" i="5"/>
  <c r="N457" i="5"/>
  <c r="AD456" i="5"/>
  <c r="O456" i="5"/>
  <c r="N456" i="5"/>
  <c r="AD455" i="5"/>
  <c r="O455" i="5"/>
  <c r="N455" i="5"/>
  <c r="AD454" i="5"/>
  <c r="O454" i="5"/>
  <c r="N454" i="5"/>
  <c r="AD453" i="5"/>
  <c r="O453" i="5"/>
  <c r="N453" i="5"/>
  <c r="AD452" i="5"/>
  <c r="O452" i="5"/>
  <c r="N452" i="5"/>
  <c r="AD451" i="5"/>
  <c r="O451" i="5"/>
  <c r="N451" i="5"/>
  <c r="AD450" i="5"/>
  <c r="O450" i="5"/>
  <c r="N450" i="5"/>
  <c r="AD449" i="5"/>
  <c r="O449" i="5"/>
  <c r="N449" i="5"/>
  <c r="AD448" i="5"/>
  <c r="O448" i="5"/>
  <c r="N448" i="5"/>
  <c r="AD447" i="5"/>
  <c r="O447" i="5"/>
  <c r="AD446" i="5"/>
  <c r="O446" i="5"/>
  <c r="AD445" i="5"/>
  <c r="O445" i="5"/>
  <c r="AD444" i="5"/>
  <c r="O444" i="5"/>
  <c r="AD443" i="5"/>
  <c r="O443" i="5"/>
  <c r="AD442" i="5"/>
  <c r="O442" i="5"/>
  <c r="AD441" i="5"/>
  <c r="O441" i="5"/>
  <c r="N441" i="5"/>
  <c r="AD440" i="5"/>
  <c r="O440" i="5"/>
  <c r="N440" i="5"/>
  <c r="AD439" i="5"/>
  <c r="O439" i="5"/>
  <c r="N439" i="5"/>
  <c r="AD438" i="5"/>
  <c r="O438" i="5"/>
  <c r="N438" i="5"/>
  <c r="AD437" i="5"/>
  <c r="O437" i="5"/>
  <c r="AD436" i="5"/>
  <c r="O436" i="5"/>
  <c r="AD435" i="5"/>
  <c r="O435" i="5"/>
  <c r="AD434" i="5"/>
  <c r="O434" i="5"/>
  <c r="AD433" i="5"/>
  <c r="O433" i="5"/>
  <c r="AD432" i="5"/>
  <c r="O432" i="5"/>
  <c r="AD431" i="5"/>
  <c r="AD430" i="5"/>
  <c r="AD429" i="5"/>
  <c r="O429" i="5"/>
  <c r="AD428" i="5"/>
  <c r="O428" i="5"/>
  <c r="AD427" i="5"/>
  <c r="AD426" i="5"/>
  <c r="O426" i="5"/>
  <c r="N426" i="5"/>
  <c r="AD425" i="5"/>
  <c r="O425" i="5"/>
  <c r="N425" i="5"/>
  <c r="AD424" i="5"/>
  <c r="O424" i="5"/>
  <c r="N424" i="5"/>
  <c r="AD423" i="5"/>
  <c r="AD422" i="5"/>
  <c r="AD421" i="5"/>
  <c r="AD420" i="5"/>
  <c r="O420" i="5"/>
  <c r="N420" i="5"/>
  <c r="AD419" i="5"/>
  <c r="O419" i="5"/>
  <c r="N419" i="5"/>
  <c r="AD418" i="5"/>
  <c r="O418" i="5"/>
  <c r="N418" i="5"/>
  <c r="AD417" i="5"/>
  <c r="O417" i="5"/>
  <c r="N417" i="5"/>
  <c r="AD416" i="5"/>
  <c r="O416" i="5"/>
  <c r="N416" i="5"/>
  <c r="AD415" i="5"/>
  <c r="O415" i="5"/>
  <c r="N415" i="5"/>
  <c r="AD414" i="5"/>
  <c r="O414" i="5"/>
  <c r="N414" i="5"/>
  <c r="AD413" i="5"/>
  <c r="O413" i="5"/>
  <c r="N413" i="5"/>
  <c r="AD412" i="5"/>
  <c r="O412" i="5"/>
  <c r="AD411" i="5"/>
  <c r="O411" i="5"/>
  <c r="AD410" i="5"/>
  <c r="O410" i="5"/>
  <c r="AD409" i="5"/>
  <c r="O409" i="5"/>
  <c r="AD408" i="5"/>
  <c r="O408" i="5"/>
  <c r="AD407" i="5"/>
  <c r="O407" i="5"/>
  <c r="AD406" i="5"/>
  <c r="O406" i="5"/>
  <c r="AD405" i="5"/>
  <c r="O405" i="5"/>
  <c r="N405" i="5"/>
  <c r="AD404" i="5"/>
  <c r="O404" i="5"/>
  <c r="N404" i="5"/>
  <c r="AD403" i="5"/>
  <c r="O403" i="5"/>
  <c r="N403" i="5"/>
  <c r="AD402" i="5"/>
  <c r="O402" i="5"/>
  <c r="N402" i="5"/>
  <c r="AD401" i="5"/>
  <c r="O401" i="5"/>
  <c r="N401" i="5"/>
  <c r="AD400" i="5"/>
  <c r="O400" i="5"/>
  <c r="N400" i="5"/>
  <c r="AD399" i="5"/>
  <c r="O399" i="5"/>
  <c r="AD398" i="5"/>
  <c r="O398" i="5"/>
  <c r="N398" i="5"/>
  <c r="AD397" i="5"/>
  <c r="O397" i="5"/>
  <c r="AD396" i="5"/>
  <c r="O396" i="5"/>
  <c r="AD395" i="5"/>
  <c r="O395" i="5"/>
  <c r="AD394" i="5"/>
  <c r="O394" i="5"/>
  <c r="N394" i="5"/>
  <c r="AD393" i="5"/>
  <c r="O393" i="5"/>
  <c r="N393" i="5"/>
  <c r="AD392" i="5"/>
  <c r="O392" i="5"/>
  <c r="N392" i="5"/>
  <c r="AD391" i="5"/>
  <c r="O391" i="5"/>
  <c r="N391" i="5"/>
  <c r="AD390" i="5"/>
  <c r="O390" i="5"/>
  <c r="N390" i="5"/>
  <c r="AD389" i="5"/>
  <c r="O389" i="5"/>
  <c r="N389" i="5"/>
  <c r="AD388" i="5"/>
  <c r="O388" i="5"/>
  <c r="N388" i="5"/>
  <c r="AD387" i="5"/>
  <c r="O387" i="5"/>
  <c r="N387" i="5"/>
  <c r="AD385" i="5"/>
  <c r="O385" i="5"/>
  <c r="N385" i="5"/>
  <c r="AD384" i="5"/>
  <c r="O384" i="5"/>
  <c r="N384" i="5"/>
  <c r="AD383" i="5"/>
  <c r="O383" i="5"/>
  <c r="N383" i="5"/>
  <c r="AD382" i="5"/>
  <c r="O382" i="5"/>
  <c r="N382" i="5"/>
  <c r="AD381" i="5"/>
  <c r="O381" i="5"/>
  <c r="N381" i="5"/>
  <c r="AD380" i="5"/>
  <c r="O380" i="5"/>
  <c r="N380" i="5"/>
  <c r="AD379" i="5"/>
  <c r="O379" i="5"/>
  <c r="N379" i="5"/>
  <c r="AD378" i="5"/>
  <c r="AD377" i="5"/>
  <c r="O377" i="5"/>
  <c r="N377" i="5"/>
  <c r="AD376" i="5"/>
  <c r="O376" i="5"/>
  <c r="N376" i="5"/>
  <c r="AD375" i="5"/>
  <c r="O375" i="5"/>
  <c r="N375" i="5"/>
  <c r="AD374" i="5"/>
  <c r="O374" i="5"/>
  <c r="N374" i="5"/>
  <c r="AD373" i="5"/>
  <c r="O373" i="5"/>
  <c r="N373" i="5"/>
  <c r="AD372" i="5"/>
  <c r="O372" i="5"/>
  <c r="N372" i="5"/>
  <c r="AD371" i="5"/>
  <c r="O371" i="5"/>
  <c r="N371" i="5"/>
  <c r="AD370" i="5"/>
  <c r="O370" i="5"/>
  <c r="N370" i="5"/>
  <c r="AD369" i="5"/>
  <c r="O369" i="5"/>
  <c r="AD368" i="5"/>
  <c r="O368" i="5"/>
  <c r="AD367" i="5"/>
  <c r="O367" i="5"/>
  <c r="N367" i="5"/>
  <c r="AD366" i="5"/>
  <c r="O366" i="5"/>
  <c r="N366" i="5"/>
  <c r="AD365" i="5"/>
  <c r="O365" i="5"/>
  <c r="AD364" i="5"/>
  <c r="O364" i="5"/>
  <c r="AD363" i="5"/>
  <c r="O363" i="5"/>
  <c r="AD362" i="5"/>
  <c r="O362" i="5"/>
  <c r="AD361" i="5"/>
  <c r="O361" i="5"/>
  <c r="AD360" i="5"/>
  <c r="O360" i="5"/>
  <c r="AD359" i="5"/>
  <c r="O359" i="5"/>
  <c r="N359" i="5"/>
  <c r="AD358" i="5"/>
  <c r="O358" i="5"/>
  <c r="N358" i="5"/>
  <c r="AD357" i="5"/>
  <c r="O357" i="5"/>
  <c r="AD356" i="5"/>
  <c r="O356" i="5"/>
  <c r="N356" i="5"/>
  <c r="AD355" i="5"/>
  <c r="O355" i="5"/>
  <c r="N355" i="5"/>
  <c r="AD354" i="5"/>
  <c r="O354" i="5"/>
  <c r="N354" i="5"/>
  <c r="AD353" i="5"/>
  <c r="O353" i="5"/>
  <c r="N353" i="5"/>
  <c r="AD352" i="5"/>
  <c r="O352" i="5"/>
  <c r="N352" i="5"/>
  <c r="AD351" i="5"/>
  <c r="O351" i="5"/>
  <c r="N351" i="5"/>
  <c r="AD350" i="5"/>
  <c r="O350" i="5"/>
  <c r="N350" i="5"/>
  <c r="AD349" i="5"/>
  <c r="O349" i="5"/>
  <c r="N349" i="5"/>
  <c r="AD348" i="5"/>
  <c r="O348" i="5"/>
  <c r="N348" i="5"/>
  <c r="AD347" i="5"/>
  <c r="O347" i="5"/>
  <c r="N347" i="5"/>
  <c r="AD346" i="5"/>
  <c r="O346" i="5"/>
  <c r="N346" i="5"/>
  <c r="AD345" i="5"/>
  <c r="O345" i="5"/>
  <c r="AD344" i="5"/>
  <c r="O344" i="5"/>
  <c r="N344" i="5"/>
  <c r="AD343" i="5"/>
  <c r="O343" i="5"/>
  <c r="N343" i="5"/>
  <c r="AD342" i="5"/>
  <c r="O342" i="5"/>
  <c r="N342" i="5"/>
  <c r="AD341" i="5"/>
  <c r="O341" i="5"/>
  <c r="N341" i="5"/>
  <c r="AD340" i="5"/>
  <c r="O340" i="5"/>
  <c r="N340" i="5"/>
  <c r="AD339" i="5"/>
  <c r="O339" i="5"/>
  <c r="N339" i="5"/>
  <c r="AD338" i="5"/>
  <c r="O338" i="5"/>
  <c r="N338" i="5"/>
  <c r="AD337" i="5"/>
  <c r="O337" i="5"/>
  <c r="N337" i="5"/>
  <c r="AD336" i="5"/>
  <c r="O336" i="5"/>
  <c r="N336" i="5"/>
  <c r="AD335" i="5"/>
  <c r="O335" i="5"/>
  <c r="N335" i="5"/>
  <c r="AD334" i="5"/>
  <c r="O334" i="5"/>
  <c r="N334" i="5"/>
  <c r="AD333" i="5"/>
  <c r="O333" i="5"/>
  <c r="N333" i="5"/>
  <c r="AD332" i="5"/>
  <c r="O332" i="5"/>
  <c r="N332" i="5"/>
  <c r="AD331" i="5"/>
  <c r="O331" i="5"/>
  <c r="N331" i="5"/>
  <c r="AD330" i="5"/>
  <c r="O330" i="5"/>
  <c r="N330" i="5"/>
  <c r="AD329" i="5"/>
  <c r="O329" i="5"/>
  <c r="AD328" i="5"/>
  <c r="O328" i="5"/>
  <c r="AD327" i="5"/>
  <c r="O327" i="5"/>
  <c r="N327" i="5"/>
  <c r="AD326" i="5"/>
  <c r="O326" i="5"/>
  <c r="N326" i="5"/>
  <c r="AD325" i="5"/>
  <c r="O325" i="5"/>
  <c r="N325" i="5"/>
  <c r="AD324" i="5"/>
  <c r="O324" i="5"/>
  <c r="AD323" i="5"/>
  <c r="O323" i="5"/>
  <c r="AD322" i="5"/>
  <c r="O322" i="5"/>
  <c r="N322" i="5"/>
  <c r="AD321" i="5"/>
  <c r="O321" i="5"/>
  <c r="AD320" i="5"/>
  <c r="O320" i="5"/>
  <c r="AD319" i="5"/>
  <c r="O319" i="5"/>
  <c r="AD318" i="5"/>
  <c r="N318" i="5"/>
  <c r="AD317" i="5"/>
  <c r="N317" i="5"/>
  <c r="AD316" i="5"/>
  <c r="N316" i="5"/>
  <c r="AD315" i="5"/>
  <c r="O315" i="5"/>
  <c r="N315" i="5"/>
  <c r="AD314" i="5"/>
  <c r="O314" i="5"/>
  <c r="N314" i="5"/>
  <c r="AD313" i="5"/>
  <c r="AD312" i="5"/>
  <c r="AD311" i="5"/>
  <c r="O311" i="5"/>
  <c r="AD310" i="5"/>
  <c r="O310" i="5"/>
  <c r="AD309" i="5"/>
  <c r="O309" i="5"/>
  <c r="AD308" i="5"/>
  <c r="O308" i="5"/>
  <c r="AD307" i="5"/>
  <c r="O307" i="5"/>
  <c r="N307" i="5"/>
  <c r="AD306" i="5"/>
  <c r="O306" i="5"/>
  <c r="N306" i="5"/>
  <c r="AD305" i="5"/>
  <c r="O305" i="5"/>
  <c r="N305" i="5"/>
  <c r="N304" i="5"/>
  <c r="N303" i="5"/>
  <c r="N302" i="5"/>
  <c r="N301" i="5"/>
  <c r="N300" i="5"/>
  <c r="N298" i="5"/>
  <c r="N297" i="5"/>
  <c r="N296" i="5"/>
  <c r="AD295" i="5"/>
  <c r="O295" i="5"/>
  <c r="N295" i="5"/>
  <c r="AD294" i="5"/>
  <c r="O294" i="5"/>
  <c r="N294" i="5"/>
  <c r="AD293" i="5"/>
  <c r="O293" i="5"/>
  <c r="AD292" i="5"/>
  <c r="O292" i="5"/>
  <c r="AD291" i="5"/>
  <c r="O291" i="5"/>
  <c r="AD287" i="5"/>
  <c r="O287" i="5"/>
  <c r="N287" i="5"/>
  <c r="AD286" i="5"/>
  <c r="O286" i="5"/>
  <c r="N286" i="5"/>
  <c r="AD285" i="5"/>
  <c r="O285" i="5"/>
  <c r="N285" i="5"/>
  <c r="AD284" i="5"/>
  <c r="O284" i="5"/>
  <c r="N284" i="5"/>
  <c r="AD283" i="5"/>
  <c r="O283" i="5"/>
  <c r="N283" i="5"/>
  <c r="AD282" i="5"/>
  <c r="O282" i="5"/>
  <c r="N282" i="5"/>
  <c r="AD281" i="5"/>
  <c r="O281" i="5"/>
  <c r="N281" i="5"/>
  <c r="AD280" i="5"/>
  <c r="O280" i="5"/>
  <c r="N280" i="5"/>
  <c r="AD279" i="5"/>
  <c r="O279" i="5"/>
  <c r="AD278" i="5"/>
  <c r="O278" i="5"/>
  <c r="N278" i="5"/>
  <c r="AD277" i="5"/>
  <c r="O277" i="5"/>
  <c r="N277" i="5"/>
  <c r="AD276" i="5"/>
  <c r="O276" i="5"/>
  <c r="N276" i="5"/>
  <c r="AD275" i="5"/>
  <c r="O275" i="5"/>
  <c r="N275" i="5"/>
  <c r="AD274" i="5"/>
  <c r="O274" i="5"/>
  <c r="N274" i="5"/>
  <c r="AD273" i="5"/>
  <c r="O273" i="5"/>
  <c r="N273" i="5"/>
  <c r="AD272" i="5"/>
  <c r="O272" i="5"/>
  <c r="N272" i="5"/>
  <c r="AD271" i="5"/>
  <c r="O271" i="5"/>
  <c r="N271" i="5"/>
  <c r="AD270" i="5"/>
  <c r="O270" i="5"/>
  <c r="N270" i="5"/>
  <c r="AD269" i="5"/>
  <c r="O269" i="5"/>
  <c r="N269" i="5"/>
  <c r="AD268" i="5"/>
  <c r="O268" i="5"/>
  <c r="N268" i="5"/>
  <c r="AD267" i="5"/>
  <c r="O267" i="5"/>
  <c r="N267" i="5"/>
  <c r="AD266" i="5"/>
  <c r="O266" i="5"/>
  <c r="N266" i="5"/>
  <c r="AD265" i="5"/>
  <c r="O265" i="5"/>
  <c r="N265" i="5"/>
  <c r="AD264" i="5"/>
  <c r="O264" i="5"/>
  <c r="N264" i="5"/>
  <c r="AD263" i="5"/>
  <c r="O263" i="5"/>
  <c r="N263" i="5"/>
  <c r="AD262" i="5"/>
  <c r="O262" i="5"/>
  <c r="N262" i="5"/>
  <c r="AD261" i="5"/>
  <c r="O261" i="5"/>
  <c r="N261" i="5"/>
  <c r="AD260" i="5"/>
  <c r="O260" i="5"/>
  <c r="N260" i="5"/>
  <c r="AD259" i="5"/>
  <c r="O259" i="5"/>
  <c r="N259" i="5"/>
  <c r="AD258" i="5"/>
  <c r="O258" i="5"/>
  <c r="N258" i="5"/>
  <c r="AD257" i="5"/>
  <c r="O257" i="5"/>
  <c r="N257" i="5"/>
  <c r="AD256" i="5"/>
  <c r="O256" i="5"/>
  <c r="AD255" i="5"/>
  <c r="O255" i="5"/>
  <c r="N255" i="5"/>
  <c r="AD254" i="5"/>
  <c r="O254" i="5"/>
  <c r="N254" i="5"/>
  <c r="AD253" i="5"/>
  <c r="O253" i="5"/>
  <c r="N253" i="5"/>
  <c r="AD252" i="5"/>
  <c r="O252" i="5"/>
  <c r="N252" i="5"/>
  <c r="AD251" i="5"/>
  <c r="O251" i="5"/>
  <c r="N251" i="5"/>
  <c r="AD250" i="5"/>
  <c r="O250" i="5"/>
  <c r="AD249" i="5"/>
  <c r="O249" i="5"/>
  <c r="N249" i="5"/>
  <c r="AD248" i="5"/>
  <c r="O248" i="5"/>
  <c r="AD247" i="5"/>
  <c r="O247" i="5"/>
  <c r="AD246" i="5"/>
  <c r="O246" i="5"/>
  <c r="AD245" i="5"/>
  <c r="O245" i="5"/>
  <c r="N245" i="5"/>
  <c r="AD244" i="5"/>
  <c r="O244" i="5"/>
  <c r="N244" i="5"/>
  <c r="AD243" i="5"/>
  <c r="O243" i="5"/>
  <c r="N243" i="5"/>
  <c r="AD242" i="5"/>
  <c r="O242" i="5"/>
  <c r="N242" i="5"/>
  <c r="AD241" i="5"/>
  <c r="O241" i="5"/>
  <c r="N241" i="5"/>
  <c r="AD240" i="5"/>
  <c r="O240" i="5"/>
  <c r="N240" i="5"/>
  <c r="AD239" i="5"/>
  <c r="O239" i="5"/>
  <c r="N239" i="5"/>
  <c r="AD238" i="5"/>
  <c r="O238" i="5"/>
  <c r="N238" i="5"/>
  <c r="AD237" i="5"/>
  <c r="O237" i="5"/>
  <c r="N237" i="5"/>
  <c r="AD236" i="5"/>
  <c r="O236" i="5"/>
  <c r="N236" i="5"/>
  <c r="AD235" i="5"/>
  <c r="O235" i="5"/>
  <c r="N235" i="5"/>
  <c r="AD234" i="5"/>
  <c r="O234" i="5"/>
  <c r="N234" i="5"/>
  <c r="AD233" i="5"/>
  <c r="O233" i="5"/>
  <c r="AD232" i="5"/>
  <c r="O232" i="5"/>
  <c r="AD231" i="5"/>
  <c r="O231" i="5"/>
  <c r="AD230" i="5"/>
  <c r="O230" i="5"/>
  <c r="N230" i="5"/>
  <c r="AD229" i="5"/>
  <c r="O229" i="5"/>
  <c r="N229" i="5"/>
  <c r="AD228" i="5"/>
  <c r="O228" i="5"/>
  <c r="N228" i="5"/>
  <c r="AD227" i="5"/>
  <c r="O227" i="5"/>
  <c r="N227" i="5"/>
  <c r="AD226" i="5"/>
  <c r="O226" i="5"/>
  <c r="N226" i="5"/>
  <c r="AD225" i="5"/>
  <c r="O225" i="5"/>
  <c r="N225" i="5"/>
  <c r="AD224" i="5"/>
  <c r="O224" i="5"/>
  <c r="AD223" i="5"/>
  <c r="O223" i="5"/>
  <c r="N223" i="5"/>
  <c r="AD222" i="5"/>
  <c r="O222" i="5"/>
  <c r="N222" i="5"/>
  <c r="AD221" i="5"/>
  <c r="O221" i="5"/>
  <c r="N221" i="5"/>
  <c r="AD220" i="5"/>
  <c r="O220" i="5"/>
  <c r="N220" i="5"/>
  <c r="AD219" i="5"/>
  <c r="O219" i="5"/>
  <c r="N219" i="5"/>
  <c r="AD218" i="5"/>
  <c r="O218" i="5"/>
  <c r="N218" i="5"/>
  <c r="AD217" i="5"/>
  <c r="O217" i="5"/>
  <c r="N217" i="5"/>
  <c r="AD216" i="5"/>
  <c r="O216" i="5"/>
  <c r="AD215" i="5"/>
  <c r="O215" i="5"/>
  <c r="AD214" i="5"/>
  <c r="O214" i="5"/>
  <c r="AD213" i="5"/>
  <c r="O213" i="5"/>
  <c r="AD212" i="5"/>
  <c r="O212" i="5"/>
  <c r="N212" i="5"/>
  <c r="AD211" i="5"/>
  <c r="O211" i="5"/>
  <c r="AD210" i="5"/>
  <c r="O210" i="5"/>
  <c r="N210" i="5"/>
  <c r="AD209" i="5"/>
  <c r="O209" i="5"/>
  <c r="N209" i="5"/>
  <c r="AD208" i="5"/>
  <c r="O208" i="5"/>
  <c r="N208" i="5"/>
  <c r="AD207" i="5"/>
  <c r="O207" i="5"/>
  <c r="N207" i="5"/>
  <c r="AD206" i="5"/>
  <c r="O206" i="5"/>
  <c r="N206" i="5"/>
  <c r="AD205" i="5"/>
  <c r="O205" i="5"/>
  <c r="N205" i="5"/>
  <c r="AD204" i="5"/>
  <c r="O204" i="5"/>
  <c r="AD203" i="5"/>
  <c r="AD202" i="5"/>
  <c r="AD201" i="5"/>
  <c r="O201" i="5"/>
  <c r="N201" i="5"/>
  <c r="AD200" i="5"/>
  <c r="O200" i="5"/>
  <c r="N200" i="5"/>
  <c r="AD199" i="5"/>
  <c r="O199" i="5"/>
  <c r="N199" i="5"/>
  <c r="AD198" i="5"/>
  <c r="O198" i="5"/>
  <c r="N198" i="5"/>
  <c r="AD197" i="5"/>
  <c r="O197" i="5"/>
  <c r="AD196" i="5"/>
  <c r="O196" i="5"/>
  <c r="AD195" i="5"/>
  <c r="O195" i="5"/>
  <c r="N195" i="5"/>
  <c r="AD194" i="5"/>
  <c r="O194" i="5"/>
  <c r="N194" i="5"/>
  <c r="AD193" i="5"/>
  <c r="O193" i="5"/>
  <c r="N193" i="5"/>
  <c r="AD192" i="5"/>
  <c r="O192" i="5"/>
  <c r="N192" i="5"/>
  <c r="AD191" i="5"/>
  <c r="O191" i="5"/>
  <c r="N191" i="5"/>
  <c r="AD190" i="5"/>
  <c r="O190" i="5"/>
  <c r="N190" i="5"/>
  <c r="AD189" i="5"/>
  <c r="O189" i="5"/>
  <c r="N189" i="5"/>
  <c r="AD188" i="5"/>
  <c r="O188" i="5"/>
  <c r="N188" i="5"/>
  <c r="AD187" i="5"/>
  <c r="O187" i="5"/>
  <c r="N187" i="5"/>
  <c r="AD186" i="5"/>
  <c r="O186" i="5"/>
  <c r="N186" i="5"/>
  <c r="AD185" i="5"/>
  <c r="O185" i="5"/>
  <c r="N185" i="5"/>
  <c r="AD184" i="5"/>
  <c r="O184" i="5"/>
  <c r="N184" i="5"/>
  <c r="AD183" i="5"/>
  <c r="O183" i="5"/>
  <c r="N183" i="5"/>
  <c r="AD182" i="5"/>
  <c r="O182" i="5"/>
  <c r="N182" i="5"/>
  <c r="AD181" i="5"/>
  <c r="O181" i="5"/>
  <c r="N181" i="5"/>
  <c r="AD180" i="5"/>
  <c r="O180" i="5"/>
  <c r="N180" i="5"/>
  <c r="AD179" i="5"/>
  <c r="O179" i="5"/>
  <c r="N179" i="5"/>
  <c r="AD178" i="5"/>
  <c r="O178" i="5"/>
  <c r="N178" i="5"/>
  <c r="AD177" i="5"/>
  <c r="O177" i="5"/>
  <c r="N177" i="5"/>
  <c r="AD176" i="5"/>
  <c r="O176" i="5"/>
  <c r="N176" i="5"/>
  <c r="AD175" i="5"/>
  <c r="O175" i="5"/>
  <c r="N175" i="5"/>
  <c r="AD174" i="5"/>
  <c r="O174" i="5"/>
  <c r="N174" i="5"/>
  <c r="AD173" i="5"/>
  <c r="O173" i="5"/>
  <c r="N173" i="5"/>
  <c r="AD172" i="5"/>
  <c r="O172" i="5"/>
  <c r="N172" i="5"/>
  <c r="AD171" i="5"/>
  <c r="O171" i="5"/>
  <c r="N171" i="5"/>
  <c r="AD170" i="5"/>
  <c r="O170" i="5"/>
  <c r="N170" i="5"/>
  <c r="AD169" i="5"/>
  <c r="O169" i="5"/>
  <c r="N169" i="5"/>
  <c r="AD168" i="5"/>
  <c r="O168" i="5"/>
  <c r="N168" i="5"/>
  <c r="AD167" i="5"/>
  <c r="O167" i="5"/>
  <c r="N167" i="5"/>
  <c r="AD166" i="5"/>
  <c r="O166" i="5"/>
  <c r="N166" i="5"/>
  <c r="AD165" i="5"/>
  <c r="O165" i="5"/>
  <c r="N165" i="5"/>
  <c r="AD164" i="5"/>
  <c r="O164" i="5"/>
  <c r="N164" i="5"/>
  <c r="AD163" i="5"/>
  <c r="O163" i="5"/>
  <c r="N163" i="5"/>
  <c r="AD162" i="5"/>
  <c r="O162" i="5"/>
  <c r="N162" i="5"/>
  <c r="AD161" i="5"/>
  <c r="O161" i="5"/>
  <c r="N161" i="5"/>
  <c r="AD160" i="5"/>
  <c r="O160" i="5"/>
  <c r="N160" i="5"/>
  <c r="AD159" i="5"/>
  <c r="O159" i="5"/>
  <c r="N159" i="5"/>
  <c r="AD158" i="5"/>
  <c r="O158" i="5"/>
  <c r="N158" i="5"/>
  <c r="AD157" i="5"/>
  <c r="O157" i="5"/>
  <c r="N157" i="5"/>
  <c r="AD156" i="5"/>
  <c r="O156" i="5"/>
  <c r="AD155" i="5"/>
  <c r="O155" i="5"/>
  <c r="AD154" i="5"/>
  <c r="O154" i="5"/>
  <c r="N154" i="5"/>
  <c r="AD153" i="5"/>
  <c r="O153" i="5"/>
  <c r="N153" i="5"/>
  <c r="AD152" i="5"/>
  <c r="O152" i="5"/>
  <c r="N152" i="5"/>
  <c r="AD151" i="5"/>
  <c r="O151" i="5"/>
  <c r="N151" i="5"/>
  <c r="AD150" i="5"/>
  <c r="O150" i="5"/>
  <c r="N150" i="5"/>
  <c r="AD149" i="5"/>
  <c r="O149" i="5"/>
  <c r="N149" i="5"/>
  <c r="AD148" i="5"/>
  <c r="O148" i="5"/>
  <c r="N148" i="5"/>
  <c r="AD147" i="5"/>
  <c r="O147" i="5"/>
  <c r="N147" i="5"/>
  <c r="AD146" i="5"/>
  <c r="O146" i="5"/>
  <c r="N146" i="5"/>
  <c r="AD145" i="5"/>
  <c r="O145" i="5"/>
  <c r="N145" i="5"/>
  <c r="AD144" i="5"/>
  <c r="O144" i="5"/>
  <c r="N144" i="5"/>
  <c r="AD143" i="5"/>
  <c r="O143" i="5"/>
  <c r="N143" i="5"/>
  <c r="AD142" i="5"/>
  <c r="O142" i="5"/>
  <c r="N142" i="5"/>
  <c r="AD141" i="5"/>
  <c r="O141" i="5"/>
  <c r="N141" i="5"/>
  <c r="AD140" i="5"/>
  <c r="O140" i="5"/>
  <c r="N140" i="5"/>
  <c r="AD139" i="5"/>
  <c r="O139" i="5"/>
  <c r="N139" i="5"/>
  <c r="AD138" i="5"/>
  <c r="O138" i="5"/>
  <c r="N138" i="5"/>
  <c r="AD137" i="5"/>
  <c r="O137" i="5"/>
  <c r="N137" i="5"/>
  <c r="AD136" i="5"/>
  <c r="O136" i="5"/>
  <c r="N136" i="5"/>
  <c r="AD135" i="5"/>
  <c r="O135" i="5"/>
  <c r="N135" i="5"/>
  <c r="AD134" i="5"/>
  <c r="O134" i="5"/>
  <c r="N134" i="5"/>
  <c r="AD133" i="5"/>
  <c r="O133" i="5"/>
  <c r="N133" i="5"/>
  <c r="AD132" i="5"/>
  <c r="O132" i="5"/>
  <c r="N132" i="5"/>
  <c r="AD131" i="5"/>
  <c r="O131" i="5"/>
  <c r="AD130" i="5"/>
  <c r="O130" i="5"/>
  <c r="AD129" i="5"/>
  <c r="O129" i="5"/>
  <c r="AD128" i="5"/>
  <c r="O128" i="5"/>
  <c r="N128" i="5"/>
  <c r="AD127" i="5"/>
  <c r="O127" i="5"/>
  <c r="N127" i="5"/>
  <c r="AD126" i="5"/>
  <c r="O126" i="5"/>
  <c r="N126" i="5"/>
  <c r="AD125" i="5"/>
  <c r="O125" i="5"/>
  <c r="N125" i="5"/>
  <c r="AD124" i="5"/>
  <c r="O124" i="5"/>
  <c r="N124" i="5"/>
  <c r="AD123" i="5"/>
  <c r="O123" i="5"/>
  <c r="N123" i="5"/>
  <c r="AD122" i="5"/>
  <c r="O122" i="5"/>
  <c r="N122" i="5"/>
  <c r="AD121" i="5"/>
  <c r="O121" i="5"/>
  <c r="N121" i="5"/>
  <c r="AD120" i="5"/>
  <c r="O120" i="5"/>
  <c r="N120" i="5"/>
  <c r="AD119" i="5"/>
  <c r="O119" i="5"/>
  <c r="N119" i="5"/>
  <c r="AD118" i="5"/>
  <c r="O118" i="5"/>
  <c r="N118" i="5"/>
  <c r="AD117" i="5"/>
  <c r="O117" i="5"/>
  <c r="N117" i="5"/>
  <c r="AD116" i="5"/>
  <c r="O116" i="5"/>
  <c r="N116" i="5"/>
  <c r="AD115" i="5"/>
  <c r="O115" i="5"/>
  <c r="N115" i="5"/>
  <c r="AD114" i="5"/>
  <c r="O114" i="5"/>
  <c r="N114" i="5"/>
  <c r="AD113" i="5"/>
  <c r="O113" i="5"/>
  <c r="N113" i="5"/>
  <c r="AD112" i="5"/>
  <c r="O112" i="5"/>
  <c r="N112" i="5"/>
  <c r="AD111" i="5"/>
  <c r="O111" i="5"/>
  <c r="AD110" i="5"/>
  <c r="O110" i="5"/>
  <c r="N110" i="5"/>
  <c r="AD109" i="5"/>
  <c r="O109" i="5"/>
  <c r="N109" i="5"/>
  <c r="AD108" i="5"/>
  <c r="O108" i="5"/>
  <c r="N108" i="5"/>
  <c r="AD107" i="5"/>
  <c r="O107" i="5"/>
  <c r="N107" i="5"/>
  <c r="AD106" i="5"/>
  <c r="O106" i="5"/>
  <c r="N106" i="5"/>
  <c r="AD105" i="5"/>
  <c r="O105" i="5"/>
  <c r="N105" i="5"/>
  <c r="AD104" i="5"/>
  <c r="O104" i="5"/>
  <c r="N104" i="5"/>
  <c r="AD103" i="5"/>
  <c r="O103" i="5"/>
  <c r="N103" i="5"/>
  <c r="AD102" i="5"/>
  <c r="O102" i="5"/>
  <c r="AD101" i="5"/>
  <c r="O101" i="5"/>
  <c r="AD100" i="5"/>
  <c r="O100" i="5"/>
  <c r="N100" i="5"/>
  <c r="AD99" i="5"/>
  <c r="O99" i="5"/>
  <c r="N99" i="5"/>
  <c r="AD98" i="5"/>
  <c r="O98" i="5"/>
  <c r="N98" i="5"/>
  <c r="AD97" i="5"/>
  <c r="O97" i="5"/>
  <c r="N97" i="5"/>
  <c r="AD96" i="5"/>
  <c r="O96" i="5"/>
  <c r="N96" i="5"/>
  <c r="AD95" i="5"/>
  <c r="O95" i="5"/>
  <c r="N95" i="5"/>
  <c r="AD94" i="5"/>
  <c r="O94" i="5"/>
  <c r="N94" i="5"/>
  <c r="AD93" i="5"/>
  <c r="N93" i="5"/>
  <c r="AD92" i="5"/>
  <c r="N92" i="5"/>
  <c r="AD91" i="5"/>
  <c r="N91" i="5"/>
  <c r="AD90" i="5"/>
  <c r="O90" i="5"/>
  <c r="AD89" i="5"/>
  <c r="O89" i="5"/>
  <c r="AD88" i="5"/>
  <c r="O88" i="5"/>
  <c r="AD87" i="5"/>
  <c r="O87" i="5"/>
  <c r="AD86" i="5"/>
  <c r="O86" i="5"/>
  <c r="N86" i="5"/>
  <c r="AD85" i="5"/>
  <c r="O85" i="5"/>
  <c r="N85" i="5"/>
  <c r="AD84" i="5"/>
  <c r="O84" i="5"/>
  <c r="N84" i="5"/>
  <c r="AD83" i="5"/>
  <c r="O83" i="5"/>
  <c r="AD82" i="5"/>
  <c r="O82" i="5"/>
  <c r="AD81" i="5"/>
  <c r="O81" i="5"/>
  <c r="N81" i="5"/>
  <c r="AD80" i="5"/>
  <c r="O80" i="5"/>
  <c r="N80" i="5"/>
  <c r="AD79" i="5"/>
  <c r="O79" i="5"/>
  <c r="AD78" i="5"/>
  <c r="O78" i="5"/>
  <c r="N78" i="5"/>
  <c r="AD77" i="5"/>
  <c r="O77" i="5"/>
  <c r="N77" i="5"/>
  <c r="AD76" i="5"/>
  <c r="O76" i="5"/>
  <c r="N76" i="5"/>
  <c r="AD75" i="5"/>
  <c r="O75" i="5"/>
  <c r="AD74" i="5"/>
  <c r="O74" i="5"/>
  <c r="N74" i="5"/>
  <c r="AD73" i="5"/>
  <c r="O73" i="5"/>
  <c r="N73" i="5"/>
  <c r="AD72" i="5"/>
  <c r="O72" i="5"/>
  <c r="N72" i="5"/>
  <c r="AD71" i="5"/>
  <c r="AD70" i="5"/>
  <c r="O70" i="5"/>
  <c r="N70" i="5"/>
  <c r="AD69" i="5"/>
  <c r="O69" i="5"/>
  <c r="N69" i="5"/>
  <c r="AD68" i="5"/>
  <c r="N68" i="5"/>
  <c r="AD67" i="5"/>
  <c r="N67" i="5"/>
  <c r="AD66" i="5"/>
  <c r="N66" i="5"/>
  <c r="AD65" i="5"/>
  <c r="O65" i="5"/>
  <c r="AD64" i="5"/>
  <c r="N64" i="5"/>
  <c r="AD63" i="5"/>
  <c r="N63" i="5"/>
  <c r="AD62" i="5"/>
  <c r="O62" i="5"/>
  <c r="AD61" i="5"/>
  <c r="O61" i="5"/>
  <c r="AD60" i="5"/>
  <c r="O60" i="5"/>
  <c r="AD59" i="5"/>
  <c r="O59" i="5"/>
  <c r="AD58" i="5"/>
  <c r="O58" i="5"/>
  <c r="AD57" i="5"/>
  <c r="O57" i="5"/>
  <c r="N57" i="5"/>
  <c r="AD56" i="5"/>
  <c r="O56" i="5"/>
  <c r="N56" i="5"/>
  <c r="AD55" i="5"/>
  <c r="O55" i="5"/>
  <c r="N55" i="5"/>
  <c r="AD54" i="5"/>
  <c r="O54" i="5"/>
  <c r="N54" i="5"/>
  <c r="AD53" i="5"/>
  <c r="O53" i="5"/>
  <c r="N53" i="5"/>
  <c r="AD52" i="5"/>
  <c r="O52" i="5"/>
  <c r="N52" i="5"/>
  <c r="AD51" i="5"/>
  <c r="O51" i="5"/>
  <c r="N51" i="5"/>
  <c r="AD50" i="5"/>
  <c r="O50" i="5"/>
  <c r="AD49" i="5"/>
  <c r="O49" i="5"/>
  <c r="N49" i="5"/>
  <c r="AD48" i="5"/>
  <c r="O48" i="5"/>
  <c r="N48" i="5"/>
  <c r="AD47" i="5"/>
  <c r="O47" i="5"/>
  <c r="AD46" i="5"/>
  <c r="O46" i="5"/>
  <c r="AD45" i="5"/>
  <c r="O45" i="5"/>
  <c r="N45" i="5"/>
  <c r="AD44" i="5"/>
  <c r="O44" i="5"/>
  <c r="N44" i="5"/>
  <c r="AD43" i="5"/>
  <c r="O43" i="5"/>
  <c r="N43" i="5"/>
  <c r="AD42" i="5"/>
  <c r="O42" i="5"/>
  <c r="N42" i="5"/>
  <c r="AD41" i="5"/>
  <c r="O41" i="5"/>
  <c r="N41" i="5"/>
  <c r="AD40" i="5"/>
  <c r="O40" i="5"/>
  <c r="N40" i="5"/>
  <c r="AD39" i="5"/>
  <c r="O39" i="5"/>
  <c r="N39" i="5"/>
  <c r="AD38" i="5"/>
  <c r="O38" i="5"/>
  <c r="N38" i="5"/>
  <c r="AD37" i="5"/>
  <c r="O37" i="5"/>
  <c r="N37" i="5"/>
  <c r="AD36" i="5"/>
  <c r="O36" i="5"/>
  <c r="N36" i="5"/>
  <c r="AD35" i="5"/>
  <c r="AB35" i="5"/>
  <c r="O35" i="5"/>
  <c r="N35" i="5"/>
  <c r="AD34" i="5"/>
  <c r="O34" i="5"/>
  <c r="N34" i="5"/>
  <c r="AD33" i="5"/>
  <c r="O33" i="5"/>
  <c r="N33" i="5"/>
  <c r="AD32" i="5"/>
  <c r="O32" i="5"/>
  <c r="N32" i="5"/>
  <c r="AD31" i="5"/>
  <c r="O31" i="5"/>
  <c r="N31" i="5"/>
  <c r="AD30" i="5"/>
  <c r="O30" i="5"/>
  <c r="N30" i="5"/>
  <c r="AD29" i="5"/>
  <c r="O29" i="5"/>
  <c r="AD28" i="5"/>
  <c r="O28" i="5"/>
  <c r="AD27" i="5"/>
  <c r="O27" i="5"/>
  <c r="AD26" i="5"/>
  <c r="O26" i="5"/>
  <c r="AD25" i="5"/>
  <c r="O25" i="5"/>
  <c r="AD24" i="5"/>
  <c r="O24" i="5"/>
  <c r="AD23" i="5"/>
  <c r="O23" i="5"/>
  <c r="AD22" i="5"/>
  <c r="O22" i="5"/>
  <c r="AD21" i="5"/>
  <c r="O21" i="5"/>
  <c r="AD20" i="5"/>
  <c r="O20" i="5"/>
  <c r="AD19" i="5"/>
  <c r="O19" i="5"/>
  <c r="N19" i="5"/>
  <c r="AD18" i="5"/>
  <c r="O18" i="5"/>
  <c r="N18" i="5"/>
  <c r="AD17" i="5"/>
  <c r="O17" i="5"/>
  <c r="N17" i="5"/>
  <c r="AD16" i="5"/>
  <c r="O16" i="5"/>
  <c r="N16" i="5"/>
  <c r="AD15" i="5"/>
  <c r="O15" i="5"/>
  <c r="N15" i="5"/>
  <c r="AD14" i="5"/>
  <c r="O14" i="5"/>
  <c r="N14" i="5"/>
  <c r="AD13" i="5"/>
  <c r="O13" i="5"/>
  <c r="N13" i="5"/>
  <c r="AD12" i="5"/>
  <c r="O12" i="5"/>
  <c r="N12" i="5"/>
  <c r="AD11" i="5"/>
  <c r="O11" i="5"/>
  <c r="AD10" i="5"/>
  <c r="O10" i="5"/>
  <c r="AD9" i="5"/>
  <c r="O9" i="5"/>
  <c r="AD8" i="5"/>
  <c r="O8" i="5"/>
  <c r="AD7" i="5"/>
  <c r="O7" i="5"/>
  <c r="AD6" i="5"/>
  <c r="O6" i="5"/>
  <c r="AC1198" i="4"/>
  <c r="N1198" i="4"/>
  <c r="AC1197" i="4"/>
  <c r="N1197" i="4"/>
  <c r="AC1196" i="4"/>
  <c r="N1196" i="4"/>
  <c r="AC1195" i="4"/>
  <c r="AC1194" i="4"/>
  <c r="AC1193" i="4"/>
  <c r="AC1192" i="4"/>
  <c r="M1192" i="4"/>
  <c r="AC1191" i="4"/>
  <c r="M1191" i="4"/>
  <c r="AC1190" i="4"/>
  <c r="M1190" i="4"/>
  <c r="AC1189" i="4"/>
  <c r="M1189" i="4"/>
  <c r="AC1188" i="4"/>
  <c r="M1188" i="4"/>
  <c r="AC1187" i="4"/>
  <c r="N1187" i="4"/>
  <c r="AC1186" i="4"/>
  <c r="N1186" i="4"/>
  <c r="AC1185" i="4"/>
  <c r="N1185" i="4"/>
  <c r="AC1184" i="4"/>
  <c r="N1184" i="4"/>
  <c r="AC1183" i="4"/>
  <c r="AC1182" i="4"/>
  <c r="AC1181" i="4"/>
  <c r="AC1180" i="4"/>
  <c r="AC1179" i="4"/>
  <c r="N1179" i="4"/>
  <c r="AC1178" i="4"/>
  <c r="N1178" i="4"/>
  <c r="AC1177" i="4"/>
  <c r="N1177" i="4"/>
  <c r="AC1176" i="4"/>
  <c r="M1176" i="4"/>
  <c r="AC1175" i="4"/>
  <c r="M1175" i="4"/>
  <c r="AC1174" i="4"/>
  <c r="M1174" i="4"/>
  <c r="AC1173" i="4"/>
  <c r="M1173" i="4"/>
  <c r="AC1172" i="4"/>
  <c r="M1172" i="4"/>
  <c r="AC1171" i="4"/>
  <c r="AC1170" i="4"/>
  <c r="N1170" i="4"/>
  <c r="AC1169" i="4"/>
  <c r="N1169" i="4"/>
  <c r="AC1168" i="4"/>
  <c r="N1168" i="4"/>
  <c r="AC1167" i="4"/>
  <c r="N1167" i="4"/>
  <c r="AC1166" i="4"/>
  <c r="N1166" i="4"/>
  <c r="K1166" i="4"/>
  <c r="AC1165" i="4"/>
  <c r="N1165" i="4"/>
  <c r="K1165" i="4"/>
  <c r="AC1164" i="4"/>
  <c r="N1164" i="4"/>
  <c r="AC1163" i="4"/>
  <c r="M1163" i="4"/>
  <c r="AC1162" i="4"/>
  <c r="M1162" i="4"/>
  <c r="AC1161" i="4"/>
  <c r="N1161" i="4"/>
  <c r="AC1160" i="4"/>
  <c r="N1160" i="4"/>
  <c r="AC1159" i="4"/>
  <c r="N1159" i="4"/>
  <c r="AC1158" i="4"/>
  <c r="N1158" i="4"/>
  <c r="AC1157" i="4"/>
  <c r="AC1156" i="4"/>
  <c r="AC1155" i="4"/>
  <c r="AC1154" i="4"/>
  <c r="AC1153" i="4"/>
  <c r="AC1152" i="4"/>
  <c r="K1152" i="4"/>
  <c r="AC1151" i="4"/>
  <c r="N1151" i="4"/>
  <c r="AC1150" i="4"/>
  <c r="N1150" i="4"/>
  <c r="AC1149" i="4"/>
  <c r="N1149" i="4"/>
  <c r="AC1148" i="4"/>
  <c r="N1148" i="4"/>
  <c r="AC1147" i="4"/>
  <c r="N1147" i="4"/>
  <c r="M1147" i="4"/>
  <c r="AC1146" i="4"/>
  <c r="N1146" i="4"/>
  <c r="M1146" i="4"/>
  <c r="AC1145" i="4"/>
  <c r="N1145" i="4"/>
  <c r="M1145" i="4"/>
  <c r="AC1144" i="4"/>
  <c r="N1144" i="4"/>
  <c r="M1144" i="4"/>
  <c r="AC1143" i="4"/>
  <c r="N1143" i="4"/>
  <c r="AC1142" i="4"/>
  <c r="N1142" i="4"/>
  <c r="AC1141" i="4"/>
  <c r="N1141" i="4"/>
  <c r="AC1140" i="4"/>
  <c r="N1140" i="4"/>
  <c r="M1140" i="4"/>
  <c r="AC1139" i="4"/>
  <c r="N1139" i="4"/>
  <c r="M1139" i="4"/>
  <c r="AC1138" i="4"/>
  <c r="N1138" i="4"/>
  <c r="M1138" i="4"/>
  <c r="AC1137" i="4"/>
  <c r="N1137" i="4"/>
  <c r="M1137" i="4"/>
  <c r="AC1136" i="4"/>
  <c r="N1136" i="4"/>
  <c r="M1136" i="4"/>
  <c r="AC1135" i="4"/>
  <c r="N1135" i="4"/>
  <c r="M1135" i="4"/>
  <c r="AC1134" i="4"/>
  <c r="N1134" i="4"/>
  <c r="M1134" i="4"/>
  <c r="AC1133" i="4"/>
  <c r="N1133" i="4"/>
  <c r="AC1132" i="4"/>
  <c r="N1132" i="4"/>
  <c r="AC1131" i="4"/>
  <c r="N1131" i="4"/>
  <c r="AC1130" i="4"/>
  <c r="N1130" i="4"/>
  <c r="M1130" i="4"/>
  <c r="AC1129" i="4"/>
  <c r="N1129" i="4"/>
  <c r="AC1128" i="4"/>
  <c r="N1128" i="4"/>
  <c r="AC1127" i="4"/>
  <c r="M1127" i="4"/>
  <c r="AC1126" i="4"/>
  <c r="M1126" i="4"/>
  <c r="AC1125" i="4"/>
  <c r="N1125" i="4"/>
  <c r="AC1124" i="4"/>
  <c r="N1124" i="4"/>
  <c r="AC1123" i="4"/>
  <c r="N1123" i="4"/>
  <c r="AC1122" i="4"/>
  <c r="AC1121" i="4"/>
  <c r="AC1120" i="4"/>
  <c r="AC1119" i="4"/>
  <c r="AC1118" i="4"/>
  <c r="N1118" i="4"/>
  <c r="AC1117" i="4"/>
  <c r="N1117" i="4"/>
  <c r="AC1116" i="4"/>
  <c r="N1116" i="4"/>
  <c r="AC1115" i="4"/>
  <c r="N1115" i="4"/>
  <c r="AC1114" i="4"/>
  <c r="N1114" i="4"/>
  <c r="M1114" i="4"/>
  <c r="AC1113" i="4"/>
  <c r="N1113" i="4"/>
  <c r="M1113" i="4"/>
  <c r="AC1112" i="4"/>
  <c r="N1112" i="4"/>
  <c r="M1112" i="4"/>
  <c r="AC1111" i="4"/>
  <c r="N1111" i="4"/>
  <c r="M1111" i="4"/>
  <c r="AC1110" i="4"/>
  <c r="N1110" i="4"/>
  <c r="M1110" i="4"/>
  <c r="AC1109" i="4"/>
  <c r="N1109" i="4"/>
  <c r="M1109" i="4"/>
  <c r="AC1108" i="4"/>
  <c r="N1108" i="4"/>
  <c r="M1108" i="4"/>
  <c r="AC1107" i="4"/>
  <c r="N1107" i="4"/>
  <c r="M1107" i="4"/>
  <c r="AC1106" i="4"/>
  <c r="N1106" i="4"/>
  <c r="M1106" i="4"/>
  <c r="AC1105" i="4"/>
  <c r="N1105" i="4"/>
  <c r="M1105" i="4"/>
  <c r="AC1104" i="4"/>
  <c r="AC1103" i="4"/>
  <c r="AC1102" i="4"/>
  <c r="AC1101" i="4"/>
  <c r="M1101" i="4"/>
  <c r="AC1100" i="4"/>
  <c r="M1100" i="4"/>
  <c r="AC1099" i="4"/>
  <c r="AC1098" i="4"/>
  <c r="K1098" i="4"/>
  <c r="AC1097" i="4"/>
  <c r="M1097" i="4"/>
  <c r="AC1096" i="4"/>
  <c r="M1096" i="4"/>
  <c r="AC1095" i="4"/>
  <c r="M1095" i="4"/>
  <c r="AC1094" i="4"/>
  <c r="M1094" i="4"/>
  <c r="AC1093" i="4"/>
  <c r="N1093" i="4"/>
  <c r="AC1092" i="4"/>
  <c r="N1092" i="4"/>
  <c r="AC1091" i="4"/>
  <c r="AC1090" i="4"/>
  <c r="M1090" i="4"/>
  <c r="AC1089" i="4"/>
  <c r="M1089" i="4"/>
  <c r="AC1088" i="4"/>
  <c r="M1088" i="4"/>
  <c r="AC1087" i="4"/>
  <c r="M1087" i="4"/>
  <c r="AC1086" i="4"/>
  <c r="N1086" i="4"/>
  <c r="AC1085" i="4"/>
  <c r="N1085" i="4"/>
  <c r="AC1084" i="4"/>
  <c r="AC1083" i="4"/>
  <c r="N1083" i="4"/>
  <c r="M1083" i="4"/>
  <c r="AC1082" i="4"/>
  <c r="N1082" i="4"/>
  <c r="M1082" i="4"/>
  <c r="AC1081" i="4"/>
  <c r="AC1080" i="4"/>
  <c r="AC1079" i="4"/>
  <c r="AC1078" i="4"/>
  <c r="AC1077" i="4"/>
  <c r="M1077" i="4"/>
  <c r="AC1076" i="4"/>
  <c r="M1076" i="4"/>
  <c r="AC1075" i="4"/>
  <c r="M1075" i="4"/>
  <c r="AC1074" i="4"/>
  <c r="M1074" i="4"/>
  <c r="AC1073" i="4"/>
  <c r="M1073" i="4"/>
  <c r="AC1072" i="4"/>
  <c r="M1072" i="4"/>
  <c r="AC1071" i="4"/>
  <c r="M1071" i="4"/>
  <c r="AC1070" i="4"/>
  <c r="M1070" i="4"/>
  <c r="AC1069" i="4"/>
  <c r="M1069" i="4"/>
  <c r="AC1068" i="4"/>
  <c r="M1068" i="4"/>
  <c r="AC1067" i="4"/>
  <c r="M1067" i="4"/>
  <c r="AC1066" i="4"/>
  <c r="M1066" i="4"/>
  <c r="AC1065" i="4"/>
  <c r="M1065" i="4"/>
  <c r="AC1064" i="4"/>
  <c r="M1064" i="4"/>
  <c r="AC1063" i="4"/>
  <c r="M1063" i="4"/>
  <c r="AC1062" i="4"/>
  <c r="AC1061" i="4"/>
  <c r="AC1060" i="4"/>
  <c r="AC1059" i="4"/>
  <c r="AC1058" i="4"/>
  <c r="N1058" i="4"/>
  <c r="M1058" i="4"/>
  <c r="AC1057" i="4"/>
  <c r="N1057" i="4"/>
  <c r="AC1056" i="4"/>
  <c r="N1056" i="4"/>
  <c r="AC1055" i="4"/>
  <c r="N1055" i="4"/>
  <c r="M1055" i="4"/>
  <c r="AC1054" i="4"/>
  <c r="N1054" i="4"/>
  <c r="M1054" i="4"/>
  <c r="AC1053" i="4"/>
  <c r="N1053" i="4"/>
  <c r="M1053" i="4"/>
  <c r="AC1052" i="4"/>
  <c r="N1052" i="4"/>
  <c r="M1052" i="4"/>
  <c r="AC1051" i="4"/>
  <c r="N1051" i="4"/>
  <c r="AC1050" i="4"/>
  <c r="N1050" i="4"/>
  <c r="AC1049" i="4"/>
  <c r="M1049" i="4"/>
  <c r="AC1048" i="4"/>
  <c r="M1048" i="4"/>
  <c r="AC1047" i="4"/>
  <c r="M1047" i="4"/>
  <c r="AC1046" i="4"/>
  <c r="N1046" i="4"/>
  <c r="M1046" i="4"/>
  <c r="AC1045" i="4"/>
  <c r="N1045" i="4"/>
  <c r="M1045" i="4"/>
  <c r="AC1044" i="4"/>
  <c r="M1044" i="4"/>
  <c r="AC1043" i="4"/>
  <c r="M1043" i="4"/>
  <c r="AC1042" i="4"/>
  <c r="M1042" i="4"/>
  <c r="AC1041" i="4"/>
  <c r="M1041" i="4"/>
  <c r="AC1040" i="4"/>
  <c r="M1040" i="4"/>
  <c r="AC1039" i="4"/>
  <c r="M1039" i="4"/>
  <c r="AC1038" i="4"/>
  <c r="AC1037" i="4"/>
  <c r="M1037" i="4"/>
  <c r="AC1036" i="4"/>
  <c r="M1036" i="4"/>
  <c r="AC1035" i="4"/>
  <c r="N1035" i="4"/>
  <c r="M1035" i="4"/>
  <c r="AC1034" i="4"/>
  <c r="N1034" i="4"/>
  <c r="M1034" i="4"/>
  <c r="AC1033" i="4"/>
  <c r="N1033" i="4"/>
  <c r="M1033" i="4"/>
  <c r="AC1032" i="4"/>
  <c r="M1032" i="4"/>
  <c r="AC1031" i="4"/>
  <c r="N1031" i="4"/>
  <c r="M1031" i="4"/>
  <c r="AC1030" i="4"/>
  <c r="N1030" i="4"/>
  <c r="M1030" i="4"/>
  <c r="AC1029" i="4"/>
  <c r="N1029" i="4"/>
  <c r="M1029" i="4"/>
  <c r="AC1028" i="4"/>
  <c r="M1028" i="4"/>
  <c r="AC1027" i="4"/>
  <c r="AC1026" i="4"/>
  <c r="AC1025" i="4"/>
  <c r="AC1024" i="4"/>
  <c r="N1024" i="4"/>
  <c r="M1024" i="4"/>
  <c r="AC1023" i="4"/>
  <c r="N1023" i="4"/>
  <c r="M1023" i="4"/>
  <c r="AC1022" i="4"/>
  <c r="N1022" i="4"/>
  <c r="M1022" i="4"/>
  <c r="AC1021" i="4"/>
  <c r="AC1020" i="4"/>
  <c r="N1020" i="4"/>
  <c r="M1020" i="4"/>
  <c r="AC1019" i="4"/>
  <c r="N1019" i="4"/>
  <c r="M1019" i="4"/>
  <c r="AC1018" i="4"/>
  <c r="N1018" i="4"/>
  <c r="AC1017" i="4"/>
  <c r="N1017" i="4"/>
  <c r="AC1016" i="4"/>
  <c r="N1016" i="4"/>
  <c r="AC1015" i="4"/>
  <c r="N1015" i="4"/>
  <c r="AC1014" i="4"/>
  <c r="N1014" i="4"/>
  <c r="AC1013" i="4"/>
  <c r="N1013" i="4"/>
  <c r="AC1012" i="4"/>
  <c r="N1012" i="4"/>
  <c r="AC1011" i="4"/>
  <c r="N1011" i="4"/>
  <c r="AC1010" i="4"/>
  <c r="N1010" i="4"/>
  <c r="AC1009" i="4"/>
  <c r="AC1008" i="4"/>
  <c r="N1008" i="4"/>
  <c r="M1008" i="4"/>
  <c r="AC1007" i="4"/>
  <c r="N1007" i="4"/>
  <c r="M1007" i="4"/>
  <c r="AC1006" i="4"/>
  <c r="N1006" i="4"/>
  <c r="M1006" i="4"/>
  <c r="AC1005" i="4"/>
  <c r="N1005" i="4"/>
  <c r="M1005" i="4"/>
  <c r="AC1004" i="4"/>
  <c r="N1004" i="4"/>
  <c r="M1004" i="4"/>
  <c r="AC1003" i="4"/>
  <c r="N1003" i="4"/>
  <c r="M1003" i="4"/>
  <c r="AC1002" i="4"/>
  <c r="N1002" i="4"/>
  <c r="M1002" i="4"/>
  <c r="AC1001" i="4"/>
  <c r="N1001" i="4"/>
  <c r="M1001" i="4"/>
  <c r="AC1000" i="4"/>
  <c r="N1000" i="4"/>
  <c r="M1000" i="4"/>
  <c r="AC999" i="4"/>
  <c r="N999" i="4"/>
  <c r="M999" i="4"/>
  <c r="AC998" i="4"/>
  <c r="N998" i="4"/>
  <c r="M998" i="4"/>
  <c r="AC997" i="4"/>
  <c r="N997" i="4"/>
  <c r="AC996" i="4"/>
  <c r="N996" i="4"/>
  <c r="AC995" i="4"/>
  <c r="N995" i="4"/>
  <c r="AC994" i="4"/>
  <c r="N994" i="4"/>
  <c r="AC993" i="4"/>
  <c r="N993" i="4"/>
  <c r="AC992" i="4"/>
  <c r="N992" i="4"/>
  <c r="AC991" i="4"/>
  <c r="N991" i="4"/>
  <c r="M991" i="4"/>
  <c r="AC990" i="4"/>
  <c r="N990" i="4"/>
  <c r="M990" i="4"/>
  <c r="AC989" i="4"/>
  <c r="N989" i="4"/>
  <c r="M989" i="4"/>
  <c r="AC988" i="4"/>
  <c r="N988" i="4"/>
  <c r="M988" i="4"/>
  <c r="AC987" i="4"/>
  <c r="N987" i="4"/>
  <c r="M987" i="4"/>
  <c r="AC986" i="4"/>
  <c r="N986" i="4"/>
  <c r="M986" i="4"/>
  <c r="AC985" i="4"/>
  <c r="N985" i="4"/>
  <c r="M985" i="4"/>
  <c r="AC984" i="4"/>
  <c r="N984" i="4"/>
  <c r="M984" i="4"/>
  <c r="AC983" i="4"/>
  <c r="AC982" i="4"/>
  <c r="AC981" i="4"/>
  <c r="M981" i="4"/>
  <c r="AC980" i="4"/>
  <c r="M980" i="4"/>
  <c r="AC979" i="4"/>
  <c r="M979" i="4"/>
  <c r="AC978" i="4"/>
  <c r="M978" i="4"/>
  <c r="AC977" i="4"/>
  <c r="N977" i="4"/>
  <c r="M977" i="4"/>
  <c r="AC976" i="4"/>
  <c r="N976" i="4"/>
  <c r="M976" i="4"/>
  <c r="AC975" i="4"/>
  <c r="N975" i="4"/>
  <c r="M975" i="4"/>
  <c r="AC974" i="4"/>
  <c r="N974" i="4"/>
  <c r="M974" i="4"/>
  <c r="AC973" i="4"/>
  <c r="N973" i="4"/>
  <c r="M973" i="4"/>
  <c r="AC972" i="4"/>
  <c r="N972" i="4"/>
  <c r="M972" i="4"/>
  <c r="AC971" i="4"/>
  <c r="N971" i="4"/>
  <c r="M971" i="4"/>
  <c r="AC970" i="4"/>
  <c r="M970" i="4"/>
  <c r="AC969" i="4"/>
  <c r="M969" i="4"/>
  <c r="AC968" i="4"/>
  <c r="M968" i="4"/>
  <c r="AC967" i="4"/>
  <c r="M967" i="4"/>
  <c r="AC966" i="4"/>
  <c r="M966" i="4"/>
  <c r="AC965" i="4"/>
  <c r="M965" i="4"/>
  <c r="AC964" i="4"/>
  <c r="M964" i="4"/>
  <c r="AC963" i="4"/>
  <c r="N963" i="4"/>
  <c r="M963" i="4"/>
  <c r="AC962" i="4"/>
  <c r="N962" i="4"/>
  <c r="M962" i="4"/>
  <c r="AC961" i="4"/>
  <c r="M961" i="4"/>
  <c r="AC960" i="4"/>
  <c r="AC959" i="4"/>
  <c r="AC958" i="4"/>
  <c r="N958" i="4"/>
  <c r="M958" i="4"/>
  <c r="AC957" i="4"/>
  <c r="N957" i="4"/>
  <c r="M957" i="4"/>
  <c r="AC956" i="4"/>
  <c r="N956" i="4"/>
  <c r="M956" i="4"/>
  <c r="AC955" i="4"/>
  <c r="N955" i="4"/>
  <c r="M955" i="4"/>
  <c r="AC954" i="4"/>
  <c r="N954" i="4"/>
  <c r="AC953" i="4"/>
  <c r="N953" i="4"/>
  <c r="AC952" i="4"/>
  <c r="AC951" i="4"/>
  <c r="N951" i="4"/>
  <c r="M951" i="4"/>
  <c r="AC950" i="4"/>
  <c r="N950" i="4"/>
  <c r="M950" i="4"/>
  <c r="AC949" i="4"/>
  <c r="N949" i="4"/>
  <c r="M949" i="4"/>
  <c r="AC948" i="4"/>
  <c r="N948" i="4"/>
  <c r="M948" i="4"/>
  <c r="AC947" i="4"/>
  <c r="N947" i="4"/>
  <c r="M947" i="4"/>
  <c r="AC946" i="4"/>
  <c r="N946" i="4"/>
  <c r="M946" i="4"/>
  <c r="AC945" i="4"/>
  <c r="N945" i="4"/>
  <c r="M945" i="4"/>
  <c r="AC944" i="4"/>
  <c r="N944" i="4"/>
  <c r="M944" i="4"/>
  <c r="AC943" i="4"/>
  <c r="N943" i="4"/>
  <c r="M943" i="4"/>
  <c r="AC942" i="4"/>
  <c r="N942" i="4"/>
  <c r="M942" i="4"/>
  <c r="AC941" i="4"/>
  <c r="N941" i="4"/>
  <c r="M941" i="4"/>
  <c r="AC940" i="4"/>
  <c r="N940" i="4"/>
  <c r="AC939" i="4"/>
  <c r="N939" i="4"/>
  <c r="AC938" i="4"/>
  <c r="AC937" i="4"/>
  <c r="AC936" i="4"/>
  <c r="AC935" i="4"/>
  <c r="N935" i="4"/>
  <c r="M935" i="4"/>
  <c r="AC934" i="4"/>
  <c r="M934" i="4"/>
  <c r="AC933" i="4"/>
  <c r="M933" i="4"/>
  <c r="AC932" i="4"/>
  <c r="N932" i="4"/>
  <c r="AC931" i="4"/>
  <c r="N931" i="4"/>
  <c r="AC930" i="4"/>
  <c r="N930" i="4"/>
  <c r="AC929" i="4"/>
  <c r="N929" i="4"/>
  <c r="AC928" i="4"/>
  <c r="AC927" i="4"/>
  <c r="AC926" i="4"/>
  <c r="AC925" i="4"/>
  <c r="N925" i="4"/>
  <c r="M925" i="4"/>
  <c r="AC924" i="4"/>
  <c r="N924" i="4"/>
  <c r="M924" i="4"/>
  <c r="AC923" i="4"/>
  <c r="M923" i="4"/>
  <c r="AC922" i="4"/>
  <c r="M922" i="4"/>
  <c r="AC921" i="4"/>
  <c r="AC920" i="4"/>
  <c r="AC919" i="4"/>
  <c r="AC918" i="4"/>
  <c r="M918" i="4"/>
  <c r="AC917" i="4"/>
  <c r="N917" i="4"/>
  <c r="AC916" i="4"/>
  <c r="N916" i="4"/>
  <c r="AC915" i="4"/>
  <c r="N915" i="4"/>
  <c r="AC914" i="4"/>
  <c r="N914" i="4"/>
  <c r="AC913" i="4"/>
  <c r="N913" i="4"/>
  <c r="AC912" i="4"/>
  <c r="N912" i="4"/>
  <c r="AC911" i="4"/>
  <c r="N911" i="4"/>
  <c r="AC910" i="4"/>
  <c r="N910" i="4"/>
  <c r="M910" i="4"/>
  <c r="AC909" i="4"/>
  <c r="N909" i="4"/>
  <c r="M909" i="4"/>
  <c r="AC908" i="4"/>
  <c r="N908" i="4"/>
  <c r="M908" i="4"/>
  <c r="AC907" i="4"/>
  <c r="N907" i="4"/>
  <c r="M907" i="4"/>
  <c r="AC906" i="4"/>
  <c r="AC905" i="4"/>
  <c r="AC904" i="4"/>
  <c r="AC903" i="4"/>
  <c r="AC902" i="4"/>
  <c r="N902" i="4"/>
  <c r="AC901" i="4"/>
  <c r="N901" i="4"/>
  <c r="AC900" i="4"/>
  <c r="N900" i="4"/>
  <c r="AC899" i="4"/>
  <c r="N899" i="4"/>
  <c r="AC898" i="4"/>
  <c r="N898" i="4"/>
  <c r="AC897" i="4"/>
  <c r="N897" i="4"/>
  <c r="AC896" i="4"/>
  <c r="N896" i="4"/>
  <c r="AC895" i="4"/>
  <c r="N895" i="4"/>
  <c r="AC894" i="4"/>
  <c r="N894" i="4"/>
  <c r="AC893" i="4"/>
  <c r="N893" i="4"/>
  <c r="AC892" i="4"/>
  <c r="N892" i="4"/>
  <c r="AC891" i="4"/>
  <c r="N891" i="4"/>
  <c r="AC890" i="4"/>
  <c r="N890" i="4"/>
  <c r="AC889" i="4"/>
  <c r="N889" i="4"/>
  <c r="AC888" i="4"/>
  <c r="N888" i="4"/>
  <c r="AC887" i="4"/>
  <c r="N887" i="4"/>
  <c r="AC886" i="4"/>
  <c r="N886" i="4"/>
  <c r="AC885" i="4"/>
  <c r="N885" i="4"/>
  <c r="AC884" i="4"/>
  <c r="N884" i="4"/>
  <c r="AC883" i="4"/>
  <c r="N883" i="4"/>
  <c r="AC882" i="4"/>
  <c r="N882" i="4"/>
  <c r="AC881" i="4"/>
  <c r="N881" i="4"/>
  <c r="AC880" i="4"/>
  <c r="N880" i="4"/>
  <c r="AC879" i="4"/>
  <c r="N879" i="4"/>
  <c r="AE878" i="4"/>
  <c r="N878" i="4"/>
  <c r="AC877" i="4"/>
  <c r="AC876" i="4"/>
  <c r="AC875" i="4"/>
  <c r="AC874" i="4"/>
  <c r="N874" i="4"/>
  <c r="AC873" i="4"/>
  <c r="N873" i="4"/>
  <c r="AC872" i="4"/>
  <c r="N872" i="4"/>
  <c r="AC871" i="4"/>
  <c r="N871" i="4"/>
  <c r="AC870" i="4"/>
  <c r="N870" i="4"/>
  <c r="AC869" i="4"/>
  <c r="N869" i="4"/>
  <c r="M869" i="4"/>
  <c r="AC868" i="4"/>
  <c r="N868" i="4"/>
  <c r="AC867" i="4"/>
  <c r="N867" i="4"/>
  <c r="AC866" i="4"/>
  <c r="N866" i="4"/>
  <c r="AC865" i="4"/>
  <c r="N865" i="4"/>
  <c r="AC864" i="4"/>
  <c r="AC863" i="4"/>
  <c r="N863" i="4"/>
  <c r="M863" i="4"/>
  <c r="AC862" i="4"/>
  <c r="N862" i="4"/>
  <c r="M862" i="4"/>
  <c r="AC861" i="4"/>
  <c r="N861" i="4"/>
  <c r="M861" i="4"/>
  <c r="AC860" i="4"/>
  <c r="AC859" i="4"/>
  <c r="N859" i="4"/>
  <c r="AC858" i="4"/>
  <c r="N858" i="4"/>
  <c r="AC857" i="4"/>
  <c r="N857" i="4"/>
  <c r="AC856" i="4"/>
  <c r="N856" i="4"/>
  <c r="AC855" i="4"/>
  <c r="N855" i="4"/>
  <c r="AC854" i="4"/>
  <c r="N854" i="4"/>
  <c r="AC853" i="4"/>
  <c r="N853" i="4"/>
  <c r="AC852" i="4"/>
  <c r="N852" i="4"/>
  <c r="AC851" i="4"/>
  <c r="N851" i="4"/>
  <c r="AC850" i="4"/>
  <c r="N850" i="4"/>
  <c r="AC849" i="4"/>
  <c r="N849" i="4"/>
  <c r="AC848" i="4"/>
  <c r="N848" i="4"/>
  <c r="AC847" i="4"/>
  <c r="M847" i="4"/>
  <c r="AC846" i="4"/>
  <c r="M846" i="4"/>
  <c r="AC845" i="4"/>
  <c r="AC844" i="4"/>
  <c r="AC843" i="4"/>
  <c r="AC842" i="4"/>
  <c r="N842" i="4"/>
  <c r="AC841" i="4"/>
  <c r="N841" i="4"/>
  <c r="AC840" i="4"/>
  <c r="N840" i="4"/>
  <c r="M840" i="4"/>
  <c r="AC839" i="4"/>
  <c r="N839" i="4"/>
  <c r="M839" i="4"/>
  <c r="AC838" i="4"/>
  <c r="N838" i="4"/>
  <c r="AC837" i="4"/>
  <c r="N837" i="4"/>
  <c r="AC836" i="4"/>
  <c r="AC835" i="4"/>
  <c r="N835" i="4"/>
  <c r="AC834" i="4"/>
  <c r="N834" i="4"/>
  <c r="AC833" i="4"/>
  <c r="N833" i="4"/>
  <c r="AC832" i="4"/>
  <c r="N832" i="4"/>
  <c r="AC831" i="4"/>
  <c r="N831" i="4"/>
  <c r="AC830" i="4"/>
  <c r="N830" i="4"/>
  <c r="AC829" i="4"/>
  <c r="AC828" i="4"/>
  <c r="AC827" i="4"/>
  <c r="AC826" i="4"/>
  <c r="AC825" i="4"/>
  <c r="N825" i="4"/>
  <c r="AC824" i="4"/>
  <c r="N824" i="4"/>
  <c r="AC823" i="4"/>
  <c r="N823" i="4"/>
  <c r="AC822" i="4"/>
  <c r="N822" i="4"/>
  <c r="M822" i="4"/>
  <c r="AC821" i="4"/>
  <c r="N821" i="4"/>
  <c r="M821" i="4"/>
  <c r="AC820" i="4"/>
  <c r="N820" i="4"/>
  <c r="M820" i="4"/>
  <c r="AC819" i="4"/>
  <c r="N819" i="4"/>
  <c r="M819" i="4"/>
  <c r="AC818" i="4"/>
  <c r="AC817" i="4"/>
  <c r="N817" i="4"/>
  <c r="M817" i="4"/>
  <c r="AC816" i="4"/>
  <c r="N816" i="4"/>
  <c r="M816" i="4"/>
  <c r="AC815" i="4"/>
  <c r="N815" i="4"/>
  <c r="AC814" i="4"/>
  <c r="N814" i="4"/>
  <c r="AC813" i="4"/>
  <c r="AC812" i="4"/>
  <c r="AC811" i="4"/>
  <c r="N811" i="4"/>
  <c r="M811" i="4"/>
  <c r="AC810" i="4"/>
  <c r="N810" i="4"/>
  <c r="M810" i="4"/>
  <c r="AC809" i="4"/>
  <c r="N809" i="4"/>
  <c r="M809" i="4"/>
  <c r="AC808" i="4"/>
  <c r="AC807" i="4"/>
  <c r="AC806" i="4"/>
  <c r="N806" i="4"/>
  <c r="AC805" i="4"/>
  <c r="N805" i="4"/>
  <c r="AC804" i="4"/>
  <c r="N804" i="4"/>
  <c r="AC803" i="4"/>
  <c r="N803" i="4"/>
  <c r="M803" i="4"/>
  <c r="AC802" i="4"/>
  <c r="N802" i="4"/>
  <c r="M802" i="4"/>
  <c r="AC801" i="4"/>
  <c r="N801" i="4"/>
  <c r="M801" i="4"/>
  <c r="AC800" i="4"/>
  <c r="N800" i="4"/>
  <c r="AC799" i="4"/>
  <c r="N799" i="4"/>
  <c r="AC798" i="4"/>
  <c r="N798" i="4"/>
  <c r="M798" i="4"/>
  <c r="AC797" i="4"/>
  <c r="N797" i="4"/>
  <c r="M797" i="4"/>
  <c r="AC796" i="4"/>
  <c r="N796" i="4"/>
  <c r="AC795" i="4"/>
  <c r="N795" i="4"/>
  <c r="AC794" i="4"/>
  <c r="N794" i="4"/>
  <c r="AC793" i="4"/>
  <c r="N793" i="4"/>
  <c r="AC792" i="4"/>
  <c r="M792" i="4"/>
  <c r="AC791" i="4"/>
  <c r="M791" i="4"/>
  <c r="AC790" i="4"/>
  <c r="N790" i="4"/>
  <c r="M790" i="4"/>
  <c r="AC789" i="4"/>
  <c r="N789" i="4"/>
  <c r="M789" i="4"/>
  <c r="AC788" i="4"/>
  <c r="AC787" i="4"/>
  <c r="AC786" i="4"/>
  <c r="AC785" i="4"/>
  <c r="AC784" i="4"/>
  <c r="AC783" i="4"/>
  <c r="AC782" i="4"/>
  <c r="AC781" i="4"/>
  <c r="AC780" i="4"/>
  <c r="AC779" i="4"/>
  <c r="AC778" i="4"/>
  <c r="N778" i="4"/>
  <c r="M778" i="4"/>
  <c r="AC777" i="4"/>
  <c r="N777" i="4"/>
  <c r="M777" i="4"/>
  <c r="AC776" i="4"/>
  <c r="N776" i="4"/>
  <c r="M776" i="4"/>
  <c r="AC775" i="4"/>
  <c r="AC774" i="4"/>
  <c r="N774" i="4"/>
  <c r="M774" i="4"/>
  <c r="AC773" i="4"/>
  <c r="N773" i="4"/>
  <c r="M773" i="4"/>
  <c r="AC772" i="4"/>
  <c r="M772" i="4"/>
  <c r="AC771" i="4"/>
  <c r="M771" i="4"/>
  <c r="AC770" i="4"/>
  <c r="AC769" i="4"/>
  <c r="AC768" i="4"/>
  <c r="N768" i="4"/>
  <c r="M768" i="4"/>
  <c r="AC767" i="4"/>
  <c r="N767" i="4"/>
  <c r="M767" i="4"/>
  <c r="AC766" i="4"/>
  <c r="N766" i="4"/>
  <c r="M766" i="4"/>
  <c r="AC765" i="4"/>
  <c r="N765" i="4"/>
  <c r="M765" i="4"/>
  <c r="AC764" i="4"/>
  <c r="N764" i="4"/>
  <c r="M764" i="4"/>
  <c r="AC763" i="4"/>
  <c r="N763" i="4"/>
  <c r="M763" i="4"/>
  <c r="AC762" i="4"/>
  <c r="N762" i="4"/>
  <c r="M762" i="4"/>
  <c r="AC761" i="4"/>
  <c r="AC760" i="4"/>
  <c r="AC759" i="4"/>
  <c r="AC758" i="4"/>
  <c r="AC757" i="4"/>
  <c r="N757" i="4"/>
  <c r="AC756" i="4"/>
  <c r="N756" i="4"/>
  <c r="AC755" i="4"/>
  <c r="N755" i="4"/>
  <c r="AC754" i="4"/>
  <c r="N754" i="4"/>
  <c r="M754" i="4"/>
  <c r="AC753" i="4"/>
  <c r="N753" i="4"/>
  <c r="M753" i="4"/>
  <c r="AC752" i="4"/>
  <c r="N752" i="4"/>
  <c r="M752" i="4"/>
  <c r="AC751" i="4"/>
  <c r="N751" i="4"/>
  <c r="M751" i="4"/>
  <c r="AC750" i="4"/>
  <c r="N750" i="4"/>
  <c r="M750" i="4"/>
  <c r="AC749" i="4"/>
  <c r="N749" i="4"/>
  <c r="M749" i="4"/>
  <c r="AC748" i="4"/>
  <c r="N748" i="4"/>
  <c r="M748" i="4"/>
  <c r="AC747" i="4"/>
  <c r="N747" i="4"/>
  <c r="M747" i="4"/>
  <c r="AC746" i="4"/>
  <c r="N746" i="4"/>
  <c r="M746" i="4"/>
  <c r="AC745" i="4"/>
  <c r="N745" i="4"/>
  <c r="M745" i="4"/>
  <c r="AC744" i="4"/>
  <c r="N744" i="4"/>
  <c r="M744" i="4"/>
  <c r="AC743" i="4"/>
  <c r="N743" i="4"/>
  <c r="M743" i="4"/>
  <c r="AC742" i="4"/>
  <c r="N742" i="4"/>
  <c r="M742" i="4"/>
  <c r="AC741" i="4"/>
  <c r="M741" i="4"/>
  <c r="AC740" i="4"/>
  <c r="M740" i="4"/>
  <c r="AC739" i="4"/>
  <c r="AC738" i="4"/>
  <c r="N738" i="4"/>
  <c r="M738" i="4"/>
  <c r="AC737" i="4"/>
  <c r="N737" i="4"/>
  <c r="M737" i="4"/>
  <c r="AC736" i="4"/>
  <c r="N736" i="4"/>
  <c r="AC735" i="4"/>
  <c r="N735" i="4"/>
  <c r="AC734" i="4"/>
  <c r="N734" i="4"/>
  <c r="AC733" i="4"/>
  <c r="N733" i="4"/>
  <c r="AC732" i="4"/>
  <c r="N732" i="4"/>
  <c r="AC731" i="4"/>
  <c r="AC730" i="4"/>
  <c r="K730" i="4"/>
  <c r="AC729" i="4"/>
  <c r="N729" i="4"/>
  <c r="AC728" i="4"/>
  <c r="N728" i="4"/>
  <c r="AC727" i="4"/>
  <c r="N727" i="4"/>
  <c r="AC726" i="4"/>
  <c r="N726" i="4"/>
  <c r="AC725" i="4"/>
  <c r="N725" i="4"/>
  <c r="AC724" i="4"/>
  <c r="N724" i="4"/>
  <c r="M724" i="4"/>
  <c r="AC723" i="4"/>
  <c r="N723" i="4"/>
  <c r="AC722" i="4"/>
  <c r="M722" i="4"/>
  <c r="AC721" i="4"/>
  <c r="N721" i="4"/>
  <c r="AC720" i="4"/>
  <c r="N720" i="4"/>
  <c r="AC719" i="4"/>
  <c r="N719" i="4"/>
  <c r="AC718" i="4"/>
  <c r="N718" i="4"/>
  <c r="M718" i="4"/>
  <c r="AC717" i="4"/>
  <c r="N717" i="4"/>
  <c r="M717" i="4"/>
  <c r="AC716" i="4"/>
  <c r="N716" i="4"/>
  <c r="AC715" i="4"/>
  <c r="N715" i="4"/>
  <c r="AC714" i="4"/>
  <c r="M714" i="4"/>
  <c r="AC713" i="4"/>
  <c r="M713" i="4"/>
  <c r="AC712" i="4"/>
  <c r="M712" i="4"/>
  <c r="AC711" i="4"/>
  <c r="N711" i="4"/>
  <c r="M711" i="4"/>
  <c r="AC710" i="4"/>
  <c r="AC709" i="4"/>
  <c r="N709" i="4"/>
  <c r="AC708" i="4"/>
  <c r="N708" i="4"/>
  <c r="M708" i="4"/>
  <c r="AC707" i="4"/>
  <c r="N707" i="4"/>
  <c r="M707" i="4"/>
  <c r="AC706" i="4"/>
  <c r="M706" i="4"/>
  <c r="AC705" i="4"/>
  <c r="M705" i="4"/>
  <c r="AC704" i="4"/>
  <c r="M704" i="4"/>
  <c r="AC703" i="4"/>
  <c r="N703" i="4"/>
  <c r="AC702" i="4"/>
  <c r="N702" i="4"/>
  <c r="AC701" i="4"/>
  <c r="N701" i="4"/>
  <c r="AC700" i="4"/>
  <c r="N700" i="4"/>
  <c r="AC699" i="4"/>
  <c r="N699" i="4"/>
  <c r="AC698" i="4"/>
  <c r="AC697" i="4"/>
  <c r="AC696" i="4"/>
  <c r="AC695" i="4"/>
  <c r="M695" i="4"/>
  <c r="AC694" i="4"/>
  <c r="M694" i="4"/>
  <c r="AC693" i="4"/>
  <c r="M693" i="4"/>
  <c r="AC692" i="4"/>
  <c r="N692" i="4"/>
  <c r="M692" i="4"/>
  <c r="AC691" i="4"/>
  <c r="N691" i="4"/>
  <c r="M691" i="4"/>
  <c r="AC690" i="4"/>
  <c r="N690" i="4"/>
  <c r="M690" i="4"/>
  <c r="AC689" i="4"/>
  <c r="N689" i="4"/>
  <c r="M689" i="4"/>
  <c r="AC688" i="4"/>
  <c r="N688" i="4"/>
  <c r="M688" i="4"/>
  <c r="AC687" i="4"/>
  <c r="N687" i="4"/>
  <c r="AC686" i="4"/>
  <c r="N686" i="4"/>
  <c r="AC685" i="4"/>
  <c r="N685" i="4"/>
  <c r="AC684" i="4"/>
  <c r="N684" i="4"/>
  <c r="AC683" i="4"/>
  <c r="N683" i="4"/>
  <c r="AC682" i="4"/>
  <c r="N682" i="4"/>
  <c r="M682" i="4"/>
  <c r="AC681" i="4"/>
  <c r="N681" i="4"/>
  <c r="M681" i="4"/>
  <c r="AC680" i="4"/>
  <c r="N680" i="4"/>
  <c r="AC679" i="4"/>
  <c r="N679" i="4"/>
  <c r="AC678" i="4"/>
  <c r="N678" i="4"/>
  <c r="AC677" i="4"/>
  <c r="N677" i="4"/>
  <c r="AC676" i="4"/>
  <c r="N676" i="4"/>
  <c r="AC675" i="4"/>
  <c r="N675" i="4"/>
  <c r="AC674" i="4"/>
  <c r="N674" i="4"/>
  <c r="AC673" i="4"/>
  <c r="N673" i="4"/>
  <c r="AC672" i="4"/>
  <c r="N672" i="4"/>
  <c r="AC671" i="4"/>
  <c r="N671" i="4"/>
  <c r="AC670" i="4"/>
  <c r="N670" i="4"/>
  <c r="AC669" i="4"/>
  <c r="N669" i="4"/>
  <c r="AC668" i="4"/>
  <c r="N668" i="4"/>
  <c r="AC667" i="4"/>
  <c r="N667" i="4"/>
  <c r="AC666" i="4"/>
  <c r="N666" i="4"/>
  <c r="AC665" i="4"/>
  <c r="N665" i="4"/>
  <c r="AC664" i="4"/>
  <c r="N664" i="4"/>
  <c r="AC663" i="4"/>
  <c r="N663" i="4"/>
  <c r="AC662" i="4"/>
  <c r="N662" i="4"/>
  <c r="M662" i="4"/>
  <c r="AC661" i="4"/>
  <c r="N661" i="4"/>
  <c r="M661" i="4"/>
  <c r="AC660" i="4"/>
  <c r="N660" i="4"/>
  <c r="M660" i="4"/>
  <c r="AC659" i="4"/>
  <c r="N659" i="4"/>
  <c r="M659" i="4"/>
  <c r="AC658" i="4"/>
  <c r="N658" i="4"/>
  <c r="AC657" i="4"/>
  <c r="N657" i="4"/>
  <c r="AC656" i="4"/>
  <c r="N656" i="4"/>
  <c r="AC655" i="4"/>
  <c r="N655" i="4"/>
  <c r="AC654" i="4"/>
  <c r="N654" i="4"/>
  <c r="AC653" i="4"/>
  <c r="N653" i="4"/>
  <c r="AC652" i="4"/>
  <c r="N652" i="4"/>
  <c r="AC651" i="4"/>
  <c r="N651" i="4"/>
  <c r="AC650" i="4"/>
  <c r="N650" i="4"/>
  <c r="AC649" i="4"/>
  <c r="N649" i="4"/>
  <c r="AC648" i="4"/>
  <c r="AC647" i="4"/>
  <c r="AC646" i="4"/>
  <c r="AC645" i="4"/>
  <c r="N645" i="4"/>
  <c r="AC644" i="4"/>
  <c r="AC643" i="4"/>
  <c r="N643" i="4"/>
  <c r="AC642" i="4"/>
  <c r="N642" i="4"/>
  <c r="AC641" i="4"/>
  <c r="N641" i="4"/>
  <c r="AC640" i="4"/>
  <c r="N640" i="4"/>
  <c r="AC639" i="4"/>
  <c r="N639" i="4"/>
  <c r="AC638" i="4"/>
  <c r="AC637" i="4"/>
  <c r="N637" i="4"/>
  <c r="AC636" i="4"/>
  <c r="N636" i="4"/>
  <c r="AC635" i="4"/>
  <c r="N635" i="4"/>
  <c r="AC634" i="4"/>
  <c r="N634" i="4"/>
  <c r="AC633" i="4"/>
  <c r="N633" i="4"/>
  <c r="AC632" i="4"/>
  <c r="N632" i="4"/>
  <c r="AC631" i="4"/>
  <c r="N631" i="4"/>
  <c r="AC630" i="4"/>
  <c r="N630" i="4"/>
  <c r="AC629" i="4"/>
  <c r="N629" i="4"/>
  <c r="M629" i="4"/>
  <c r="AC628" i="4"/>
  <c r="N628" i="4"/>
  <c r="M628" i="4"/>
  <c r="AC627" i="4"/>
  <c r="N627" i="4"/>
  <c r="M627" i="4"/>
  <c r="AC626" i="4"/>
  <c r="N626" i="4"/>
  <c r="M626" i="4"/>
  <c r="AC625" i="4"/>
  <c r="N625" i="4"/>
  <c r="M625" i="4"/>
  <c r="AC624" i="4"/>
  <c r="N624" i="4"/>
  <c r="M624" i="4"/>
  <c r="AC623" i="4"/>
  <c r="N623" i="4"/>
  <c r="M623" i="4"/>
  <c r="AC622" i="4"/>
  <c r="N622" i="4"/>
  <c r="AC621" i="4"/>
  <c r="N621" i="4"/>
  <c r="AC620" i="4"/>
  <c r="N620" i="4"/>
  <c r="AC619" i="4"/>
  <c r="N619" i="4"/>
  <c r="AC618" i="4"/>
  <c r="N618" i="4"/>
  <c r="AC617" i="4"/>
  <c r="N617" i="4"/>
  <c r="AC616" i="4"/>
  <c r="N616" i="4"/>
  <c r="AC615" i="4"/>
  <c r="N615" i="4"/>
  <c r="AC614" i="4"/>
  <c r="N614" i="4"/>
  <c r="M614" i="4"/>
  <c r="AC613" i="4"/>
  <c r="N613" i="4"/>
  <c r="M613" i="4"/>
  <c r="AC612" i="4"/>
  <c r="N612" i="4"/>
  <c r="AC611" i="4"/>
  <c r="N611" i="4"/>
  <c r="AC610" i="4"/>
  <c r="M610" i="4"/>
  <c r="AC609" i="4"/>
  <c r="M609" i="4"/>
  <c r="AC608" i="4"/>
  <c r="M608" i="4"/>
  <c r="AC607" i="4"/>
  <c r="M607" i="4"/>
  <c r="AC606" i="4"/>
  <c r="N606" i="4"/>
  <c r="M606" i="4"/>
  <c r="AC605" i="4"/>
  <c r="N605" i="4"/>
  <c r="M605" i="4"/>
  <c r="AC604" i="4"/>
  <c r="N604" i="4"/>
  <c r="M604" i="4"/>
  <c r="AC603" i="4"/>
  <c r="N603" i="4"/>
  <c r="AC602" i="4"/>
  <c r="N602" i="4"/>
  <c r="AC601" i="4"/>
  <c r="N601" i="4"/>
  <c r="M601" i="4"/>
  <c r="AC600" i="4"/>
  <c r="N600" i="4"/>
  <c r="M600" i="4"/>
  <c r="AC599" i="4"/>
  <c r="N599" i="4"/>
  <c r="M599" i="4"/>
  <c r="AC598" i="4"/>
  <c r="N598" i="4"/>
  <c r="M598" i="4"/>
  <c r="AC597" i="4"/>
  <c r="N597" i="4"/>
  <c r="M597" i="4"/>
  <c r="AC596" i="4"/>
  <c r="N596" i="4"/>
  <c r="M596" i="4"/>
  <c r="AC595" i="4"/>
  <c r="N595" i="4"/>
  <c r="M595" i="4"/>
  <c r="AC594" i="4"/>
  <c r="N594" i="4"/>
  <c r="M594" i="4"/>
  <c r="AC593" i="4"/>
  <c r="N593" i="4"/>
  <c r="AC592" i="4"/>
  <c r="N592" i="4"/>
  <c r="AC591" i="4"/>
  <c r="N591" i="4"/>
  <c r="AC590" i="4"/>
  <c r="N590" i="4"/>
  <c r="M590" i="4"/>
  <c r="AC589" i="4"/>
  <c r="N589" i="4"/>
  <c r="M589" i="4"/>
  <c r="AC588" i="4"/>
  <c r="N588" i="4"/>
  <c r="M588" i="4"/>
  <c r="AC587" i="4"/>
  <c r="M587" i="4"/>
  <c r="AC586" i="4"/>
  <c r="N586" i="4"/>
  <c r="M586" i="4"/>
  <c r="AC585" i="4"/>
  <c r="N585" i="4"/>
  <c r="AC584" i="4"/>
  <c r="N584" i="4"/>
  <c r="AC583" i="4"/>
  <c r="N583" i="4"/>
  <c r="M583" i="4"/>
  <c r="AC582" i="4"/>
  <c r="N582" i="4"/>
  <c r="M582" i="4"/>
  <c r="AC581" i="4"/>
  <c r="N581" i="4"/>
  <c r="M581" i="4"/>
  <c r="AC580" i="4"/>
  <c r="N580" i="4"/>
  <c r="M580" i="4"/>
  <c r="AC579" i="4"/>
  <c r="N579" i="4"/>
  <c r="M579" i="4"/>
  <c r="AC578" i="4"/>
  <c r="N578" i="4"/>
  <c r="M578" i="4"/>
  <c r="AC577" i="4"/>
  <c r="N577" i="4"/>
  <c r="M577" i="4"/>
  <c r="AC576" i="4"/>
  <c r="N576" i="4"/>
  <c r="M576" i="4"/>
  <c r="AC575" i="4"/>
  <c r="M575" i="4"/>
  <c r="AC574" i="4"/>
  <c r="M574" i="4"/>
  <c r="AC573" i="4"/>
  <c r="AC572" i="4"/>
  <c r="AC571" i="4"/>
  <c r="M571" i="4"/>
  <c r="AC570" i="4"/>
  <c r="M570" i="4"/>
  <c r="AC569" i="4"/>
  <c r="M569" i="4"/>
  <c r="AC568" i="4"/>
  <c r="M568" i="4"/>
  <c r="AC567" i="4"/>
  <c r="M567" i="4"/>
  <c r="AC566" i="4"/>
  <c r="M566" i="4"/>
  <c r="AC565" i="4"/>
  <c r="N565" i="4"/>
  <c r="M565" i="4"/>
  <c r="AC564" i="4"/>
  <c r="N564" i="4"/>
  <c r="M564" i="4"/>
  <c r="AC563" i="4"/>
  <c r="N563" i="4"/>
  <c r="M563" i="4"/>
  <c r="AC562" i="4"/>
  <c r="N562" i="4"/>
  <c r="M562" i="4"/>
  <c r="AC561" i="4"/>
  <c r="N561" i="4"/>
  <c r="M561" i="4"/>
  <c r="AC560" i="4"/>
  <c r="N560" i="4"/>
  <c r="M560" i="4"/>
  <c r="AC559" i="4"/>
  <c r="N559" i="4"/>
  <c r="M559" i="4"/>
  <c r="AC558" i="4"/>
  <c r="M558" i="4"/>
  <c r="AC557" i="4"/>
  <c r="M557" i="4"/>
  <c r="AC556" i="4"/>
  <c r="M556" i="4"/>
  <c r="AC555" i="4"/>
  <c r="M555" i="4"/>
  <c r="AC554" i="4"/>
  <c r="N554" i="4"/>
  <c r="M554" i="4"/>
  <c r="AC553" i="4"/>
  <c r="N553" i="4"/>
  <c r="M553" i="4"/>
  <c r="AC552" i="4"/>
  <c r="N552" i="4"/>
  <c r="M552" i="4"/>
  <c r="AC551" i="4"/>
  <c r="N551" i="4"/>
  <c r="AC550" i="4"/>
  <c r="N550" i="4"/>
  <c r="AC549" i="4"/>
  <c r="N549" i="4"/>
  <c r="AC548" i="4"/>
  <c r="N548" i="4"/>
  <c r="M548" i="4"/>
  <c r="AC547" i="4"/>
  <c r="N547" i="4"/>
  <c r="M547" i="4"/>
  <c r="AC546" i="4"/>
  <c r="N546" i="4"/>
  <c r="M546" i="4"/>
  <c r="AC545" i="4"/>
  <c r="N545" i="4"/>
  <c r="M545" i="4"/>
  <c r="AC544" i="4"/>
  <c r="N544" i="4"/>
  <c r="M544" i="4"/>
  <c r="AC543" i="4"/>
  <c r="N543" i="4"/>
  <c r="M543" i="4"/>
  <c r="AC542" i="4"/>
  <c r="N542" i="4"/>
  <c r="M542" i="4"/>
  <c r="AC541" i="4"/>
  <c r="N541" i="4"/>
  <c r="M541" i="4"/>
  <c r="AC540" i="4"/>
  <c r="N540" i="4"/>
  <c r="M540" i="4"/>
  <c r="AC539" i="4"/>
  <c r="AC538" i="4"/>
  <c r="AC537" i="4"/>
  <c r="AC536" i="4"/>
  <c r="AC535" i="4"/>
  <c r="AC534" i="4"/>
  <c r="N534" i="4"/>
  <c r="M534" i="4"/>
  <c r="AC533" i="4"/>
  <c r="N533" i="4"/>
  <c r="M533" i="4"/>
  <c r="AC532" i="4"/>
  <c r="N532" i="4"/>
  <c r="M532" i="4"/>
  <c r="AC531" i="4"/>
  <c r="N531" i="4"/>
  <c r="M531" i="4"/>
  <c r="AC530" i="4"/>
  <c r="M530" i="4"/>
  <c r="AC529" i="4"/>
  <c r="AC528" i="4"/>
  <c r="AC527" i="4"/>
  <c r="N527" i="4"/>
  <c r="AC526" i="4"/>
  <c r="N526" i="4"/>
  <c r="AC525" i="4"/>
  <c r="N525" i="4"/>
  <c r="AC524" i="4"/>
  <c r="N524" i="4"/>
  <c r="AC523" i="4"/>
  <c r="N523" i="4"/>
  <c r="AC522" i="4"/>
  <c r="M522" i="4"/>
  <c r="AC521" i="4"/>
  <c r="M521" i="4"/>
  <c r="AC520" i="4"/>
  <c r="M520" i="4"/>
  <c r="AC519" i="4"/>
  <c r="AC518" i="4"/>
  <c r="AC517" i="4"/>
  <c r="AC516" i="4"/>
  <c r="AC515" i="4"/>
  <c r="M515" i="4"/>
  <c r="AC514" i="4"/>
  <c r="AC513" i="4"/>
  <c r="AC512" i="4"/>
  <c r="N512" i="4"/>
  <c r="M512" i="4"/>
  <c r="AC511" i="4"/>
  <c r="N511" i="4"/>
  <c r="M511" i="4"/>
  <c r="AC510" i="4"/>
  <c r="N510" i="4"/>
  <c r="AC509" i="4"/>
  <c r="N509" i="4"/>
  <c r="AC508" i="4"/>
  <c r="AC507" i="4"/>
  <c r="AC506" i="4"/>
  <c r="AC505" i="4"/>
  <c r="N505" i="4"/>
  <c r="AC504" i="4"/>
  <c r="N504" i="4"/>
  <c r="AC503" i="4"/>
  <c r="N503" i="4"/>
  <c r="AC502" i="4"/>
  <c r="N502" i="4"/>
  <c r="AC501" i="4"/>
  <c r="N501" i="4"/>
  <c r="M501" i="4"/>
  <c r="AC500" i="4"/>
  <c r="N500" i="4"/>
  <c r="M500" i="4"/>
  <c r="AC499" i="4"/>
  <c r="N499" i="4"/>
  <c r="M499" i="4"/>
  <c r="AC498" i="4"/>
  <c r="M498" i="4"/>
  <c r="AC497" i="4"/>
  <c r="M497" i="4"/>
  <c r="AC496" i="4"/>
  <c r="AC495" i="4"/>
  <c r="N495" i="4"/>
  <c r="AC494" i="4"/>
  <c r="AC493" i="4"/>
  <c r="N493" i="4"/>
  <c r="M493" i="4"/>
  <c r="AC492" i="4"/>
  <c r="N492" i="4"/>
  <c r="AC491" i="4"/>
  <c r="N491" i="4"/>
  <c r="AC490" i="4"/>
  <c r="N490" i="4"/>
  <c r="M490" i="4"/>
  <c r="AC489" i="4"/>
  <c r="N489" i="4"/>
  <c r="M489" i="4"/>
  <c r="AC488" i="4"/>
  <c r="N488" i="4"/>
  <c r="AC487" i="4"/>
  <c r="N487" i="4"/>
  <c r="M487" i="4"/>
  <c r="AC486" i="4"/>
  <c r="N486" i="4"/>
  <c r="AC485" i="4"/>
  <c r="N485" i="4"/>
  <c r="AC484" i="4"/>
  <c r="N484" i="4"/>
  <c r="AC483" i="4"/>
  <c r="N483" i="4"/>
  <c r="AC482" i="4"/>
  <c r="AC481" i="4"/>
  <c r="AC480" i="4"/>
  <c r="N480" i="4"/>
  <c r="M480" i="4"/>
  <c r="AC479" i="4"/>
  <c r="AC478" i="4"/>
  <c r="N478" i="4"/>
  <c r="AC477" i="4"/>
  <c r="N477" i="4"/>
  <c r="AC476" i="4"/>
  <c r="N476" i="4"/>
  <c r="AC475" i="4"/>
  <c r="N475" i="4"/>
  <c r="AC474" i="4"/>
  <c r="M474" i="4"/>
  <c r="AC473" i="4"/>
  <c r="M473" i="4"/>
  <c r="AC472" i="4"/>
  <c r="M472" i="4"/>
  <c r="AC471" i="4"/>
  <c r="M471" i="4"/>
  <c r="AC470" i="4"/>
  <c r="N470" i="4"/>
  <c r="M470" i="4"/>
  <c r="AC469" i="4"/>
  <c r="N469" i="4"/>
  <c r="M469" i="4"/>
  <c r="AC468" i="4"/>
  <c r="N468" i="4"/>
  <c r="M468" i="4"/>
  <c r="AC467" i="4"/>
  <c r="N467" i="4"/>
  <c r="M467" i="4"/>
  <c r="AC466" i="4"/>
  <c r="N466" i="4"/>
  <c r="AC465" i="4"/>
  <c r="N465" i="4"/>
  <c r="M465" i="4"/>
  <c r="AC464" i="4"/>
  <c r="N464" i="4"/>
  <c r="M464" i="4"/>
  <c r="AC463" i="4"/>
  <c r="N463" i="4"/>
  <c r="M463" i="4"/>
  <c r="AC462" i="4"/>
  <c r="N462" i="4"/>
  <c r="M462" i="4"/>
  <c r="AC461" i="4"/>
  <c r="N461" i="4"/>
  <c r="M461" i="4"/>
  <c r="AC460" i="4"/>
  <c r="N460" i="4"/>
  <c r="M460" i="4"/>
  <c r="AC459" i="4"/>
  <c r="N459" i="4"/>
  <c r="M459" i="4"/>
  <c r="AC458" i="4"/>
  <c r="N458" i="4"/>
  <c r="M458" i="4"/>
  <c r="AC457" i="4"/>
  <c r="N457" i="4"/>
  <c r="M457" i="4"/>
  <c r="AC456" i="4"/>
  <c r="N456" i="4"/>
  <c r="M456" i="4"/>
  <c r="AC455" i="4"/>
  <c r="N455" i="4"/>
  <c r="M455" i="4"/>
  <c r="AC454" i="4"/>
  <c r="N454" i="4"/>
  <c r="M454" i="4"/>
  <c r="AC453" i="4"/>
  <c r="N453" i="4"/>
  <c r="M453" i="4"/>
  <c r="AC452" i="4"/>
  <c r="N452" i="4"/>
  <c r="M452" i="4"/>
  <c r="AC451" i="4"/>
  <c r="N451" i="4"/>
  <c r="M451" i="4"/>
  <c r="AC450" i="4"/>
  <c r="M450" i="4"/>
  <c r="AC449" i="4"/>
  <c r="M449" i="4"/>
  <c r="AC448" i="4"/>
  <c r="M448" i="4"/>
  <c r="AC447" i="4"/>
  <c r="N447" i="4"/>
  <c r="AC446" i="4"/>
  <c r="N446" i="4"/>
  <c r="AC445" i="4"/>
  <c r="M445" i="4"/>
  <c r="AC444" i="4"/>
  <c r="M444" i="4"/>
  <c r="AC443" i="4"/>
  <c r="M443" i="4"/>
  <c r="AC442" i="4"/>
  <c r="M442" i="4"/>
  <c r="AC441" i="4"/>
  <c r="M441" i="4"/>
  <c r="AC440" i="4"/>
  <c r="M440" i="4"/>
  <c r="AC439" i="4"/>
  <c r="M439" i="4"/>
  <c r="AC438" i="4"/>
  <c r="M438" i="4"/>
  <c r="AC437" i="4"/>
  <c r="N437" i="4"/>
  <c r="M437" i="4"/>
  <c r="AC436" i="4"/>
  <c r="N436" i="4"/>
  <c r="M436" i="4"/>
  <c r="AC435" i="4"/>
  <c r="N435" i="4"/>
  <c r="M435" i="4"/>
  <c r="AC434" i="4"/>
  <c r="N434" i="4"/>
  <c r="M434" i="4"/>
  <c r="AC433" i="4"/>
  <c r="N433" i="4"/>
  <c r="M433" i="4"/>
  <c r="AC432" i="4"/>
  <c r="N432" i="4"/>
  <c r="M432" i="4"/>
  <c r="AC431" i="4"/>
  <c r="AC430" i="4"/>
  <c r="AC429" i="4"/>
  <c r="N429" i="4"/>
  <c r="M429" i="4"/>
  <c r="AC428" i="4"/>
  <c r="N428" i="4"/>
  <c r="M428" i="4"/>
  <c r="AC427" i="4"/>
  <c r="N427" i="4"/>
  <c r="M427" i="4"/>
  <c r="AC426" i="4"/>
  <c r="AC425" i="4"/>
  <c r="M425" i="4"/>
  <c r="AC424" i="4"/>
  <c r="M424" i="4"/>
  <c r="AC423" i="4"/>
  <c r="M423" i="4"/>
  <c r="AC422" i="4"/>
  <c r="N422" i="4"/>
  <c r="M422" i="4"/>
  <c r="AC421" i="4"/>
  <c r="N421" i="4"/>
  <c r="M421" i="4"/>
  <c r="AC420" i="4"/>
  <c r="N420" i="4"/>
  <c r="M420" i="4"/>
  <c r="AC419" i="4"/>
  <c r="N419" i="4"/>
  <c r="M419" i="4"/>
  <c r="AC418" i="4"/>
  <c r="AC417" i="4"/>
  <c r="AC416" i="4"/>
  <c r="AC415" i="4"/>
  <c r="M415" i="4"/>
  <c r="AC414" i="4"/>
  <c r="M414" i="4"/>
  <c r="AC413" i="4"/>
  <c r="M413" i="4"/>
  <c r="AC412" i="4"/>
  <c r="M412" i="4"/>
  <c r="AC411" i="4"/>
  <c r="N411" i="4"/>
  <c r="AC410" i="4"/>
  <c r="N410" i="4"/>
  <c r="AC409" i="4"/>
  <c r="N409" i="4"/>
  <c r="AC407" i="4"/>
  <c r="AC406" i="4"/>
  <c r="AC405" i="4"/>
  <c r="AC404" i="4"/>
  <c r="M404" i="4"/>
  <c r="AC403" i="4"/>
  <c r="M403" i="4"/>
  <c r="AC402" i="4"/>
  <c r="M402" i="4"/>
  <c r="AC401" i="4"/>
  <c r="M401" i="4"/>
  <c r="AC400" i="4"/>
  <c r="M400" i="4"/>
  <c r="AC399" i="4"/>
  <c r="M399" i="4"/>
  <c r="AC398" i="4"/>
  <c r="M398" i="4"/>
  <c r="AC397" i="4"/>
  <c r="M397" i="4"/>
  <c r="AC396" i="4"/>
  <c r="N396" i="4"/>
  <c r="AC395" i="4"/>
  <c r="N395" i="4"/>
  <c r="AC394" i="4"/>
  <c r="AC393" i="4"/>
  <c r="AC392" i="4"/>
  <c r="AC391" i="4"/>
  <c r="AC390" i="4"/>
  <c r="AC389" i="4"/>
  <c r="AC388" i="4"/>
  <c r="M388" i="4"/>
  <c r="AC387" i="4"/>
  <c r="M387" i="4"/>
  <c r="AC386" i="4"/>
  <c r="M386" i="4"/>
  <c r="AC385" i="4"/>
  <c r="AC384" i="4"/>
  <c r="AC383" i="4"/>
  <c r="AC382" i="4"/>
  <c r="N382" i="4"/>
  <c r="AC381" i="4"/>
  <c r="N381" i="4"/>
  <c r="AC380" i="4"/>
  <c r="N380" i="4"/>
  <c r="AC379" i="4"/>
  <c r="N379" i="4"/>
  <c r="AC378" i="4"/>
  <c r="M378" i="4"/>
  <c r="AC377" i="4"/>
  <c r="M377" i="4"/>
  <c r="AC376" i="4"/>
  <c r="N376" i="4"/>
  <c r="AC375" i="4"/>
  <c r="N375" i="4"/>
  <c r="AC374" i="4"/>
  <c r="AC373" i="4"/>
  <c r="AC372" i="4"/>
  <c r="AC371" i="4"/>
  <c r="AC370" i="4"/>
  <c r="AA370" i="4"/>
  <c r="N370" i="4"/>
  <c r="AC369" i="4"/>
  <c r="AA369" i="4"/>
  <c r="N369" i="4"/>
  <c r="AC368" i="4"/>
  <c r="AA368" i="4"/>
  <c r="N368" i="4"/>
  <c r="AC367" i="4"/>
  <c r="AA367" i="4"/>
  <c r="N367" i="4"/>
  <c r="AC366" i="4"/>
  <c r="N366" i="4"/>
  <c r="M366" i="4"/>
  <c r="AC365" i="4"/>
  <c r="N365" i="4"/>
  <c r="M365" i="4"/>
  <c r="AC364" i="4"/>
  <c r="N364" i="4"/>
  <c r="M364" i="4"/>
  <c r="AC363" i="4"/>
  <c r="N363" i="4"/>
  <c r="M363" i="4"/>
  <c r="AC362" i="4"/>
  <c r="N362" i="4"/>
  <c r="M362" i="4"/>
  <c r="AC361" i="4"/>
  <c r="N361" i="4"/>
  <c r="M361" i="4"/>
  <c r="AC360" i="4"/>
  <c r="N360" i="4"/>
  <c r="M360" i="4"/>
  <c r="AC359" i="4"/>
  <c r="N359" i="4"/>
  <c r="M359" i="4"/>
  <c r="AC358" i="4"/>
  <c r="M358" i="4"/>
  <c r="AC357" i="4"/>
  <c r="N357" i="4"/>
  <c r="AC356" i="4"/>
  <c r="N356" i="4"/>
  <c r="AC355" i="4"/>
  <c r="N355" i="4"/>
  <c r="AC354" i="4"/>
  <c r="N354" i="4"/>
  <c r="AC353" i="4"/>
  <c r="N353" i="4"/>
  <c r="AC352" i="4"/>
  <c r="N352" i="4"/>
  <c r="AC351" i="4"/>
  <c r="N351" i="4"/>
  <c r="AC350" i="4"/>
  <c r="N350" i="4"/>
  <c r="AC349" i="4"/>
  <c r="N349" i="4"/>
  <c r="AC348" i="4"/>
  <c r="N348" i="4"/>
  <c r="AC347" i="4"/>
  <c r="N347" i="4"/>
  <c r="M347" i="4"/>
  <c r="AC346" i="4"/>
  <c r="N346" i="4"/>
  <c r="M346" i="4"/>
  <c r="AC345" i="4"/>
  <c r="N345" i="4"/>
  <c r="AC344" i="4"/>
  <c r="N344" i="4"/>
  <c r="AC343" i="4"/>
  <c r="N343" i="4"/>
  <c r="M343" i="4"/>
  <c r="AC342" i="4"/>
  <c r="N342" i="4"/>
  <c r="M342" i="4"/>
  <c r="AC341" i="4"/>
  <c r="N341" i="4"/>
  <c r="AC340" i="4"/>
  <c r="N340" i="4"/>
  <c r="AC339" i="4"/>
  <c r="AC338" i="4"/>
  <c r="AC337" i="4"/>
  <c r="N337" i="4"/>
  <c r="AC336" i="4"/>
  <c r="N336" i="4"/>
  <c r="AC335" i="4"/>
  <c r="N335" i="4"/>
  <c r="AC334" i="4"/>
  <c r="N334" i="4"/>
  <c r="AC333" i="4"/>
  <c r="N333" i="4"/>
  <c r="AC332" i="4"/>
  <c r="N332" i="4"/>
  <c r="M332" i="4"/>
  <c r="AC331" i="4"/>
  <c r="N331" i="4"/>
  <c r="M331" i="4"/>
  <c r="AC330" i="4"/>
  <c r="N330" i="4"/>
  <c r="M330" i="4"/>
  <c r="AC329" i="4"/>
  <c r="N329" i="4"/>
  <c r="M329" i="4"/>
  <c r="AC328" i="4"/>
  <c r="N328" i="4"/>
  <c r="AC327" i="4"/>
  <c r="N327" i="4"/>
  <c r="AC326" i="4"/>
  <c r="N326" i="4"/>
  <c r="AC325" i="4"/>
  <c r="N325" i="4"/>
  <c r="AC324" i="4"/>
  <c r="N324" i="4"/>
  <c r="AC323" i="4"/>
  <c r="N323" i="4"/>
  <c r="M323" i="4"/>
  <c r="AC322" i="4"/>
  <c r="N322" i="4"/>
  <c r="M322" i="4"/>
  <c r="AC321" i="4"/>
  <c r="N321" i="4"/>
  <c r="M321" i="4"/>
  <c r="AC320" i="4"/>
  <c r="N320" i="4"/>
  <c r="M320" i="4"/>
  <c r="AC319" i="4"/>
  <c r="N319" i="4"/>
  <c r="M319" i="4"/>
  <c r="AC318" i="4"/>
  <c r="N318" i="4"/>
  <c r="M318" i="4"/>
  <c r="AC317" i="4"/>
  <c r="N317" i="4"/>
  <c r="M317" i="4"/>
  <c r="AC316" i="4"/>
  <c r="N316" i="4"/>
  <c r="M316" i="4"/>
  <c r="AC315" i="4"/>
  <c r="N315" i="4"/>
  <c r="M315" i="4"/>
  <c r="AC314" i="4"/>
  <c r="N314" i="4"/>
  <c r="M314" i="4"/>
  <c r="AC313" i="4"/>
  <c r="N313" i="4"/>
  <c r="M313" i="4"/>
  <c r="AC312" i="4"/>
  <c r="N312" i="4"/>
  <c r="M312" i="4"/>
  <c r="AC311" i="4"/>
  <c r="N311" i="4"/>
  <c r="M311" i="4"/>
  <c r="AC310" i="4"/>
  <c r="N310" i="4"/>
  <c r="M310" i="4"/>
  <c r="AC309" i="4"/>
  <c r="M309" i="4"/>
  <c r="AC308" i="4"/>
  <c r="M308" i="4"/>
  <c r="AC307" i="4"/>
  <c r="N307" i="4"/>
  <c r="AC306" i="4"/>
  <c r="N306" i="4"/>
  <c r="AC305" i="4"/>
  <c r="N305" i="4"/>
  <c r="AC304" i="4"/>
  <c r="N304" i="4"/>
  <c r="AC303" i="4"/>
  <c r="N303" i="4"/>
  <c r="AC302" i="4"/>
  <c r="N302" i="4"/>
  <c r="AC301" i="4"/>
  <c r="N301" i="4"/>
  <c r="AC300" i="4"/>
  <c r="N300" i="4"/>
  <c r="M300" i="4"/>
  <c r="AC299" i="4"/>
  <c r="AC298" i="4"/>
  <c r="AC297" i="4"/>
  <c r="AC296" i="4"/>
  <c r="AC295" i="4"/>
  <c r="N295" i="4"/>
  <c r="M295" i="4"/>
  <c r="AC294" i="4"/>
  <c r="N294" i="4"/>
  <c r="M294" i="4"/>
  <c r="AC293" i="4"/>
  <c r="N293" i="4"/>
  <c r="M293" i="4"/>
  <c r="AC292" i="4"/>
  <c r="N292" i="4"/>
  <c r="M292" i="4"/>
  <c r="AC291" i="4"/>
  <c r="N291" i="4"/>
  <c r="M291" i="4"/>
  <c r="AC290" i="4"/>
  <c r="N290" i="4"/>
  <c r="M290" i="4"/>
  <c r="AC289" i="4"/>
  <c r="N289" i="4"/>
  <c r="M289" i="4"/>
  <c r="AC288" i="4"/>
  <c r="N288" i="4"/>
  <c r="M288" i="4"/>
  <c r="AC287" i="4"/>
  <c r="N287" i="4"/>
  <c r="AC286" i="4"/>
  <c r="N286" i="4"/>
  <c r="AC285" i="4"/>
  <c r="N285" i="4"/>
  <c r="AC284" i="4"/>
  <c r="N284" i="4"/>
  <c r="AC283" i="4"/>
  <c r="N283" i="4"/>
  <c r="AC282" i="4"/>
  <c r="N282" i="4"/>
  <c r="AC281" i="4"/>
  <c r="N281" i="4"/>
  <c r="AC280" i="4"/>
  <c r="N280" i="4"/>
  <c r="AC279" i="4"/>
  <c r="N279" i="4"/>
  <c r="AC278" i="4"/>
  <c r="N278" i="4"/>
  <c r="AC277" i="4"/>
  <c r="N277" i="4"/>
  <c r="AC276" i="4"/>
  <c r="AC275" i="4"/>
  <c r="AC274" i="4"/>
  <c r="AC273" i="4"/>
  <c r="AC272" i="4"/>
  <c r="N272" i="4"/>
  <c r="AC271" i="4"/>
  <c r="N271" i="4"/>
  <c r="AC270" i="4"/>
  <c r="N270" i="4"/>
  <c r="AC269" i="4"/>
  <c r="N269" i="4"/>
  <c r="M269" i="4"/>
  <c r="AC268" i="4"/>
  <c r="N268" i="4"/>
  <c r="M268" i="4"/>
  <c r="AC267" i="4"/>
  <c r="N267" i="4"/>
  <c r="M267" i="4"/>
  <c r="AC266" i="4"/>
  <c r="N266" i="4"/>
  <c r="M266" i="4"/>
  <c r="AC265" i="4"/>
  <c r="N265" i="4"/>
  <c r="M265" i="4"/>
  <c r="AC264" i="4"/>
  <c r="N264" i="4"/>
  <c r="AC263" i="4"/>
  <c r="N263" i="4"/>
  <c r="AC262" i="4"/>
  <c r="N262" i="4"/>
  <c r="AC261" i="4"/>
  <c r="N261" i="4"/>
  <c r="AC260" i="4"/>
  <c r="N260" i="4"/>
  <c r="AC259" i="4"/>
  <c r="N259" i="4"/>
  <c r="AC258" i="4"/>
  <c r="N258" i="4"/>
  <c r="AC257" i="4"/>
  <c r="N257" i="4"/>
  <c r="AC256" i="4"/>
  <c r="N256" i="4"/>
  <c r="AC255" i="4"/>
  <c r="N255" i="4"/>
  <c r="AC254" i="4"/>
  <c r="N254" i="4"/>
  <c r="AC253" i="4"/>
  <c r="N253" i="4"/>
  <c r="AC252" i="4"/>
  <c r="N252" i="4"/>
  <c r="AC251" i="4"/>
  <c r="N251" i="4"/>
  <c r="AC250" i="4"/>
  <c r="N250" i="4"/>
  <c r="AC249" i="4"/>
  <c r="N249" i="4"/>
  <c r="AC248" i="4"/>
  <c r="N248" i="4"/>
  <c r="AC247" i="4"/>
  <c r="N247" i="4"/>
  <c r="AC246" i="4"/>
  <c r="N246" i="4"/>
  <c r="AC245" i="4"/>
  <c r="N245" i="4"/>
  <c r="AC244" i="4"/>
  <c r="N244" i="4"/>
  <c r="M244" i="4"/>
  <c r="AC243" i="4"/>
  <c r="N243" i="4"/>
  <c r="M243" i="4"/>
  <c r="AC242" i="4"/>
  <c r="N242" i="4"/>
  <c r="M242" i="4"/>
  <c r="AC241" i="4"/>
  <c r="N241" i="4"/>
  <c r="M241" i="4"/>
  <c r="AC240" i="4"/>
  <c r="M240" i="4"/>
  <c r="AC239" i="4"/>
  <c r="M239" i="4"/>
  <c r="AC238" i="4"/>
  <c r="M238" i="4"/>
  <c r="AC237" i="4"/>
  <c r="M237" i="4"/>
  <c r="AC236" i="4"/>
  <c r="M236" i="4"/>
  <c r="AC235" i="4"/>
  <c r="M235" i="4"/>
  <c r="AC234" i="4"/>
  <c r="AC233" i="4"/>
  <c r="AC232" i="4"/>
  <c r="N232" i="4"/>
  <c r="AC231" i="4"/>
  <c r="N231" i="4"/>
  <c r="AC230" i="4"/>
  <c r="N230" i="4"/>
  <c r="AC229" i="4"/>
  <c r="N229" i="4"/>
  <c r="AC228" i="4"/>
  <c r="N228" i="4"/>
  <c r="AC227" i="4"/>
  <c r="N227" i="4"/>
  <c r="AC226" i="4"/>
  <c r="N226" i="4"/>
  <c r="AC225" i="4"/>
  <c r="N225" i="4"/>
  <c r="AC224" i="4"/>
  <c r="N224" i="4"/>
  <c r="AC223" i="4"/>
  <c r="N223" i="4"/>
  <c r="AC222" i="4"/>
  <c r="N222" i="4"/>
  <c r="AC221" i="4"/>
  <c r="N221" i="4"/>
  <c r="AC220" i="4"/>
  <c r="N220" i="4"/>
  <c r="AC219" i="4"/>
  <c r="N219" i="4"/>
  <c r="AC218" i="4"/>
  <c r="N218" i="4"/>
  <c r="AC217" i="4"/>
  <c r="N217" i="4"/>
  <c r="M217" i="4"/>
  <c r="AC216" i="4"/>
  <c r="N216" i="4"/>
  <c r="M216" i="4"/>
  <c r="AC215" i="4"/>
  <c r="N215" i="4"/>
  <c r="M215" i="4"/>
  <c r="AC214" i="4"/>
  <c r="M214" i="4"/>
  <c r="AC213" i="4"/>
  <c r="N213" i="4"/>
  <c r="AC212" i="4"/>
  <c r="N212" i="4"/>
  <c r="AC211" i="4"/>
  <c r="N211" i="4"/>
  <c r="AC210" i="4"/>
  <c r="N210" i="4"/>
  <c r="AC209" i="4"/>
  <c r="N209" i="4"/>
  <c r="M209" i="4"/>
  <c r="AC208" i="4"/>
  <c r="N208" i="4"/>
  <c r="M208" i="4"/>
  <c r="AC207" i="4"/>
  <c r="N207" i="4"/>
  <c r="M207" i="4"/>
  <c r="AC206" i="4"/>
  <c r="N206" i="4"/>
  <c r="M206" i="4"/>
  <c r="AC205" i="4"/>
  <c r="N205" i="4"/>
  <c r="M205" i="4"/>
  <c r="AC204" i="4"/>
  <c r="N204" i="4"/>
  <c r="M204" i="4"/>
  <c r="AC203" i="4"/>
  <c r="N203" i="4"/>
  <c r="M203" i="4"/>
  <c r="AC202" i="4"/>
  <c r="N202" i="4"/>
  <c r="AC201" i="4"/>
  <c r="AC200" i="4"/>
  <c r="AC199" i="4"/>
  <c r="AC198" i="4"/>
  <c r="AC197" i="4"/>
  <c r="AC196" i="4"/>
  <c r="N196" i="4"/>
  <c r="M196" i="4"/>
  <c r="AC195" i="4"/>
  <c r="N195" i="4"/>
  <c r="M195" i="4"/>
  <c r="AC194" i="4"/>
  <c r="N194" i="4"/>
  <c r="AC193" i="4"/>
  <c r="N193" i="4"/>
  <c r="AC192" i="4"/>
  <c r="N192" i="4"/>
  <c r="AC191" i="4"/>
  <c r="N191" i="4"/>
  <c r="AC190" i="4"/>
  <c r="N190" i="4"/>
  <c r="AC189" i="4"/>
  <c r="N189" i="4"/>
  <c r="AC188" i="4"/>
  <c r="N188" i="4"/>
  <c r="AC187" i="4"/>
  <c r="N187" i="4"/>
  <c r="AC186" i="4"/>
  <c r="N186" i="4"/>
  <c r="AC185" i="4"/>
  <c r="N185" i="4"/>
  <c r="AC184" i="4"/>
  <c r="N184" i="4"/>
  <c r="AC183" i="4"/>
  <c r="AC182" i="4"/>
  <c r="N182" i="4"/>
  <c r="AC181" i="4"/>
  <c r="N181" i="4"/>
  <c r="AC180" i="4"/>
  <c r="N180" i="4"/>
  <c r="AC179" i="4"/>
  <c r="N179" i="4"/>
  <c r="AC178" i="4"/>
  <c r="N178" i="4"/>
  <c r="AC177" i="4"/>
  <c r="N177" i="4"/>
  <c r="AC176" i="4"/>
  <c r="N176" i="4"/>
  <c r="AC175" i="4"/>
  <c r="N175" i="4"/>
  <c r="AC174" i="4"/>
  <c r="N174" i="4"/>
  <c r="AC173" i="4"/>
  <c r="N173" i="4"/>
  <c r="AC172" i="4"/>
  <c r="N172" i="4"/>
  <c r="AC171" i="4"/>
  <c r="N171" i="4"/>
  <c r="AC170" i="4"/>
  <c r="N170" i="4"/>
  <c r="AC169" i="4"/>
  <c r="N169" i="4"/>
  <c r="AC168" i="4"/>
  <c r="N168" i="4"/>
  <c r="AC167" i="4"/>
  <c r="N167" i="4"/>
  <c r="AC166" i="4"/>
  <c r="AC165" i="4"/>
  <c r="N165" i="4"/>
  <c r="AC164" i="4"/>
  <c r="N164" i="4"/>
  <c r="AC163" i="4"/>
  <c r="N163" i="4"/>
  <c r="AC162" i="4"/>
  <c r="N162" i="4"/>
  <c r="AC161" i="4"/>
  <c r="N161" i="4"/>
  <c r="AC160" i="4"/>
  <c r="N160" i="4"/>
  <c r="AC159" i="4"/>
  <c r="N159" i="4"/>
  <c r="AC158" i="4"/>
  <c r="N158" i="4"/>
  <c r="AC157" i="4"/>
  <c r="N157" i="4"/>
  <c r="AC156" i="4"/>
  <c r="N156" i="4"/>
  <c r="AC155" i="4"/>
  <c r="N155" i="4"/>
  <c r="AC154" i="4"/>
  <c r="N154" i="4"/>
  <c r="AC153" i="4"/>
  <c r="N153" i="4"/>
  <c r="AC152" i="4"/>
  <c r="N152" i="4"/>
  <c r="M152" i="4"/>
  <c r="AC151" i="4"/>
  <c r="N151" i="4"/>
  <c r="M151" i="4"/>
  <c r="AC150" i="4"/>
  <c r="N150" i="4"/>
  <c r="M150" i="4"/>
  <c r="AC149" i="4"/>
  <c r="N149" i="4"/>
  <c r="M149" i="4"/>
  <c r="AC148" i="4"/>
  <c r="N148" i="4"/>
  <c r="M148" i="4"/>
  <c r="AC147" i="4"/>
  <c r="N147" i="4"/>
  <c r="M147" i="4"/>
  <c r="AC146" i="4"/>
  <c r="N146" i="4"/>
  <c r="AC145" i="4"/>
  <c r="N145" i="4"/>
  <c r="AC144" i="4"/>
  <c r="N144" i="4"/>
  <c r="AC143" i="4"/>
  <c r="N143" i="4"/>
  <c r="AC142" i="4"/>
  <c r="N142" i="4"/>
  <c r="AC141" i="4"/>
  <c r="AC140" i="4"/>
  <c r="AC139" i="4"/>
  <c r="AC138" i="4"/>
  <c r="N138" i="4"/>
  <c r="M138" i="4"/>
  <c r="AC137" i="4"/>
  <c r="N137" i="4"/>
  <c r="M137" i="4"/>
  <c r="AC136" i="4"/>
  <c r="N136" i="4"/>
  <c r="M136" i="4"/>
  <c r="AC135" i="4"/>
  <c r="N135" i="4"/>
  <c r="M135" i="4"/>
  <c r="AC134" i="4"/>
  <c r="N134" i="4"/>
  <c r="AC133" i="4"/>
  <c r="N133" i="4"/>
  <c r="AC132" i="4"/>
  <c r="N132" i="4"/>
  <c r="AC131" i="4"/>
  <c r="N131" i="4"/>
  <c r="M131" i="4"/>
  <c r="AC130" i="4"/>
  <c r="N130" i="4"/>
  <c r="M130" i="4"/>
  <c r="AC129" i="4"/>
  <c r="N129" i="4"/>
  <c r="AC128" i="4"/>
  <c r="N128" i="4"/>
  <c r="AC127" i="4"/>
  <c r="N127" i="4"/>
  <c r="AC126" i="4"/>
  <c r="N126" i="4"/>
  <c r="AC125" i="4"/>
  <c r="N125" i="4"/>
  <c r="AC124" i="4"/>
  <c r="N124" i="4"/>
  <c r="AC123" i="4"/>
  <c r="N123" i="4"/>
  <c r="AC122" i="4"/>
  <c r="N122" i="4"/>
  <c r="AC121" i="4"/>
  <c r="N121" i="4"/>
  <c r="AC120" i="4"/>
  <c r="N120" i="4"/>
  <c r="M120" i="4"/>
  <c r="AC119" i="4"/>
  <c r="N119" i="4"/>
  <c r="M119" i="4"/>
  <c r="AC118" i="4"/>
  <c r="N118" i="4"/>
  <c r="M118" i="4"/>
  <c r="AC117" i="4"/>
  <c r="AC116" i="4"/>
  <c r="N116" i="4"/>
  <c r="AC115" i="4"/>
  <c r="AC114" i="4"/>
  <c r="N114" i="4"/>
  <c r="AC113" i="4"/>
  <c r="N113" i="4"/>
  <c r="AC112" i="4"/>
  <c r="N112" i="4"/>
  <c r="AC111" i="4"/>
  <c r="N111" i="4"/>
  <c r="AC110" i="4"/>
  <c r="N110" i="4"/>
  <c r="M110" i="4"/>
  <c r="AC109" i="4"/>
  <c r="N109" i="4"/>
  <c r="M109" i="4"/>
  <c r="AC108" i="4"/>
  <c r="N108" i="4"/>
  <c r="M108" i="4"/>
  <c r="AC107" i="4"/>
  <c r="N107" i="4"/>
  <c r="M107" i="4"/>
  <c r="AC106" i="4"/>
  <c r="N106" i="4"/>
  <c r="M106" i="4"/>
  <c r="AC105" i="4"/>
  <c r="N105" i="4"/>
  <c r="AC104" i="4"/>
  <c r="AC103" i="4"/>
  <c r="N103" i="4"/>
  <c r="AC102" i="4"/>
  <c r="N102" i="4"/>
  <c r="AC101" i="4"/>
  <c r="N101" i="4"/>
  <c r="AC100" i="4"/>
  <c r="N100" i="4"/>
  <c r="AC99" i="4"/>
  <c r="N99" i="4"/>
  <c r="AC98" i="4"/>
  <c r="N98" i="4"/>
  <c r="AC97" i="4"/>
  <c r="N97" i="4"/>
  <c r="AC96" i="4"/>
  <c r="N96" i="4"/>
  <c r="AC95" i="4"/>
  <c r="N95" i="4"/>
  <c r="AC94" i="4"/>
  <c r="N94" i="4"/>
  <c r="AC93" i="4"/>
  <c r="AC92" i="4"/>
  <c r="AC91" i="4"/>
  <c r="AC90" i="4"/>
  <c r="AC89" i="4"/>
  <c r="AC88" i="4"/>
  <c r="N88" i="4"/>
  <c r="AC87" i="4"/>
  <c r="N87" i="4"/>
  <c r="AC86" i="4"/>
  <c r="N86" i="4"/>
  <c r="M86" i="4"/>
  <c r="AC85" i="4"/>
  <c r="N85" i="4"/>
  <c r="M85" i="4"/>
  <c r="AC84" i="4"/>
  <c r="N84" i="4"/>
  <c r="M84" i="4"/>
  <c r="AC83" i="4"/>
  <c r="N83" i="4"/>
  <c r="M83" i="4"/>
  <c r="AC82" i="4"/>
  <c r="AC81" i="4"/>
  <c r="N81" i="4"/>
  <c r="AC80" i="4"/>
  <c r="N80" i="4"/>
  <c r="AC79" i="4"/>
  <c r="N79" i="4"/>
  <c r="AC78" i="4"/>
  <c r="N78" i="4"/>
  <c r="AC77" i="4"/>
  <c r="N77" i="4"/>
  <c r="AC76" i="4"/>
  <c r="AC75" i="4"/>
  <c r="N75" i="4"/>
  <c r="AC74" i="4"/>
  <c r="N74" i="4"/>
  <c r="AC73" i="4"/>
  <c r="N73" i="4"/>
  <c r="AC72" i="4"/>
  <c r="N72" i="4"/>
  <c r="AC71" i="4"/>
  <c r="AA71" i="4"/>
  <c r="N71" i="4"/>
  <c r="AC70" i="4"/>
  <c r="AA70" i="4"/>
  <c r="N70" i="4"/>
  <c r="AC69" i="4"/>
  <c r="AA69" i="4"/>
  <c r="N69" i="4"/>
  <c r="AC68" i="4"/>
  <c r="AA68" i="4"/>
  <c r="N68" i="4"/>
  <c r="AC67" i="4"/>
  <c r="AA67" i="4"/>
  <c r="N67" i="4"/>
  <c r="AC66" i="4"/>
  <c r="N66" i="4"/>
  <c r="AC65" i="4"/>
  <c r="AC64" i="4"/>
  <c r="M64" i="4"/>
  <c r="AC63" i="4"/>
  <c r="M63" i="4"/>
  <c r="AC62" i="4"/>
  <c r="M62" i="4"/>
  <c r="AC61" i="4"/>
  <c r="M61" i="4"/>
  <c r="AC60" i="4"/>
  <c r="N60" i="4"/>
  <c r="M60" i="4"/>
  <c r="AC59" i="4"/>
  <c r="N59" i="4"/>
  <c r="M59" i="4"/>
  <c r="AC58" i="4"/>
  <c r="N58" i="4"/>
  <c r="AC57" i="4"/>
  <c r="N57" i="4"/>
  <c r="AC56" i="4"/>
  <c r="N56" i="4"/>
  <c r="AC55" i="4"/>
  <c r="N55" i="4"/>
  <c r="AC54" i="4"/>
  <c r="M54" i="4"/>
  <c r="AC53" i="4"/>
  <c r="N53" i="4"/>
  <c r="AC52" i="4"/>
  <c r="N52" i="4"/>
  <c r="AC51" i="4"/>
  <c r="N51" i="4"/>
  <c r="AC50" i="4"/>
  <c r="N50" i="4"/>
  <c r="AC49" i="4"/>
  <c r="AC48" i="4"/>
  <c r="AC47" i="4"/>
  <c r="AC46" i="4"/>
  <c r="AC45" i="4"/>
  <c r="AC44" i="4"/>
  <c r="AC43" i="4"/>
  <c r="AC42" i="4"/>
  <c r="AC41" i="4"/>
  <c r="AC40" i="4"/>
  <c r="N40" i="4"/>
  <c r="M40" i="4"/>
  <c r="AC39" i="4"/>
  <c r="N39" i="4"/>
  <c r="M39" i="4"/>
  <c r="AC38" i="4"/>
  <c r="N38" i="4"/>
  <c r="M38" i="4"/>
  <c r="AC37" i="4"/>
  <c r="N37" i="4"/>
  <c r="M37" i="4"/>
  <c r="AC36" i="4"/>
  <c r="N36" i="4"/>
  <c r="M36" i="4"/>
  <c r="AC35" i="4"/>
  <c r="M35" i="4"/>
  <c r="AC34" i="4"/>
  <c r="N34" i="4"/>
  <c r="AC33" i="4"/>
  <c r="N33" i="4"/>
  <c r="AC32" i="4"/>
  <c r="N32" i="4"/>
  <c r="AC31" i="4"/>
  <c r="N31" i="4"/>
  <c r="AC30" i="4"/>
  <c r="N30" i="4"/>
  <c r="M30" i="4"/>
  <c r="AC29" i="4"/>
  <c r="N29" i="4"/>
  <c r="M29" i="4"/>
  <c r="AC28" i="4"/>
  <c r="M28" i="4"/>
  <c r="AC27" i="4"/>
  <c r="M27" i="4"/>
  <c r="AC26" i="4"/>
  <c r="M26" i="4"/>
  <c r="AC25" i="4"/>
  <c r="M25" i="4"/>
  <c r="AC24" i="4"/>
  <c r="M24" i="4"/>
  <c r="AC23" i="4"/>
  <c r="M23" i="4"/>
  <c r="AC22" i="4"/>
  <c r="M22" i="4"/>
  <c r="AC21" i="4"/>
  <c r="M21" i="4"/>
  <c r="AC20" i="4"/>
  <c r="N20" i="4"/>
  <c r="M20" i="4"/>
  <c r="AC19" i="4"/>
  <c r="N19" i="4"/>
  <c r="M19" i="4"/>
  <c r="AC18" i="4"/>
  <c r="AC17" i="4"/>
  <c r="M17" i="4"/>
  <c r="AC16" i="4"/>
  <c r="N16" i="4"/>
  <c r="AC15" i="4"/>
  <c r="N15" i="4"/>
  <c r="AC14" i="4"/>
  <c r="N14" i="4"/>
  <c r="AC13" i="4"/>
  <c r="N13" i="4"/>
  <c r="AC12" i="4"/>
  <c r="N12" i="4"/>
  <c r="AC11" i="4"/>
  <c r="AC10" i="4"/>
  <c r="AC9" i="4"/>
  <c r="AC8" i="4"/>
  <c r="M8" i="4"/>
  <c r="AC7" i="4"/>
  <c r="AC6" i="4"/>
  <c r="M6" i="4"/>
  <c r="AD1349" i="3"/>
  <c r="O1349" i="3"/>
  <c r="N1349" i="3"/>
  <c r="AD1348" i="3"/>
  <c r="O1348" i="3"/>
  <c r="N1348" i="3"/>
  <c r="AD1347" i="3"/>
  <c r="O1347" i="3"/>
  <c r="N1347" i="3"/>
  <c r="AD1346" i="3"/>
  <c r="O1346" i="3"/>
  <c r="N1346" i="3"/>
  <c r="AD1345" i="3"/>
  <c r="O1345" i="3"/>
  <c r="N1345" i="3"/>
  <c r="AD1344" i="3"/>
  <c r="O1344" i="3"/>
  <c r="N1344" i="3"/>
  <c r="AD1343" i="3"/>
  <c r="O1343" i="3"/>
  <c r="N1343" i="3"/>
  <c r="AD1342" i="3"/>
  <c r="O1342" i="3"/>
  <c r="N1342" i="3"/>
  <c r="AD1341" i="3"/>
  <c r="O1341" i="3"/>
  <c r="N1341" i="3"/>
  <c r="AD1340" i="3"/>
  <c r="O1340" i="3"/>
  <c r="N1340" i="3"/>
  <c r="AD1339" i="3"/>
  <c r="O1339" i="3"/>
  <c r="N1339" i="3"/>
  <c r="AD1338" i="3"/>
  <c r="O1338" i="3"/>
  <c r="N1338" i="3"/>
  <c r="AD1337" i="3"/>
  <c r="O1337" i="3"/>
  <c r="N1337" i="3"/>
  <c r="AD1336" i="3"/>
  <c r="O1336" i="3"/>
  <c r="N1336" i="3"/>
  <c r="AD1335" i="3"/>
  <c r="O1335" i="3"/>
  <c r="N1335" i="3"/>
  <c r="AD1334" i="3"/>
  <c r="O1334" i="3"/>
  <c r="N1334" i="3"/>
  <c r="AD1333" i="3"/>
  <c r="O1333" i="3"/>
  <c r="N1333" i="3"/>
  <c r="AD1332" i="3"/>
  <c r="O1332" i="3"/>
  <c r="N1332" i="3"/>
  <c r="AD1331" i="3"/>
  <c r="O1331" i="3"/>
  <c r="N1331" i="3"/>
  <c r="AD1330" i="3"/>
  <c r="O1330" i="3"/>
  <c r="N1330" i="3"/>
  <c r="AD1329" i="3"/>
  <c r="O1329" i="3"/>
  <c r="N1329" i="3"/>
  <c r="AD1328" i="3"/>
  <c r="O1328" i="3"/>
  <c r="N1328" i="3"/>
  <c r="AD1327" i="3"/>
  <c r="O1327" i="3"/>
  <c r="N1327" i="3"/>
  <c r="AD1326" i="3"/>
  <c r="O1326" i="3"/>
  <c r="N1326" i="3"/>
  <c r="AD1325" i="3"/>
  <c r="O1325" i="3"/>
  <c r="N1325" i="3"/>
  <c r="AD1324" i="3"/>
  <c r="O1324" i="3"/>
  <c r="N1324" i="3"/>
  <c r="AD1323" i="3"/>
  <c r="O1323" i="3"/>
  <c r="N1323" i="3"/>
  <c r="AD1322" i="3"/>
  <c r="O1322" i="3"/>
  <c r="N1322" i="3"/>
  <c r="AD1321" i="3"/>
  <c r="O1321" i="3"/>
  <c r="N1321" i="3"/>
  <c r="AD1320" i="3"/>
  <c r="O1320" i="3"/>
  <c r="N1320" i="3"/>
  <c r="AD1319" i="3"/>
  <c r="O1319" i="3"/>
  <c r="N1319" i="3"/>
  <c r="AD1318" i="3"/>
  <c r="O1318" i="3"/>
  <c r="N1318" i="3"/>
  <c r="AD1317" i="3"/>
  <c r="O1317" i="3"/>
  <c r="N1317" i="3"/>
  <c r="AD1316" i="3"/>
  <c r="O1316" i="3"/>
  <c r="N1316" i="3"/>
  <c r="AD1315" i="3"/>
  <c r="O1315" i="3"/>
  <c r="N1315" i="3"/>
  <c r="AD1314" i="3"/>
  <c r="O1314" i="3"/>
  <c r="AD1313" i="3"/>
  <c r="O1313" i="3"/>
  <c r="AD1312" i="3"/>
  <c r="O1312" i="3"/>
  <c r="AD1311" i="3"/>
  <c r="O1311" i="3"/>
  <c r="AD1310" i="3"/>
  <c r="O1310" i="3"/>
  <c r="N1310" i="3"/>
  <c r="AD1309" i="3"/>
  <c r="O1309" i="3"/>
  <c r="N1309" i="3"/>
  <c r="AD1308" i="3"/>
  <c r="O1308" i="3"/>
  <c r="N1308" i="3"/>
  <c r="AD1307" i="3"/>
  <c r="O1307" i="3"/>
  <c r="N1307" i="3"/>
  <c r="AD1306" i="3"/>
  <c r="O1306" i="3"/>
  <c r="N1306" i="3"/>
  <c r="AD1305" i="3"/>
  <c r="O1305" i="3"/>
  <c r="N1305" i="3"/>
  <c r="AD1304" i="3"/>
  <c r="O1304" i="3"/>
  <c r="N1304" i="3"/>
  <c r="AD1303" i="3"/>
  <c r="O1303" i="3"/>
  <c r="AD1302" i="3"/>
  <c r="O1302" i="3"/>
  <c r="AD1301" i="3"/>
  <c r="O1301" i="3"/>
  <c r="AD1300" i="3"/>
  <c r="O1300" i="3"/>
  <c r="AD1299" i="3"/>
  <c r="O1299" i="3"/>
  <c r="AD1298" i="3"/>
  <c r="O1298" i="3"/>
  <c r="AD1297" i="3"/>
  <c r="O1297" i="3"/>
  <c r="AD1296" i="3"/>
  <c r="O1296" i="3"/>
  <c r="N1296" i="3"/>
  <c r="AD1295" i="3"/>
  <c r="O1295" i="3"/>
  <c r="N1295" i="3"/>
  <c r="AD1294" i="3"/>
  <c r="O1294" i="3"/>
  <c r="N1294" i="3"/>
  <c r="AD1293" i="3"/>
  <c r="O1293" i="3"/>
  <c r="N1293" i="3"/>
  <c r="AD1292" i="3"/>
  <c r="O1292" i="3"/>
  <c r="N1292" i="3"/>
  <c r="AD1291" i="3"/>
  <c r="O1291" i="3"/>
  <c r="N1291" i="3"/>
  <c r="AD1290" i="3"/>
  <c r="O1290" i="3"/>
  <c r="N1290" i="3"/>
  <c r="AD1289" i="3"/>
  <c r="O1289" i="3"/>
  <c r="N1289" i="3"/>
  <c r="AD1288" i="3"/>
  <c r="O1288" i="3"/>
  <c r="N1288" i="3"/>
  <c r="AD1287" i="3"/>
  <c r="O1287" i="3"/>
  <c r="N1287" i="3"/>
  <c r="AD1286" i="3"/>
  <c r="O1286" i="3"/>
  <c r="N1286" i="3"/>
  <c r="AD1285" i="3"/>
  <c r="O1285" i="3"/>
  <c r="N1285" i="3"/>
  <c r="AD1284" i="3"/>
  <c r="O1284" i="3"/>
  <c r="N1284" i="3"/>
  <c r="AD1283" i="3"/>
  <c r="O1283" i="3"/>
  <c r="N1283" i="3"/>
  <c r="AD1282" i="3"/>
  <c r="O1282" i="3"/>
  <c r="N1282" i="3"/>
  <c r="AD1281" i="3"/>
  <c r="O1281" i="3"/>
  <c r="N1281" i="3"/>
  <c r="AD1280" i="3"/>
  <c r="O1280" i="3"/>
  <c r="N1280" i="3"/>
  <c r="AD1279" i="3"/>
  <c r="O1279" i="3"/>
  <c r="N1279" i="3"/>
  <c r="AD1278" i="3"/>
  <c r="O1278" i="3"/>
  <c r="N1278" i="3"/>
  <c r="AD1277" i="3"/>
  <c r="O1277" i="3"/>
  <c r="N1277" i="3"/>
  <c r="AD1276" i="3"/>
  <c r="O1276" i="3"/>
  <c r="N1276" i="3"/>
  <c r="AD1275" i="3"/>
  <c r="O1275" i="3"/>
  <c r="N1275" i="3"/>
  <c r="AD1274" i="3"/>
  <c r="O1274" i="3"/>
  <c r="N1274" i="3"/>
  <c r="AD1273" i="3"/>
  <c r="O1273" i="3"/>
  <c r="N1273" i="3"/>
  <c r="AD1272" i="3"/>
  <c r="O1272" i="3"/>
  <c r="AD1271" i="3"/>
  <c r="O1271" i="3"/>
  <c r="AD1270" i="3"/>
  <c r="O1270" i="3"/>
  <c r="N1270" i="3"/>
  <c r="AD1269" i="3"/>
  <c r="O1269" i="3"/>
  <c r="N1269" i="3"/>
  <c r="AD1268" i="3"/>
  <c r="O1268" i="3"/>
  <c r="N1268" i="3"/>
  <c r="AD1267" i="3"/>
  <c r="O1267" i="3"/>
  <c r="N1267" i="3"/>
  <c r="AD1266" i="3"/>
  <c r="O1266" i="3"/>
  <c r="N1266" i="3"/>
  <c r="AD1265" i="3"/>
  <c r="O1265" i="3"/>
  <c r="N1265" i="3"/>
  <c r="AD1264" i="3"/>
  <c r="O1264" i="3"/>
  <c r="N1264" i="3"/>
  <c r="AD1263" i="3"/>
  <c r="O1263" i="3"/>
  <c r="N1263" i="3"/>
  <c r="AD1262" i="3"/>
  <c r="AD1261" i="3"/>
  <c r="O1261" i="3"/>
  <c r="N1261" i="3"/>
  <c r="AD1260" i="3"/>
  <c r="O1260" i="3"/>
  <c r="N1260" i="3"/>
  <c r="AD1259" i="3"/>
  <c r="O1259" i="3"/>
  <c r="N1259" i="3"/>
  <c r="AD1258" i="3"/>
  <c r="O1258" i="3"/>
  <c r="N1258" i="3"/>
  <c r="AD1257" i="3"/>
  <c r="O1257" i="3"/>
  <c r="N1257" i="3"/>
  <c r="AD1256" i="3"/>
  <c r="O1256" i="3"/>
  <c r="N1256" i="3"/>
  <c r="AD1255" i="3"/>
  <c r="O1255" i="3"/>
  <c r="N1255" i="3"/>
  <c r="AD1254" i="3"/>
  <c r="O1254" i="3"/>
  <c r="N1254" i="3"/>
  <c r="AD1253" i="3"/>
  <c r="O1253" i="3"/>
  <c r="N1253" i="3"/>
  <c r="AD1252" i="3"/>
  <c r="O1252" i="3"/>
  <c r="AD1251" i="3"/>
  <c r="O1251" i="3"/>
  <c r="AD1250" i="3"/>
  <c r="O1250" i="3"/>
  <c r="N1250" i="3"/>
  <c r="AD1249" i="3"/>
  <c r="O1249" i="3"/>
  <c r="N1249" i="3"/>
  <c r="AD1248" i="3"/>
  <c r="O1248" i="3"/>
  <c r="AD1247" i="3"/>
  <c r="O1247" i="3"/>
  <c r="AD1246" i="3"/>
  <c r="O1246" i="3"/>
  <c r="AD1245" i="3"/>
  <c r="O1245" i="3"/>
  <c r="AD1244" i="3"/>
  <c r="O1244" i="3"/>
  <c r="AD1243" i="3"/>
  <c r="O1243" i="3"/>
  <c r="AD1242" i="3"/>
  <c r="O1242" i="3"/>
  <c r="AD1241" i="3"/>
  <c r="N1241" i="3"/>
  <c r="AD1240" i="3"/>
  <c r="N1240" i="3"/>
  <c r="AD1239" i="3"/>
  <c r="N1239" i="3"/>
  <c r="AD1238" i="3"/>
  <c r="N1238" i="3"/>
  <c r="AD1237" i="3"/>
  <c r="O1237" i="3"/>
  <c r="N1237" i="3"/>
  <c r="AD1236" i="3"/>
  <c r="O1236" i="3"/>
  <c r="N1236" i="3"/>
  <c r="AD1235" i="3"/>
  <c r="O1235" i="3"/>
  <c r="N1235" i="3"/>
  <c r="AD1234" i="3"/>
  <c r="O1234" i="3"/>
  <c r="N1234" i="3"/>
  <c r="AD1233" i="3"/>
  <c r="O1233" i="3"/>
  <c r="N1233" i="3"/>
  <c r="AD1232" i="3"/>
  <c r="O1232" i="3"/>
  <c r="N1232" i="3"/>
  <c r="AD1231" i="3"/>
  <c r="O1231" i="3"/>
  <c r="N1231" i="3"/>
  <c r="AD1230" i="3"/>
  <c r="O1230" i="3"/>
  <c r="AD1229" i="3"/>
  <c r="O1229" i="3"/>
  <c r="AD1228" i="3"/>
  <c r="O1228" i="3"/>
  <c r="AD1227" i="3"/>
  <c r="O1227" i="3"/>
  <c r="AD1226" i="3"/>
  <c r="O1226" i="3"/>
  <c r="N1226" i="3"/>
  <c r="AD1225" i="3"/>
  <c r="O1225" i="3"/>
  <c r="N1225" i="3"/>
  <c r="AD1224" i="3"/>
  <c r="O1224" i="3"/>
  <c r="N1224" i="3"/>
  <c r="AD1223" i="3"/>
  <c r="O1223" i="3"/>
  <c r="N1223" i="3"/>
  <c r="AD1222" i="3"/>
  <c r="O1222" i="3"/>
  <c r="N1222" i="3"/>
  <c r="AD1221" i="3"/>
  <c r="O1221" i="3"/>
  <c r="N1221" i="3"/>
  <c r="AD1220" i="3"/>
  <c r="O1220" i="3"/>
  <c r="N1220" i="3"/>
  <c r="AD1219" i="3"/>
  <c r="O1219" i="3"/>
  <c r="N1219" i="3"/>
  <c r="AD1218" i="3"/>
  <c r="O1218" i="3"/>
  <c r="N1218" i="3"/>
  <c r="AD1217" i="3"/>
  <c r="O1217" i="3"/>
  <c r="N1217" i="3"/>
  <c r="AD1216" i="3"/>
  <c r="O1216" i="3"/>
  <c r="N1216" i="3"/>
  <c r="AD1215" i="3"/>
  <c r="O1215" i="3"/>
  <c r="N1215" i="3"/>
  <c r="AD1214" i="3"/>
  <c r="AD1213" i="3"/>
  <c r="O1213" i="3"/>
  <c r="AD1212" i="3"/>
  <c r="O1212" i="3"/>
  <c r="AD1211" i="3"/>
  <c r="N1211" i="3"/>
  <c r="AD1210" i="3"/>
  <c r="N1210" i="3"/>
  <c r="AD1209" i="3"/>
  <c r="N1209" i="3"/>
  <c r="AD1208" i="3"/>
  <c r="N1208" i="3"/>
  <c r="AD1207" i="3"/>
  <c r="O1207" i="3"/>
  <c r="N1207" i="3"/>
  <c r="AD1206" i="3"/>
  <c r="O1206" i="3"/>
  <c r="N1206" i="3"/>
  <c r="AD1205" i="3"/>
  <c r="O1205" i="3"/>
  <c r="N1205" i="3"/>
  <c r="AD1204" i="3"/>
  <c r="O1204" i="3"/>
  <c r="N1204" i="3"/>
  <c r="AD1203" i="3"/>
  <c r="O1203" i="3"/>
  <c r="N1203" i="3"/>
  <c r="AD1202" i="3"/>
  <c r="O1202" i="3"/>
  <c r="N1202" i="3"/>
  <c r="AD1201" i="3"/>
  <c r="O1201" i="3"/>
  <c r="AD1200" i="3"/>
  <c r="O1200" i="3"/>
  <c r="AD1199" i="3"/>
  <c r="AD1198" i="3"/>
  <c r="O1198" i="3"/>
  <c r="N1198" i="3"/>
  <c r="AD1197" i="3"/>
  <c r="O1197" i="3"/>
  <c r="N1197" i="3"/>
  <c r="AD1196" i="3"/>
  <c r="O1196" i="3"/>
  <c r="N1196" i="3"/>
  <c r="AD1195" i="3"/>
  <c r="O1195" i="3"/>
  <c r="AD1194" i="3"/>
  <c r="O1194" i="3"/>
  <c r="N1194" i="3"/>
  <c r="AD1193" i="3"/>
  <c r="O1193" i="3"/>
  <c r="N1193" i="3"/>
  <c r="AD1192" i="3"/>
  <c r="O1192" i="3"/>
  <c r="N1192" i="3"/>
  <c r="AD1191" i="3"/>
  <c r="O1191" i="3"/>
  <c r="N1191" i="3"/>
  <c r="AD1190" i="3"/>
  <c r="O1190" i="3"/>
  <c r="N1190" i="3"/>
  <c r="AD1189" i="3"/>
  <c r="O1189" i="3"/>
  <c r="N1189" i="3"/>
  <c r="AD1188" i="3"/>
  <c r="O1188" i="3"/>
  <c r="N1188" i="3"/>
  <c r="AD1187" i="3"/>
  <c r="O1187" i="3"/>
  <c r="N1187" i="3"/>
  <c r="AD1186" i="3"/>
  <c r="O1186" i="3"/>
  <c r="N1186" i="3"/>
  <c r="AD1185" i="3"/>
  <c r="O1185" i="3"/>
  <c r="N1185" i="3"/>
  <c r="AD1184" i="3"/>
  <c r="O1184" i="3"/>
  <c r="N1184" i="3"/>
  <c r="AD1183" i="3"/>
  <c r="O1183" i="3"/>
  <c r="N1183" i="3"/>
  <c r="AD1182" i="3"/>
  <c r="O1182" i="3"/>
  <c r="N1182" i="3"/>
  <c r="AD1181" i="3"/>
  <c r="O1181" i="3"/>
  <c r="N1181" i="3"/>
  <c r="AD1180" i="3"/>
  <c r="O1180" i="3"/>
  <c r="AD1179" i="3"/>
  <c r="O1179" i="3"/>
  <c r="N1179" i="3"/>
  <c r="AD1178" i="3"/>
  <c r="O1178" i="3"/>
  <c r="AD1177" i="3"/>
  <c r="O1177" i="3"/>
  <c r="AD1176" i="3"/>
  <c r="O1176" i="3"/>
  <c r="N1176" i="3"/>
  <c r="AD1175" i="3"/>
  <c r="O1175" i="3"/>
  <c r="N1175" i="3"/>
  <c r="AD1174" i="3"/>
  <c r="O1174" i="3"/>
  <c r="N1174" i="3"/>
  <c r="AD1173" i="3"/>
  <c r="AD1172" i="3"/>
  <c r="O1172" i="3"/>
  <c r="N1172" i="3"/>
  <c r="AD1171" i="3"/>
  <c r="O1171" i="3"/>
  <c r="N1171" i="3"/>
  <c r="AD1170" i="3"/>
  <c r="O1170" i="3"/>
  <c r="N1170" i="3"/>
  <c r="AD1169" i="3"/>
  <c r="O1169" i="3"/>
  <c r="N1169" i="3"/>
  <c r="AD1168" i="3"/>
  <c r="O1168" i="3"/>
  <c r="N1168" i="3"/>
  <c r="AD1167" i="3"/>
  <c r="O1167" i="3"/>
  <c r="N1167" i="3"/>
  <c r="AD1166" i="3"/>
  <c r="O1166" i="3"/>
  <c r="N1166" i="3"/>
  <c r="AD1165" i="3"/>
  <c r="O1165" i="3"/>
  <c r="N1165" i="3"/>
  <c r="AD1164" i="3"/>
  <c r="O1164" i="3"/>
  <c r="N1164" i="3"/>
  <c r="AD1163" i="3"/>
  <c r="O1163" i="3"/>
  <c r="N1163" i="3"/>
  <c r="AD1162" i="3"/>
  <c r="O1162" i="3"/>
  <c r="N1162" i="3"/>
  <c r="AD1161" i="3"/>
  <c r="O1161" i="3"/>
  <c r="N1161" i="3"/>
  <c r="AD1160" i="3"/>
  <c r="O1160" i="3"/>
  <c r="N1160" i="3"/>
  <c r="AD1159" i="3"/>
  <c r="O1159" i="3"/>
  <c r="N1159" i="3"/>
  <c r="AD1158" i="3"/>
  <c r="O1158" i="3"/>
  <c r="N1158" i="3"/>
  <c r="AD1157" i="3"/>
  <c r="O1157" i="3"/>
  <c r="N1157" i="3"/>
  <c r="AD1156" i="3"/>
  <c r="O1156" i="3"/>
  <c r="N1156" i="3"/>
  <c r="AD1155" i="3"/>
  <c r="O1155" i="3"/>
  <c r="N1155" i="3"/>
  <c r="AD1154" i="3"/>
  <c r="O1154" i="3"/>
  <c r="N1154" i="3"/>
  <c r="AD1153" i="3"/>
  <c r="O1153" i="3"/>
  <c r="N1153" i="3"/>
  <c r="AD1152" i="3"/>
  <c r="O1152" i="3"/>
  <c r="N1152" i="3"/>
  <c r="AD1151" i="3"/>
  <c r="O1151" i="3"/>
  <c r="N1151" i="3"/>
  <c r="AD1150" i="3"/>
  <c r="O1150" i="3"/>
  <c r="N1150" i="3"/>
  <c r="AD1149" i="3"/>
  <c r="O1149" i="3"/>
  <c r="N1149" i="3"/>
  <c r="AD1148" i="3"/>
  <c r="O1148" i="3"/>
  <c r="N1148" i="3"/>
  <c r="AD1147" i="3"/>
  <c r="O1147" i="3"/>
  <c r="N1147" i="3"/>
  <c r="AD1146" i="3"/>
  <c r="AD1145" i="3"/>
  <c r="O1145" i="3"/>
  <c r="AD1144" i="3"/>
  <c r="O1144" i="3"/>
  <c r="AD1143" i="3"/>
  <c r="O1143" i="3"/>
  <c r="AD1142" i="3"/>
  <c r="O1142" i="3"/>
  <c r="AD1141" i="3"/>
  <c r="O1141" i="3"/>
  <c r="AD1140" i="3"/>
  <c r="O1140" i="3"/>
  <c r="AD1139" i="3"/>
  <c r="O1139" i="3"/>
  <c r="N1139" i="3"/>
  <c r="AD1138" i="3"/>
  <c r="AD1137" i="3"/>
  <c r="O1137" i="3"/>
  <c r="N1137" i="3"/>
  <c r="AD1136" i="3"/>
  <c r="O1136" i="3"/>
  <c r="N1136" i="3"/>
  <c r="AD1135" i="3"/>
  <c r="O1135" i="3"/>
  <c r="N1135" i="3"/>
  <c r="AD1134" i="3"/>
  <c r="O1134" i="3"/>
  <c r="N1134" i="3"/>
  <c r="AD1133" i="3"/>
  <c r="O1133" i="3"/>
  <c r="N1133" i="3"/>
  <c r="AD1132" i="3"/>
  <c r="O1132" i="3"/>
  <c r="N1132" i="3"/>
  <c r="AD1131" i="3"/>
  <c r="AD1130" i="3"/>
  <c r="O1130" i="3"/>
  <c r="AD1129" i="3"/>
  <c r="O1129" i="3"/>
  <c r="AD1128" i="3"/>
  <c r="O1128" i="3"/>
  <c r="AD1127" i="3"/>
  <c r="O1127" i="3"/>
  <c r="N1127" i="3"/>
  <c r="AD1126" i="3"/>
  <c r="O1126" i="3"/>
  <c r="N1126" i="3"/>
  <c r="AD1125" i="3"/>
  <c r="O1125" i="3"/>
  <c r="N1125" i="3"/>
  <c r="AD1124" i="3"/>
  <c r="N1124" i="3"/>
  <c r="AD1123" i="3"/>
  <c r="N1123" i="3"/>
  <c r="AD1122" i="3"/>
  <c r="N1122" i="3"/>
  <c r="AD1121" i="3"/>
  <c r="O1121" i="3"/>
  <c r="N1121" i="3"/>
  <c r="AD1120" i="3"/>
  <c r="O1120" i="3"/>
  <c r="N1120" i="3"/>
  <c r="AD1119" i="3"/>
  <c r="O1119" i="3"/>
  <c r="N1119" i="3"/>
  <c r="AD1118" i="3"/>
  <c r="O1118" i="3"/>
  <c r="N1118" i="3"/>
  <c r="AD1117" i="3"/>
  <c r="O1117" i="3"/>
  <c r="N1117" i="3"/>
  <c r="AD1116" i="3"/>
  <c r="O1116" i="3"/>
  <c r="N1116" i="3"/>
  <c r="AD1115" i="3"/>
  <c r="O1115" i="3"/>
  <c r="N1115" i="3"/>
  <c r="AD1114" i="3"/>
  <c r="O1114" i="3"/>
  <c r="N1114" i="3"/>
  <c r="AD1113" i="3"/>
  <c r="O1113" i="3"/>
  <c r="N1113" i="3"/>
  <c r="AD1112" i="3"/>
  <c r="O1112" i="3"/>
  <c r="N1112" i="3"/>
  <c r="AD1111" i="3"/>
  <c r="O1111" i="3"/>
  <c r="N1111" i="3"/>
  <c r="AD1110" i="3"/>
  <c r="O1110" i="3"/>
  <c r="N1110" i="3"/>
  <c r="AD1109" i="3"/>
  <c r="O1109" i="3"/>
  <c r="N1109" i="3"/>
  <c r="AD1108" i="3"/>
  <c r="O1108" i="3"/>
  <c r="N1108" i="3"/>
  <c r="AD1107" i="3"/>
  <c r="O1107" i="3"/>
  <c r="N1107" i="3"/>
  <c r="AD1106" i="3"/>
  <c r="O1106" i="3"/>
  <c r="N1106" i="3"/>
  <c r="AD1105" i="3"/>
  <c r="O1105" i="3"/>
  <c r="N1105" i="3"/>
  <c r="AD1104" i="3"/>
  <c r="O1104" i="3"/>
  <c r="AD1103" i="3"/>
  <c r="O1103" i="3"/>
  <c r="N1103" i="3"/>
  <c r="AD1102" i="3"/>
  <c r="O1102" i="3"/>
  <c r="N1102" i="3"/>
  <c r="AD1101" i="3"/>
  <c r="O1101" i="3"/>
  <c r="N1101" i="3"/>
  <c r="AD1100" i="3"/>
  <c r="O1100" i="3"/>
  <c r="N1100" i="3"/>
  <c r="AD1099" i="3"/>
  <c r="O1099" i="3"/>
  <c r="N1099" i="3"/>
  <c r="AD1098" i="3"/>
  <c r="O1098" i="3"/>
  <c r="N1098" i="3"/>
  <c r="AD1097" i="3"/>
  <c r="O1097" i="3"/>
  <c r="N1097" i="3"/>
  <c r="AD1096" i="3"/>
  <c r="O1096" i="3"/>
  <c r="N1096" i="3"/>
  <c r="AD1095" i="3"/>
  <c r="O1095" i="3"/>
  <c r="N1095" i="3"/>
  <c r="AD1094" i="3"/>
  <c r="O1094" i="3"/>
  <c r="N1094" i="3"/>
  <c r="AD1093" i="3"/>
  <c r="O1093" i="3"/>
  <c r="N1093" i="3"/>
  <c r="AD1092" i="3"/>
  <c r="O1092" i="3"/>
  <c r="N1092" i="3"/>
  <c r="AD1091" i="3"/>
  <c r="O1091" i="3"/>
  <c r="N1091" i="3"/>
  <c r="AD1090" i="3"/>
  <c r="O1090" i="3"/>
  <c r="N1090" i="3"/>
  <c r="AD1089" i="3"/>
  <c r="O1089" i="3"/>
  <c r="N1089" i="3"/>
  <c r="AD1088" i="3"/>
  <c r="O1088" i="3"/>
  <c r="N1088" i="3"/>
  <c r="AD1087" i="3"/>
  <c r="O1087" i="3"/>
  <c r="N1087" i="3"/>
  <c r="AD1086" i="3"/>
  <c r="O1086" i="3"/>
  <c r="N1086" i="3"/>
  <c r="AD1085" i="3"/>
  <c r="O1085" i="3"/>
  <c r="N1085" i="3"/>
  <c r="AD1084" i="3"/>
  <c r="O1084" i="3"/>
  <c r="N1084" i="3"/>
  <c r="AD1083" i="3"/>
  <c r="O1083" i="3"/>
  <c r="N1083" i="3"/>
  <c r="AD1082" i="3"/>
  <c r="O1082" i="3"/>
  <c r="N1082" i="3"/>
  <c r="AD1081" i="3"/>
  <c r="O1081" i="3"/>
  <c r="AD1080" i="3"/>
  <c r="O1080" i="3"/>
  <c r="AD1079" i="3"/>
  <c r="O1079" i="3"/>
  <c r="AD1078" i="3"/>
  <c r="O1078" i="3"/>
  <c r="AD1077" i="3"/>
  <c r="O1077" i="3"/>
  <c r="AD1076" i="3"/>
  <c r="O1076" i="3"/>
  <c r="AD1075" i="3"/>
  <c r="O1075" i="3"/>
  <c r="AD1074" i="3"/>
  <c r="O1074" i="3"/>
  <c r="AD1073" i="3"/>
  <c r="O1073" i="3"/>
  <c r="AD1072" i="3"/>
  <c r="O1072" i="3"/>
  <c r="AD1071" i="3"/>
  <c r="O1071" i="3"/>
  <c r="AD1070" i="3"/>
  <c r="O1070" i="3"/>
  <c r="AD1069" i="3"/>
  <c r="O1069" i="3"/>
  <c r="AD1068" i="3"/>
  <c r="O1068" i="3"/>
  <c r="AD1067" i="3"/>
  <c r="O1067" i="3"/>
  <c r="N1067" i="3"/>
  <c r="AD1066" i="3"/>
  <c r="AD1065" i="3"/>
  <c r="O1065" i="3"/>
  <c r="N1065" i="3"/>
  <c r="AD1064" i="3"/>
  <c r="O1064" i="3"/>
  <c r="N1064" i="3"/>
  <c r="AD1063" i="3"/>
  <c r="O1063" i="3"/>
  <c r="N1063" i="3"/>
  <c r="AD1062" i="3"/>
  <c r="O1062" i="3"/>
  <c r="AD1061" i="3"/>
  <c r="O1061" i="3"/>
  <c r="AD1060" i="3"/>
  <c r="O1060" i="3"/>
  <c r="AD1059" i="3"/>
  <c r="O1059" i="3"/>
  <c r="AD1058" i="3"/>
  <c r="O1058" i="3"/>
  <c r="N1058" i="3"/>
  <c r="AD1057" i="3"/>
  <c r="O1057" i="3"/>
  <c r="N1057" i="3"/>
  <c r="AD1056" i="3"/>
  <c r="O1056" i="3"/>
  <c r="N1056" i="3"/>
  <c r="AD1055" i="3"/>
  <c r="O1055" i="3"/>
  <c r="N1055" i="3"/>
  <c r="AD1054" i="3"/>
  <c r="O1054" i="3"/>
  <c r="AD1053" i="3"/>
  <c r="O1053" i="3"/>
  <c r="AD1052" i="3"/>
  <c r="O1052" i="3"/>
  <c r="AD1051" i="3"/>
  <c r="O1051" i="3"/>
  <c r="AD1050" i="3"/>
  <c r="AD1049" i="3"/>
  <c r="O1049" i="3"/>
  <c r="N1049" i="3"/>
  <c r="AD1048" i="3"/>
  <c r="O1048" i="3"/>
  <c r="N1048" i="3"/>
  <c r="AD1047" i="3"/>
  <c r="O1047" i="3"/>
  <c r="N1047" i="3"/>
  <c r="AD1046" i="3"/>
  <c r="O1046" i="3"/>
  <c r="N1046" i="3"/>
  <c r="AD1045" i="3"/>
  <c r="O1045" i="3"/>
  <c r="N1045" i="3"/>
  <c r="AD1044" i="3"/>
  <c r="O1044" i="3"/>
  <c r="AD1043" i="3"/>
  <c r="O1043" i="3"/>
  <c r="AD1042" i="3"/>
  <c r="O1042" i="3"/>
  <c r="AD1041" i="3"/>
  <c r="O1041" i="3"/>
  <c r="N1041" i="3"/>
  <c r="AD1040" i="3"/>
  <c r="O1040" i="3"/>
  <c r="N1040" i="3"/>
  <c r="AD1039" i="3"/>
  <c r="O1039" i="3"/>
  <c r="N1039" i="3"/>
  <c r="AD1038" i="3"/>
  <c r="AD1037" i="3"/>
  <c r="AD1036" i="3"/>
  <c r="O1036" i="3"/>
  <c r="N1036" i="3"/>
  <c r="AD1035" i="3"/>
  <c r="O1035" i="3"/>
  <c r="N1035" i="3"/>
  <c r="AD1034" i="3"/>
  <c r="O1034" i="3"/>
  <c r="N1034" i="3"/>
  <c r="AD1033" i="3"/>
  <c r="O1033" i="3"/>
  <c r="N1033" i="3"/>
  <c r="AD1032" i="3"/>
  <c r="O1032" i="3"/>
  <c r="N1032" i="3"/>
  <c r="AD1031" i="3"/>
  <c r="AD1030" i="3"/>
  <c r="O1030" i="3"/>
  <c r="N1030" i="3"/>
  <c r="AD1029" i="3"/>
  <c r="O1029" i="3"/>
  <c r="N1029" i="3"/>
  <c r="AD1028" i="3"/>
  <c r="O1028" i="3"/>
  <c r="N1028" i="3"/>
  <c r="AD1027" i="3"/>
  <c r="O1027" i="3"/>
  <c r="AD1026" i="3"/>
  <c r="O1026" i="3"/>
  <c r="N1026" i="3"/>
  <c r="AD1025" i="3"/>
  <c r="O1025" i="3"/>
  <c r="N1025" i="3"/>
  <c r="AD1024" i="3"/>
  <c r="O1024" i="3"/>
  <c r="N1024" i="3"/>
  <c r="AD1023" i="3"/>
  <c r="O1023" i="3"/>
  <c r="N1023" i="3"/>
  <c r="AD1022" i="3"/>
  <c r="O1022" i="3"/>
  <c r="AD1021" i="3"/>
  <c r="O1021" i="3"/>
  <c r="AD1020" i="3"/>
  <c r="O1020" i="3"/>
  <c r="AD1019" i="3"/>
  <c r="O1019" i="3"/>
  <c r="AD1018" i="3"/>
  <c r="O1018" i="3"/>
  <c r="AD1017" i="3"/>
  <c r="O1017" i="3"/>
  <c r="N1017" i="3"/>
  <c r="AD1016" i="3"/>
  <c r="O1016" i="3"/>
  <c r="N1016" i="3"/>
  <c r="AD1015" i="3"/>
  <c r="O1015" i="3"/>
  <c r="N1015" i="3"/>
  <c r="AD1014" i="3"/>
  <c r="O1014" i="3"/>
  <c r="N1014" i="3"/>
  <c r="AD1013" i="3"/>
  <c r="O1013" i="3"/>
  <c r="N1013" i="3"/>
  <c r="AD1012" i="3"/>
  <c r="O1012" i="3"/>
  <c r="AD1011" i="3"/>
  <c r="O1011" i="3"/>
  <c r="AD1010" i="3"/>
  <c r="O1010" i="3"/>
  <c r="AD1009" i="3"/>
  <c r="O1009" i="3"/>
  <c r="AD1008" i="3"/>
  <c r="O1008" i="3"/>
  <c r="N1008" i="3"/>
  <c r="AD1007" i="3"/>
  <c r="O1007" i="3"/>
  <c r="N1007" i="3"/>
  <c r="AD1006" i="3"/>
  <c r="O1006" i="3"/>
  <c r="N1006" i="3"/>
  <c r="AD1005" i="3"/>
  <c r="O1005" i="3"/>
  <c r="N1005" i="3"/>
  <c r="AD1004" i="3"/>
  <c r="O1004" i="3"/>
  <c r="N1004" i="3"/>
  <c r="AD1003" i="3"/>
  <c r="O1003" i="3"/>
  <c r="N1003" i="3"/>
  <c r="AD1002" i="3"/>
  <c r="O1002" i="3"/>
  <c r="N1002" i="3"/>
  <c r="AD1001" i="3"/>
  <c r="O1001" i="3"/>
  <c r="N1001" i="3"/>
  <c r="AD1000" i="3"/>
  <c r="O1000" i="3"/>
  <c r="N1000" i="3"/>
  <c r="AD999" i="3"/>
  <c r="O999" i="3"/>
  <c r="N999" i="3"/>
  <c r="AD998" i="3"/>
  <c r="O998" i="3"/>
  <c r="N998" i="3"/>
  <c r="AD997" i="3"/>
  <c r="O997" i="3"/>
  <c r="N997" i="3"/>
  <c r="AD996" i="3"/>
  <c r="O996" i="3"/>
  <c r="N996" i="3"/>
  <c r="AD995" i="3"/>
  <c r="O995" i="3"/>
  <c r="N995" i="3"/>
  <c r="AD994" i="3"/>
  <c r="O994" i="3"/>
  <c r="N994" i="3"/>
  <c r="AD993" i="3"/>
  <c r="O993" i="3"/>
  <c r="N993" i="3"/>
  <c r="AD992" i="3"/>
  <c r="O992" i="3"/>
  <c r="N992" i="3"/>
  <c r="AD991" i="3"/>
  <c r="O991" i="3"/>
  <c r="AD990" i="3"/>
  <c r="O990" i="3"/>
  <c r="AD989" i="3"/>
  <c r="O989" i="3"/>
  <c r="N989" i="3"/>
  <c r="AD988" i="3"/>
  <c r="O988" i="3"/>
  <c r="N988" i="3"/>
  <c r="AD987" i="3"/>
  <c r="O987" i="3"/>
  <c r="N987" i="3"/>
  <c r="AD986" i="3"/>
  <c r="O986" i="3"/>
  <c r="N986" i="3"/>
  <c r="AD985" i="3"/>
  <c r="O985" i="3"/>
  <c r="N985" i="3"/>
  <c r="AD984" i="3"/>
  <c r="O984" i="3"/>
  <c r="N984" i="3"/>
  <c r="AD983" i="3"/>
  <c r="O983" i="3"/>
  <c r="N983" i="3"/>
  <c r="AD982" i="3"/>
  <c r="O982" i="3"/>
  <c r="N982" i="3"/>
  <c r="AD981" i="3"/>
  <c r="O981" i="3"/>
  <c r="N981" i="3"/>
  <c r="AD980" i="3"/>
  <c r="O980" i="3"/>
  <c r="N980" i="3"/>
  <c r="AD979" i="3"/>
  <c r="O979" i="3"/>
  <c r="N979" i="3"/>
  <c r="AD978" i="3"/>
  <c r="O978" i="3"/>
  <c r="N978" i="3"/>
  <c r="AD977" i="3"/>
  <c r="N977" i="3"/>
  <c r="AD976" i="3"/>
  <c r="AD975" i="3"/>
  <c r="AD974" i="3"/>
  <c r="AD973" i="3"/>
  <c r="O973" i="3"/>
  <c r="N973" i="3"/>
  <c r="AD972" i="3"/>
  <c r="O972" i="3"/>
  <c r="N972" i="3"/>
  <c r="AD971" i="3"/>
  <c r="O971" i="3"/>
  <c r="AD970" i="3"/>
  <c r="O970" i="3"/>
  <c r="AD969" i="3"/>
  <c r="O969" i="3"/>
  <c r="AD968" i="3"/>
  <c r="O968" i="3"/>
  <c r="AD967" i="3"/>
  <c r="O967" i="3"/>
  <c r="N967" i="3"/>
  <c r="AD966" i="3"/>
  <c r="O966" i="3"/>
  <c r="N966" i="3"/>
  <c r="AD965" i="3"/>
  <c r="O965" i="3"/>
  <c r="N965" i="3"/>
  <c r="AD964" i="3"/>
  <c r="O964" i="3"/>
  <c r="N964" i="3"/>
  <c r="AD963" i="3"/>
  <c r="O963" i="3"/>
  <c r="N963" i="3"/>
  <c r="AD962" i="3"/>
  <c r="O962" i="3"/>
  <c r="N962" i="3"/>
  <c r="AD961" i="3"/>
  <c r="O961" i="3"/>
  <c r="AD960" i="3"/>
  <c r="O960" i="3"/>
  <c r="AD959" i="3"/>
  <c r="O959" i="3"/>
  <c r="AD958" i="3"/>
  <c r="O958" i="3"/>
  <c r="AD957" i="3"/>
  <c r="O957" i="3"/>
  <c r="AD956" i="3"/>
  <c r="O956" i="3"/>
  <c r="N956" i="3"/>
  <c r="AD955" i="3"/>
  <c r="O955" i="3"/>
  <c r="N955" i="3"/>
  <c r="AD954" i="3"/>
  <c r="AD953" i="3"/>
  <c r="O953" i="3"/>
  <c r="N953" i="3"/>
  <c r="AD952" i="3"/>
  <c r="O952" i="3"/>
  <c r="AD951" i="3"/>
  <c r="O951" i="3"/>
  <c r="AD950" i="3"/>
  <c r="O950" i="3"/>
  <c r="AD949" i="3"/>
  <c r="AD948" i="3"/>
  <c r="O948" i="3"/>
  <c r="N948" i="3"/>
  <c r="AD947" i="3"/>
  <c r="O947" i="3"/>
  <c r="N947" i="3"/>
  <c r="AD946" i="3"/>
  <c r="O946" i="3"/>
  <c r="N946" i="3"/>
  <c r="AD945" i="3"/>
  <c r="O945" i="3"/>
  <c r="N945" i="3"/>
  <c r="AD944" i="3"/>
  <c r="O944" i="3"/>
  <c r="N944" i="3"/>
  <c r="AD943" i="3"/>
  <c r="O943" i="3"/>
  <c r="N943" i="3"/>
  <c r="AD942" i="3"/>
  <c r="O942" i="3"/>
  <c r="N942" i="3"/>
  <c r="AD941" i="3"/>
  <c r="O941" i="3"/>
  <c r="N941" i="3"/>
  <c r="AD940" i="3"/>
  <c r="O940" i="3"/>
  <c r="N940" i="3"/>
  <c r="AD939" i="3"/>
  <c r="O939" i="3"/>
  <c r="N939" i="3"/>
  <c r="AD938" i="3"/>
  <c r="O938" i="3"/>
  <c r="N938" i="3"/>
  <c r="AD937" i="3"/>
  <c r="O937" i="3"/>
  <c r="N937" i="3"/>
  <c r="AD936" i="3"/>
  <c r="O936" i="3"/>
  <c r="N936" i="3"/>
  <c r="AD935" i="3"/>
  <c r="O935" i="3"/>
  <c r="N935" i="3"/>
  <c r="AD934" i="3"/>
  <c r="O934" i="3"/>
  <c r="N934" i="3"/>
  <c r="AD933" i="3"/>
  <c r="O933" i="3"/>
  <c r="N933" i="3"/>
  <c r="AD932" i="3"/>
  <c r="O932" i="3"/>
  <c r="N932" i="3"/>
  <c r="AD931" i="3"/>
  <c r="O931" i="3"/>
  <c r="N931" i="3"/>
  <c r="AD930" i="3"/>
  <c r="O930" i="3"/>
  <c r="N930" i="3"/>
  <c r="AD929" i="3"/>
  <c r="O929" i="3"/>
  <c r="N929" i="3"/>
  <c r="AD928" i="3"/>
  <c r="O928" i="3"/>
  <c r="N928" i="3"/>
  <c r="AD927" i="3"/>
  <c r="O927" i="3"/>
  <c r="N927" i="3"/>
  <c r="AD926" i="3"/>
  <c r="O926" i="3"/>
  <c r="N926" i="3"/>
  <c r="AD925" i="3"/>
  <c r="O925" i="3"/>
  <c r="N925" i="3"/>
  <c r="AD924" i="3"/>
  <c r="O924" i="3"/>
  <c r="N924" i="3"/>
  <c r="AD923" i="3"/>
  <c r="O923" i="3"/>
  <c r="N923" i="3"/>
  <c r="AD922" i="3"/>
  <c r="O922" i="3"/>
  <c r="AD921" i="3"/>
  <c r="O921" i="3"/>
  <c r="AD920" i="3"/>
  <c r="O920" i="3"/>
  <c r="AD919" i="3"/>
  <c r="O919" i="3"/>
  <c r="N919" i="3"/>
  <c r="AD918" i="3"/>
  <c r="O918" i="3"/>
  <c r="N918" i="3"/>
  <c r="AD917" i="3"/>
  <c r="O917" i="3"/>
  <c r="N917" i="3"/>
  <c r="AD916" i="3"/>
  <c r="O916" i="3"/>
  <c r="N916" i="3"/>
  <c r="AD915" i="3"/>
  <c r="O915" i="3"/>
  <c r="N915" i="3"/>
  <c r="AD914" i="3"/>
  <c r="O914" i="3"/>
  <c r="N914" i="3"/>
  <c r="AD913" i="3"/>
  <c r="O913" i="3"/>
  <c r="N913" i="3"/>
  <c r="AD912" i="3"/>
  <c r="O912" i="3"/>
  <c r="N912" i="3"/>
  <c r="AD911" i="3"/>
  <c r="O911" i="3"/>
  <c r="N911" i="3"/>
  <c r="AD910" i="3"/>
  <c r="O910" i="3"/>
  <c r="N910" i="3"/>
  <c r="AD909" i="3"/>
  <c r="O909" i="3"/>
  <c r="N909" i="3"/>
  <c r="AD908" i="3"/>
  <c r="O908" i="3"/>
  <c r="N908" i="3"/>
  <c r="AD907" i="3"/>
  <c r="O907" i="3"/>
  <c r="N907" i="3"/>
  <c r="AD906" i="3"/>
  <c r="O906" i="3"/>
  <c r="N906" i="3"/>
  <c r="AD905" i="3"/>
  <c r="O905" i="3"/>
  <c r="N905" i="3"/>
  <c r="AD904" i="3"/>
  <c r="O904" i="3"/>
  <c r="N904" i="3"/>
  <c r="AD903" i="3"/>
  <c r="O903" i="3"/>
  <c r="N903" i="3"/>
  <c r="AD902" i="3"/>
  <c r="AD901" i="3"/>
  <c r="AD900" i="3"/>
  <c r="O900" i="3"/>
  <c r="N900" i="3"/>
  <c r="AD899" i="3"/>
  <c r="O899" i="3"/>
  <c r="N899" i="3"/>
  <c r="AD898" i="3"/>
  <c r="O898" i="3"/>
  <c r="N898" i="3"/>
  <c r="AD897" i="3"/>
  <c r="O897" i="3"/>
  <c r="N897" i="3"/>
  <c r="AD896" i="3"/>
  <c r="O896" i="3"/>
  <c r="N896" i="3"/>
  <c r="AD895" i="3"/>
  <c r="O895" i="3"/>
  <c r="N895" i="3"/>
  <c r="AD894" i="3"/>
  <c r="O894" i="3"/>
  <c r="N894" i="3"/>
  <c r="AD893" i="3"/>
  <c r="O893" i="3"/>
  <c r="N893" i="3"/>
  <c r="AD892" i="3"/>
  <c r="O892" i="3"/>
  <c r="N892" i="3"/>
  <c r="AD891" i="3"/>
  <c r="O891" i="3"/>
  <c r="N891" i="3"/>
  <c r="AD890" i="3"/>
  <c r="O890" i="3"/>
  <c r="N890" i="3"/>
  <c r="AD889" i="3"/>
  <c r="O889" i="3"/>
  <c r="N889" i="3"/>
  <c r="AD888" i="3"/>
  <c r="O888" i="3"/>
  <c r="N888" i="3"/>
  <c r="AD887" i="3"/>
  <c r="O887" i="3"/>
  <c r="N887" i="3"/>
  <c r="AD886" i="3"/>
  <c r="O886" i="3"/>
  <c r="N886" i="3"/>
  <c r="AD885" i="3"/>
  <c r="O885" i="3"/>
  <c r="N885" i="3"/>
  <c r="AD884" i="3"/>
  <c r="O884" i="3"/>
  <c r="N884" i="3"/>
  <c r="AD883" i="3"/>
  <c r="O883" i="3"/>
  <c r="N883" i="3"/>
  <c r="AD882" i="3"/>
  <c r="O882" i="3"/>
  <c r="N882" i="3"/>
  <c r="AD881" i="3"/>
  <c r="O881" i="3"/>
  <c r="N881" i="3"/>
  <c r="AD880" i="3"/>
  <c r="O880" i="3"/>
  <c r="N880" i="3"/>
  <c r="AD879" i="3"/>
  <c r="N879" i="3"/>
  <c r="AD878" i="3"/>
  <c r="N878" i="3"/>
  <c r="AD877" i="3"/>
  <c r="N877" i="3"/>
  <c r="AD876" i="3"/>
  <c r="N876" i="3"/>
  <c r="AD875" i="3"/>
  <c r="O875" i="3"/>
  <c r="N875" i="3"/>
  <c r="AD874" i="3"/>
  <c r="O874" i="3"/>
  <c r="N874" i="3"/>
  <c r="AD873" i="3"/>
  <c r="O873" i="3"/>
  <c r="AD872" i="3"/>
  <c r="O872" i="3"/>
  <c r="AD871" i="3"/>
  <c r="O871" i="3"/>
  <c r="N871" i="3"/>
  <c r="AD870" i="3"/>
  <c r="O870" i="3"/>
  <c r="N870" i="3"/>
  <c r="AD869" i="3"/>
  <c r="O869" i="3"/>
  <c r="N869" i="3"/>
  <c r="AD868" i="3"/>
  <c r="O868" i="3"/>
  <c r="N868" i="3"/>
  <c r="AD867" i="3"/>
  <c r="O867" i="3"/>
  <c r="N867" i="3"/>
  <c r="AD866" i="3"/>
  <c r="O866" i="3"/>
  <c r="N866" i="3"/>
  <c r="AD865" i="3"/>
  <c r="O865" i="3"/>
  <c r="N865" i="3"/>
  <c r="AD864" i="3"/>
  <c r="O864" i="3"/>
  <c r="AD863" i="3"/>
  <c r="O863" i="3"/>
  <c r="AD862" i="3"/>
  <c r="O862" i="3"/>
  <c r="AD861" i="3"/>
  <c r="O861" i="3"/>
  <c r="N861" i="3"/>
  <c r="AD860" i="3"/>
  <c r="O860" i="3"/>
  <c r="N860" i="3"/>
  <c r="AD859" i="3"/>
  <c r="O859" i="3"/>
  <c r="N859" i="3"/>
  <c r="AD858" i="3"/>
  <c r="O858" i="3"/>
  <c r="N858" i="3"/>
  <c r="AD857" i="3"/>
  <c r="O857" i="3"/>
  <c r="N857" i="3"/>
  <c r="AD856" i="3"/>
  <c r="O856" i="3"/>
  <c r="AD855" i="3"/>
  <c r="O855" i="3"/>
  <c r="N855" i="3"/>
  <c r="AD854" i="3"/>
  <c r="O854" i="3"/>
  <c r="N854" i="3"/>
  <c r="AD853" i="3"/>
  <c r="O853" i="3"/>
  <c r="N853" i="3"/>
  <c r="AD852" i="3"/>
  <c r="O852" i="3"/>
  <c r="N852" i="3"/>
  <c r="AD851" i="3"/>
  <c r="O851" i="3"/>
  <c r="N851" i="3"/>
  <c r="AD850" i="3"/>
  <c r="O850" i="3"/>
  <c r="N850" i="3"/>
  <c r="AD849" i="3"/>
  <c r="O849" i="3"/>
  <c r="N849" i="3"/>
  <c r="AD848" i="3"/>
  <c r="AD847" i="3"/>
  <c r="AD846" i="3"/>
  <c r="O846" i="3"/>
  <c r="N846" i="3"/>
  <c r="AD845" i="3"/>
  <c r="O845" i="3"/>
  <c r="N845" i="3"/>
  <c r="AD844" i="3"/>
  <c r="O844" i="3"/>
  <c r="N844" i="3"/>
  <c r="AD843" i="3"/>
  <c r="O843" i="3"/>
  <c r="AD842" i="3"/>
  <c r="O842" i="3"/>
  <c r="AD841" i="3"/>
  <c r="O841" i="3"/>
  <c r="AD840" i="3"/>
  <c r="O840" i="3"/>
  <c r="AD839" i="3"/>
  <c r="O839" i="3"/>
  <c r="AD838" i="3"/>
  <c r="O838" i="3"/>
  <c r="N838" i="3"/>
  <c r="AD837" i="3"/>
  <c r="O837" i="3"/>
  <c r="N837" i="3"/>
  <c r="AD836" i="3"/>
  <c r="O836" i="3"/>
  <c r="N836" i="3"/>
  <c r="AD835" i="3"/>
  <c r="O835" i="3"/>
  <c r="N835" i="3"/>
  <c r="AD834" i="3"/>
  <c r="O834" i="3"/>
  <c r="N834" i="3"/>
  <c r="AD833" i="3"/>
  <c r="O833" i="3"/>
  <c r="N833" i="3"/>
  <c r="AD832" i="3"/>
  <c r="O832" i="3"/>
  <c r="AD831" i="3"/>
  <c r="O831" i="3"/>
  <c r="AD830" i="3"/>
  <c r="O830" i="3"/>
  <c r="AD829" i="3"/>
  <c r="O829" i="3"/>
  <c r="AD828" i="3"/>
  <c r="O828" i="3"/>
  <c r="AD827" i="3"/>
  <c r="O827" i="3"/>
  <c r="AD826" i="3"/>
  <c r="O826" i="3"/>
  <c r="AD825" i="3"/>
  <c r="O825" i="3"/>
  <c r="AD824" i="3"/>
  <c r="O824" i="3"/>
  <c r="AD823" i="3"/>
  <c r="O823" i="3"/>
  <c r="AD822" i="3"/>
  <c r="O822" i="3"/>
  <c r="AD821" i="3"/>
  <c r="O821" i="3"/>
  <c r="AD820" i="3"/>
  <c r="O820" i="3"/>
  <c r="AD819" i="3"/>
  <c r="O819" i="3"/>
  <c r="AD818" i="3"/>
  <c r="O818" i="3"/>
  <c r="AD817" i="3"/>
  <c r="O817" i="3"/>
  <c r="N817" i="3"/>
  <c r="AD816" i="3"/>
  <c r="O816" i="3"/>
  <c r="N816" i="3"/>
  <c r="AD815" i="3"/>
  <c r="O815" i="3"/>
  <c r="N815" i="3"/>
  <c r="AD814" i="3"/>
  <c r="O814" i="3"/>
  <c r="AD813" i="3"/>
  <c r="O813" i="3"/>
  <c r="AD812" i="3"/>
  <c r="O812" i="3"/>
  <c r="AD811" i="3"/>
  <c r="O811" i="3"/>
  <c r="AD810" i="3"/>
  <c r="O810" i="3"/>
  <c r="AD809" i="3"/>
  <c r="O809" i="3"/>
  <c r="AD808" i="3"/>
  <c r="O808" i="3"/>
  <c r="AD807" i="3"/>
  <c r="O807" i="3"/>
  <c r="AD806" i="3"/>
  <c r="O806" i="3"/>
  <c r="AD805" i="3"/>
  <c r="O805" i="3"/>
  <c r="AD804" i="3"/>
  <c r="O804" i="3"/>
  <c r="AD803" i="3"/>
  <c r="AD802" i="3"/>
  <c r="O802" i="3"/>
  <c r="N802" i="3"/>
  <c r="AD801" i="3"/>
  <c r="O801" i="3"/>
  <c r="N801" i="3"/>
  <c r="AD800" i="3"/>
  <c r="O800" i="3"/>
  <c r="N800" i="3"/>
  <c r="AD799" i="3"/>
  <c r="O799" i="3"/>
  <c r="N799" i="3"/>
  <c r="AD798" i="3"/>
  <c r="O798" i="3"/>
  <c r="N798" i="3"/>
  <c r="AD797" i="3"/>
  <c r="O797" i="3"/>
  <c r="AD796" i="3"/>
  <c r="O796" i="3"/>
  <c r="AD795" i="3"/>
  <c r="O795" i="3"/>
  <c r="AD794" i="3"/>
  <c r="O794" i="3"/>
  <c r="AD793" i="3"/>
  <c r="O793" i="3"/>
  <c r="AD792" i="3"/>
  <c r="O792" i="3"/>
  <c r="AD791" i="3"/>
  <c r="O791" i="3"/>
  <c r="AD790" i="3"/>
  <c r="O790" i="3"/>
  <c r="N790" i="3"/>
  <c r="AD789" i="3"/>
  <c r="O789" i="3"/>
  <c r="N789" i="3"/>
  <c r="AD788" i="3"/>
  <c r="O788" i="3"/>
  <c r="N788" i="3"/>
  <c r="AD787" i="3"/>
  <c r="O787" i="3"/>
  <c r="N787" i="3"/>
  <c r="AD786" i="3"/>
  <c r="O786" i="3"/>
  <c r="N786" i="3"/>
  <c r="AD785" i="3"/>
  <c r="O785" i="3"/>
  <c r="N785" i="3"/>
  <c r="AD784" i="3"/>
  <c r="O784" i="3"/>
  <c r="N784" i="3"/>
  <c r="AD783" i="3"/>
  <c r="O783" i="3"/>
  <c r="N783" i="3"/>
  <c r="AD782" i="3"/>
  <c r="O782" i="3"/>
  <c r="N782" i="3"/>
  <c r="AD781" i="3"/>
  <c r="O781" i="3"/>
  <c r="N781" i="3"/>
  <c r="AD780" i="3"/>
  <c r="O780" i="3"/>
  <c r="N780" i="3"/>
  <c r="AD779" i="3"/>
  <c r="O779" i="3"/>
  <c r="N779" i="3"/>
  <c r="AD778" i="3"/>
  <c r="O778" i="3"/>
  <c r="N778" i="3"/>
  <c r="AD777" i="3"/>
  <c r="O777" i="3"/>
  <c r="N777" i="3"/>
  <c r="AD776" i="3"/>
  <c r="O776" i="3"/>
  <c r="N776" i="3"/>
  <c r="AD775" i="3"/>
  <c r="O775" i="3"/>
  <c r="AD774" i="3"/>
  <c r="O774" i="3"/>
  <c r="AD773" i="3"/>
  <c r="O773" i="3"/>
  <c r="N773" i="3"/>
  <c r="AD772" i="3"/>
  <c r="O772" i="3"/>
  <c r="N772" i="3"/>
  <c r="AD771" i="3"/>
  <c r="O771" i="3"/>
  <c r="N771" i="3"/>
  <c r="AD770" i="3"/>
  <c r="AD769" i="3"/>
  <c r="AD768" i="3"/>
  <c r="O768" i="3"/>
  <c r="N768" i="3"/>
  <c r="AD767" i="3"/>
  <c r="O767" i="3"/>
  <c r="N767" i="3"/>
  <c r="AD766" i="3"/>
  <c r="O766" i="3"/>
  <c r="N766" i="3"/>
  <c r="AD765" i="3"/>
  <c r="O765" i="3"/>
  <c r="AD764" i="3"/>
  <c r="O764" i="3"/>
  <c r="AD763" i="3"/>
  <c r="O763" i="3"/>
  <c r="N763" i="3"/>
  <c r="AD762" i="3"/>
  <c r="O762" i="3"/>
  <c r="N762" i="3"/>
  <c r="AD761" i="3"/>
  <c r="O761" i="3"/>
  <c r="N761" i="3"/>
  <c r="AD760" i="3"/>
  <c r="O760" i="3"/>
  <c r="N760" i="3"/>
  <c r="AD759" i="3"/>
  <c r="O759" i="3"/>
  <c r="N759" i="3"/>
  <c r="AD758" i="3"/>
  <c r="O758" i="3"/>
  <c r="N758" i="3"/>
  <c r="AD757" i="3"/>
  <c r="O757" i="3"/>
  <c r="N757" i="3"/>
  <c r="AD756" i="3"/>
  <c r="O756" i="3"/>
  <c r="N756" i="3"/>
  <c r="AD755" i="3"/>
  <c r="O755" i="3"/>
  <c r="N755" i="3"/>
  <c r="AD754" i="3"/>
  <c r="O754" i="3"/>
  <c r="N754" i="3"/>
  <c r="AD753" i="3"/>
  <c r="O753" i="3"/>
  <c r="N753" i="3"/>
  <c r="AD752" i="3"/>
  <c r="O752" i="3"/>
  <c r="N752" i="3"/>
  <c r="AD751" i="3"/>
  <c r="O751" i="3"/>
  <c r="N751" i="3"/>
  <c r="AD750" i="3"/>
  <c r="O750" i="3"/>
  <c r="N750" i="3"/>
  <c r="AD749" i="3"/>
  <c r="O749" i="3"/>
  <c r="N749" i="3"/>
  <c r="AD748" i="3"/>
  <c r="O748" i="3"/>
  <c r="N748" i="3"/>
  <c r="AD747" i="3"/>
  <c r="AD746" i="3"/>
  <c r="O746" i="3"/>
  <c r="N746" i="3"/>
  <c r="AD745" i="3"/>
  <c r="O745" i="3"/>
  <c r="N745" i="3"/>
  <c r="AD744" i="3"/>
  <c r="O744" i="3"/>
  <c r="N744" i="3"/>
  <c r="AD743" i="3"/>
  <c r="O743" i="3"/>
  <c r="AD742" i="3"/>
  <c r="O742" i="3"/>
  <c r="AD741" i="3"/>
  <c r="O741" i="3"/>
  <c r="AD740" i="3"/>
  <c r="O740" i="3"/>
  <c r="AD739" i="3"/>
  <c r="O739" i="3"/>
  <c r="AD738" i="3"/>
  <c r="O738" i="3"/>
  <c r="AD737" i="3"/>
  <c r="O737" i="3"/>
  <c r="N737" i="3"/>
  <c r="AD736" i="3"/>
  <c r="O736" i="3"/>
  <c r="N736" i="3"/>
  <c r="AD735" i="3"/>
  <c r="O735" i="3"/>
  <c r="N735" i="3"/>
  <c r="AD734" i="3"/>
  <c r="O734" i="3"/>
  <c r="N734" i="3"/>
  <c r="AD733" i="3"/>
  <c r="O733" i="3"/>
  <c r="AD732" i="3"/>
  <c r="O732" i="3"/>
  <c r="AD731" i="3"/>
  <c r="O731" i="3"/>
  <c r="AD730" i="3"/>
  <c r="O730" i="3"/>
  <c r="N730" i="3"/>
  <c r="AD729" i="3"/>
  <c r="O729" i="3"/>
  <c r="N729" i="3"/>
  <c r="AD728" i="3"/>
  <c r="O728" i="3"/>
  <c r="N728" i="3"/>
  <c r="AD727" i="3"/>
  <c r="O727" i="3"/>
  <c r="AD726" i="3"/>
  <c r="O726" i="3"/>
  <c r="N726" i="3"/>
  <c r="AD725" i="3"/>
  <c r="O725" i="3"/>
  <c r="N725" i="3"/>
  <c r="AD724" i="3"/>
  <c r="O724" i="3"/>
  <c r="AD723" i="3"/>
  <c r="O723" i="3"/>
  <c r="AD722" i="3"/>
  <c r="AD721" i="3"/>
  <c r="AD720" i="3"/>
  <c r="AD719" i="3"/>
  <c r="O719" i="3"/>
  <c r="N719" i="3"/>
  <c r="AD718" i="3"/>
  <c r="O718" i="3"/>
  <c r="N718" i="3"/>
  <c r="AD717" i="3"/>
  <c r="O717" i="3"/>
  <c r="N717" i="3"/>
  <c r="AD716" i="3"/>
  <c r="O716" i="3"/>
  <c r="N716" i="3"/>
  <c r="AD715" i="3"/>
  <c r="O715" i="3"/>
  <c r="N715" i="3"/>
  <c r="AD714" i="3"/>
  <c r="O714" i="3"/>
  <c r="AD713" i="3"/>
  <c r="O713" i="3"/>
  <c r="AD712" i="3"/>
  <c r="O712" i="3"/>
  <c r="AD711" i="3"/>
  <c r="O711" i="3"/>
  <c r="N711" i="3"/>
  <c r="AD710" i="3"/>
  <c r="O710" i="3"/>
  <c r="N710" i="3"/>
  <c r="AD709" i="3"/>
  <c r="O709" i="3"/>
  <c r="N709" i="3"/>
  <c r="AD708" i="3"/>
  <c r="O708" i="3"/>
  <c r="N708" i="3"/>
  <c r="AD707" i="3"/>
  <c r="O707" i="3"/>
  <c r="AD706" i="3"/>
  <c r="O706" i="3"/>
  <c r="AD705" i="3"/>
  <c r="O705" i="3"/>
  <c r="AD704" i="3"/>
  <c r="O704" i="3"/>
  <c r="AD703" i="3"/>
  <c r="O703" i="3"/>
  <c r="N703" i="3"/>
  <c r="AD702" i="3"/>
  <c r="O702" i="3"/>
  <c r="N702" i="3"/>
  <c r="AD701" i="3"/>
  <c r="O701" i="3"/>
  <c r="N701" i="3"/>
  <c r="AD700" i="3"/>
  <c r="O700" i="3"/>
  <c r="N700" i="3"/>
  <c r="AD699" i="3"/>
  <c r="O699" i="3"/>
  <c r="N699" i="3"/>
  <c r="AD698" i="3"/>
  <c r="O698" i="3"/>
  <c r="N698" i="3"/>
  <c r="AD697" i="3"/>
  <c r="O697" i="3"/>
  <c r="N697" i="3"/>
  <c r="AD696" i="3"/>
  <c r="O696" i="3"/>
  <c r="N696" i="3"/>
  <c r="AD695" i="3"/>
  <c r="O695" i="3"/>
  <c r="N695" i="3"/>
  <c r="AD694" i="3"/>
  <c r="O694" i="3"/>
  <c r="N694" i="3"/>
  <c r="AD693" i="3"/>
  <c r="O693" i="3"/>
  <c r="N693" i="3"/>
  <c r="AD692" i="3"/>
  <c r="O692" i="3"/>
  <c r="N692" i="3"/>
  <c r="AD691" i="3"/>
  <c r="O691" i="3"/>
  <c r="N691" i="3"/>
  <c r="AD690" i="3"/>
  <c r="O690" i="3"/>
  <c r="N690" i="3"/>
  <c r="AD689" i="3"/>
  <c r="O689" i="3"/>
  <c r="N689" i="3"/>
  <c r="AD688" i="3"/>
  <c r="O688" i="3"/>
  <c r="N688" i="3"/>
  <c r="AD687" i="3"/>
  <c r="O687" i="3"/>
  <c r="N687" i="3"/>
  <c r="AD686" i="3"/>
  <c r="O686" i="3"/>
  <c r="N686" i="3"/>
  <c r="AD685" i="3"/>
  <c r="O685" i="3"/>
  <c r="AD684" i="3"/>
  <c r="O684" i="3"/>
  <c r="AD683" i="3"/>
  <c r="O683" i="3"/>
  <c r="AD682" i="3"/>
  <c r="O682" i="3"/>
  <c r="AD681" i="3"/>
  <c r="O681" i="3"/>
  <c r="N681" i="3"/>
  <c r="AD680" i="3"/>
  <c r="O680" i="3"/>
  <c r="N680" i="3"/>
  <c r="AD679" i="3"/>
  <c r="O679" i="3"/>
  <c r="AD678" i="3"/>
  <c r="O678" i="3"/>
  <c r="AD677" i="3"/>
  <c r="O677" i="3"/>
  <c r="AD676" i="3"/>
  <c r="O676" i="3"/>
  <c r="AD675" i="3"/>
  <c r="O675" i="3"/>
  <c r="AD674" i="3"/>
  <c r="O674" i="3"/>
  <c r="AD673" i="3"/>
  <c r="O673" i="3"/>
  <c r="AD672" i="3"/>
  <c r="O672" i="3"/>
  <c r="AD671" i="3"/>
  <c r="O671" i="3"/>
  <c r="AD670" i="3"/>
  <c r="O670" i="3"/>
  <c r="AD669" i="3"/>
  <c r="O669" i="3"/>
  <c r="AD668" i="3"/>
  <c r="O668" i="3"/>
  <c r="AD667" i="3"/>
  <c r="O667" i="3"/>
  <c r="AD666" i="3"/>
  <c r="O666" i="3"/>
  <c r="AD665" i="3"/>
  <c r="O665" i="3"/>
  <c r="N665" i="3"/>
  <c r="AD664" i="3"/>
  <c r="O664" i="3"/>
  <c r="AD663" i="3"/>
  <c r="O663" i="3"/>
  <c r="AD662" i="3"/>
  <c r="O662" i="3"/>
  <c r="AD661" i="3"/>
  <c r="O661" i="3"/>
  <c r="AD660" i="3"/>
  <c r="O660" i="3"/>
  <c r="AD659" i="3"/>
  <c r="O659" i="3"/>
  <c r="AD658" i="3"/>
  <c r="O658" i="3"/>
  <c r="AD657" i="3"/>
  <c r="O657" i="3"/>
  <c r="AD656" i="3"/>
  <c r="O656" i="3"/>
  <c r="AD655" i="3"/>
  <c r="O655" i="3"/>
  <c r="AD654" i="3"/>
  <c r="O654" i="3"/>
  <c r="AD653" i="3"/>
  <c r="O653" i="3"/>
  <c r="N653" i="3"/>
  <c r="AD652" i="3"/>
  <c r="O652" i="3"/>
  <c r="N652" i="3"/>
  <c r="AD651" i="3"/>
  <c r="O651" i="3"/>
  <c r="N651" i="3"/>
  <c r="AD650" i="3"/>
  <c r="O650" i="3"/>
  <c r="AD649" i="3"/>
  <c r="O649" i="3"/>
  <c r="AD648" i="3"/>
  <c r="O648" i="3"/>
  <c r="AD647" i="3"/>
  <c r="O647" i="3"/>
  <c r="N647" i="3"/>
  <c r="AD646" i="3"/>
  <c r="O646" i="3"/>
  <c r="N646" i="3"/>
  <c r="AD645" i="3"/>
  <c r="O645" i="3"/>
  <c r="N645" i="3"/>
  <c r="AD644" i="3"/>
  <c r="O644" i="3"/>
  <c r="N644" i="3"/>
  <c r="AD643" i="3"/>
  <c r="O643" i="3"/>
  <c r="N643" i="3"/>
  <c r="AD642" i="3"/>
  <c r="O642" i="3"/>
  <c r="N642" i="3"/>
  <c r="AD641" i="3"/>
  <c r="O641" i="3"/>
  <c r="N641" i="3"/>
  <c r="AD640" i="3"/>
  <c r="O640" i="3"/>
  <c r="N640" i="3"/>
  <c r="AD639" i="3"/>
  <c r="O639" i="3"/>
  <c r="N639" i="3"/>
  <c r="AD638" i="3"/>
  <c r="O638" i="3"/>
  <c r="N638" i="3"/>
  <c r="AD637" i="3"/>
  <c r="O637" i="3"/>
  <c r="N637" i="3"/>
  <c r="AD636" i="3"/>
  <c r="O636" i="3"/>
  <c r="N636" i="3"/>
  <c r="AD635" i="3"/>
  <c r="O635" i="3"/>
  <c r="N635" i="3"/>
  <c r="AD634" i="3"/>
  <c r="O634" i="3"/>
  <c r="N634" i="3"/>
  <c r="AD633" i="3"/>
  <c r="O633" i="3"/>
  <c r="N633" i="3"/>
  <c r="AD632" i="3"/>
  <c r="O632" i="3"/>
  <c r="AD631" i="3"/>
  <c r="O631" i="3"/>
  <c r="N631" i="3"/>
  <c r="AD630" i="3"/>
  <c r="O630" i="3"/>
  <c r="N630" i="3"/>
  <c r="AD629" i="3"/>
  <c r="O629" i="3"/>
  <c r="N629" i="3"/>
  <c r="AD628" i="3"/>
  <c r="O628" i="3"/>
  <c r="N628" i="3"/>
  <c r="AD627" i="3"/>
  <c r="O627" i="3"/>
  <c r="N627" i="3"/>
  <c r="AD626" i="3"/>
  <c r="O626" i="3"/>
  <c r="N626" i="3"/>
  <c r="AD625" i="3"/>
  <c r="O625" i="3"/>
  <c r="N625" i="3"/>
  <c r="AD624" i="3"/>
  <c r="O624" i="3"/>
  <c r="N624" i="3"/>
  <c r="AD623" i="3"/>
  <c r="O623" i="3"/>
  <c r="N623" i="3"/>
  <c r="AD622" i="3"/>
  <c r="O622" i="3"/>
  <c r="N622" i="3"/>
  <c r="AD621" i="3"/>
  <c r="O621" i="3"/>
  <c r="N621" i="3"/>
  <c r="AD620" i="3"/>
  <c r="O620" i="3"/>
  <c r="N620" i="3"/>
  <c r="AD619" i="3"/>
  <c r="O619" i="3"/>
  <c r="N619" i="3"/>
  <c r="AD618" i="3"/>
  <c r="AD617" i="3"/>
  <c r="O617" i="3"/>
  <c r="N617" i="3"/>
  <c r="AD616" i="3"/>
  <c r="O616" i="3"/>
  <c r="N616" i="3"/>
  <c r="AD615" i="3"/>
  <c r="O615" i="3"/>
  <c r="N615" i="3"/>
  <c r="AD614" i="3"/>
  <c r="O614" i="3"/>
  <c r="N614" i="3"/>
  <c r="AD613" i="3"/>
  <c r="O613" i="3"/>
  <c r="N613" i="3"/>
  <c r="AD612" i="3"/>
  <c r="O612" i="3"/>
  <c r="N612" i="3"/>
  <c r="AD611" i="3"/>
  <c r="O611" i="3"/>
  <c r="N611" i="3"/>
  <c r="AD610" i="3"/>
  <c r="O610" i="3"/>
  <c r="N610" i="3"/>
  <c r="AD609" i="3"/>
  <c r="O609" i="3"/>
  <c r="N609" i="3"/>
  <c r="AD608" i="3"/>
  <c r="O608" i="3"/>
  <c r="N608" i="3"/>
  <c r="AD607" i="3"/>
  <c r="O607" i="3"/>
  <c r="N607" i="3"/>
  <c r="AD606" i="3"/>
  <c r="O606" i="3"/>
  <c r="N606" i="3"/>
  <c r="AD605" i="3"/>
  <c r="O605" i="3"/>
  <c r="N605" i="3"/>
  <c r="AD604" i="3"/>
  <c r="O604" i="3"/>
  <c r="N604" i="3"/>
  <c r="AD603" i="3"/>
  <c r="O603" i="3"/>
  <c r="N603" i="3"/>
  <c r="AD602" i="3"/>
  <c r="O602" i="3"/>
  <c r="N602" i="3"/>
  <c r="AD601" i="3"/>
  <c r="O601" i="3"/>
  <c r="N601" i="3"/>
  <c r="AD600" i="3"/>
  <c r="O600" i="3"/>
  <c r="N600" i="3"/>
  <c r="AD599" i="3"/>
  <c r="O599" i="3"/>
  <c r="N599" i="3"/>
  <c r="AD598" i="3"/>
  <c r="O598" i="3"/>
  <c r="N598" i="3"/>
  <c r="AD597" i="3"/>
  <c r="O597" i="3"/>
  <c r="N597" i="3"/>
  <c r="AD596" i="3"/>
  <c r="O596" i="3"/>
  <c r="N596" i="3"/>
  <c r="AD595" i="3"/>
  <c r="O595" i="3"/>
  <c r="N595" i="3"/>
  <c r="AD594" i="3"/>
  <c r="O594" i="3"/>
  <c r="N594" i="3"/>
  <c r="AD593" i="3"/>
  <c r="O593" i="3"/>
  <c r="N593" i="3"/>
  <c r="AD592" i="3"/>
  <c r="O592" i="3"/>
  <c r="N592" i="3"/>
  <c r="AD591" i="3"/>
  <c r="O591" i="3"/>
  <c r="N591" i="3"/>
  <c r="AD590" i="3"/>
  <c r="O590" i="3"/>
  <c r="N590" i="3"/>
  <c r="AD589" i="3"/>
  <c r="O589" i="3"/>
  <c r="AD588" i="3"/>
  <c r="O588" i="3"/>
  <c r="AD587" i="3"/>
  <c r="O587" i="3"/>
  <c r="N587" i="3"/>
  <c r="AD586" i="3"/>
  <c r="O586" i="3"/>
  <c r="N586" i="3"/>
  <c r="AD585" i="3"/>
  <c r="O585" i="3"/>
  <c r="N585" i="3"/>
  <c r="AD584" i="3"/>
  <c r="O584" i="3"/>
  <c r="N584" i="3"/>
  <c r="AD583" i="3"/>
  <c r="O583" i="3"/>
  <c r="N583" i="3"/>
  <c r="AD582" i="3"/>
  <c r="O582" i="3"/>
  <c r="N582" i="3"/>
  <c r="AD581" i="3"/>
  <c r="O581" i="3"/>
  <c r="N581" i="3"/>
  <c r="AD580" i="3"/>
  <c r="AD579" i="3"/>
  <c r="O579" i="3"/>
  <c r="N579" i="3"/>
  <c r="AD578" i="3"/>
  <c r="O578" i="3"/>
  <c r="N578" i="3"/>
  <c r="AD577" i="3"/>
  <c r="O577" i="3"/>
  <c r="N577" i="3"/>
  <c r="AD576" i="3"/>
  <c r="O576" i="3"/>
  <c r="N576" i="3"/>
  <c r="AD575" i="3"/>
  <c r="O575" i="3"/>
  <c r="N575" i="3"/>
  <c r="AD574" i="3"/>
  <c r="O574" i="3"/>
  <c r="N574" i="3"/>
  <c r="AD573" i="3"/>
  <c r="O573" i="3"/>
  <c r="AD572" i="3"/>
  <c r="O572" i="3"/>
  <c r="AD571" i="3"/>
  <c r="O571" i="3"/>
  <c r="AD570" i="3"/>
  <c r="O570" i="3"/>
  <c r="AD569" i="3"/>
  <c r="O569" i="3"/>
  <c r="AD568" i="3"/>
  <c r="O568" i="3"/>
  <c r="AD567" i="3"/>
  <c r="O567" i="3"/>
  <c r="N567" i="3"/>
  <c r="AD566" i="3"/>
  <c r="O566" i="3"/>
  <c r="N566" i="3"/>
  <c r="AD565" i="3"/>
  <c r="O565" i="3"/>
  <c r="N565" i="3"/>
  <c r="AD564" i="3"/>
  <c r="O564" i="3"/>
  <c r="N564" i="3"/>
  <c r="AD563" i="3"/>
  <c r="O563" i="3"/>
  <c r="AD562" i="3"/>
  <c r="O562" i="3"/>
  <c r="AD561" i="3"/>
  <c r="O561" i="3"/>
  <c r="AD560" i="3"/>
  <c r="O560" i="3"/>
  <c r="AD559" i="3"/>
  <c r="O559" i="3"/>
  <c r="N559" i="3"/>
  <c r="AD558" i="3"/>
  <c r="O558" i="3"/>
  <c r="N558" i="3"/>
  <c r="AD557" i="3"/>
  <c r="O557" i="3"/>
  <c r="N557" i="3"/>
  <c r="AD556" i="3"/>
  <c r="O556" i="3"/>
  <c r="N556" i="3"/>
  <c r="AD555" i="3"/>
  <c r="O555" i="3"/>
  <c r="N555" i="3"/>
  <c r="AD554" i="3"/>
  <c r="O554" i="3"/>
  <c r="N554" i="3"/>
  <c r="AD553" i="3"/>
  <c r="O553" i="3"/>
  <c r="N553" i="3"/>
  <c r="AD552" i="3"/>
  <c r="O552" i="3"/>
  <c r="AD551" i="3"/>
  <c r="O551" i="3"/>
  <c r="AD550" i="3"/>
  <c r="O550" i="3"/>
  <c r="AD549" i="3"/>
  <c r="O549" i="3"/>
  <c r="N549" i="3"/>
  <c r="AD548" i="3"/>
  <c r="O548" i="3"/>
  <c r="N548" i="3"/>
  <c r="AD547" i="3"/>
  <c r="O547" i="3"/>
  <c r="N547" i="3"/>
  <c r="AD546" i="3"/>
  <c r="O546" i="3"/>
  <c r="N546" i="3"/>
  <c r="AD545" i="3"/>
  <c r="O545" i="3"/>
  <c r="N545" i="3"/>
  <c r="AD544" i="3"/>
  <c r="O544" i="3"/>
  <c r="N544" i="3"/>
  <c r="AD543" i="3"/>
  <c r="O543" i="3"/>
  <c r="N543" i="3"/>
  <c r="AD542" i="3"/>
  <c r="O542" i="3"/>
  <c r="N542" i="3"/>
  <c r="AD541" i="3"/>
  <c r="O541" i="3"/>
  <c r="N541" i="3"/>
  <c r="AD540" i="3"/>
  <c r="O540" i="3"/>
  <c r="N540" i="3"/>
  <c r="AD539" i="3"/>
  <c r="O539" i="3"/>
  <c r="N539" i="3"/>
  <c r="AD538" i="3"/>
  <c r="O538" i="3"/>
  <c r="N538" i="3"/>
  <c r="AD537" i="3"/>
  <c r="O537" i="3"/>
  <c r="N537" i="3"/>
  <c r="AD536" i="3"/>
  <c r="O536" i="3"/>
  <c r="N536" i="3"/>
  <c r="AD535" i="3"/>
  <c r="O535" i="3"/>
  <c r="N535" i="3"/>
  <c r="AD534" i="3"/>
  <c r="O534" i="3"/>
  <c r="N534" i="3"/>
  <c r="AD533" i="3"/>
  <c r="O533" i="3"/>
  <c r="N533" i="3"/>
  <c r="AD532" i="3"/>
  <c r="O532" i="3"/>
  <c r="N532" i="3"/>
  <c r="AD531" i="3"/>
  <c r="O531" i="3"/>
  <c r="N531" i="3"/>
  <c r="AD530" i="3"/>
  <c r="O530" i="3"/>
  <c r="N530" i="3"/>
  <c r="AD529" i="3"/>
  <c r="O529" i="3"/>
  <c r="N529" i="3"/>
  <c r="AD528" i="3"/>
  <c r="O528" i="3"/>
  <c r="N528" i="3"/>
  <c r="AD527" i="3"/>
  <c r="O527" i="3"/>
  <c r="N527" i="3"/>
  <c r="AD526" i="3"/>
  <c r="O526" i="3"/>
  <c r="N526" i="3"/>
  <c r="AD525" i="3"/>
  <c r="O525" i="3"/>
  <c r="N525" i="3"/>
  <c r="AD524" i="3"/>
  <c r="O524" i="3"/>
  <c r="N524" i="3"/>
  <c r="AD523" i="3"/>
  <c r="O523" i="3"/>
  <c r="N523" i="3"/>
  <c r="AD522" i="3"/>
  <c r="O522" i="3"/>
  <c r="N522" i="3"/>
  <c r="AD521" i="3"/>
  <c r="O521" i="3"/>
  <c r="N521" i="3"/>
  <c r="AD520" i="3"/>
  <c r="O520" i="3"/>
  <c r="N520" i="3"/>
  <c r="AD519" i="3"/>
  <c r="O519" i="3"/>
  <c r="N519" i="3"/>
  <c r="AD518" i="3"/>
  <c r="O518" i="3"/>
  <c r="N518" i="3"/>
  <c r="AD517" i="3"/>
  <c r="O517" i="3"/>
  <c r="N517" i="3"/>
  <c r="AD516" i="3"/>
  <c r="O516" i="3"/>
  <c r="N516" i="3"/>
  <c r="AD515" i="3"/>
  <c r="O515" i="3"/>
  <c r="N515" i="3"/>
  <c r="AD514" i="3"/>
  <c r="O514" i="3"/>
  <c r="N514" i="3"/>
  <c r="AD513" i="3"/>
  <c r="O513" i="3"/>
  <c r="N513" i="3"/>
  <c r="AD512" i="3"/>
  <c r="O512" i="3"/>
  <c r="AD511" i="3"/>
  <c r="O511" i="3"/>
  <c r="AD510" i="3"/>
  <c r="O510" i="3"/>
  <c r="N510" i="3"/>
  <c r="AD509" i="3"/>
  <c r="O509" i="3"/>
  <c r="N509" i="3"/>
  <c r="AD508" i="3"/>
  <c r="AD507" i="3"/>
  <c r="AD506" i="3"/>
  <c r="AD505" i="3"/>
  <c r="O505" i="3"/>
  <c r="N505" i="3"/>
  <c r="AD504" i="3"/>
  <c r="O504" i="3"/>
  <c r="N504" i="3"/>
  <c r="AD503" i="3"/>
  <c r="O503" i="3"/>
  <c r="AD502" i="3"/>
  <c r="O502" i="3"/>
  <c r="AD501" i="3"/>
  <c r="O501" i="3"/>
  <c r="AD500" i="3"/>
  <c r="O500" i="3"/>
  <c r="AD499" i="3"/>
  <c r="O499" i="3"/>
  <c r="AD498" i="3"/>
  <c r="O498" i="3"/>
  <c r="AD497" i="3"/>
  <c r="O497" i="3"/>
  <c r="AD496" i="3"/>
  <c r="O496" i="3"/>
  <c r="AD495" i="3"/>
  <c r="O495" i="3"/>
  <c r="N495" i="3"/>
  <c r="AD494" i="3"/>
  <c r="O494" i="3"/>
  <c r="N494" i="3"/>
  <c r="AD493" i="3"/>
  <c r="O493" i="3"/>
  <c r="N493" i="3"/>
  <c r="AD492" i="3"/>
  <c r="O492" i="3"/>
  <c r="N492" i="3"/>
  <c r="AD491" i="3"/>
  <c r="O491" i="3"/>
  <c r="N491" i="3"/>
  <c r="AD490" i="3"/>
  <c r="O490" i="3"/>
  <c r="N490" i="3"/>
  <c r="AD489" i="3"/>
  <c r="O489" i="3"/>
  <c r="N489" i="3"/>
  <c r="AD488" i="3"/>
  <c r="O488" i="3"/>
  <c r="N488" i="3"/>
  <c r="AD487" i="3"/>
  <c r="O487" i="3"/>
  <c r="N487" i="3"/>
  <c r="AD486" i="3"/>
  <c r="O486" i="3"/>
  <c r="N486" i="3"/>
  <c r="AD485" i="3"/>
  <c r="O485" i="3"/>
  <c r="N485" i="3"/>
  <c r="AD484" i="3"/>
  <c r="O484" i="3"/>
  <c r="AD483" i="3"/>
  <c r="O483" i="3"/>
  <c r="AD482" i="3"/>
  <c r="O482" i="3"/>
  <c r="AD481" i="3"/>
  <c r="O481" i="3"/>
  <c r="AD480" i="3"/>
  <c r="O480" i="3"/>
  <c r="AD479" i="3"/>
  <c r="O479" i="3"/>
  <c r="N479" i="3"/>
  <c r="AD478" i="3"/>
  <c r="O478" i="3"/>
  <c r="N478" i="3"/>
  <c r="AD477" i="3"/>
  <c r="O477" i="3"/>
  <c r="N477" i="3"/>
  <c r="AD476" i="3"/>
  <c r="O476" i="3"/>
  <c r="N476" i="3"/>
  <c r="AD475" i="3"/>
  <c r="O475" i="3"/>
  <c r="N475" i="3"/>
  <c r="AD474" i="3"/>
  <c r="O474" i="3"/>
  <c r="N474" i="3"/>
  <c r="AD473" i="3"/>
  <c r="O473" i="3"/>
  <c r="N473" i="3"/>
  <c r="AD472" i="3"/>
  <c r="O472" i="3"/>
  <c r="N472" i="3"/>
  <c r="AD471" i="3"/>
  <c r="O471" i="3"/>
  <c r="N471" i="3"/>
  <c r="AD470" i="3"/>
  <c r="O470" i="3"/>
  <c r="N470" i="3"/>
  <c r="AD469" i="3"/>
  <c r="O469" i="3"/>
  <c r="AD468" i="3"/>
  <c r="O468" i="3"/>
  <c r="AD467" i="3"/>
  <c r="O467" i="3"/>
  <c r="AD466" i="3"/>
  <c r="O466" i="3"/>
  <c r="AD465" i="3"/>
  <c r="O465" i="3"/>
  <c r="AD464" i="3"/>
  <c r="O464" i="3"/>
  <c r="N464" i="3"/>
  <c r="AD463" i="3"/>
  <c r="O463" i="3"/>
  <c r="N463" i="3"/>
  <c r="AD462" i="3"/>
  <c r="O462" i="3"/>
  <c r="N462" i="3"/>
  <c r="AD461" i="3"/>
  <c r="O461" i="3"/>
  <c r="N461" i="3"/>
  <c r="AD460" i="3"/>
  <c r="O460" i="3"/>
  <c r="N460" i="3"/>
  <c r="AD459" i="3"/>
  <c r="O459" i="3"/>
  <c r="N459" i="3"/>
  <c r="AD458" i="3"/>
  <c r="O458" i="3"/>
  <c r="N458" i="3"/>
  <c r="AD457" i="3"/>
  <c r="O457" i="3"/>
  <c r="N457" i="3"/>
  <c r="AD456" i="3"/>
  <c r="O456" i="3"/>
  <c r="N456" i="3"/>
  <c r="AD455" i="3"/>
  <c r="O455" i="3"/>
  <c r="N455" i="3"/>
  <c r="AD454" i="3"/>
  <c r="O454" i="3"/>
  <c r="N454" i="3"/>
  <c r="AD453" i="3"/>
  <c r="O453" i="3"/>
  <c r="N453" i="3"/>
  <c r="AD452" i="3"/>
  <c r="O452" i="3"/>
  <c r="N452" i="3"/>
  <c r="AD451" i="3"/>
  <c r="O451" i="3"/>
  <c r="N451" i="3"/>
  <c r="AD450" i="3"/>
  <c r="O450" i="3"/>
  <c r="N450" i="3"/>
  <c r="AD449" i="3"/>
  <c r="O449" i="3"/>
  <c r="N449" i="3"/>
  <c r="AD448" i="3"/>
  <c r="O448" i="3"/>
  <c r="N448" i="3"/>
  <c r="AD447" i="3"/>
  <c r="O447" i="3"/>
  <c r="N447" i="3"/>
  <c r="AD446" i="3"/>
  <c r="O446" i="3"/>
  <c r="N446" i="3"/>
  <c r="AD445" i="3"/>
  <c r="O445" i="3"/>
  <c r="N445" i="3"/>
  <c r="AD444" i="3"/>
  <c r="O444" i="3"/>
  <c r="N444" i="3"/>
  <c r="AD443" i="3"/>
  <c r="O443" i="3"/>
  <c r="N443" i="3"/>
  <c r="AD442" i="3"/>
  <c r="O442" i="3"/>
  <c r="N442" i="3"/>
  <c r="AD441" i="3"/>
  <c r="O441" i="3"/>
  <c r="N441" i="3"/>
  <c r="AD440" i="3"/>
  <c r="O440" i="3"/>
  <c r="N440" i="3"/>
  <c r="AD439" i="3"/>
  <c r="O439" i="3"/>
  <c r="N439" i="3"/>
  <c r="AD438" i="3"/>
  <c r="O438" i="3"/>
  <c r="N438" i="3"/>
  <c r="AD437" i="3"/>
  <c r="O437" i="3"/>
  <c r="N437" i="3"/>
  <c r="AD436" i="3"/>
  <c r="O436" i="3"/>
  <c r="N436" i="3"/>
  <c r="AD435" i="3"/>
  <c r="O435" i="3"/>
  <c r="N435" i="3"/>
  <c r="AD434" i="3"/>
  <c r="O434" i="3"/>
  <c r="N434" i="3"/>
  <c r="AD433" i="3"/>
  <c r="O433" i="3"/>
  <c r="N433" i="3"/>
  <c r="AD432" i="3"/>
  <c r="O432" i="3"/>
  <c r="N432" i="3"/>
  <c r="AD431" i="3"/>
  <c r="O431" i="3"/>
  <c r="N431" i="3"/>
  <c r="AD430" i="3"/>
  <c r="O430" i="3"/>
  <c r="N430" i="3"/>
  <c r="AD429" i="3"/>
  <c r="O429" i="3"/>
  <c r="N429" i="3"/>
  <c r="AD428" i="3"/>
  <c r="O428" i="3"/>
  <c r="N428" i="3"/>
  <c r="AD427" i="3"/>
  <c r="O427" i="3"/>
  <c r="N427" i="3"/>
  <c r="AD426" i="3"/>
  <c r="O426" i="3"/>
  <c r="N426" i="3"/>
  <c r="AD425" i="3"/>
  <c r="O425" i="3"/>
  <c r="N425" i="3"/>
  <c r="AD424" i="3"/>
  <c r="O424" i="3"/>
  <c r="N424" i="3"/>
  <c r="AD423" i="3"/>
  <c r="O423" i="3"/>
  <c r="N423" i="3"/>
  <c r="AD422" i="3"/>
  <c r="O422" i="3"/>
  <c r="N422" i="3"/>
  <c r="AD421" i="3"/>
  <c r="O421" i="3"/>
  <c r="N421" i="3"/>
  <c r="AD420" i="3"/>
  <c r="O420" i="3"/>
  <c r="N420" i="3"/>
  <c r="AD419" i="3"/>
  <c r="O419" i="3"/>
  <c r="N419" i="3"/>
  <c r="AD418" i="3"/>
  <c r="O418" i="3"/>
  <c r="N418" i="3"/>
  <c r="AD417" i="3"/>
  <c r="O417" i="3"/>
  <c r="N417" i="3"/>
  <c r="AD416" i="3"/>
  <c r="O416" i="3"/>
  <c r="N416" i="3"/>
  <c r="AD415" i="3"/>
  <c r="O415" i="3"/>
  <c r="N415" i="3"/>
  <c r="AD414" i="3"/>
  <c r="O414" i="3"/>
  <c r="N414" i="3"/>
  <c r="AD413" i="3"/>
  <c r="O413" i="3"/>
  <c r="N413" i="3"/>
  <c r="AD412" i="3"/>
  <c r="O412" i="3"/>
  <c r="N412" i="3"/>
  <c r="AD411" i="3"/>
  <c r="O411" i="3"/>
  <c r="N411" i="3"/>
  <c r="AD410" i="3"/>
  <c r="O410" i="3"/>
  <c r="N410" i="3"/>
  <c r="AD409" i="3"/>
  <c r="O409" i="3"/>
  <c r="N409" i="3"/>
  <c r="AD408" i="3"/>
  <c r="O408" i="3"/>
  <c r="N408" i="3"/>
  <c r="AD407" i="3"/>
  <c r="O407" i="3"/>
  <c r="N407" i="3"/>
  <c r="AD406" i="3"/>
  <c r="O406" i="3"/>
  <c r="N406" i="3"/>
  <c r="AD405" i="3"/>
  <c r="O405" i="3"/>
  <c r="N405" i="3"/>
  <c r="AD404" i="3"/>
  <c r="O404" i="3"/>
  <c r="AD403" i="3"/>
  <c r="O403" i="3"/>
  <c r="AD402" i="3"/>
  <c r="O402" i="3"/>
  <c r="N402" i="3"/>
  <c r="AD401" i="3"/>
  <c r="O401" i="3"/>
  <c r="N401" i="3"/>
  <c r="AD400" i="3"/>
  <c r="O400" i="3"/>
  <c r="N400" i="3"/>
  <c r="AD399" i="3"/>
  <c r="O399" i="3"/>
  <c r="N399" i="3"/>
  <c r="AD398" i="3"/>
  <c r="O398" i="3"/>
  <c r="N398" i="3"/>
  <c r="AD397" i="3"/>
  <c r="O397" i="3"/>
  <c r="N397" i="3"/>
  <c r="AD396" i="3"/>
  <c r="O396" i="3"/>
  <c r="N396" i="3"/>
  <c r="AD395" i="3"/>
  <c r="O395" i="3"/>
  <c r="N395" i="3"/>
  <c r="AD394" i="3"/>
  <c r="O394" i="3"/>
  <c r="N394" i="3"/>
  <c r="AD393" i="3"/>
  <c r="O393" i="3"/>
  <c r="N393" i="3"/>
  <c r="AD392" i="3"/>
  <c r="O392" i="3"/>
  <c r="N392" i="3"/>
  <c r="AD391" i="3"/>
  <c r="O391" i="3"/>
  <c r="AD390" i="3"/>
  <c r="O390" i="3"/>
  <c r="N390" i="3"/>
  <c r="AD389" i="3"/>
  <c r="O389" i="3"/>
  <c r="N389" i="3"/>
  <c r="AD388" i="3"/>
  <c r="O388" i="3"/>
  <c r="N388" i="3"/>
  <c r="AD387" i="3"/>
  <c r="O387" i="3"/>
  <c r="N387" i="3"/>
  <c r="AD386" i="3"/>
  <c r="O386" i="3"/>
  <c r="N386" i="3"/>
  <c r="AD385" i="3"/>
  <c r="O385" i="3"/>
  <c r="N385" i="3"/>
  <c r="AD384" i="3"/>
  <c r="O384" i="3"/>
  <c r="N384" i="3"/>
  <c r="AD383" i="3"/>
  <c r="O383" i="3"/>
  <c r="N383" i="3"/>
  <c r="AD382" i="3"/>
  <c r="O382" i="3"/>
  <c r="N382" i="3"/>
  <c r="AD381" i="3"/>
  <c r="O381" i="3"/>
  <c r="N381" i="3"/>
  <c r="AD380" i="3"/>
  <c r="O380" i="3"/>
  <c r="N380" i="3"/>
  <c r="AD379" i="3"/>
  <c r="O379" i="3"/>
  <c r="N379" i="3"/>
  <c r="AD378" i="3"/>
  <c r="O378" i="3"/>
  <c r="N378" i="3"/>
  <c r="AD377" i="3"/>
  <c r="O377" i="3"/>
  <c r="N377" i="3"/>
  <c r="AD376" i="3"/>
  <c r="O376" i="3"/>
  <c r="N376" i="3"/>
  <c r="AD375" i="3"/>
  <c r="O375" i="3"/>
  <c r="N375" i="3"/>
  <c r="AD374" i="3"/>
  <c r="O374" i="3"/>
  <c r="N374" i="3"/>
  <c r="AD373" i="3"/>
  <c r="O373" i="3"/>
  <c r="AD372" i="3"/>
  <c r="O372" i="3"/>
  <c r="AD371" i="3"/>
  <c r="O371" i="3"/>
  <c r="AD370" i="3"/>
  <c r="O370" i="3"/>
  <c r="AD369" i="3"/>
  <c r="O369" i="3"/>
  <c r="AD368" i="3"/>
  <c r="O368" i="3"/>
  <c r="AD367" i="3"/>
  <c r="O367" i="3"/>
  <c r="N367" i="3"/>
  <c r="AD366" i="3"/>
  <c r="O366" i="3"/>
  <c r="N366" i="3"/>
  <c r="AD365" i="3"/>
  <c r="O365" i="3"/>
  <c r="N365" i="3"/>
  <c r="AD364" i="3"/>
  <c r="O364" i="3"/>
  <c r="N364" i="3"/>
  <c r="AD363" i="3"/>
  <c r="O363" i="3"/>
  <c r="N363" i="3"/>
  <c r="AD362" i="3"/>
  <c r="O362" i="3"/>
  <c r="N362" i="3"/>
  <c r="AD361" i="3"/>
  <c r="O361" i="3"/>
  <c r="N361" i="3"/>
  <c r="AD360" i="3"/>
  <c r="O360" i="3"/>
  <c r="N360" i="3"/>
  <c r="AD359" i="3"/>
  <c r="O359" i="3"/>
  <c r="N359" i="3"/>
  <c r="AD358" i="3"/>
  <c r="O358" i="3"/>
  <c r="N358" i="3"/>
  <c r="AD357" i="3"/>
  <c r="O357" i="3"/>
  <c r="N357" i="3"/>
  <c r="AD356" i="3"/>
  <c r="O356" i="3"/>
  <c r="N356" i="3"/>
  <c r="AD355" i="3"/>
  <c r="O355" i="3"/>
  <c r="N355" i="3"/>
  <c r="AD354" i="3"/>
  <c r="O354" i="3"/>
  <c r="N354" i="3"/>
  <c r="AD353" i="3"/>
  <c r="O353" i="3"/>
  <c r="N353" i="3"/>
  <c r="AD352" i="3"/>
  <c r="O352" i="3"/>
  <c r="N352" i="3"/>
  <c r="AD351" i="3"/>
  <c r="O351" i="3"/>
  <c r="N351" i="3"/>
  <c r="AD350" i="3"/>
  <c r="O350" i="3"/>
  <c r="N350" i="3"/>
  <c r="AD349" i="3"/>
  <c r="O349" i="3"/>
  <c r="N349" i="3"/>
  <c r="AD348" i="3"/>
  <c r="O348" i="3"/>
  <c r="N348" i="3"/>
  <c r="AD347" i="3"/>
  <c r="O347" i="3"/>
  <c r="N347" i="3"/>
  <c r="AD346" i="3"/>
  <c r="O346" i="3"/>
  <c r="N346" i="3"/>
  <c r="AD345" i="3"/>
  <c r="O345" i="3"/>
  <c r="AD344" i="3"/>
  <c r="O344" i="3"/>
  <c r="AD343" i="3"/>
  <c r="O343" i="3"/>
  <c r="AD342" i="3"/>
  <c r="O342" i="3"/>
  <c r="N342" i="3"/>
  <c r="AD341" i="3"/>
  <c r="O341" i="3"/>
  <c r="N341" i="3"/>
  <c r="AD340" i="3"/>
  <c r="O340" i="3"/>
  <c r="N340" i="3"/>
  <c r="AD339" i="3"/>
  <c r="O339" i="3"/>
  <c r="N339" i="3"/>
  <c r="AD338" i="3"/>
  <c r="O338" i="3"/>
  <c r="N338" i="3"/>
  <c r="AD337" i="3"/>
  <c r="O337" i="3"/>
  <c r="N337" i="3"/>
  <c r="AD336" i="3"/>
  <c r="O336" i="3"/>
  <c r="N336" i="3"/>
  <c r="AD335" i="3"/>
  <c r="O335" i="3"/>
  <c r="N335" i="3"/>
  <c r="AD334" i="3"/>
  <c r="O334" i="3"/>
  <c r="N334" i="3"/>
  <c r="AD333" i="3"/>
  <c r="O333" i="3"/>
  <c r="N333" i="3"/>
  <c r="AD332" i="3"/>
  <c r="O332" i="3"/>
  <c r="AD331" i="3"/>
  <c r="O331" i="3"/>
  <c r="AD330" i="3"/>
  <c r="O330" i="3"/>
  <c r="N330" i="3"/>
  <c r="AD329" i="3"/>
  <c r="O329" i="3"/>
  <c r="N329" i="3"/>
  <c r="AD328" i="3"/>
  <c r="O328" i="3"/>
  <c r="N328" i="3"/>
  <c r="AD327" i="3"/>
  <c r="O327" i="3"/>
  <c r="N327" i="3"/>
  <c r="AD326" i="3"/>
  <c r="O326" i="3"/>
  <c r="N326" i="3"/>
  <c r="AD325" i="3"/>
  <c r="O325" i="3"/>
  <c r="N325" i="3"/>
  <c r="AD324" i="3"/>
  <c r="O324" i="3"/>
  <c r="N324" i="3"/>
  <c r="AD323" i="3"/>
  <c r="O323" i="3"/>
  <c r="N323" i="3"/>
  <c r="AD322" i="3"/>
  <c r="O322" i="3"/>
  <c r="N322" i="3"/>
  <c r="AD321" i="3"/>
  <c r="O321" i="3"/>
  <c r="N321" i="3"/>
  <c r="AD320" i="3"/>
  <c r="O320" i="3"/>
  <c r="N320" i="3"/>
  <c r="AD319" i="3"/>
  <c r="O319" i="3"/>
  <c r="N319" i="3"/>
  <c r="AD318" i="3"/>
  <c r="O318" i="3"/>
  <c r="N318" i="3"/>
  <c r="AD317" i="3"/>
  <c r="O317" i="3"/>
  <c r="N317" i="3"/>
  <c r="AD316" i="3"/>
  <c r="O316" i="3"/>
  <c r="AD315" i="3"/>
  <c r="O315" i="3"/>
  <c r="AD314" i="3"/>
  <c r="O314" i="3"/>
  <c r="AD313" i="3"/>
  <c r="O313" i="3"/>
  <c r="AD312" i="3"/>
  <c r="O312" i="3"/>
  <c r="N312" i="3"/>
  <c r="AD311" i="3"/>
  <c r="O311" i="3"/>
  <c r="N311" i="3"/>
  <c r="AD310" i="3"/>
  <c r="O310" i="3"/>
  <c r="N310" i="3"/>
  <c r="AD309" i="3"/>
  <c r="O309" i="3"/>
  <c r="N309" i="3"/>
  <c r="AD308" i="3"/>
  <c r="O308" i="3"/>
  <c r="N308" i="3"/>
  <c r="AD307" i="3"/>
  <c r="O307" i="3"/>
  <c r="N307" i="3"/>
  <c r="AD306" i="3"/>
  <c r="O306" i="3"/>
  <c r="N306" i="3"/>
  <c r="AD305" i="3"/>
  <c r="O305" i="3"/>
  <c r="N305" i="3"/>
  <c r="AD304" i="3"/>
  <c r="O304" i="3"/>
  <c r="N304" i="3"/>
  <c r="AD303" i="3"/>
  <c r="O303" i="3"/>
  <c r="N303" i="3"/>
  <c r="AD302" i="3"/>
  <c r="O302" i="3"/>
  <c r="N302" i="3"/>
  <c r="AD301" i="3"/>
  <c r="O301" i="3"/>
  <c r="N301" i="3"/>
  <c r="AD300" i="3"/>
  <c r="O300" i="3"/>
  <c r="AD299" i="3"/>
  <c r="O299" i="3"/>
  <c r="AD298" i="3"/>
  <c r="O298" i="3"/>
  <c r="AD297" i="3"/>
  <c r="O297" i="3"/>
  <c r="AD296" i="3"/>
  <c r="O296" i="3"/>
  <c r="AD295" i="3"/>
  <c r="O295" i="3"/>
  <c r="N295" i="3"/>
  <c r="AD294" i="3"/>
  <c r="O294" i="3"/>
  <c r="N294" i="3"/>
  <c r="AD293" i="3"/>
  <c r="O293" i="3"/>
  <c r="N293" i="3"/>
  <c r="AD292" i="3"/>
  <c r="O292" i="3"/>
  <c r="N292" i="3"/>
  <c r="AD291" i="3"/>
  <c r="O291" i="3"/>
  <c r="N291" i="3"/>
  <c r="AD290" i="3"/>
  <c r="O290" i="3"/>
  <c r="N290" i="3"/>
  <c r="AD289" i="3"/>
  <c r="O289" i="3"/>
  <c r="N289" i="3"/>
  <c r="AD288" i="3"/>
  <c r="O288" i="3"/>
  <c r="AD287" i="3"/>
  <c r="O287" i="3"/>
  <c r="AD286" i="3"/>
  <c r="AD285" i="3"/>
  <c r="O285" i="3"/>
  <c r="AD284" i="3"/>
  <c r="O284" i="3"/>
  <c r="AD283" i="3"/>
  <c r="O283" i="3"/>
  <c r="AD282" i="3"/>
  <c r="O282" i="3"/>
  <c r="AD281" i="3"/>
  <c r="O281" i="3"/>
  <c r="AD280" i="3"/>
  <c r="O280" i="3"/>
  <c r="AD279" i="3"/>
  <c r="O279" i="3"/>
  <c r="AD278" i="3"/>
  <c r="O278" i="3"/>
  <c r="N278" i="3"/>
  <c r="AD277" i="3"/>
  <c r="O277" i="3"/>
  <c r="N277" i="3"/>
  <c r="AD276" i="3"/>
  <c r="O276" i="3"/>
  <c r="N276" i="3"/>
  <c r="AD275" i="3"/>
  <c r="O275" i="3"/>
  <c r="N275" i="3"/>
  <c r="AD274" i="3"/>
  <c r="O274" i="3"/>
  <c r="N274" i="3"/>
  <c r="AD273" i="3"/>
  <c r="O273" i="3"/>
  <c r="N273" i="3"/>
  <c r="AD272" i="3"/>
  <c r="O272" i="3"/>
  <c r="AD271" i="3"/>
  <c r="O271" i="3"/>
  <c r="AD270" i="3"/>
  <c r="O270" i="3"/>
  <c r="AD269" i="3"/>
  <c r="O269" i="3"/>
  <c r="AD268" i="3"/>
  <c r="O268" i="3"/>
  <c r="AD267" i="3"/>
  <c r="O267" i="3"/>
  <c r="AD266" i="3"/>
  <c r="O266" i="3"/>
  <c r="AD265" i="3"/>
  <c r="AD264" i="3"/>
  <c r="O264" i="3"/>
  <c r="AD263" i="3"/>
  <c r="O263" i="3"/>
  <c r="AD262" i="3"/>
  <c r="O262" i="3"/>
  <c r="AD261" i="3"/>
  <c r="O261" i="3"/>
  <c r="AD260" i="3"/>
  <c r="O260" i="3"/>
  <c r="N260" i="3"/>
  <c r="AD259" i="3"/>
  <c r="O259" i="3"/>
  <c r="N259" i="3"/>
  <c r="AD258" i="3"/>
  <c r="O258" i="3"/>
  <c r="N258" i="3"/>
  <c r="AD257" i="3"/>
  <c r="O257" i="3"/>
  <c r="N257" i="3"/>
  <c r="AD256" i="3"/>
  <c r="O256" i="3"/>
  <c r="N256" i="3"/>
  <c r="AD255" i="3"/>
  <c r="O255" i="3"/>
  <c r="N255" i="3"/>
  <c r="AD254" i="3"/>
  <c r="O254" i="3"/>
  <c r="N254" i="3"/>
  <c r="AD253" i="3"/>
  <c r="O253" i="3"/>
  <c r="N253" i="3"/>
  <c r="AD252" i="3"/>
  <c r="AD251" i="3"/>
  <c r="O251" i="3"/>
  <c r="N251" i="3"/>
  <c r="AD250" i="3"/>
  <c r="O250" i="3"/>
  <c r="N250" i="3"/>
  <c r="AD249" i="3"/>
  <c r="O249" i="3"/>
  <c r="N249" i="3"/>
  <c r="AD248" i="3"/>
  <c r="O248" i="3"/>
  <c r="N248" i="3"/>
  <c r="AD247" i="3"/>
  <c r="O247" i="3"/>
  <c r="N247" i="3"/>
  <c r="AD246" i="3"/>
  <c r="O246" i="3"/>
  <c r="N246" i="3"/>
  <c r="AD245" i="3"/>
  <c r="O245" i="3"/>
  <c r="N245" i="3"/>
  <c r="AD244" i="3"/>
  <c r="O244" i="3"/>
  <c r="N244" i="3"/>
  <c r="AD243" i="3"/>
  <c r="O243" i="3"/>
  <c r="N243" i="3"/>
  <c r="AD242" i="3"/>
  <c r="O242" i="3"/>
  <c r="N242" i="3"/>
  <c r="AD241" i="3"/>
  <c r="O241" i="3"/>
  <c r="N241" i="3"/>
  <c r="AD240" i="3"/>
  <c r="O240" i="3"/>
  <c r="AD239" i="3"/>
  <c r="O239" i="3"/>
  <c r="AD238" i="3"/>
  <c r="AD237" i="3"/>
  <c r="AD236" i="3"/>
  <c r="AD235" i="3"/>
  <c r="AD234" i="3"/>
  <c r="AD233" i="3"/>
  <c r="AD232" i="3"/>
  <c r="AD231" i="3"/>
  <c r="AD230" i="3"/>
  <c r="AD229" i="3"/>
  <c r="AD228" i="3"/>
  <c r="AD227" i="3"/>
  <c r="AD226" i="3"/>
  <c r="AD225" i="3"/>
  <c r="AD224" i="3"/>
  <c r="AD223" i="3"/>
  <c r="AD222" i="3"/>
  <c r="O222" i="3"/>
  <c r="N222" i="3"/>
  <c r="AD221" i="3"/>
  <c r="O221" i="3"/>
  <c r="N221" i="3"/>
  <c r="AD220" i="3"/>
  <c r="O220" i="3"/>
  <c r="N220" i="3"/>
  <c r="AD219" i="3"/>
  <c r="O219" i="3"/>
  <c r="N219" i="3"/>
  <c r="AD218" i="3"/>
  <c r="O218" i="3"/>
  <c r="N218" i="3"/>
  <c r="AD217" i="3"/>
  <c r="O217" i="3"/>
  <c r="N217" i="3"/>
  <c r="AD216" i="3"/>
  <c r="O216" i="3"/>
  <c r="N216" i="3"/>
  <c r="AD215" i="3"/>
  <c r="O215" i="3"/>
  <c r="AD214" i="3"/>
  <c r="O214" i="3"/>
  <c r="AD213" i="3"/>
  <c r="O213" i="3"/>
  <c r="AD212" i="3"/>
  <c r="O212" i="3"/>
  <c r="N212" i="3"/>
  <c r="AD211" i="3"/>
  <c r="O211" i="3"/>
  <c r="AD210" i="3"/>
  <c r="O210" i="3"/>
  <c r="AD209" i="3"/>
  <c r="O209" i="3"/>
  <c r="N209" i="3"/>
  <c r="AD208" i="3"/>
  <c r="O208" i="3"/>
  <c r="N208" i="3"/>
  <c r="AD207" i="3"/>
  <c r="O207" i="3"/>
  <c r="N207" i="3"/>
  <c r="AD206" i="3"/>
  <c r="O206" i="3"/>
  <c r="N206" i="3"/>
  <c r="AD205" i="3"/>
  <c r="O205" i="3"/>
  <c r="N205" i="3"/>
  <c r="AD204" i="3"/>
  <c r="O204" i="3"/>
  <c r="N204" i="3"/>
  <c r="AD203" i="3"/>
  <c r="O203" i="3"/>
  <c r="N203" i="3"/>
  <c r="AD202" i="3"/>
  <c r="O202" i="3"/>
  <c r="N202" i="3"/>
  <c r="AD201" i="3"/>
  <c r="O201" i="3"/>
  <c r="N201" i="3"/>
  <c r="AD200" i="3"/>
  <c r="O200" i="3"/>
  <c r="N200" i="3"/>
  <c r="AD199" i="3"/>
  <c r="O199" i="3"/>
  <c r="N199" i="3"/>
  <c r="AD198" i="3"/>
  <c r="O198" i="3"/>
  <c r="N198" i="3"/>
  <c r="AD197" i="3"/>
  <c r="O197" i="3"/>
  <c r="AD196" i="3"/>
  <c r="O196" i="3"/>
  <c r="AD195" i="3"/>
  <c r="O195" i="3"/>
  <c r="AD194" i="3"/>
  <c r="O194" i="3"/>
  <c r="AD193" i="3"/>
  <c r="O193" i="3"/>
  <c r="N193" i="3"/>
  <c r="AD192" i="3"/>
  <c r="O192" i="3"/>
  <c r="N192" i="3"/>
  <c r="AD191" i="3"/>
  <c r="O191" i="3"/>
  <c r="N191" i="3"/>
  <c r="AD190" i="3"/>
  <c r="O190" i="3"/>
  <c r="N190" i="3"/>
  <c r="AD189" i="3"/>
  <c r="O189" i="3"/>
  <c r="N189" i="3"/>
  <c r="AD188" i="3"/>
  <c r="O188" i="3"/>
  <c r="AD187" i="3"/>
  <c r="O187" i="3"/>
  <c r="AD186" i="3"/>
  <c r="O186" i="3"/>
  <c r="N186" i="3"/>
  <c r="AD185" i="3"/>
  <c r="O185" i="3"/>
  <c r="AD184" i="3"/>
  <c r="O184" i="3"/>
  <c r="AD183" i="3"/>
  <c r="O183" i="3"/>
  <c r="AD182" i="3"/>
  <c r="O182" i="3"/>
  <c r="AD181" i="3"/>
  <c r="O181" i="3"/>
  <c r="N181" i="3"/>
  <c r="AD180" i="3"/>
  <c r="O180" i="3"/>
  <c r="N180" i="3"/>
  <c r="AD179" i="3"/>
  <c r="O179" i="3"/>
  <c r="N179" i="3"/>
  <c r="AD178" i="3"/>
  <c r="O178" i="3"/>
  <c r="N178" i="3"/>
  <c r="AD177" i="3"/>
  <c r="O177" i="3"/>
  <c r="AD176" i="3"/>
  <c r="O176" i="3"/>
  <c r="AD175" i="3"/>
  <c r="O175" i="3"/>
  <c r="AD174" i="3"/>
  <c r="O174" i="3"/>
  <c r="N174" i="3"/>
  <c r="AD173" i="3"/>
  <c r="O173" i="3"/>
  <c r="N173" i="3"/>
  <c r="AD172" i="3"/>
  <c r="O172" i="3"/>
  <c r="N172" i="3"/>
  <c r="AD171" i="3"/>
  <c r="O171" i="3"/>
  <c r="N171" i="3"/>
  <c r="AD170" i="3"/>
  <c r="O170" i="3"/>
  <c r="N170" i="3"/>
  <c r="AD169" i="3"/>
  <c r="O169" i="3"/>
  <c r="N169" i="3"/>
  <c r="AD168" i="3"/>
  <c r="AD167" i="3"/>
  <c r="O167" i="3"/>
  <c r="AD166" i="3"/>
  <c r="O166" i="3"/>
  <c r="AD165" i="3"/>
  <c r="O165" i="3"/>
  <c r="AD164" i="3"/>
  <c r="O164" i="3"/>
  <c r="AD163" i="3"/>
  <c r="O163" i="3"/>
  <c r="AD162" i="3"/>
  <c r="O162" i="3"/>
  <c r="N162" i="3"/>
  <c r="AD161" i="3"/>
  <c r="O161" i="3"/>
  <c r="N161" i="3"/>
  <c r="AD160" i="3"/>
  <c r="O160" i="3"/>
  <c r="N160" i="3"/>
  <c r="AD159" i="3"/>
  <c r="AD158" i="3"/>
  <c r="O158" i="3"/>
  <c r="N158" i="3"/>
  <c r="AD157" i="3"/>
  <c r="O157" i="3"/>
  <c r="N157" i="3"/>
  <c r="AD156" i="3"/>
  <c r="O156" i="3"/>
  <c r="N156" i="3"/>
  <c r="AD155" i="3"/>
  <c r="O155" i="3"/>
  <c r="N155" i="3"/>
  <c r="AD154" i="3"/>
  <c r="AD153" i="3"/>
  <c r="O153" i="3"/>
  <c r="AD152" i="3"/>
  <c r="O152" i="3"/>
  <c r="AD151" i="3"/>
  <c r="O151" i="3"/>
  <c r="N151" i="3"/>
  <c r="AD150" i="3"/>
  <c r="O150" i="3"/>
  <c r="N150" i="3"/>
  <c r="AD149" i="3"/>
  <c r="O149" i="3"/>
  <c r="N149" i="3"/>
  <c r="AD148" i="3"/>
  <c r="O148" i="3"/>
  <c r="AD147" i="3"/>
  <c r="O147" i="3"/>
  <c r="AD146" i="3"/>
  <c r="O146" i="3"/>
  <c r="N146" i="3"/>
  <c r="AD145" i="3"/>
  <c r="O145" i="3"/>
  <c r="N145" i="3"/>
  <c r="AD144" i="3"/>
  <c r="O144" i="3"/>
  <c r="N144" i="3"/>
  <c r="AD143" i="3"/>
  <c r="O143" i="3"/>
  <c r="N143" i="3"/>
  <c r="AD142" i="3"/>
  <c r="O142" i="3"/>
  <c r="N142" i="3"/>
  <c r="AD141" i="3"/>
  <c r="O141" i="3"/>
  <c r="N141" i="3"/>
  <c r="AD140" i="3"/>
  <c r="O140" i="3"/>
  <c r="N140" i="3"/>
  <c r="AD139" i="3"/>
  <c r="O139" i="3"/>
  <c r="N139" i="3"/>
  <c r="AD138" i="3"/>
  <c r="O138" i="3"/>
  <c r="N138" i="3"/>
  <c r="AD137" i="3"/>
  <c r="O137" i="3"/>
  <c r="N137" i="3"/>
  <c r="AD136" i="3"/>
  <c r="O136" i="3"/>
  <c r="N136" i="3"/>
  <c r="AD135" i="3"/>
  <c r="O135" i="3"/>
  <c r="AD134" i="3"/>
  <c r="O134" i="3"/>
  <c r="AD133" i="3"/>
  <c r="O133" i="3"/>
  <c r="N133" i="3"/>
  <c r="AD132" i="3"/>
  <c r="O132" i="3"/>
  <c r="AD131" i="3"/>
  <c r="O131" i="3"/>
  <c r="AD130" i="3"/>
  <c r="O130" i="3"/>
  <c r="AD129" i="3"/>
  <c r="O129" i="3"/>
  <c r="AD128" i="3"/>
  <c r="O128" i="3"/>
  <c r="AD127" i="3"/>
  <c r="O127" i="3"/>
  <c r="N127" i="3"/>
  <c r="AD126" i="3"/>
  <c r="O126" i="3"/>
  <c r="N126" i="3"/>
  <c r="AD125" i="3"/>
  <c r="O125" i="3"/>
  <c r="AD124" i="3"/>
  <c r="O124" i="3"/>
  <c r="AD123" i="3"/>
  <c r="O123" i="3"/>
  <c r="AD122" i="3"/>
  <c r="O122" i="3"/>
  <c r="AD121" i="3"/>
  <c r="AD120" i="3"/>
  <c r="AD119" i="3"/>
  <c r="O119" i="3"/>
  <c r="N119" i="3"/>
  <c r="AD118" i="3"/>
  <c r="O118" i="3"/>
  <c r="N118" i="3"/>
  <c r="AD117" i="3"/>
  <c r="O117" i="3"/>
  <c r="AD116" i="3"/>
  <c r="O116" i="3"/>
  <c r="AD115" i="3"/>
  <c r="O115" i="3"/>
  <c r="AD114" i="3"/>
  <c r="O114" i="3"/>
  <c r="AD113" i="3"/>
  <c r="O113" i="3"/>
  <c r="N113" i="3"/>
  <c r="AD112" i="3"/>
  <c r="O112" i="3"/>
  <c r="N112" i="3"/>
  <c r="AD111" i="3"/>
  <c r="O111" i="3"/>
  <c r="N111" i="3"/>
  <c r="AD110" i="3"/>
  <c r="O110" i="3"/>
  <c r="N110" i="3"/>
  <c r="AD109" i="3"/>
  <c r="O109" i="3"/>
  <c r="N109" i="3"/>
  <c r="AD108" i="3"/>
  <c r="O108" i="3"/>
  <c r="AD107" i="3"/>
  <c r="O107" i="3"/>
  <c r="N107" i="3"/>
  <c r="AD106" i="3"/>
  <c r="O106" i="3"/>
  <c r="AD105" i="3"/>
  <c r="O105" i="3"/>
  <c r="AD104" i="3"/>
  <c r="O104" i="3"/>
  <c r="AD103" i="3"/>
  <c r="O103" i="3"/>
  <c r="N103" i="3"/>
  <c r="AD102" i="3"/>
  <c r="O102" i="3"/>
  <c r="N102" i="3"/>
  <c r="AD101" i="3"/>
  <c r="O101" i="3"/>
  <c r="N101" i="3"/>
  <c r="AD100" i="3"/>
  <c r="O100" i="3"/>
  <c r="N100" i="3"/>
  <c r="AD99" i="3"/>
  <c r="O99" i="3"/>
  <c r="N99" i="3"/>
  <c r="AD98" i="3"/>
  <c r="O98" i="3"/>
  <c r="N98" i="3"/>
  <c r="AD97" i="3"/>
  <c r="O97" i="3"/>
  <c r="AD96" i="3"/>
  <c r="O96" i="3"/>
  <c r="AD95" i="3"/>
  <c r="O95" i="3"/>
  <c r="AD94" i="3"/>
  <c r="O94" i="3"/>
  <c r="N94" i="3"/>
  <c r="AD93" i="3"/>
  <c r="O93" i="3"/>
  <c r="N93" i="3"/>
  <c r="AD92" i="3"/>
  <c r="O92" i="3"/>
  <c r="N92" i="3"/>
  <c r="AD91" i="3"/>
  <c r="O91" i="3"/>
  <c r="N91" i="3"/>
  <c r="AD90" i="3"/>
  <c r="O90" i="3"/>
  <c r="N90" i="3"/>
  <c r="AD89" i="3"/>
  <c r="O89" i="3"/>
  <c r="N89" i="3"/>
  <c r="AD88" i="3"/>
  <c r="O88" i="3"/>
  <c r="N88" i="3"/>
  <c r="AD87" i="3"/>
  <c r="O87" i="3"/>
  <c r="N87" i="3"/>
  <c r="AD86" i="3"/>
  <c r="O86" i="3"/>
  <c r="N86" i="3"/>
  <c r="AD85" i="3"/>
  <c r="O85" i="3"/>
  <c r="N85" i="3"/>
  <c r="AD84" i="3"/>
  <c r="O84" i="3"/>
  <c r="N84" i="3"/>
  <c r="AD83" i="3"/>
  <c r="O83" i="3"/>
  <c r="AD82" i="3"/>
  <c r="O82" i="3"/>
  <c r="AD81" i="3"/>
  <c r="O81" i="3"/>
  <c r="AD80" i="3"/>
  <c r="O80" i="3"/>
  <c r="AD79" i="3"/>
  <c r="O79" i="3"/>
  <c r="AD78" i="3"/>
  <c r="O78" i="3"/>
  <c r="N78" i="3"/>
  <c r="AD77" i="3"/>
  <c r="O77" i="3"/>
  <c r="N77" i="3"/>
  <c r="AD76" i="3"/>
  <c r="O76" i="3"/>
  <c r="N76" i="3"/>
  <c r="AD75" i="3"/>
  <c r="O75" i="3"/>
  <c r="N75" i="3"/>
  <c r="AD74" i="3"/>
  <c r="O74" i="3"/>
  <c r="N74" i="3"/>
  <c r="AD73" i="3"/>
  <c r="O73" i="3"/>
  <c r="N73" i="3"/>
  <c r="AD72" i="3"/>
  <c r="O72" i="3"/>
  <c r="N72" i="3"/>
  <c r="AD71" i="3"/>
  <c r="O71" i="3"/>
  <c r="N71" i="3"/>
  <c r="AD70" i="3"/>
  <c r="O70" i="3"/>
  <c r="N70" i="3"/>
  <c r="AD69" i="3"/>
  <c r="O69" i="3"/>
  <c r="N69" i="3"/>
  <c r="AD68" i="3"/>
  <c r="O68" i="3"/>
  <c r="AD67" i="3"/>
  <c r="O67" i="3"/>
  <c r="AD66" i="3"/>
  <c r="O66" i="3"/>
  <c r="AD65" i="3"/>
  <c r="O65" i="3"/>
  <c r="N65" i="3"/>
  <c r="AD64" i="3"/>
  <c r="O64" i="3"/>
  <c r="N64" i="3"/>
  <c r="AD63" i="3"/>
  <c r="O63" i="3"/>
  <c r="N63" i="3"/>
  <c r="AD62" i="3"/>
  <c r="O62" i="3"/>
  <c r="N62" i="3"/>
  <c r="AD61" i="3"/>
  <c r="O61" i="3"/>
  <c r="N61" i="3"/>
  <c r="AD60" i="3"/>
  <c r="AD59" i="3"/>
  <c r="O59" i="3"/>
  <c r="AD58" i="3"/>
  <c r="AD57" i="3"/>
  <c r="O57" i="3"/>
  <c r="AD56" i="3"/>
  <c r="O56" i="3"/>
  <c r="AD55" i="3"/>
  <c r="O55" i="3"/>
  <c r="AD54" i="3"/>
  <c r="O54" i="3"/>
  <c r="AD53" i="3"/>
  <c r="O53" i="3"/>
  <c r="N53" i="3"/>
  <c r="AD52" i="3"/>
  <c r="O52" i="3"/>
  <c r="N52" i="3"/>
  <c r="AD51" i="3"/>
  <c r="O51" i="3"/>
  <c r="N51" i="3"/>
  <c r="AD50" i="3"/>
  <c r="O50" i="3"/>
  <c r="N50" i="3"/>
  <c r="AD49" i="3"/>
  <c r="O49" i="3"/>
  <c r="N49" i="3"/>
  <c r="AD48" i="3"/>
  <c r="O48" i="3"/>
  <c r="N48" i="3"/>
  <c r="AD47" i="3"/>
  <c r="O47" i="3"/>
  <c r="N47" i="3"/>
  <c r="AD46" i="3"/>
  <c r="O46" i="3"/>
  <c r="N46" i="3"/>
  <c r="AD45" i="3"/>
  <c r="O45" i="3"/>
  <c r="AD44" i="3"/>
  <c r="O44" i="3"/>
  <c r="AD43" i="3"/>
  <c r="O43" i="3"/>
  <c r="AD42" i="3"/>
  <c r="O42" i="3"/>
  <c r="AD41" i="3"/>
  <c r="O41" i="3"/>
  <c r="AD40" i="3"/>
  <c r="O40" i="3"/>
  <c r="N40" i="3"/>
  <c r="AD39" i="3"/>
  <c r="O39" i="3"/>
  <c r="N39" i="3"/>
  <c r="AD38" i="3"/>
  <c r="O38" i="3"/>
  <c r="N38" i="3"/>
  <c r="AD37" i="3"/>
  <c r="O37" i="3"/>
  <c r="N37" i="3"/>
  <c r="AD36" i="3"/>
  <c r="O36" i="3"/>
  <c r="N36" i="3"/>
  <c r="AD35" i="3"/>
  <c r="O35" i="3"/>
  <c r="N35" i="3"/>
  <c r="AD34" i="3"/>
  <c r="O34" i="3"/>
  <c r="N34" i="3"/>
  <c r="AD33" i="3"/>
  <c r="O33" i="3"/>
  <c r="N33" i="3"/>
  <c r="AD32" i="3"/>
  <c r="O32" i="3"/>
  <c r="N32" i="3"/>
  <c r="AD31" i="3"/>
  <c r="AD30" i="3"/>
  <c r="O30" i="3"/>
  <c r="AD29" i="3"/>
  <c r="O29" i="3"/>
  <c r="AD28" i="3"/>
  <c r="O28" i="3"/>
  <c r="AD27" i="3"/>
  <c r="O27" i="3"/>
  <c r="AD26" i="3"/>
  <c r="O26" i="3"/>
  <c r="N26" i="3"/>
  <c r="AD25" i="3"/>
  <c r="O25" i="3"/>
  <c r="N25" i="3"/>
  <c r="AD24" i="3"/>
  <c r="O24" i="3"/>
  <c r="N24" i="3"/>
  <c r="AD23" i="3"/>
  <c r="O23" i="3"/>
  <c r="N23" i="3"/>
  <c r="AD22" i="3"/>
  <c r="O22" i="3"/>
  <c r="N22" i="3"/>
  <c r="AD21" i="3"/>
  <c r="O21" i="3"/>
  <c r="N21" i="3"/>
  <c r="AD20" i="3"/>
  <c r="O20" i="3"/>
  <c r="N20" i="3"/>
  <c r="AD19" i="3"/>
  <c r="O19" i="3"/>
  <c r="N19" i="3"/>
  <c r="AD18" i="3"/>
  <c r="O18" i="3"/>
  <c r="N18" i="3"/>
  <c r="AD17" i="3"/>
  <c r="O17" i="3"/>
  <c r="N17" i="3"/>
  <c r="AD16" i="3"/>
  <c r="O16" i="3"/>
  <c r="N16" i="3"/>
  <c r="AD15" i="3"/>
  <c r="O15" i="3"/>
  <c r="N15" i="3"/>
  <c r="AD14" i="3"/>
  <c r="O14" i="3"/>
  <c r="N14" i="3"/>
  <c r="AD13" i="3"/>
  <c r="AD12" i="3"/>
  <c r="O12" i="3"/>
  <c r="AD11" i="3"/>
  <c r="O11" i="3"/>
  <c r="N11" i="3"/>
  <c r="AD10" i="3"/>
  <c r="O10" i="3"/>
  <c r="N10" i="3"/>
  <c r="AD9" i="3"/>
  <c r="O9" i="3"/>
  <c r="AD8" i="3"/>
  <c r="O8" i="3"/>
  <c r="AD7" i="3"/>
  <c r="O7" i="3"/>
  <c r="N7" i="3"/>
  <c r="AD6" i="3"/>
  <c r="O6" i="3"/>
  <c r="N6" i="3"/>
  <c r="AD886" i="2"/>
  <c r="O886" i="2"/>
  <c r="N886" i="2"/>
  <c r="AD885" i="2"/>
  <c r="O885" i="2"/>
  <c r="N885" i="2"/>
  <c r="AD884" i="2"/>
  <c r="O884" i="2"/>
  <c r="N884" i="2"/>
  <c r="AD883" i="2"/>
  <c r="O883" i="2"/>
  <c r="N883" i="2"/>
  <c r="AD882" i="2"/>
  <c r="O882" i="2"/>
  <c r="N882" i="2"/>
  <c r="AD881" i="2"/>
  <c r="O881" i="2"/>
  <c r="N881" i="2"/>
  <c r="AD880" i="2"/>
  <c r="O880" i="2"/>
  <c r="N880" i="2"/>
  <c r="AD879" i="2"/>
  <c r="O879" i="2"/>
  <c r="N879" i="2"/>
  <c r="AD878" i="2"/>
  <c r="O878" i="2"/>
  <c r="N878" i="2"/>
  <c r="AD877" i="2"/>
  <c r="O877" i="2"/>
  <c r="N877" i="2"/>
  <c r="AD876" i="2"/>
  <c r="O876" i="2"/>
  <c r="N876" i="2"/>
  <c r="AD875" i="2"/>
  <c r="O875" i="2"/>
  <c r="N875" i="2"/>
  <c r="AD874" i="2"/>
  <c r="O874" i="2"/>
  <c r="N874" i="2"/>
  <c r="AD873" i="2"/>
  <c r="O873" i="2"/>
  <c r="N873" i="2"/>
  <c r="AD872" i="2"/>
  <c r="O872" i="2"/>
  <c r="N872" i="2"/>
  <c r="AD871" i="2"/>
  <c r="O871" i="2"/>
  <c r="N871" i="2"/>
  <c r="AD870" i="2"/>
  <c r="O870" i="2"/>
  <c r="N870" i="2"/>
  <c r="AD869" i="2"/>
  <c r="O869" i="2"/>
  <c r="N869" i="2"/>
  <c r="AD868" i="2"/>
  <c r="O868" i="2"/>
  <c r="N868" i="2"/>
  <c r="AD867" i="2"/>
  <c r="O867" i="2"/>
  <c r="N867" i="2"/>
  <c r="AD866" i="2"/>
  <c r="O866" i="2"/>
  <c r="N866" i="2"/>
  <c r="AD865" i="2"/>
  <c r="O865" i="2"/>
  <c r="N865" i="2"/>
  <c r="AD864" i="2"/>
  <c r="O864" i="2"/>
  <c r="N864" i="2"/>
  <c r="AD863" i="2"/>
  <c r="O863" i="2"/>
  <c r="N863" i="2"/>
  <c r="AD862" i="2"/>
  <c r="O862" i="2"/>
  <c r="AD861" i="2"/>
  <c r="O861" i="2"/>
  <c r="N861" i="2"/>
  <c r="AD860" i="2"/>
  <c r="O860" i="2"/>
  <c r="N860" i="2"/>
  <c r="AD859" i="2"/>
  <c r="O859" i="2"/>
  <c r="N859" i="2"/>
  <c r="AD858" i="2"/>
  <c r="O858" i="2"/>
  <c r="N858" i="2"/>
  <c r="AD857" i="2"/>
  <c r="AD856" i="2"/>
  <c r="O856" i="2"/>
  <c r="N856" i="2"/>
  <c r="AD855" i="2"/>
  <c r="O855" i="2"/>
  <c r="N855" i="2"/>
  <c r="AD854" i="2"/>
  <c r="O854" i="2"/>
  <c r="N854" i="2"/>
  <c r="AD853" i="2"/>
  <c r="O853" i="2"/>
  <c r="N853" i="2"/>
  <c r="AD852" i="2"/>
  <c r="O852" i="2"/>
  <c r="N852" i="2"/>
  <c r="AD851" i="2"/>
  <c r="O851" i="2"/>
  <c r="N851" i="2"/>
  <c r="AD850" i="2"/>
  <c r="O850" i="2"/>
  <c r="AD849" i="2"/>
  <c r="O849" i="2"/>
  <c r="N849" i="2"/>
  <c r="AD848" i="2"/>
  <c r="O848" i="2"/>
  <c r="N848" i="2"/>
  <c r="AD847" i="2"/>
  <c r="O847" i="2"/>
  <c r="N847" i="2"/>
  <c r="AD846" i="2"/>
  <c r="O846" i="2"/>
  <c r="N846" i="2"/>
  <c r="AD845" i="2"/>
  <c r="O845" i="2"/>
  <c r="N845" i="2"/>
  <c r="AD844" i="2"/>
  <c r="O844" i="2"/>
  <c r="N844" i="2"/>
  <c r="AD843" i="2"/>
  <c r="O843" i="2"/>
  <c r="N843" i="2"/>
  <c r="AD842" i="2"/>
  <c r="O842" i="2"/>
  <c r="N842" i="2"/>
  <c r="AD841" i="2"/>
  <c r="O841" i="2"/>
  <c r="N841" i="2"/>
  <c r="AD840" i="2"/>
  <c r="O840" i="2"/>
  <c r="N840" i="2"/>
  <c r="AD839" i="2"/>
  <c r="O839" i="2"/>
  <c r="N839" i="2"/>
  <c r="AD838" i="2"/>
  <c r="O838" i="2"/>
  <c r="N838" i="2"/>
  <c r="AD837" i="2"/>
  <c r="O837" i="2"/>
  <c r="N837" i="2"/>
  <c r="AD836" i="2"/>
  <c r="O836" i="2"/>
  <c r="N836" i="2"/>
  <c r="AD835" i="2"/>
  <c r="O835" i="2"/>
  <c r="AD834" i="2"/>
  <c r="O834" i="2"/>
  <c r="AD833" i="2"/>
  <c r="O833" i="2"/>
  <c r="AD832" i="2"/>
  <c r="O832" i="2"/>
  <c r="AD831" i="2"/>
  <c r="O831" i="2"/>
  <c r="AD830" i="2"/>
  <c r="O830" i="2"/>
  <c r="N830" i="2"/>
  <c r="AD829" i="2"/>
  <c r="O829" i="2"/>
  <c r="N829" i="2"/>
  <c r="AD828" i="2"/>
  <c r="O828" i="2"/>
  <c r="N828" i="2"/>
  <c r="AD827" i="2"/>
  <c r="O827" i="2"/>
  <c r="N827" i="2"/>
  <c r="AD826" i="2"/>
  <c r="O826" i="2"/>
  <c r="N826" i="2"/>
  <c r="AD825" i="2"/>
  <c r="O825" i="2"/>
  <c r="N825" i="2"/>
  <c r="AD824" i="2"/>
  <c r="O824" i="2"/>
  <c r="N824" i="2"/>
  <c r="AD823" i="2"/>
  <c r="O823" i="2"/>
  <c r="N823" i="2"/>
  <c r="AD822" i="2"/>
  <c r="O822" i="2"/>
  <c r="N822" i="2"/>
  <c r="AD821" i="2"/>
  <c r="O821" i="2"/>
  <c r="N821" i="2"/>
  <c r="AD820" i="2"/>
  <c r="O820" i="2"/>
  <c r="N820" i="2"/>
  <c r="AD819" i="2"/>
  <c r="O819" i="2"/>
  <c r="N819" i="2"/>
  <c r="AD818" i="2"/>
  <c r="O818" i="2"/>
  <c r="N818" i="2"/>
  <c r="AD817" i="2"/>
  <c r="O817" i="2"/>
  <c r="N817" i="2"/>
  <c r="AD816" i="2"/>
  <c r="O816" i="2"/>
  <c r="N816" i="2"/>
  <c r="AD815" i="2"/>
  <c r="O815" i="2"/>
  <c r="N815" i="2"/>
  <c r="AD814" i="2"/>
  <c r="O814" i="2"/>
  <c r="N814" i="2"/>
  <c r="AD813" i="2"/>
  <c r="O813" i="2"/>
  <c r="N813" i="2"/>
  <c r="AD812" i="2"/>
  <c r="O812" i="2"/>
  <c r="N812" i="2"/>
  <c r="AD811" i="2"/>
  <c r="O811" i="2"/>
  <c r="N811" i="2"/>
  <c r="AD810" i="2"/>
  <c r="O810" i="2"/>
  <c r="N810" i="2"/>
  <c r="AD809" i="2"/>
  <c r="O809" i="2"/>
  <c r="N809" i="2"/>
  <c r="AD808" i="2"/>
  <c r="O808" i="2"/>
  <c r="AD807" i="2"/>
  <c r="O807" i="2"/>
  <c r="N807" i="2"/>
  <c r="AD806" i="2"/>
  <c r="O806" i="2"/>
  <c r="N806" i="2"/>
  <c r="AD805" i="2"/>
  <c r="O805" i="2"/>
  <c r="N805" i="2"/>
  <c r="AD804" i="2"/>
  <c r="O804" i="2"/>
  <c r="N804" i="2"/>
  <c r="AD803" i="2"/>
  <c r="O803" i="2"/>
  <c r="N803" i="2"/>
  <c r="AD802" i="2"/>
  <c r="O802" i="2"/>
  <c r="N802" i="2"/>
  <c r="AD801" i="2"/>
  <c r="O801" i="2"/>
  <c r="N801" i="2"/>
  <c r="AD800" i="2"/>
  <c r="O800" i="2"/>
  <c r="N800" i="2"/>
  <c r="AD799" i="2"/>
  <c r="O799" i="2"/>
  <c r="N799" i="2"/>
  <c r="AD798" i="2"/>
  <c r="O798" i="2"/>
  <c r="N798" i="2"/>
  <c r="AD797" i="2"/>
  <c r="O797" i="2"/>
  <c r="N797" i="2"/>
  <c r="AD796" i="2"/>
  <c r="O796" i="2"/>
  <c r="N796" i="2"/>
  <c r="AD795" i="2"/>
  <c r="O795" i="2"/>
  <c r="AD794" i="2"/>
  <c r="O794" i="2"/>
  <c r="AD793" i="2"/>
  <c r="O793" i="2"/>
  <c r="AD792" i="2"/>
  <c r="O792" i="2"/>
  <c r="N792" i="2"/>
  <c r="AD791" i="2"/>
  <c r="O791" i="2"/>
  <c r="N791" i="2"/>
  <c r="AD790" i="2"/>
  <c r="AD789" i="2"/>
  <c r="O789" i="2"/>
  <c r="AD788" i="2"/>
  <c r="O788" i="2"/>
  <c r="AD787" i="2"/>
  <c r="O787" i="2"/>
  <c r="N787" i="2"/>
  <c r="AD786" i="2"/>
  <c r="O786" i="2"/>
  <c r="N786" i="2"/>
  <c r="AD785" i="2"/>
  <c r="O785" i="2"/>
  <c r="N785" i="2"/>
  <c r="AD784" i="2"/>
  <c r="O784" i="2"/>
  <c r="N784" i="2"/>
  <c r="AD783" i="2"/>
  <c r="O783" i="2"/>
  <c r="N783" i="2"/>
  <c r="AD782" i="2"/>
  <c r="O782" i="2"/>
  <c r="AD781" i="2"/>
  <c r="O781" i="2"/>
  <c r="N781" i="2"/>
  <c r="AD780" i="2"/>
  <c r="O780" i="2"/>
  <c r="N780" i="2"/>
  <c r="AD779" i="2"/>
  <c r="O779" i="2"/>
  <c r="N779" i="2"/>
  <c r="AD778" i="2"/>
  <c r="O778" i="2"/>
  <c r="N778" i="2"/>
  <c r="AD777" i="2"/>
  <c r="O777" i="2"/>
  <c r="N777" i="2"/>
  <c r="AD776" i="2"/>
  <c r="O776" i="2"/>
  <c r="N776" i="2"/>
  <c r="AD775" i="2"/>
  <c r="O775" i="2"/>
  <c r="N775" i="2"/>
  <c r="AD774" i="2"/>
  <c r="O774" i="2"/>
  <c r="N774" i="2"/>
  <c r="AD773" i="2"/>
  <c r="O773" i="2"/>
  <c r="N773" i="2"/>
  <c r="AD772" i="2"/>
  <c r="O772" i="2"/>
  <c r="N772" i="2"/>
  <c r="AD771" i="2"/>
  <c r="O771" i="2"/>
  <c r="N771" i="2"/>
  <c r="AD770" i="2"/>
  <c r="O770" i="2"/>
  <c r="N770" i="2"/>
  <c r="AD769" i="2"/>
  <c r="O769" i="2"/>
  <c r="AD768" i="2"/>
  <c r="O768" i="2"/>
  <c r="N768" i="2"/>
  <c r="AD767" i="2"/>
  <c r="O767" i="2"/>
  <c r="N767" i="2"/>
  <c r="AD766" i="2"/>
  <c r="O766" i="2"/>
  <c r="N766" i="2"/>
  <c r="AD765" i="2"/>
  <c r="O765" i="2"/>
  <c r="N765" i="2"/>
  <c r="AD764" i="2"/>
  <c r="O764" i="2"/>
  <c r="AD763" i="2"/>
  <c r="O763" i="2"/>
  <c r="AD762" i="2"/>
  <c r="O762" i="2"/>
  <c r="N762" i="2"/>
  <c r="AD761" i="2"/>
  <c r="O761" i="2"/>
  <c r="N761" i="2"/>
  <c r="AD760" i="2"/>
  <c r="O760" i="2"/>
  <c r="N760" i="2"/>
  <c r="AD759" i="2"/>
  <c r="O759" i="2"/>
  <c r="N759" i="2"/>
  <c r="AD758" i="2"/>
  <c r="O758" i="2"/>
  <c r="N758" i="2"/>
  <c r="AD757" i="2"/>
  <c r="O757" i="2"/>
  <c r="N757" i="2"/>
  <c r="AD756" i="2"/>
  <c r="O756" i="2"/>
  <c r="N756" i="2"/>
  <c r="AD755" i="2"/>
  <c r="O755" i="2"/>
  <c r="N755" i="2"/>
  <c r="AD754" i="2"/>
  <c r="O754" i="2"/>
  <c r="N754" i="2"/>
  <c r="AD753" i="2"/>
  <c r="O753" i="2"/>
  <c r="N753" i="2"/>
  <c r="AD752" i="2"/>
  <c r="O752" i="2"/>
  <c r="N752" i="2"/>
  <c r="AD751" i="2"/>
  <c r="O751" i="2"/>
  <c r="N751" i="2"/>
  <c r="AD750" i="2"/>
  <c r="O750" i="2"/>
  <c r="N750" i="2"/>
  <c r="AD749" i="2"/>
  <c r="O749" i="2"/>
  <c r="N749" i="2"/>
  <c r="AD748" i="2"/>
  <c r="O748" i="2"/>
  <c r="N748" i="2"/>
  <c r="AD747" i="2"/>
  <c r="O747" i="2"/>
  <c r="N747" i="2"/>
  <c r="AD746" i="2"/>
  <c r="O746" i="2"/>
  <c r="N746" i="2"/>
  <c r="AD745" i="2"/>
  <c r="O745" i="2"/>
  <c r="N745" i="2"/>
  <c r="AD744" i="2"/>
  <c r="O744" i="2"/>
  <c r="N744" i="2"/>
  <c r="AD743" i="2"/>
  <c r="O743" i="2"/>
  <c r="N743" i="2"/>
  <c r="AD742" i="2"/>
  <c r="O742" i="2"/>
  <c r="N742" i="2"/>
  <c r="AD741" i="2"/>
  <c r="O741" i="2"/>
  <c r="N741" i="2"/>
  <c r="AD740" i="2"/>
  <c r="AD739" i="2"/>
  <c r="O739" i="2"/>
  <c r="N739" i="2"/>
  <c r="AD738" i="2"/>
  <c r="O738" i="2"/>
  <c r="N738" i="2"/>
  <c r="AD737" i="2"/>
  <c r="O737" i="2"/>
  <c r="N737" i="2"/>
  <c r="AD736" i="2"/>
  <c r="O736" i="2"/>
  <c r="N736" i="2"/>
  <c r="AD735" i="2"/>
  <c r="O735" i="2"/>
  <c r="N735" i="2"/>
  <c r="AD734" i="2"/>
  <c r="O734" i="2"/>
  <c r="N734" i="2"/>
  <c r="AD733" i="2"/>
  <c r="AD732" i="2"/>
  <c r="O732" i="2"/>
  <c r="N732" i="2"/>
  <c r="AD731" i="2"/>
  <c r="O731" i="2"/>
  <c r="N731" i="2"/>
  <c r="AD730" i="2"/>
  <c r="O730" i="2"/>
  <c r="N730" i="2"/>
  <c r="AD729" i="2"/>
  <c r="O729" i="2"/>
  <c r="N729" i="2"/>
  <c r="AD728" i="2"/>
  <c r="O728" i="2"/>
  <c r="N728" i="2"/>
  <c r="AD727" i="2"/>
  <c r="O727" i="2"/>
  <c r="N727" i="2"/>
  <c r="AD726" i="2"/>
  <c r="O726" i="2"/>
  <c r="N726" i="2"/>
  <c r="AD725" i="2"/>
  <c r="O725" i="2"/>
  <c r="N725" i="2"/>
  <c r="AD724" i="2"/>
  <c r="O724" i="2"/>
  <c r="N724" i="2"/>
  <c r="AD723" i="2"/>
  <c r="O723" i="2"/>
  <c r="N723" i="2"/>
  <c r="AD722" i="2"/>
  <c r="AD721" i="2"/>
  <c r="AD720" i="2"/>
  <c r="O720" i="2"/>
  <c r="AD719" i="2"/>
  <c r="O719" i="2"/>
  <c r="AD718" i="2"/>
  <c r="O718" i="2"/>
  <c r="AD717" i="2"/>
  <c r="AD716" i="2"/>
  <c r="AD715" i="2"/>
  <c r="AD714" i="2"/>
  <c r="O714" i="2"/>
  <c r="N714" i="2"/>
  <c r="AD713" i="2"/>
  <c r="O713" i="2"/>
  <c r="N713" i="2"/>
  <c r="AD712" i="2"/>
  <c r="O712" i="2"/>
  <c r="N712" i="2"/>
  <c r="AD711" i="2"/>
  <c r="O711" i="2"/>
  <c r="N711" i="2"/>
  <c r="AD710" i="2"/>
  <c r="O710" i="2"/>
  <c r="N710" i="2"/>
  <c r="AD709" i="2"/>
  <c r="O709" i="2"/>
  <c r="N709" i="2"/>
  <c r="AD708" i="2"/>
  <c r="O708" i="2"/>
  <c r="N708" i="2"/>
  <c r="AD707" i="2"/>
  <c r="O707" i="2"/>
  <c r="N707" i="2"/>
  <c r="AD706" i="2"/>
  <c r="O706" i="2"/>
  <c r="N706" i="2"/>
  <c r="AD705" i="2"/>
  <c r="O705" i="2"/>
  <c r="N705" i="2"/>
  <c r="AD704" i="2"/>
  <c r="O704" i="2"/>
  <c r="N704" i="2"/>
  <c r="AD703" i="2"/>
  <c r="O703" i="2"/>
  <c r="N703" i="2"/>
  <c r="AD702" i="2"/>
  <c r="O702" i="2"/>
  <c r="N702" i="2"/>
  <c r="AD701" i="2"/>
  <c r="O701" i="2"/>
  <c r="N701" i="2"/>
  <c r="AD700" i="2"/>
  <c r="O700" i="2"/>
  <c r="N700" i="2"/>
  <c r="AD699" i="2"/>
  <c r="O699" i="2"/>
  <c r="N699" i="2"/>
  <c r="AD698" i="2"/>
  <c r="O698" i="2"/>
  <c r="N698" i="2"/>
  <c r="AD697" i="2"/>
  <c r="O697" i="2"/>
  <c r="N697" i="2"/>
  <c r="AD696" i="2"/>
  <c r="O696" i="2"/>
  <c r="N696" i="2"/>
  <c r="AD695" i="2"/>
  <c r="O695" i="2"/>
  <c r="N695" i="2"/>
  <c r="AD694" i="2"/>
  <c r="O694" i="2"/>
  <c r="AD693" i="2"/>
  <c r="O693" i="2"/>
  <c r="AD692" i="2"/>
  <c r="O692" i="2"/>
  <c r="AD691" i="2"/>
  <c r="O691" i="2"/>
  <c r="AD690" i="2"/>
  <c r="O690" i="2"/>
  <c r="AD689" i="2"/>
  <c r="AD688" i="2"/>
  <c r="AD687" i="2"/>
  <c r="AD686" i="2"/>
  <c r="O686" i="2"/>
  <c r="N686" i="2"/>
  <c r="AD685" i="2"/>
  <c r="O685" i="2"/>
  <c r="N685" i="2"/>
  <c r="AD684" i="2"/>
  <c r="O684" i="2"/>
  <c r="N684" i="2"/>
  <c r="AD683" i="2"/>
  <c r="O683" i="2"/>
  <c r="N683" i="2"/>
  <c r="AD682" i="2"/>
  <c r="AD681" i="2"/>
  <c r="AD680" i="2"/>
  <c r="AD679" i="2"/>
  <c r="AD678" i="2"/>
  <c r="O678" i="2"/>
  <c r="N678" i="2"/>
  <c r="AD677" i="2"/>
  <c r="O677" i="2"/>
  <c r="N677" i="2"/>
  <c r="AD676" i="2"/>
  <c r="O676" i="2"/>
  <c r="N676" i="2"/>
  <c r="AD675" i="2"/>
  <c r="O675" i="2"/>
  <c r="N675" i="2"/>
  <c r="AD674" i="2"/>
  <c r="O674" i="2"/>
  <c r="N674" i="2"/>
  <c r="AD673" i="2"/>
  <c r="O673" i="2"/>
  <c r="N673" i="2"/>
  <c r="AD672" i="2"/>
  <c r="O672" i="2"/>
  <c r="N672" i="2"/>
  <c r="AD671" i="2"/>
  <c r="O671" i="2"/>
  <c r="N671" i="2"/>
  <c r="AD670" i="2"/>
  <c r="O670" i="2"/>
  <c r="N670" i="2"/>
  <c r="AD669" i="2"/>
  <c r="O669" i="2"/>
  <c r="N669" i="2"/>
  <c r="AD668" i="2"/>
  <c r="O668" i="2"/>
  <c r="N668" i="2"/>
  <c r="AD667" i="2"/>
  <c r="O667" i="2"/>
  <c r="N667" i="2"/>
  <c r="AD666" i="2"/>
  <c r="O666" i="2"/>
  <c r="AD665" i="2"/>
  <c r="O665" i="2"/>
  <c r="AD664" i="2"/>
  <c r="O664" i="2"/>
  <c r="AD663" i="2"/>
  <c r="O663" i="2"/>
  <c r="N663" i="2"/>
  <c r="AD662" i="2"/>
  <c r="AD661" i="2"/>
  <c r="O661" i="2"/>
  <c r="N661" i="2"/>
  <c r="AD660" i="2"/>
  <c r="O660" i="2"/>
  <c r="N660" i="2"/>
  <c r="AD659" i="2"/>
  <c r="O659" i="2"/>
  <c r="N659" i="2"/>
  <c r="AD658" i="2"/>
  <c r="O658" i="2"/>
  <c r="N658" i="2"/>
  <c r="AD657" i="2"/>
  <c r="O657" i="2"/>
  <c r="N657" i="2"/>
  <c r="AD656" i="2"/>
  <c r="O656" i="2"/>
  <c r="N656" i="2"/>
  <c r="AD655" i="2"/>
  <c r="O655" i="2"/>
  <c r="N655" i="2"/>
  <c r="AD654" i="2"/>
  <c r="O654" i="2"/>
  <c r="N654" i="2"/>
  <c r="AD653" i="2"/>
  <c r="O653" i="2"/>
  <c r="N653" i="2"/>
  <c r="AD652" i="2"/>
  <c r="O652" i="2"/>
  <c r="N652" i="2"/>
  <c r="AD651" i="2"/>
  <c r="O651" i="2"/>
  <c r="N651" i="2"/>
  <c r="AD650" i="2"/>
  <c r="O650" i="2"/>
  <c r="N650" i="2"/>
  <c r="AD649" i="2"/>
  <c r="O649" i="2"/>
  <c r="N649" i="2"/>
  <c r="AD648" i="2"/>
  <c r="O648" i="2"/>
  <c r="N648" i="2"/>
  <c r="AD647" i="2"/>
  <c r="O647" i="2"/>
  <c r="N647" i="2"/>
  <c r="AD646" i="2"/>
  <c r="O646" i="2"/>
  <c r="N646" i="2"/>
  <c r="AD645" i="2"/>
  <c r="O645" i="2"/>
  <c r="AD644" i="2"/>
  <c r="O644" i="2"/>
  <c r="AD643" i="2"/>
  <c r="O643" i="2"/>
  <c r="AD642" i="2"/>
  <c r="O642" i="2"/>
  <c r="N642" i="2"/>
  <c r="AD641" i="2"/>
  <c r="O641" i="2"/>
  <c r="N641" i="2"/>
  <c r="AD640" i="2"/>
  <c r="O640" i="2"/>
  <c r="N640" i="2"/>
  <c r="AD639" i="2"/>
  <c r="O639" i="2"/>
  <c r="N639" i="2"/>
  <c r="AD638" i="2"/>
  <c r="O638" i="2"/>
  <c r="N638" i="2"/>
  <c r="AD637" i="2"/>
  <c r="O637" i="2"/>
  <c r="N637" i="2"/>
  <c r="AD636" i="2"/>
  <c r="O636" i="2"/>
  <c r="N636" i="2"/>
  <c r="AD635" i="2"/>
  <c r="O635" i="2"/>
  <c r="N635" i="2"/>
  <c r="AD634" i="2"/>
  <c r="O634" i="2"/>
  <c r="N634" i="2"/>
  <c r="AD633" i="2"/>
  <c r="O633" i="2"/>
  <c r="N633" i="2"/>
  <c r="AD632" i="2"/>
  <c r="O632" i="2"/>
  <c r="N632" i="2"/>
  <c r="AD631" i="2"/>
  <c r="O631" i="2"/>
  <c r="N631" i="2"/>
  <c r="AD630" i="2"/>
  <c r="O630" i="2"/>
  <c r="N630" i="2"/>
  <c r="AD629" i="2"/>
  <c r="O629" i="2"/>
  <c r="N629" i="2"/>
  <c r="AD628" i="2"/>
  <c r="O628" i="2"/>
  <c r="N628" i="2"/>
  <c r="AD627" i="2"/>
  <c r="O627" i="2"/>
  <c r="N627" i="2"/>
  <c r="AD626" i="2"/>
  <c r="O626" i="2"/>
  <c r="N626" i="2"/>
  <c r="AD625" i="2"/>
  <c r="O625" i="2"/>
  <c r="N625" i="2"/>
  <c r="AD624" i="2"/>
  <c r="O624" i="2"/>
  <c r="N624" i="2"/>
  <c r="AD623" i="2"/>
  <c r="AD622" i="2"/>
  <c r="O622" i="2"/>
  <c r="N622" i="2"/>
  <c r="AD621" i="2"/>
  <c r="O621" i="2"/>
  <c r="N621" i="2"/>
  <c r="AD620" i="2"/>
  <c r="O620" i="2"/>
  <c r="N620" i="2"/>
  <c r="AD619" i="2"/>
  <c r="O619" i="2"/>
  <c r="N619" i="2"/>
  <c r="AD618" i="2"/>
  <c r="O618" i="2"/>
  <c r="N618" i="2"/>
  <c r="AD617" i="2"/>
  <c r="O617" i="2"/>
  <c r="N617" i="2"/>
  <c r="AD616" i="2"/>
  <c r="O616" i="2"/>
  <c r="N616" i="2"/>
  <c r="AD615" i="2"/>
  <c r="O615" i="2"/>
  <c r="N615" i="2"/>
  <c r="AD614" i="2"/>
  <c r="O614" i="2"/>
  <c r="N614" i="2"/>
  <c r="AD613" i="2"/>
  <c r="O613" i="2"/>
  <c r="AD612" i="2"/>
  <c r="O612" i="2"/>
  <c r="AD611" i="2"/>
  <c r="O611" i="2"/>
  <c r="AD610" i="2"/>
  <c r="O610" i="2"/>
  <c r="AD609" i="2"/>
  <c r="O609" i="2"/>
  <c r="N609" i="2"/>
  <c r="AD608" i="2"/>
  <c r="O608" i="2"/>
  <c r="N608" i="2"/>
  <c r="AD607" i="2"/>
  <c r="O607" i="2"/>
  <c r="N607" i="2"/>
  <c r="AD606" i="2"/>
  <c r="O606" i="2"/>
  <c r="N606" i="2"/>
  <c r="AD605" i="2"/>
  <c r="O605" i="2"/>
  <c r="N605" i="2"/>
  <c r="AD604" i="2"/>
  <c r="O604" i="2"/>
  <c r="N604" i="2"/>
  <c r="AD603" i="2"/>
  <c r="O603" i="2"/>
  <c r="N603" i="2"/>
  <c r="AD602" i="2"/>
  <c r="O602" i="2"/>
  <c r="N602" i="2"/>
  <c r="AD601" i="2"/>
  <c r="AD600" i="2"/>
  <c r="O600" i="2"/>
  <c r="N600" i="2"/>
  <c r="AD599" i="2"/>
  <c r="O599" i="2"/>
  <c r="N599" i="2"/>
  <c r="AD598" i="2"/>
  <c r="O598" i="2"/>
  <c r="N598" i="2"/>
  <c r="AD597" i="2"/>
  <c r="O597" i="2"/>
  <c r="N597" i="2"/>
  <c r="AD596" i="2"/>
  <c r="O596" i="2"/>
  <c r="N596" i="2"/>
  <c r="AD595" i="2"/>
  <c r="O595" i="2"/>
  <c r="N595" i="2"/>
  <c r="AD594" i="2"/>
  <c r="O594" i="2"/>
  <c r="N594" i="2"/>
  <c r="AD593" i="2"/>
  <c r="O593" i="2"/>
  <c r="N593" i="2"/>
  <c r="AD592" i="2"/>
  <c r="O592" i="2"/>
  <c r="N592" i="2"/>
  <c r="AD591" i="2"/>
  <c r="O591" i="2"/>
  <c r="N591" i="2"/>
  <c r="AD590" i="2"/>
  <c r="O590" i="2"/>
  <c r="N590" i="2"/>
  <c r="AD589" i="2"/>
  <c r="O589" i="2"/>
  <c r="N589" i="2"/>
  <c r="AD588" i="2"/>
  <c r="O588" i="2"/>
  <c r="N588" i="2"/>
  <c r="AD587" i="2"/>
  <c r="O587" i="2"/>
  <c r="N587" i="2"/>
  <c r="AD586" i="2"/>
  <c r="O586" i="2"/>
  <c r="N586" i="2"/>
  <c r="AD585" i="2"/>
  <c r="O585" i="2"/>
  <c r="N585" i="2"/>
  <c r="AD584" i="2"/>
  <c r="O584" i="2"/>
  <c r="N584" i="2"/>
  <c r="AD583" i="2"/>
  <c r="O583" i="2"/>
  <c r="N583" i="2"/>
  <c r="AD582" i="2"/>
  <c r="N582" i="2"/>
  <c r="AD581" i="2"/>
  <c r="N581" i="2"/>
  <c r="AD580" i="2"/>
  <c r="N580" i="2"/>
  <c r="AD579" i="2"/>
  <c r="O579" i="2"/>
  <c r="AD578" i="2"/>
  <c r="O578" i="2"/>
  <c r="AD577" i="2"/>
  <c r="O577" i="2"/>
  <c r="N577" i="2"/>
  <c r="AD576" i="2"/>
  <c r="O576" i="2"/>
  <c r="N576" i="2"/>
  <c r="AD575" i="2"/>
  <c r="O575" i="2"/>
  <c r="N575" i="2"/>
  <c r="AD574" i="2"/>
  <c r="O574" i="2"/>
  <c r="N574" i="2"/>
  <c r="AD573" i="2"/>
  <c r="O573" i="2"/>
  <c r="AD572" i="2"/>
  <c r="O572" i="2"/>
  <c r="AD571" i="2"/>
  <c r="O571" i="2"/>
  <c r="AD570" i="2"/>
  <c r="O570" i="2"/>
  <c r="AD569" i="2"/>
  <c r="O569" i="2"/>
  <c r="N569" i="2"/>
  <c r="AD568" i="2"/>
  <c r="O568" i="2"/>
  <c r="N568" i="2"/>
  <c r="AD567" i="2"/>
  <c r="O567" i="2"/>
  <c r="N567" i="2"/>
  <c r="AD566" i="2"/>
  <c r="O566" i="2"/>
  <c r="N566" i="2"/>
  <c r="AD565" i="2"/>
  <c r="O565" i="2"/>
  <c r="N565" i="2"/>
  <c r="AD564" i="2"/>
  <c r="O564" i="2"/>
  <c r="N564" i="2"/>
  <c r="AD563" i="2"/>
  <c r="O563" i="2"/>
  <c r="AD562" i="2"/>
  <c r="O562" i="2"/>
  <c r="AD561" i="2"/>
  <c r="O561" i="2"/>
  <c r="AD560" i="2"/>
  <c r="O560" i="2"/>
  <c r="N560" i="2"/>
  <c r="AD559" i="2"/>
  <c r="O559" i="2"/>
  <c r="N559" i="2"/>
  <c r="AD558" i="2"/>
  <c r="O558" i="2"/>
  <c r="N558" i="2"/>
  <c r="AD557" i="2"/>
  <c r="O557" i="2"/>
  <c r="N557" i="2"/>
  <c r="AD556" i="2"/>
  <c r="O556" i="2"/>
  <c r="N556" i="2"/>
  <c r="AD555" i="2"/>
  <c r="O555" i="2"/>
  <c r="AD554" i="2"/>
  <c r="O554" i="2"/>
  <c r="AD553" i="2"/>
  <c r="O553" i="2"/>
  <c r="AD552" i="2"/>
  <c r="O552" i="2"/>
  <c r="AD551" i="2"/>
  <c r="O551" i="2"/>
  <c r="N551" i="2"/>
  <c r="AD550" i="2"/>
  <c r="O550" i="2"/>
  <c r="N550" i="2"/>
  <c r="AD549" i="2"/>
  <c r="O549" i="2"/>
  <c r="N549" i="2"/>
  <c r="AD548" i="2"/>
  <c r="O548" i="2"/>
  <c r="N548" i="2"/>
  <c r="AD547" i="2"/>
  <c r="O547" i="2"/>
  <c r="N547" i="2"/>
  <c r="AD546" i="2"/>
  <c r="O546" i="2"/>
  <c r="N546" i="2"/>
  <c r="AD545" i="2"/>
  <c r="O545" i="2"/>
  <c r="N545" i="2"/>
  <c r="AD544" i="2"/>
  <c r="O544" i="2"/>
  <c r="N544" i="2"/>
  <c r="AD543" i="2"/>
  <c r="O543" i="2"/>
  <c r="N543" i="2"/>
  <c r="AD542" i="2"/>
  <c r="O542" i="2"/>
  <c r="N542" i="2"/>
  <c r="AD541" i="2"/>
  <c r="O541" i="2"/>
  <c r="N541" i="2"/>
  <c r="AD540" i="2"/>
  <c r="O540" i="2"/>
  <c r="AD539" i="2"/>
  <c r="O539" i="2"/>
  <c r="AD538" i="2"/>
  <c r="O538" i="2"/>
  <c r="AD537" i="2"/>
  <c r="O537" i="2"/>
  <c r="AD536" i="2"/>
  <c r="O536" i="2"/>
  <c r="N536" i="2"/>
  <c r="AD535" i="2"/>
  <c r="O535" i="2"/>
  <c r="N535" i="2"/>
  <c r="AD534" i="2"/>
  <c r="O534" i="2"/>
  <c r="N534" i="2"/>
  <c r="AD533" i="2"/>
  <c r="O533" i="2"/>
  <c r="N533" i="2"/>
  <c r="AD532" i="2"/>
  <c r="O532" i="2"/>
  <c r="N532" i="2"/>
  <c r="AD531" i="2"/>
  <c r="O531" i="2"/>
  <c r="N531" i="2"/>
  <c r="AD530" i="2"/>
  <c r="O530" i="2"/>
  <c r="N530" i="2"/>
  <c r="AD529" i="2"/>
  <c r="O529" i="2"/>
  <c r="N529" i="2"/>
  <c r="AD528" i="2"/>
  <c r="O528" i="2"/>
  <c r="N528" i="2"/>
  <c r="AD527" i="2"/>
  <c r="O527" i="2"/>
  <c r="N527" i="2"/>
  <c r="AD526" i="2"/>
  <c r="O526" i="2"/>
  <c r="N526" i="2"/>
  <c r="AD525" i="2"/>
  <c r="AD524" i="2"/>
  <c r="O524" i="2"/>
  <c r="N524" i="2"/>
  <c r="AD523" i="2"/>
  <c r="O523" i="2"/>
  <c r="N523" i="2"/>
  <c r="AD522" i="2"/>
  <c r="AD521" i="2"/>
  <c r="O521" i="2"/>
  <c r="N521" i="2"/>
  <c r="AD520" i="2"/>
  <c r="O520" i="2"/>
  <c r="N520" i="2"/>
  <c r="AD519" i="2"/>
  <c r="O519" i="2"/>
  <c r="N519" i="2"/>
  <c r="AD518" i="2"/>
  <c r="O518" i="2"/>
  <c r="N518" i="2"/>
  <c r="AD517" i="2"/>
  <c r="O517" i="2"/>
  <c r="AD516" i="2"/>
  <c r="O516" i="2"/>
  <c r="AD515" i="2"/>
  <c r="O515" i="2"/>
  <c r="AD514" i="2"/>
  <c r="O514" i="2"/>
  <c r="AD513" i="2"/>
  <c r="O513" i="2"/>
  <c r="N513" i="2"/>
  <c r="AD512" i="2"/>
  <c r="O512" i="2"/>
  <c r="N512" i="2"/>
  <c r="AD511" i="2"/>
  <c r="O511" i="2"/>
  <c r="N511" i="2"/>
  <c r="AD510" i="2"/>
  <c r="O510" i="2"/>
  <c r="N510" i="2"/>
  <c r="AD509" i="2"/>
  <c r="O509" i="2"/>
  <c r="N509" i="2"/>
  <c r="AD508" i="2"/>
  <c r="AD507" i="2"/>
  <c r="O507" i="2"/>
  <c r="AD506" i="2"/>
  <c r="O506" i="2"/>
  <c r="AD505" i="2"/>
  <c r="O505" i="2"/>
  <c r="AD504" i="2"/>
  <c r="O504" i="2"/>
  <c r="AD503" i="2"/>
  <c r="O503" i="2"/>
  <c r="AD502" i="2"/>
  <c r="O502" i="2"/>
  <c r="N502" i="2"/>
  <c r="AD501" i="2"/>
  <c r="O501" i="2"/>
  <c r="N501" i="2"/>
  <c r="AD500" i="2"/>
  <c r="O500" i="2"/>
  <c r="N500" i="2"/>
  <c r="AD499" i="2"/>
  <c r="O499" i="2"/>
  <c r="N499" i="2"/>
  <c r="AD498" i="2"/>
  <c r="O498" i="2"/>
  <c r="N498" i="2"/>
  <c r="AD497" i="2"/>
  <c r="O497" i="2"/>
  <c r="N497" i="2"/>
  <c r="AD496" i="2"/>
  <c r="O496" i="2"/>
  <c r="N496" i="2"/>
  <c r="AD495" i="2"/>
  <c r="O495" i="2"/>
  <c r="AD494" i="2"/>
  <c r="O494" i="2"/>
  <c r="AD493" i="2"/>
  <c r="O493" i="2"/>
  <c r="N493" i="2"/>
  <c r="AD492" i="2"/>
  <c r="O492" i="2"/>
  <c r="N492" i="2"/>
  <c r="AD491" i="2"/>
  <c r="O491" i="2"/>
  <c r="N491" i="2"/>
  <c r="AD490" i="2"/>
  <c r="O490" i="2"/>
  <c r="N490" i="2"/>
  <c r="AD489" i="2"/>
  <c r="O489" i="2"/>
  <c r="N489" i="2"/>
  <c r="AD488" i="2"/>
  <c r="O488" i="2"/>
  <c r="N488" i="2"/>
  <c r="AD487" i="2"/>
  <c r="O487" i="2"/>
  <c r="N487" i="2"/>
  <c r="AD486" i="2"/>
  <c r="O486" i="2"/>
  <c r="N486" i="2"/>
  <c r="AD485" i="2"/>
  <c r="O485" i="2"/>
  <c r="N485" i="2"/>
  <c r="AD484" i="2"/>
  <c r="O484" i="2"/>
  <c r="N484" i="2"/>
  <c r="AD483" i="2"/>
  <c r="O483" i="2"/>
  <c r="AD482" i="2"/>
  <c r="O482" i="2"/>
  <c r="N482" i="2"/>
  <c r="AD481" i="2"/>
  <c r="AD480" i="2"/>
  <c r="AD479" i="2"/>
  <c r="O479" i="2"/>
  <c r="AD478" i="2"/>
  <c r="O478" i="2"/>
  <c r="AD477" i="2"/>
  <c r="O477" i="2"/>
  <c r="AD476" i="2"/>
  <c r="O476" i="2"/>
  <c r="N476" i="2"/>
  <c r="AD475" i="2"/>
  <c r="O475" i="2"/>
  <c r="N475" i="2"/>
  <c r="AD474" i="2"/>
  <c r="O474" i="2"/>
  <c r="N474" i="2"/>
  <c r="AD473" i="2"/>
  <c r="O473" i="2"/>
  <c r="N473" i="2"/>
  <c r="AD472" i="2"/>
  <c r="O472" i="2"/>
  <c r="N472" i="2"/>
  <c r="AD471" i="2"/>
  <c r="O471" i="2"/>
  <c r="N471" i="2"/>
  <c r="AD470" i="2"/>
  <c r="O470" i="2"/>
  <c r="N470" i="2"/>
  <c r="AD469" i="2"/>
  <c r="O469" i="2"/>
  <c r="N469" i="2"/>
  <c r="AD468" i="2"/>
  <c r="O468" i="2"/>
  <c r="N468" i="2"/>
  <c r="AD467" i="2"/>
  <c r="O467" i="2"/>
  <c r="N467" i="2"/>
  <c r="AD466" i="2"/>
  <c r="O466" i="2"/>
  <c r="N466" i="2"/>
  <c r="AD465" i="2"/>
  <c r="O465" i="2"/>
  <c r="N465" i="2"/>
  <c r="AD464" i="2"/>
  <c r="O464" i="2"/>
  <c r="N464" i="2"/>
  <c r="AD463" i="2"/>
  <c r="O463" i="2"/>
  <c r="N463" i="2"/>
  <c r="AD462" i="2"/>
  <c r="O462" i="2"/>
  <c r="N462" i="2"/>
  <c r="AD461" i="2"/>
  <c r="O461" i="2"/>
  <c r="N461" i="2"/>
  <c r="AD460" i="2"/>
  <c r="O460" i="2"/>
  <c r="N460" i="2"/>
  <c r="AD459" i="2"/>
  <c r="O459" i="2"/>
  <c r="N459" i="2"/>
  <c r="AD458" i="2"/>
  <c r="O458" i="2"/>
  <c r="N458" i="2"/>
  <c r="AD457" i="2"/>
  <c r="O457" i="2"/>
  <c r="N457" i="2"/>
  <c r="AD456" i="2"/>
  <c r="O456" i="2"/>
  <c r="N456" i="2"/>
  <c r="AD455" i="2"/>
  <c r="O455" i="2"/>
  <c r="N455" i="2"/>
  <c r="AD454" i="2"/>
  <c r="O454" i="2"/>
  <c r="N454" i="2"/>
  <c r="AD453" i="2"/>
  <c r="N453" i="2"/>
  <c r="AD452" i="2"/>
  <c r="N452" i="2"/>
  <c r="AD451" i="2"/>
  <c r="N451" i="2"/>
  <c r="AD450" i="2"/>
  <c r="N450" i="2"/>
  <c r="AD449" i="2"/>
  <c r="N449" i="2"/>
  <c r="AD448" i="2"/>
  <c r="N448" i="2"/>
  <c r="AD447" i="2"/>
  <c r="O447" i="2"/>
  <c r="N447" i="2"/>
  <c r="AD446" i="2"/>
  <c r="O446" i="2"/>
  <c r="N446" i="2"/>
  <c r="AD445" i="2"/>
  <c r="O445" i="2"/>
  <c r="N445" i="2"/>
  <c r="AD444" i="2"/>
  <c r="N444" i="2"/>
  <c r="AD443" i="2"/>
  <c r="AD442" i="2"/>
  <c r="O442" i="2"/>
  <c r="N442" i="2"/>
  <c r="AD441" i="2"/>
  <c r="O441" i="2"/>
  <c r="N441" i="2"/>
  <c r="AD440" i="2"/>
  <c r="O440" i="2"/>
  <c r="N440" i="2"/>
  <c r="AD439" i="2"/>
  <c r="O439" i="2"/>
  <c r="N439" i="2"/>
  <c r="AD438" i="2"/>
  <c r="O438" i="2"/>
  <c r="N438" i="2"/>
  <c r="AD437" i="2"/>
  <c r="O437" i="2"/>
  <c r="N437" i="2"/>
  <c r="AD436" i="2"/>
  <c r="O436" i="2"/>
  <c r="N436" i="2"/>
  <c r="AD435" i="2"/>
  <c r="O435" i="2"/>
  <c r="N435" i="2"/>
  <c r="AD434" i="2"/>
  <c r="O434" i="2"/>
  <c r="AD433" i="2"/>
  <c r="O433" i="2"/>
  <c r="N433" i="2"/>
  <c r="AD432" i="2"/>
  <c r="O432" i="2"/>
  <c r="N432" i="2"/>
  <c r="AD431" i="2"/>
  <c r="O431" i="2"/>
  <c r="N431" i="2"/>
  <c r="AD430" i="2"/>
  <c r="N430" i="2"/>
  <c r="AD429" i="2"/>
  <c r="N429" i="2"/>
  <c r="AD428" i="2"/>
  <c r="O428" i="2"/>
  <c r="N428" i="2"/>
  <c r="AD427" i="2"/>
  <c r="O427" i="2"/>
  <c r="N427" i="2"/>
  <c r="AD426" i="2"/>
  <c r="O426" i="2"/>
  <c r="N426" i="2"/>
  <c r="AD425" i="2"/>
  <c r="O425" i="2"/>
  <c r="N425" i="2"/>
  <c r="AD424" i="2"/>
  <c r="AD423" i="2"/>
  <c r="AD422" i="2"/>
  <c r="O422" i="2"/>
  <c r="N422" i="2"/>
  <c r="AD421" i="2"/>
  <c r="O421" i="2"/>
  <c r="N421" i="2"/>
  <c r="AD420" i="2"/>
  <c r="O420" i="2"/>
  <c r="N420" i="2"/>
  <c r="AD419" i="2"/>
  <c r="O419" i="2"/>
  <c r="N419" i="2"/>
  <c r="AD418" i="2"/>
  <c r="N418" i="2"/>
  <c r="AD417" i="2"/>
  <c r="N417" i="2"/>
  <c r="AD416" i="2"/>
  <c r="N416" i="2"/>
  <c r="AD415" i="2"/>
  <c r="O415" i="2"/>
  <c r="N415" i="2"/>
  <c r="AD414" i="2"/>
  <c r="O414" i="2"/>
  <c r="N414" i="2"/>
  <c r="AD413" i="2"/>
  <c r="O413" i="2"/>
  <c r="N413" i="2"/>
  <c r="AD412" i="2"/>
  <c r="O412" i="2"/>
  <c r="N412" i="2"/>
  <c r="AD411" i="2"/>
  <c r="O411" i="2"/>
  <c r="N411" i="2"/>
  <c r="AD410" i="2"/>
  <c r="O410" i="2"/>
  <c r="N410" i="2"/>
  <c r="AD409" i="2"/>
  <c r="O409" i="2"/>
  <c r="N409" i="2"/>
  <c r="AD408" i="2"/>
  <c r="O408" i="2"/>
  <c r="N408" i="2"/>
  <c r="AD407" i="2"/>
  <c r="O407" i="2"/>
  <c r="N407" i="2"/>
  <c r="AD406" i="2"/>
  <c r="O406" i="2"/>
  <c r="N406" i="2"/>
  <c r="AD405" i="2"/>
  <c r="O405" i="2"/>
  <c r="N405" i="2"/>
  <c r="AD404" i="2"/>
  <c r="O404" i="2"/>
  <c r="N404" i="2"/>
  <c r="AD403" i="2"/>
  <c r="O403" i="2"/>
  <c r="N403" i="2"/>
  <c r="AD402" i="2"/>
  <c r="O402" i="2"/>
  <c r="N402" i="2"/>
  <c r="AD401" i="2"/>
  <c r="O401" i="2"/>
  <c r="N401" i="2"/>
  <c r="AD400" i="2"/>
  <c r="O400" i="2"/>
  <c r="N400" i="2"/>
  <c r="AD399" i="2"/>
  <c r="O399" i="2"/>
  <c r="N399" i="2"/>
  <c r="AD398" i="2"/>
  <c r="O398" i="2"/>
  <c r="N398" i="2"/>
  <c r="AD397" i="2"/>
  <c r="N397" i="2"/>
  <c r="AD396" i="2"/>
  <c r="AD395" i="2"/>
  <c r="N395" i="2"/>
  <c r="AD394" i="2"/>
  <c r="N394" i="2"/>
  <c r="AD393" i="2"/>
  <c r="N393" i="2"/>
  <c r="AD392" i="2"/>
  <c r="N392" i="2"/>
  <c r="AD391" i="2"/>
  <c r="N391" i="2"/>
  <c r="AD390" i="2"/>
  <c r="O390" i="2"/>
  <c r="N390" i="2"/>
  <c r="AD389" i="2"/>
  <c r="O389" i="2"/>
  <c r="N389" i="2"/>
  <c r="AD388" i="2"/>
  <c r="N388" i="2"/>
  <c r="AD387" i="2"/>
  <c r="O387" i="2"/>
  <c r="N387" i="2"/>
  <c r="AD386" i="2"/>
  <c r="N386" i="2"/>
  <c r="AD385" i="2"/>
  <c r="O385" i="2"/>
  <c r="N385" i="2"/>
  <c r="AD384" i="2"/>
  <c r="O384" i="2"/>
  <c r="N384" i="2"/>
  <c r="AD383" i="2"/>
  <c r="O383" i="2"/>
  <c r="N383" i="2"/>
  <c r="AD382" i="2"/>
  <c r="O382" i="2"/>
  <c r="N382" i="2"/>
  <c r="AD381" i="2"/>
  <c r="O381" i="2"/>
  <c r="N381" i="2"/>
  <c r="AD380" i="2"/>
  <c r="O380" i="2"/>
  <c r="N380" i="2"/>
  <c r="AD379" i="2"/>
  <c r="O379" i="2"/>
  <c r="N379" i="2"/>
  <c r="AD378" i="2"/>
  <c r="N378" i="2"/>
  <c r="AD377" i="2"/>
  <c r="N377" i="2"/>
  <c r="AD376" i="2"/>
  <c r="N376" i="2"/>
  <c r="AD375" i="2"/>
  <c r="O375" i="2"/>
  <c r="N375" i="2"/>
  <c r="AD374" i="2"/>
  <c r="O374" i="2"/>
  <c r="N374" i="2"/>
  <c r="AD373" i="2"/>
  <c r="O373" i="2"/>
  <c r="N373" i="2"/>
  <c r="AD372" i="2"/>
  <c r="O372" i="2"/>
  <c r="N372" i="2"/>
  <c r="AD371" i="2"/>
  <c r="O371" i="2"/>
  <c r="N371" i="2"/>
  <c r="AD370" i="2"/>
  <c r="O370" i="2"/>
  <c r="N370" i="2"/>
  <c r="AD369" i="2"/>
  <c r="O369" i="2"/>
  <c r="N369" i="2"/>
  <c r="AD368" i="2"/>
  <c r="O368" i="2"/>
  <c r="N368" i="2"/>
  <c r="AD367" i="2"/>
  <c r="O367" i="2"/>
  <c r="N367" i="2"/>
  <c r="AD366" i="2"/>
  <c r="O366" i="2"/>
  <c r="N366" i="2"/>
  <c r="AD365" i="2"/>
  <c r="O365" i="2"/>
  <c r="N365" i="2"/>
  <c r="AD364" i="2"/>
  <c r="O364" i="2"/>
  <c r="N364" i="2"/>
  <c r="AD363" i="2"/>
  <c r="O363" i="2"/>
  <c r="N363" i="2"/>
  <c r="AD362" i="2"/>
  <c r="O362" i="2"/>
  <c r="N362" i="2"/>
  <c r="AD361" i="2"/>
  <c r="N361" i="2"/>
  <c r="AD360" i="2"/>
  <c r="N360" i="2"/>
  <c r="AD359" i="2"/>
  <c r="N359" i="2"/>
  <c r="AD358" i="2"/>
  <c r="N358" i="2"/>
  <c r="AD357" i="2"/>
  <c r="N357" i="2"/>
  <c r="AD356" i="2"/>
  <c r="N356" i="2"/>
  <c r="AD355" i="2"/>
  <c r="N355" i="2"/>
  <c r="AD354" i="2"/>
  <c r="O354" i="2"/>
  <c r="N354" i="2"/>
  <c r="AD353" i="2"/>
  <c r="O353" i="2"/>
  <c r="N353" i="2"/>
  <c r="AD352" i="2"/>
  <c r="O352" i="2"/>
  <c r="N352" i="2"/>
  <c r="AD351" i="2"/>
  <c r="AD350" i="2"/>
  <c r="N350" i="2"/>
  <c r="AD349" i="2"/>
  <c r="N349" i="2"/>
  <c r="AD348" i="2"/>
  <c r="AD347" i="2"/>
  <c r="AD346" i="2"/>
  <c r="O346" i="2"/>
  <c r="AD345" i="2"/>
  <c r="O345" i="2"/>
  <c r="N345" i="2"/>
  <c r="AD344" i="2"/>
  <c r="O344" i="2"/>
  <c r="N344" i="2"/>
  <c r="AD343" i="2"/>
  <c r="O343" i="2"/>
  <c r="N343" i="2"/>
  <c r="AD342" i="2"/>
  <c r="O342" i="2"/>
  <c r="N342" i="2"/>
  <c r="AD341" i="2"/>
  <c r="O341" i="2"/>
  <c r="AD340" i="2"/>
  <c r="O340" i="2"/>
  <c r="AD339" i="2"/>
  <c r="O339" i="2"/>
  <c r="AD338" i="2"/>
  <c r="O338" i="2"/>
  <c r="N338" i="2"/>
  <c r="AD337" i="2"/>
  <c r="O337" i="2"/>
  <c r="N337" i="2"/>
  <c r="AD336" i="2"/>
  <c r="AD335" i="2"/>
  <c r="AD334" i="2"/>
  <c r="O334" i="2"/>
  <c r="AD333" i="2"/>
  <c r="O333" i="2"/>
  <c r="AD332" i="2"/>
  <c r="AD331" i="2"/>
  <c r="O331" i="2"/>
  <c r="N331" i="2"/>
  <c r="AD330" i="2"/>
  <c r="O330" i="2"/>
  <c r="N330" i="2"/>
  <c r="AD329" i="2"/>
  <c r="O329" i="2"/>
  <c r="N329" i="2"/>
  <c r="AD328" i="2"/>
  <c r="O328" i="2"/>
  <c r="N328" i="2"/>
  <c r="AD327" i="2"/>
  <c r="O327" i="2"/>
  <c r="N327" i="2"/>
  <c r="AD326" i="2"/>
  <c r="O326" i="2"/>
  <c r="N326" i="2"/>
  <c r="AD325" i="2"/>
  <c r="O325" i="2"/>
  <c r="N325" i="2"/>
  <c r="AD324" i="2"/>
  <c r="O324" i="2"/>
  <c r="N324" i="2"/>
  <c r="AD323" i="2"/>
  <c r="O323" i="2"/>
  <c r="N323" i="2"/>
  <c r="AD322" i="2"/>
  <c r="O322" i="2"/>
  <c r="N322" i="2"/>
  <c r="AD321" i="2"/>
  <c r="O321" i="2"/>
  <c r="N321" i="2"/>
  <c r="AD320" i="2"/>
  <c r="O320" i="2"/>
  <c r="N320" i="2"/>
  <c r="AD319" i="2"/>
  <c r="O319" i="2"/>
  <c r="N319" i="2"/>
  <c r="AD318" i="2"/>
  <c r="O318" i="2"/>
  <c r="N318" i="2"/>
  <c r="AD317" i="2"/>
  <c r="AD316" i="2"/>
  <c r="AD315" i="2"/>
  <c r="O315" i="2"/>
  <c r="AD314" i="2"/>
  <c r="O314" i="2"/>
  <c r="AD313" i="2"/>
  <c r="O313" i="2"/>
  <c r="AD312" i="2"/>
  <c r="O312" i="2"/>
  <c r="N312" i="2"/>
  <c r="AD311" i="2"/>
  <c r="O311" i="2"/>
  <c r="N311" i="2"/>
  <c r="AD310" i="2"/>
  <c r="O310" i="2"/>
  <c r="N310" i="2"/>
  <c r="AD309" i="2"/>
  <c r="O309" i="2"/>
  <c r="N309" i="2"/>
  <c r="AD308" i="2"/>
  <c r="O308" i="2"/>
  <c r="N308" i="2"/>
  <c r="AD307" i="2"/>
  <c r="O307" i="2"/>
  <c r="N307" i="2"/>
  <c r="AD306" i="2"/>
  <c r="O306" i="2"/>
  <c r="N306" i="2"/>
  <c r="AD305" i="2"/>
  <c r="O305" i="2"/>
  <c r="AD304" i="2"/>
  <c r="O304" i="2"/>
  <c r="AD303" i="2"/>
  <c r="O303" i="2"/>
  <c r="AD302" i="2"/>
  <c r="O302" i="2"/>
  <c r="AD301" i="2"/>
  <c r="O301" i="2"/>
  <c r="N301" i="2"/>
  <c r="AD300" i="2"/>
  <c r="O300" i="2"/>
  <c r="N300" i="2"/>
  <c r="AD299" i="2"/>
  <c r="O299" i="2"/>
  <c r="N299" i="2"/>
  <c r="AD298" i="2"/>
  <c r="O298" i="2"/>
  <c r="N298" i="2"/>
  <c r="AD297" i="2"/>
  <c r="O297" i="2"/>
  <c r="N297" i="2"/>
  <c r="AD296" i="2"/>
  <c r="O296" i="2"/>
  <c r="N296" i="2"/>
  <c r="AD295" i="2"/>
  <c r="O295" i="2"/>
  <c r="N295" i="2"/>
  <c r="AD294" i="2"/>
  <c r="O294" i="2"/>
  <c r="N294" i="2"/>
  <c r="AD293" i="2"/>
  <c r="O293" i="2"/>
  <c r="N293" i="2"/>
  <c r="AD292" i="2"/>
  <c r="O292" i="2"/>
  <c r="N292" i="2"/>
  <c r="AD291" i="2"/>
  <c r="O291" i="2"/>
  <c r="N291" i="2"/>
  <c r="AD290" i="2"/>
  <c r="O290" i="2"/>
  <c r="N290" i="2"/>
  <c r="AD289" i="2"/>
  <c r="O289" i="2"/>
  <c r="AD288" i="2"/>
  <c r="O288" i="2"/>
  <c r="AD287" i="2"/>
  <c r="O287" i="2"/>
  <c r="AD286" i="2"/>
  <c r="O286" i="2"/>
  <c r="AD285" i="2"/>
  <c r="O285" i="2"/>
  <c r="N285" i="2"/>
  <c r="AD284" i="2"/>
  <c r="O284" i="2"/>
  <c r="N284" i="2"/>
  <c r="AD283" i="2"/>
  <c r="O283" i="2"/>
  <c r="N283" i="2"/>
  <c r="AD282" i="2"/>
  <c r="O282" i="2"/>
  <c r="N282" i="2"/>
  <c r="AD281" i="2"/>
  <c r="O281" i="2"/>
  <c r="N281" i="2"/>
  <c r="AD280" i="2"/>
  <c r="O280" i="2"/>
  <c r="N280" i="2"/>
  <c r="AD279" i="2"/>
  <c r="O279" i="2"/>
  <c r="N279" i="2"/>
  <c r="AD278" i="2"/>
  <c r="O278" i="2"/>
  <c r="N278" i="2"/>
  <c r="AD277" i="2"/>
  <c r="O277" i="2"/>
  <c r="N277" i="2"/>
  <c r="AD276" i="2"/>
  <c r="O276" i="2"/>
  <c r="N276" i="2"/>
  <c r="AD275" i="2"/>
  <c r="O275" i="2"/>
  <c r="N275" i="2"/>
  <c r="AD274" i="2"/>
  <c r="O274" i="2"/>
  <c r="N274" i="2"/>
  <c r="AD273" i="2"/>
  <c r="O273" i="2"/>
  <c r="N273" i="2"/>
  <c r="AD272" i="2"/>
  <c r="O272" i="2"/>
  <c r="N272" i="2"/>
  <c r="AD271" i="2"/>
  <c r="O271" i="2"/>
  <c r="N271" i="2"/>
  <c r="AD270" i="2"/>
  <c r="O270" i="2"/>
  <c r="N270" i="2"/>
  <c r="AD269" i="2"/>
  <c r="O269" i="2"/>
  <c r="AD268" i="2"/>
  <c r="O268" i="2"/>
  <c r="AD267" i="2"/>
  <c r="O267" i="2"/>
  <c r="AD266" i="2"/>
  <c r="O266" i="2"/>
  <c r="AD265" i="2"/>
  <c r="O265" i="2"/>
  <c r="AD264" i="2"/>
  <c r="O264" i="2"/>
  <c r="AD263" i="2"/>
  <c r="O263" i="2"/>
  <c r="AD262" i="2"/>
  <c r="O262" i="2"/>
  <c r="AD261" i="2"/>
  <c r="O261" i="2"/>
  <c r="AD260" i="2"/>
  <c r="O260" i="2"/>
  <c r="AD259" i="2"/>
  <c r="O259" i="2"/>
  <c r="AD258" i="2"/>
  <c r="O258" i="2"/>
  <c r="AD257" i="2"/>
  <c r="O257" i="2"/>
  <c r="N257" i="2"/>
  <c r="AD256" i="2"/>
  <c r="O256" i="2"/>
  <c r="N256" i="2"/>
  <c r="AD255" i="2"/>
  <c r="O255" i="2"/>
  <c r="N255" i="2"/>
  <c r="AD254" i="2"/>
  <c r="O254" i="2"/>
  <c r="N254" i="2"/>
  <c r="AD253" i="2"/>
  <c r="O253" i="2"/>
  <c r="N253" i="2"/>
  <c r="AD252" i="2"/>
  <c r="O252" i="2"/>
  <c r="N252" i="2"/>
  <c r="AD251" i="2"/>
  <c r="O251" i="2"/>
  <c r="N251" i="2"/>
  <c r="AD250" i="2"/>
  <c r="O250" i="2"/>
  <c r="N250" i="2"/>
  <c r="AD249" i="2"/>
  <c r="O249" i="2"/>
  <c r="N249" i="2"/>
  <c r="AD248" i="2"/>
  <c r="O248" i="2"/>
  <c r="N248" i="2"/>
  <c r="AD247" i="2"/>
  <c r="O247" i="2"/>
  <c r="N247" i="2"/>
  <c r="AD246" i="2"/>
  <c r="O246" i="2"/>
  <c r="N246" i="2"/>
  <c r="AD245" i="2"/>
  <c r="N245" i="2"/>
  <c r="AD244" i="2"/>
  <c r="N244" i="2"/>
  <c r="AD243" i="2"/>
  <c r="N243" i="2"/>
  <c r="AD242" i="2"/>
  <c r="O242" i="2"/>
  <c r="N242" i="2"/>
  <c r="AD241" i="2"/>
  <c r="O241" i="2"/>
  <c r="N241" i="2"/>
  <c r="AD240" i="2"/>
  <c r="O240" i="2"/>
  <c r="N240" i="2"/>
  <c r="AD239" i="2"/>
  <c r="O239" i="2"/>
  <c r="AD238" i="2"/>
  <c r="N238" i="2"/>
  <c r="AD237" i="2"/>
  <c r="AD236" i="2"/>
  <c r="N236" i="2"/>
  <c r="AD235" i="2"/>
  <c r="O235" i="2"/>
  <c r="N235" i="2"/>
  <c r="AD234" i="2"/>
  <c r="O234" i="2"/>
  <c r="N234" i="2"/>
  <c r="AD233" i="2"/>
  <c r="AD232" i="2"/>
  <c r="O232" i="2"/>
  <c r="N232" i="2"/>
  <c r="AD231" i="2"/>
  <c r="O231" i="2"/>
  <c r="N231" i="2"/>
  <c r="AD230" i="2"/>
  <c r="O230" i="2"/>
  <c r="AD229" i="2"/>
  <c r="O229" i="2"/>
  <c r="AD228" i="2"/>
  <c r="O228" i="2"/>
  <c r="AD227" i="2"/>
  <c r="O227" i="2"/>
  <c r="N227" i="2"/>
  <c r="AD226" i="2"/>
  <c r="O226" i="2"/>
  <c r="N226" i="2"/>
  <c r="AD225" i="2"/>
  <c r="O225" i="2"/>
  <c r="N225" i="2"/>
  <c r="AD224" i="2"/>
  <c r="O224" i="2"/>
  <c r="N224" i="2"/>
  <c r="AD223" i="2"/>
  <c r="O223" i="2"/>
  <c r="N223" i="2"/>
  <c r="AD222" i="2"/>
  <c r="O222" i="2"/>
  <c r="N222" i="2"/>
  <c r="AD221" i="2"/>
  <c r="O221" i="2"/>
  <c r="N221" i="2"/>
  <c r="AD220" i="2"/>
  <c r="O220" i="2"/>
  <c r="N220" i="2"/>
  <c r="AD219" i="2"/>
  <c r="O219" i="2"/>
  <c r="N219" i="2"/>
  <c r="AD218" i="2"/>
  <c r="O218" i="2"/>
  <c r="N218" i="2"/>
  <c r="AD217" i="2"/>
  <c r="O217" i="2"/>
  <c r="N217" i="2"/>
  <c r="AD216" i="2"/>
  <c r="O216" i="2"/>
  <c r="N216" i="2"/>
  <c r="AD215" i="2"/>
  <c r="O215" i="2"/>
  <c r="N215" i="2"/>
  <c r="AD214" i="2"/>
  <c r="O214" i="2"/>
  <c r="N214" i="2"/>
  <c r="AD213" i="2"/>
  <c r="O213" i="2"/>
  <c r="AD212" i="2"/>
  <c r="O212" i="2"/>
  <c r="AD211" i="2"/>
  <c r="O211" i="2"/>
  <c r="AD210" i="2"/>
  <c r="AD209" i="2"/>
  <c r="O209" i="2"/>
  <c r="N209" i="2"/>
  <c r="AD208" i="2"/>
  <c r="O208" i="2"/>
  <c r="N208" i="2"/>
  <c r="AD207" i="2"/>
  <c r="O207" i="2"/>
  <c r="N207" i="2"/>
  <c r="AD206" i="2"/>
  <c r="O206" i="2"/>
  <c r="N206" i="2"/>
  <c r="AD205" i="2"/>
  <c r="O205" i="2"/>
  <c r="N205" i="2"/>
  <c r="AD204" i="2"/>
  <c r="O204" i="2"/>
  <c r="N204" i="2"/>
  <c r="AD203" i="2"/>
  <c r="O203" i="2"/>
  <c r="N203" i="2"/>
  <c r="AD202" i="2"/>
  <c r="O202" i="2"/>
  <c r="N202" i="2"/>
  <c r="AD201" i="2"/>
  <c r="O201" i="2"/>
  <c r="N201" i="2"/>
  <c r="AD200" i="2"/>
  <c r="O200" i="2"/>
  <c r="N200" i="2"/>
  <c r="AD199" i="2"/>
  <c r="O199" i="2"/>
  <c r="N199" i="2"/>
  <c r="AD198" i="2"/>
  <c r="O198" i="2"/>
  <c r="N198" i="2"/>
  <c r="AD197" i="2"/>
  <c r="O197" i="2"/>
  <c r="N197" i="2"/>
  <c r="AD196" i="2"/>
  <c r="O196" i="2"/>
  <c r="AD195" i="2"/>
  <c r="O195" i="2"/>
  <c r="AD194" i="2"/>
  <c r="O194" i="2"/>
  <c r="AD193" i="2"/>
  <c r="O193" i="2"/>
  <c r="N193" i="2"/>
  <c r="AD192" i="2"/>
  <c r="AD191" i="2"/>
  <c r="O191" i="2"/>
  <c r="N191" i="2"/>
  <c r="AD190" i="2"/>
  <c r="O190" i="2"/>
  <c r="N190" i="2"/>
  <c r="AD189" i="2"/>
  <c r="O189" i="2"/>
  <c r="AD188" i="2"/>
  <c r="O188" i="2"/>
  <c r="AD187" i="2"/>
  <c r="O187" i="2"/>
  <c r="AD186" i="2"/>
  <c r="O186" i="2"/>
  <c r="N186" i="2"/>
  <c r="AD185" i="2"/>
  <c r="O185" i="2"/>
  <c r="N185" i="2"/>
  <c r="AD184" i="2"/>
  <c r="O184" i="2"/>
  <c r="N184" i="2"/>
  <c r="AD183" i="2"/>
  <c r="O183" i="2"/>
  <c r="N183" i="2"/>
  <c r="AD182" i="2"/>
  <c r="O182" i="2"/>
  <c r="N182" i="2"/>
  <c r="AD181" i="2"/>
  <c r="O181" i="2"/>
  <c r="N181" i="2"/>
  <c r="AD180" i="2"/>
  <c r="O180" i="2"/>
  <c r="N180" i="2"/>
  <c r="AD179" i="2"/>
  <c r="O179" i="2"/>
  <c r="N179" i="2"/>
  <c r="AD178" i="2"/>
  <c r="O178" i="2"/>
  <c r="N178" i="2"/>
  <c r="AD177" i="2"/>
  <c r="O177" i="2"/>
  <c r="N177" i="2"/>
  <c r="AD176" i="2"/>
  <c r="O176" i="2"/>
  <c r="N176" i="2"/>
  <c r="AD175" i="2"/>
  <c r="N175" i="2"/>
  <c r="AD174" i="2"/>
  <c r="N174" i="2"/>
  <c r="AD173" i="2"/>
  <c r="AD172" i="2"/>
  <c r="O172" i="2"/>
  <c r="N172" i="2"/>
  <c r="AD171" i="2"/>
  <c r="O171" i="2"/>
  <c r="N171" i="2"/>
  <c r="AD170" i="2"/>
  <c r="O170" i="2"/>
  <c r="N170" i="2"/>
  <c r="AD169" i="2"/>
  <c r="O169" i="2"/>
  <c r="N169" i="2"/>
  <c r="AD168" i="2"/>
  <c r="O168" i="2"/>
  <c r="N168" i="2"/>
  <c r="AD167" i="2"/>
  <c r="O167" i="2"/>
  <c r="N167" i="2"/>
  <c r="AD166" i="2"/>
  <c r="O166" i="2"/>
  <c r="N166" i="2"/>
  <c r="AD165" i="2"/>
  <c r="O165" i="2"/>
  <c r="N165" i="2"/>
  <c r="AD164" i="2"/>
  <c r="O164" i="2"/>
  <c r="N164" i="2"/>
  <c r="AD163" i="2"/>
  <c r="O163" i="2"/>
  <c r="AD162" i="2"/>
  <c r="O162" i="2"/>
  <c r="N162" i="2"/>
  <c r="AD161" i="2"/>
  <c r="O161" i="2"/>
  <c r="N161" i="2"/>
  <c r="AD160" i="2"/>
  <c r="O160" i="2"/>
  <c r="N160" i="2"/>
  <c r="AD159" i="2"/>
  <c r="O159" i="2"/>
  <c r="AD158" i="2"/>
  <c r="O158" i="2"/>
  <c r="AD157" i="2"/>
  <c r="O157" i="2"/>
  <c r="AD156" i="2"/>
  <c r="O156" i="2"/>
  <c r="AD155" i="2"/>
  <c r="O155" i="2"/>
  <c r="AD154" i="2"/>
  <c r="O154" i="2"/>
  <c r="N154" i="2"/>
  <c r="AD153" i="2"/>
  <c r="O153" i="2"/>
  <c r="N153" i="2"/>
  <c r="AD152" i="2"/>
  <c r="O152" i="2"/>
  <c r="N152" i="2"/>
  <c r="AD151" i="2"/>
  <c r="O151" i="2"/>
  <c r="N151" i="2"/>
  <c r="AD150" i="2"/>
  <c r="O150" i="2"/>
  <c r="AD149" i="2"/>
  <c r="O149" i="2"/>
  <c r="AD148" i="2"/>
  <c r="O148" i="2"/>
  <c r="AD147" i="2"/>
  <c r="O147" i="2"/>
  <c r="N147" i="2"/>
  <c r="AD146" i="2"/>
  <c r="O146" i="2"/>
  <c r="N146" i="2"/>
  <c r="AD145" i="2"/>
  <c r="O145" i="2"/>
  <c r="N145" i="2"/>
  <c r="AD144" i="2"/>
  <c r="O144" i="2"/>
  <c r="N144" i="2"/>
  <c r="AD143" i="2"/>
  <c r="O143" i="2"/>
  <c r="N143" i="2"/>
  <c r="AD142" i="2"/>
  <c r="O142" i="2"/>
  <c r="N142" i="2"/>
  <c r="AD141" i="2"/>
  <c r="O141" i="2"/>
  <c r="N141" i="2"/>
  <c r="AD140" i="2"/>
  <c r="O140" i="2"/>
  <c r="N140" i="2"/>
  <c r="AD139" i="2"/>
  <c r="AD138" i="2"/>
  <c r="AD137" i="2"/>
  <c r="O137" i="2"/>
  <c r="N137" i="2"/>
  <c r="AD136" i="2"/>
  <c r="O136" i="2"/>
  <c r="N136" i="2"/>
  <c r="AD135" i="2"/>
  <c r="N135" i="2"/>
  <c r="AD134" i="2"/>
  <c r="N134" i="2"/>
  <c r="AD133" i="2"/>
  <c r="N133" i="2"/>
  <c r="AD132" i="2"/>
  <c r="O132" i="2"/>
  <c r="AD131" i="2"/>
  <c r="O131" i="2"/>
  <c r="AD130" i="2"/>
  <c r="O130" i="2"/>
  <c r="N130" i="2"/>
  <c r="AD129" i="2"/>
  <c r="O129" i="2"/>
  <c r="N129" i="2"/>
  <c r="AD128" i="2"/>
  <c r="O128" i="2"/>
  <c r="N128" i="2"/>
  <c r="AD127" i="2"/>
  <c r="O127" i="2"/>
  <c r="N127" i="2"/>
  <c r="AD126" i="2"/>
  <c r="O126" i="2"/>
  <c r="N126" i="2"/>
  <c r="AD125" i="2"/>
  <c r="O125" i="2"/>
  <c r="N125" i="2"/>
  <c r="AD124" i="2"/>
  <c r="O124" i="2"/>
  <c r="N124" i="2"/>
  <c r="AD123" i="2"/>
  <c r="O123" i="2"/>
  <c r="N123" i="2"/>
  <c r="AD122" i="2"/>
  <c r="O122" i="2"/>
  <c r="N122" i="2"/>
  <c r="AD121" i="2"/>
  <c r="O121" i="2"/>
  <c r="N121" i="2"/>
  <c r="AD120" i="2"/>
  <c r="O120" i="2"/>
  <c r="N120" i="2"/>
  <c r="AD119" i="2"/>
  <c r="O119" i="2"/>
  <c r="N119" i="2"/>
  <c r="AD118" i="2"/>
  <c r="O118" i="2"/>
  <c r="N118" i="2"/>
  <c r="AD117" i="2"/>
  <c r="O117" i="2"/>
  <c r="N117" i="2"/>
  <c r="AD116" i="2"/>
  <c r="O116" i="2"/>
  <c r="N116" i="2"/>
  <c r="AD115" i="2"/>
  <c r="O115" i="2"/>
  <c r="N115" i="2"/>
  <c r="AD114" i="2"/>
  <c r="O114" i="2"/>
  <c r="N114" i="2"/>
  <c r="AD113" i="2"/>
  <c r="O113" i="2"/>
  <c r="N113" i="2"/>
  <c r="AD112" i="2"/>
  <c r="O112" i="2"/>
  <c r="N112" i="2"/>
  <c r="AD111" i="2"/>
  <c r="O111" i="2"/>
  <c r="N111" i="2"/>
  <c r="AD110" i="2"/>
  <c r="O110" i="2"/>
  <c r="N110" i="2"/>
  <c r="AD109" i="2"/>
  <c r="O109" i="2"/>
  <c r="N109" i="2"/>
  <c r="AD108" i="2"/>
  <c r="O108" i="2"/>
  <c r="N108" i="2"/>
  <c r="AD107" i="2"/>
  <c r="O107" i="2"/>
  <c r="N107" i="2"/>
  <c r="AD106" i="2"/>
  <c r="O106" i="2"/>
  <c r="N106" i="2"/>
  <c r="AD105" i="2"/>
  <c r="O105" i="2"/>
  <c r="AD104" i="2"/>
  <c r="O104" i="2"/>
  <c r="AD103" i="2"/>
  <c r="AD102" i="2"/>
  <c r="AD101" i="2"/>
  <c r="AD100" i="2"/>
  <c r="AD99" i="2"/>
  <c r="AD98" i="2"/>
  <c r="AD97" i="2"/>
  <c r="O97" i="2"/>
  <c r="N97" i="2"/>
  <c r="AD96" i="2"/>
  <c r="O96" i="2"/>
  <c r="N96" i="2"/>
  <c r="AD95" i="2"/>
  <c r="O95" i="2"/>
  <c r="N95" i="2"/>
  <c r="AD94" i="2"/>
  <c r="O94" i="2"/>
  <c r="N94" i="2"/>
  <c r="AD93" i="2"/>
  <c r="O93" i="2"/>
  <c r="N93" i="2"/>
  <c r="AD92" i="2"/>
  <c r="O92" i="2"/>
  <c r="N92" i="2"/>
  <c r="AD91" i="2"/>
  <c r="O91" i="2"/>
  <c r="N91" i="2"/>
  <c r="AD90" i="2"/>
  <c r="O90" i="2"/>
  <c r="N90" i="2"/>
  <c r="AD89" i="2"/>
  <c r="O89" i="2"/>
  <c r="N89" i="2"/>
  <c r="AD88" i="2"/>
  <c r="O88" i="2"/>
  <c r="N88" i="2"/>
  <c r="AD87" i="2"/>
  <c r="O87" i="2"/>
  <c r="N87" i="2"/>
  <c r="AD86" i="2"/>
  <c r="O86" i="2"/>
  <c r="N86" i="2"/>
  <c r="AD85" i="2"/>
  <c r="O85" i="2"/>
  <c r="N85" i="2"/>
  <c r="AD84" i="2"/>
  <c r="O84" i="2"/>
  <c r="N84" i="2"/>
  <c r="AD83" i="2"/>
  <c r="O83" i="2"/>
  <c r="N83" i="2"/>
  <c r="AD82" i="2"/>
  <c r="O82" i="2"/>
  <c r="N82" i="2"/>
  <c r="AD81" i="2"/>
  <c r="O81" i="2"/>
  <c r="N81" i="2"/>
  <c r="AD80" i="2"/>
  <c r="O80" i="2"/>
  <c r="N80" i="2"/>
  <c r="AD79" i="2"/>
  <c r="O79" i="2"/>
  <c r="N79" i="2"/>
  <c r="AD78" i="2"/>
  <c r="O78" i="2"/>
  <c r="N78" i="2"/>
  <c r="AD77" i="2"/>
  <c r="O77" i="2"/>
  <c r="N77" i="2"/>
  <c r="AD76" i="2"/>
  <c r="O76" i="2"/>
  <c r="N76" i="2"/>
  <c r="AD75" i="2"/>
  <c r="O75" i="2"/>
  <c r="N75" i="2"/>
  <c r="AD74" i="2"/>
  <c r="O74" i="2"/>
  <c r="N74" i="2"/>
  <c r="AD73" i="2"/>
  <c r="O73" i="2"/>
  <c r="N73" i="2"/>
  <c r="AD72" i="2"/>
  <c r="O72" i="2"/>
  <c r="N72" i="2"/>
  <c r="AD71" i="2"/>
  <c r="O71" i="2"/>
  <c r="N71" i="2"/>
  <c r="AD70" i="2"/>
  <c r="O70" i="2"/>
  <c r="N70" i="2"/>
  <c r="AD69" i="2"/>
  <c r="O69" i="2"/>
  <c r="N69" i="2"/>
  <c r="AD68" i="2"/>
  <c r="O68" i="2"/>
  <c r="N68" i="2"/>
  <c r="AD67" i="2"/>
  <c r="O67" i="2"/>
  <c r="N67" i="2"/>
  <c r="AD66" i="2"/>
  <c r="O66" i="2"/>
  <c r="N66" i="2"/>
  <c r="AD65" i="2"/>
  <c r="O65" i="2"/>
  <c r="N65" i="2"/>
  <c r="AD64" i="2"/>
  <c r="O64" i="2"/>
  <c r="N64" i="2"/>
  <c r="AD63" i="2"/>
  <c r="O63" i="2"/>
  <c r="N63" i="2"/>
  <c r="AD62" i="2"/>
  <c r="O62" i="2"/>
  <c r="N62" i="2"/>
  <c r="AD61" i="2"/>
  <c r="O61" i="2"/>
  <c r="N61" i="2"/>
  <c r="AD60" i="2"/>
  <c r="O60" i="2"/>
  <c r="N60" i="2"/>
  <c r="AD59" i="2"/>
  <c r="O59" i="2"/>
  <c r="N59" i="2"/>
  <c r="AD58" i="2"/>
  <c r="O58" i="2"/>
  <c r="N58" i="2"/>
  <c r="AD57" i="2"/>
  <c r="O57" i="2"/>
  <c r="N57" i="2"/>
  <c r="AD56" i="2"/>
  <c r="O56" i="2"/>
  <c r="N56" i="2"/>
  <c r="AD55" i="2"/>
  <c r="O55" i="2"/>
  <c r="N55" i="2"/>
  <c r="AD54" i="2"/>
  <c r="O54" i="2"/>
  <c r="N54" i="2"/>
  <c r="AD53" i="2"/>
  <c r="O53" i="2"/>
  <c r="N53" i="2"/>
  <c r="AD52" i="2"/>
  <c r="O52" i="2"/>
  <c r="N52" i="2"/>
  <c r="AD51" i="2"/>
  <c r="O51" i="2"/>
  <c r="N51" i="2"/>
  <c r="AD50" i="2"/>
  <c r="O50" i="2"/>
  <c r="N50" i="2"/>
  <c r="AD49" i="2"/>
  <c r="AD48" i="2"/>
  <c r="AD47" i="2"/>
  <c r="AD46" i="2"/>
  <c r="O46" i="2"/>
  <c r="N46" i="2"/>
  <c r="AD45" i="2"/>
  <c r="O45" i="2"/>
  <c r="N45" i="2"/>
  <c r="AD44" i="2"/>
  <c r="O44" i="2"/>
  <c r="N44" i="2"/>
  <c r="AD43" i="2"/>
  <c r="AD42" i="2"/>
  <c r="AD41" i="2"/>
  <c r="O41" i="2"/>
  <c r="N41" i="2"/>
  <c r="AD40" i="2"/>
  <c r="O40" i="2"/>
  <c r="N40" i="2"/>
  <c r="AD39" i="2"/>
  <c r="O39" i="2"/>
  <c r="AD38" i="2"/>
  <c r="O38" i="2"/>
  <c r="AD37" i="2"/>
  <c r="O37" i="2"/>
  <c r="N37" i="2"/>
  <c r="AD36" i="2"/>
  <c r="O36" i="2"/>
  <c r="N36" i="2"/>
  <c r="AD35" i="2"/>
  <c r="O35" i="2"/>
  <c r="N35" i="2"/>
  <c r="AD34" i="2"/>
  <c r="O34" i="2"/>
  <c r="N34" i="2"/>
  <c r="AD33" i="2"/>
  <c r="O33" i="2"/>
  <c r="AD32" i="2"/>
  <c r="O32" i="2"/>
  <c r="AD31" i="2"/>
  <c r="O31" i="2"/>
  <c r="AD30" i="2"/>
  <c r="O30" i="2"/>
  <c r="AD29" i="2"/>
  <c r="O29" i="2"/>
  <c r="N29" i="2"/>
  <c r="AD28" i="2"/>
  <c r="O28" i="2"/>
  <c r="N28" i="2"/>
  <c r="AD27" i="2"/>
  <c r="O27" i="2"/>
  <c r="N27" i="2"/>
  <c r="AD26" i="2"/>
  <c r="O26" i="2"/>
  <c r="N26" i="2"/>
  <c r="AD25" i="2"/>
  <c r="O25" i="2"/>
  <c r="N25" i="2"/>
  <c r="AD24" i="2"/>
  <c r="O24" i="2"/>
  <c r="N24" i="2"/>
  <c r="AD23" i="2"/>
  <c r="O23" i="2"/>
  <c r="N23" i="2"/>
  <c r="AD22" i="2"/>
  <c r="O22" i="2"/>
  <c r="AD21" i="2"/>
  <c r="O21" i="2"/>
  <c r="AD20" i="2"/>
  <c r="O20" i="2"/>
  <c r="AD19" i="2"/>
  <c r="O19" i="2"/>
  <c r="N19" i="2"/>
  <c r="AD18" i="2"/>
  <c r="O18" i="2"/>
  <c r="N18" i="2"/>
  <c r="AD17" i="2"/>
  <c r="O17" i="2"/>
  <c r="N17" i="2"/>
  <c r="AD16" i="2"/>
  <c r="O16" i="2"/>
  <c r="N16" i="2"/>
  <c r="AD15" i="2"/>
  <c r="O15" i="2"/>
  <c r="N15" i="2"/>
  <c r="AD14" i="2"/>
  <c r="O14" i="2"/>
  <c r="AD13" i="2"/>
  <c r="O13" i="2"/>
  <c r="AD12" i="2"/>
  <c r="O12" i="2"/>
  <c r="AD11" i="2"/>
  <c r="O11" i="2"/>
  <c r="N11" i="2"/>
  <c r="AD10" i="2"/>
  <c r="O10" i="2"/>
  <c r="N10" i="2"/>
  <c r="AD9" i="2"/>
  <c r="O9" i="2"/>
  <c r="N9" i="2"/>
  <c r="AD8" i="2"/>
  <c r="O8" i="2"/>
  <c r="N8" i="2"/>
  <c r="AD7" i="2"/>
  <c r="O7" i="2"/>
  <c r="N7" i="2"/>
  <c r="AD6" i="2"/>
  <c r="O6" i="2"/>
  <c r="N6" i="2"/>
  <c r="AD1147" i="1"/>
  <c r="O1147" i="1"/>
  <c r="N1147" i="1"/>
  <c r="AD1146" i="1"/>
  <c r="O1146" i="1"/>
  <c r="N1146" i="1"/>
  <c r="AD1145" i="1"/>
  <c r="O1145" i="1"/>
  <c r="N1145" i="1"/>
  <c r="AD1144" i="1"/>
  <c r="O1144" i="1"/>
  <c r="N1144" i="1"/>
  <c r="AD1143" i="1"/>
  <c r="O1143" i="1"/>
  <c r="N1143" i="1"/>
  <c r="AD1142" i="1"/>
  <c r="N1142" i="1"/>
  <c r="AD1141" i="1"/>
  <c r="N1141" i="1"/>
  <c r="AD1140" i="1"/>
  <c r="N1140" i="1"/>
  <c r="AD1139" i="1"/>
  <c r="AD1138" i="1"/>
  <c r="O1138" i="1"/>
  <c r="N1138" i="1"/>
  <c r="AD1137" i="1"/>
  <c r="O1137" i="1"/>
  <c r="N1137" i="1"/>
  <c r="AD1136" i="1"/>
  <c r="O1136" i="1"/>
  <c r="N1136" i="1"/>
  <c r="AD1135" i="1"/>
  <c r="O1135" i="1"/>
  <c r="N1135" i="1"/>
  <c r="AD1134" i="1"/>
  <c r="O1134" i="1"/>
  <c r="N1134" i="1"/>
  <c r="AD1133" i="1"/>
  <c r="O1133" i="1"/>
  <c r="N1133" i="1"/>
  <c r="AD1132" i="1"/>
  <c r="O1132" i="1"/>
  <c r="N1132" i="1"/>
  <c r="AD1131" i="1"/>
  <c r="O1131" i="1"/>
  <c r="N1131" i="1"/>
  <c r="AD1130" i="1"/>
  <c r="O1130" i="1"/>
  <c r="N1130" i="1"/>
  <c r="AD1129" i="1"/>
  <c r="O1129" i="1"/>
  <c r="N1129" i="1"/>
  <c r="AD1128" i="1"/>
  <c r="O1128" i="1"/>
  <c r="N1128" i="1"/>
  <c r="AD1127" i="1"/>
  <c r="O1127" i="1"/>
  <c r="N1127" i="1"/>
  <c r="AD1126" i="1"/>
  <c r="AD1125" i="1"/>
  <c r="AD1124" i="1"/>
  <c r="AD1123" i="1"/>
  <c r="AD1122" i="1"/>
  <c r="AD1121" i="1"/>
  <c r="AD1120" i="1"/>
  <c r="AD1119" i="1"/>
  <c r="AD1118" i="1"/>
  <c r="O1118" i="1"/>
  <c r="N1118" i="1"/>
  <c r="AD1117" i="1"/>
  <c r="O1117" i="1"/>
  <c r="N1117" i="1"/>
  <c r="AD1116" i="1"/>
  <c r="O1116" i="1"/>
  <c r="N1116" i="1"/>
  <c r="AD1115" i="1"/>
  <c r="O1115" i="1"/>
  <c r="AD1114" i="1"/>
  <c r="O1114" i="1"/>
  <c r="N1114" i="1"/>
  <c r="AD1113" i="1"/>
  <c r="O1113" i="1"/>
  <c r="N1113" i="1"/>
  <c r="AD1112" i="1"/>
  <c r="O1112" i="1"/>
  <c r="N1112" i="1"/>
  <c r="AD1111" i="1"/>
  <c r="O1111" i="1"/>
  <c r="N1111" i="1"/>
  <c r="AD1110" i="1"/>
  <c r="O1110" i="1"/>
  <c r="N1110" i="1"/>
  <c r="AD1109" i="1"/>
  <c r="O1109" i="1"/>
  <c r="N1109" i="1"/>
  <c r="AD1108" i="1"/>
  <c r="O1108" i="1"/>
  <c r="N1108" i="1"/>
  <c r="AD1107" i="1"/>
  <c r="O1107" i="1"/>
  <c r="N1107" i="1"/>
  <c r="AD1106" i="1"/>
  <c r="O1106" i="1"/>
  <c r="N1106" i="1"/>
  <c r="AD1105" i="1"/>
  <c r="AD1104" i="1"/>
  <c r="O1104" i="1"/>
  <c r="AD1103" i="1"/>
  <c r="O1103" i="1"/>
  <c r="AD1102" i="1"/>
  <c r="O1102" i="1"/>
  <c r="AD1101" i="1"/>
  <c r="O1101" i="1"/>
  <c r="AD1100" i="1"/>
  <c r="O1100" i="1"/>
  <c r="N1100" i="1"/>
  <c r="AD1099" i="1"/>
  <c r="O1099" i="1"/>
  <c r="N1099" i="1"/>
  <c r="AD1098" i="1"/>
  <c r="O1098" i="1"/>
  <c r="N1098" i="1"/>
  <c r="AD1097" i="1"/>
  <c r="O1097" i="1"/>
  <c r="N1097" i="1"/>
  <c r="AD1096" i="1"/>
  <c r="O1096" i="1"/>
  <c r="N1096" i="1"/>
  <c r="AD1095" i="1"/>
  <c r="O1095" i="1"/>
  <c r="N1095" i="1"/>
  <c r="AD1094" i="1"/>
  <c r="O1094" i="1"/>
  <c r="N1094" i="1"/>
  <c r="AD1093" i="1"/>
  <c r="O1093" i="1"/>
  <c r="N1093" i="1"/>
  <c r="AD1092" i="1"/>
  <c r="O1092" i="1"/>
  <c r="N1092" i="1"/>
  <c r="AD1091" i="1"/>
  <c r="O1091" i="1"/>
  <c r="N1091" i="1"/>
  <c r="AD1090" i="1"/>
  <c r="AD1089" i="1"/>
  <c r="O1089" i="1"/>
  <c r="N1089" i="1"/>
  <c r="AD1088" i="1"/>
  <c r="O1088" i="1"/>
  <c r="N1088" i="1"/>
  <c r="AD1087" i="1"/>
  <c r="O1087" i="1"/>
  <c r="N1087" i="1"/>
  <c r="AD1086" i="1"/>
  <c r="AD1085" i="1"/>
  <c r="O1085" i="1"/>
  <c r="N1085" i="1"/>
  <c r="AD1084" i="1"/>
  <c r="O1084" i="1"/>
  <c r="N1084" i="1"/>
  <c r="AD1083" i="1"/>
  <c r="O1083" i="1"/>
  <c r="N1083" i="1"/>
  <c r="AD1082" i="1"/>
  <c r="O1082" i="1"/>
  <c r="N1082" i="1"/>
  <c r="AD1081" i="1"/>
  <c r="O1081" i="1"/>
  <c r="N1081" i="1"/>
  <c r="AD1080" i="1"/>
  <c r="O1080" i="1"/>
  <c r="N1080" i="1"/>
  <c r="AD1079" i="1"/>
  <c r="O1079" i="1"/>
  <c r="N1079" i="1"/>
  <c r="AD1078" i="1"/>
  <c r="O1078" i="1"/>
  <c r="N1078" i="1"/>
  <c r="AD1077" i="1"/>
  <c r="O1077" i="1"/>
  <c r="N1077" i="1"/>
  <c r="AD1076" i="1"/>
  <c r="O1076" i="1"/>
  <c r="AD1075" i="1"/>
  <c r="O1075" i="1"/>
  <c r="N1075" i="1"/>
  <c r="AD1074" i="1"/>
  <c r="O1074" i="1"/>
  <c r="N1074" i="1"/>
  <c r="AD1073" i="1"/>
  <c r="O1073" i="1"/>
  <c r="N1073" i="1"/>
  <c r="AD1072" i="1"/>
  <c r="O1072" i="1"/>
  <c r="N1072" i="1"/>
  <c r="AD1071" i="1"/>
  <c r="O1071" i="1"/>
  <c r="N1071" i="1"/>
  <c r="AD1070" i="1"/>
  <c r="O1070" i="1"/>
  <c r="N1070" i="1"/>
  <c r="AD1069" i="1"/>
  <c r="O1069" i="1"/>
  <c r="N1069" i="1"/>
  <c r="AD1068" i="1"/>
  <c r="O1068" i="1"/>
  <c r="N1068" i="1"/>
  <c r="AD1067" i="1"/>
  <c r="O1067" i="1"/>
  <c r="N1067" i="1"/>
  <c r="AD1066" i="1"/>
  <c r="O1066" i="1"/>
  <c r="N1066" i="1"/>
  <c r="AD1065" i="1"/>
  <c r="N1065" i="1"/>
  <c r="AD1064" i="1"/>
  <c r="N1064" i="1"/>
  <c r="AD1063" i="1"/>
  <c r="N1063" i="1"/>
  <c r="AD1062" i="1"/>
  <c r="N1062" i="1"/>
  <c r="AD1061" i="1"/>
  <c r="N1061" i="1"/>
  <c r="AD1060" i="1"/>
  <c r="O1060" i="1"/>
  <c r="N1060" i="1"/>
  <c r="AD1059" i="1"/>
  <c r="O1059" i="1"/>
  <c r="N1059" i="1"/>
  <c r="AD1058" i="1"/>
  <c r="O1058" i="1"/>
  <c r="N1058" i="1"/>
  <c r="AD1057" i="1"/>
  <c r="O1057" i="1"/>
  <c r="N1057" i="1"/>
  <c r="AD1056" i="1"/>
  <c r="O1056" i="1"/>
  <c r="N1056" i="1"/>
  <c r="AD1055" i="1"/>
  <c r="O1055" i="1"/>
  <c r="N1055" i="1"/>
  <c r="AD1054" i="1"/>
  <c r="O1054" i="1"/>
  <c r="N1054" i="1"/>
  <c r="AD1053" i="1"/>
  <c r="O1053" i="1"/>
  <c r="N1053" i="1"/>
  <c r="AD1052" i="1"/>
  <c r="O1052" i="1"/>
  <c r="N1052" i="1"/>
  <c r="AD1051" i="1"/>
  <c r="O1051" i="1"/>
  <c r="N1051" i="1"/>
  <c r="AD1050" i="1"/>
  <c r="O1050" i="1"/>
  <c r="N1050" i="1"/>
  <c r="AD1049" i="1"/>
  <c r="O1049" i="1"/>
  <c r="N1049" i="1"/>
  <c r="AD1048" i="1"/>
  <c r="O1048" i="1"/>
  <c r="N1048" i="1"/>
  <c r="AD1047" i="1"/>
  <c r="O1047" i="1"/>
  <c r="N1047" i="1"/>
  <c r="AD1046" i="1"/>
  <c r="O1046" i="1"/>
  <c r="N1046" i="1"/>
  <c r="AD1045" i="1"/>
  <c r="O1045" i="1"/>
  <c r="N1045" i="1"/>
  <c r="AD1044" i="1"/>
  <c r="O1044" i="1"/>
  <c r="N1044" i="1"/>
  <c r="AD1043" i="1"/>
  <c r="O1043" i="1"/>
  <c r="N1043" i="1"/>
  <c r="AD1042" i="1"/>
  <c r="O1042" i="1"/>
  <c r="N1042" i="1"/>
  <c r="AD1041" i="1"/>
  <c r="O1041" i="1"/>
  <c r="N1041" i="1"/>
  <c r="AD1040" i="1"/>
  <c r="O1040" i="1"/>
  <c r="N1040" i="1"/>
  <c r="AD1039" i="1"/>
  <c r="O1039" i="1"/>
  <c r="N1039" i="1"/>
  <c r="AD1038" i="1"/>
  <c r="O1038" i="1"/>
  <c r="N1038" i="1"/>
  <c r="AD1037" i="1"/>
  <c r="O1037" i="1"/>
  <c r="N1037" i="1"/>
  <c r="AD1036" i="1"/>
  <c r="O1036" i="1"/>
  <c r="N1036" i="1"/>
  <c r="AD1035" i="1"/>
  <c r="O1035" i="1"/>
  <c r="N1035" i="1"/>
  <c r="AD1034" i="1"/>
  <c r="O1034" i="1"/>
  <c r="N1034" i="1"/>
  <c r="AD1033" i="1"/>
  <c r="O1033" i="1"/>
  <c r="N1033" i="1"/>
  <c r="AD1032" i="1"/>
  <c r="O1032" i="1"/>
  <c r="N1032" i="1"/>
  <c r="AD1031" i="1"/>
  <c r="O1031" i="1"/>
  <c r="N1031" i="1"/>
  <c r="AD1030" i="1"/>
  <c r="O1030" i="1"/>
  <c r="N1030" i="1"/>
  <c r="AD1029" i="1"/>
  <c r="AD1028" i="1"/>
  <c r="O1028" i="1"/>
  <c r="N1028" i="1"/>
  <c r="AD1027" i="1"/>
  <c r="O1027" i="1"/>
  <c r="N1027" i="1"/>
  <c r="AD1026" i="1"/>
  <c r="N1026" i="1"/>
  <c r="AD1025" i="1"/>
  <c r="N1025" i="1"/>
  <c r="AD1024" i="1"/>
  <c r="N1024" i="1"/>
  <c r="AD1023" i="1"/>
  <c r="O1023" i="1"/>
  <c r="N1023" i="1"/>
  <c r="AD1022" i="1"/>
  <c r="O1022" i="1"/>
  <c r="N1022" i="1"/>
  <c r="AD1021" i="1"/>
  <c r="O1021" i="1"/>
  <c r="N1021" i="1"/>
  <c r="AD1020" i="1"/>
  <c r="O1020" i="1"/>
  <c r="N1020" i="1"/>
  <c r="AD1019" i="1"/>
  <c r="O1019" i="1"/>
  <c r="AD1018" i="1"/>
  <c r="O1018" i="1"/>
  <c r="AD1017" i="1"/>
  <c r="N1017" i="1"/>
  <c r="AD1016" i="1"/>
  <c r="N1016" i="1"/>
  <c r="AD1015" i="1"/>
  <c r="N1015" i="1"/>
  <c r="AD1014" i="1"/>
  <c r="O1014" i="1"/>
  <c r="N1014" i="1"/>
  <c r="AD1013" i="1"/>
  <c r="O1013" i="1"/>
  <c r="N1013" i="1"/>
  <c r="AD1012" i="1"/>
  <c r="O1012" i="1"/>
  <c r="N1012" i="1"/>
  <c r="AD1011" i="1"/>
  <c r="O1011" i="1"/>
  <c r="N1011" i="1"/>
  <c r="AD1010" i="1"/>
  <c r="O1010" i="1"/>
  <c r="N1010" i="1"/>
  <c r="AD1009" i="1"/>
  <c r="O1009" i="1"/>
  <c r="N1009" i="1"/>
  <c r="AD1008" i="1"/>
  <c r="O1008" i="1"/>
  <c r="N1008" i="1"/>
  <c r="AD1007" i="1"/>
  <c r="O1007" i="1"/>
  <c r="N1007" i="1"/>
  <c r="AD1006" i="1"/>
  <c r="O1006" i="1"/>
  <c r="N1006" i="1"/>
  <c r="AD1005" i="1"/>
  <c r="O1005" i="1"/>
  <c r="N1005" i="1"/>
  <c r="AD1004" i="1"/>
  <c r="O1004" i="1"/>
  <c r="N1004" i="1"/>
  <c r="AD1003" i="1"/>
  <c r="O1003" i="1"/>
  <c r="N1003" i="1"/>
  <c r="AD1002" i="1"/>
  <c r="AD1001" i="1"/>
  <c r="O1001" i="1"/>
  <c r="N1001" i="1"/>
  <c r="AD1000" i="1"/>
  <c r="N1000" i="1"/>
  <c r="AD999" i="1"/>
  <c r="N999" i="1"/>
  <c r="AD998" i="1"/>
  <c r="N998" i="1"/>
  <c r="AD997" i="1"/>
  <c r="N997" i="1"/>
  <c r="AD996" i="1"/>
  <c r="N996" i="1"/>
  <c r="AD995" i="1"/>
  <c r="O995" i="1"/>
  <c r="N995" i="1"/>
  <c r="AD994" i="1"/>
  <c r="O994" i="1"/>
  <c r="N994" i="1"/>
  <c r="AD993" i="1"/>
  <c r="O993" i="1"/>
  <c r="N993" i="1"/>
  <c r="AD992" i="1"/>
  <c r="O992" i="1"/>
  <c r="N992" i="1"/>
  <c r="AD991" i="1"/>
  <c r="O991" i="1"/>
  <c r="N991" i="1"/>
  <c r="AD990" i="1"/>
  <c r="O990" i="1"/>
  <c r="N990" i="1"/>
  <c r="AD989" i="1"/>
  <c r="O989" i="1"/>
  <c r="N989" i="1"/>
  <c r="AD988" i="1"/>
  <c r="O988" i="1"/>
  <c r="N988" i="1"/>
  <c r="AD987" i="1"/>
  <c r="O987" i="1"/>
  <c r="AD986" i="1"/>
  <c r="O986" i="1"/>
  <c r="AD985" i="1"/>
  <c r="O985" i="1"/>
  <c r="AD984" i="1"/>
  <c r="O984" i="1"/>
  <c r="N984" i="1"/>
  <c r="AD983" i="1"/>
  <c r="O983" i="1"/>
  <c r="N983" i="1"/>
  <c r="AD982" i="1"/>
  <c r="O982" i="1"/>
  <c r="N982" i="1"/>
  <c r="AD981" i="1"/>
  <c r="O981" i="1"/>
  <c r="N981" i="1"/>
  <c r="AD980" i="1"/>
  <c r="O980" i="1"/>
  <c r="N980" i="1"/>
  <c r="AD979" i="1"/>
  <c r="O979" i="1"/>
  <c r="N979" i="1"/>
  <c r="AD978" i="1"/>
  <c r="O978" i="1"/>
  <c r="N978" i="1"/>
  <c r="AD977" i="1"/>
  <c r="O977" i="1"/>
  <c r="N977" i="1"/>
  <c r="AD976" i="1"/>
  <c r="O976" i="1"/>
  <c r="N976" i="1"/>
  <c r="AD975" i="1"/>
  <c r="O975" i="1"/>
  <c r="N975" i="1"/>
  <c r="AD974" i="1"/>
  <c r="O974" i="1"/>
  <c r="N974" i="1"/>
  <c r="AD973" i="1"/>
  <c r="O973" i="1"/>
  <c r="N973" i="1"/>
  <c r="AD972" i="1"/>
  <c r="O972" i="1"/>
  <c r="AD971" i="1"/>
  <c r="O971" i="1"/>
  <c r="N971" i="1"/>
  <c r="AD970" i="1"/>
  <c r="O970" i="1"/>
  <c r="N970" i="1"/>
  <c r="AD969" i="1"/>
  <c r="O969" i="1"/>
  <c r="N969" i="1"/>
  <c r="AD968" i="1"/>
  <c r="O968" i="1"/>
  <c r="N968" i="1"/>
  <c r="AD967" i="1"/>
  <c r="O967" i="1"/>
  <c r="N967" i="1"/>
  <c r="AD966" i="1"/>
  <c r="O966" i="1"/>
  <c r="N966" i="1"/>
  <c r="AD965" i="1"/>
  <c r="N965" i="1"/>
  <c r="AD964" i="1"/>
  <c r="N964" i="1"/>
  <c r="AD963" i="1"/>
  <c r="N963" i="1"/>
  <c r="AD962" i="1"/>
  <c r="N962" i="1"/>
  <c r="AD961" i="1"/>
  <c r="AD960" i="1"/>
  <c r="O960" i="1"/>
  <c r="N960" i="1"/>
  <c r="AD959" i="1"/>
  <c r="O959" i="1"/>
  <c r="N959" i="1"/>
  <c r="AD958" i="1"/>
  <c r="O958" i="1"/>
  <c r="N958" i="1"/>
  <c r="AD957" i="1"/>
  <c r="O957" i="1"/>
  <c r="N957" i="1"/>
  <c r="AD956" i="1"/>
  <c r="O956" i="1"/>
  <c r="N956" i="1"/>
  <c r="AD955" i="1"/>
  <c r="O955" i="1"/>
  <c r="N955" i="1"/>
  <c r="AD954" i="1"/>
  <c r="O954" i="1"/>
  <c r="AD953" i="1"/>
  <c r="O953" i="1"/>
  <c r="AD952" i="1"/>
  <c r="O952" i="1"/>
  <c r="AD951" i="1"/>
  <c r="O951" i="1"/>
  <c r="AD950" i="1"/>
  <c r="O950" i="1"/>
  <c r="AD949" i="1"/>
  <c r="O949" i="1"/>
  <c r="AD948" i="1"/>
  <c r="O948" i="1"/>
  <c r="N948" i="1"/>
  <c r="AD947" i="1"/>
  <c r="O947" i="1"/>
  <c r="N947" i="1"/>
  <c r="AD946" i="1"/>
  <c r="O946" i="1"/>
  <c r="N946" i="1"/>
  <c r="AD945" i="1"/>
  <c r="O945" i="1"/>
  <c r="N945" i="1"/>
  <c r="AD944" i="1"/>
  <c r="O944" i="1"/>
  <c r="N944" i="1"/>
  <c r="AD943" i="1"/>
  <c r="O943" i="1"/>
  <c r="N943" i="1"/>
  <c r="AD942" i="1"/>
  <c r="O942" i="1"/>
  <c r="N942" i="1"/>
  <c r="AD941" i="1"/>
  <c r="O941" i="1"/>
  <c r="N941" i="1"/>
  <c r="AD940" i="1"/>
  <c r="O940" i="1"/>
  <c r="N940" i="1"/>
  <c r="AD939" i="1"/>
  <c r="O939" i="1"/>
  <c r="N939" i="1"/>
  <c r="AD938" i="1"/>
  <c r="O938" i="1"/>
  <c r="N938" i="1"/>
  <c r="AD937" i="1"/>
  <c r="O937" i="1"/>
  <c r="N937" i="1"/>
  <c r="AD936" i="1"/>
  <c r="O936" i="1"/>
  <c r="N936" i="1"/>
  <c r="AD935" i="1"/>
  <c r="O935" i="1"/>
  <c r="N935" i="1"/>
  <c r="AD934" i="1"/>
  <c r="O934" i="1"/>
  <c r="N934" i="1"/>
  <c r="AD933" i="1"/>
  <c r="O933" i="1"/>
  <c r="N933" i="1"/>
  <c r="AD932" i="1"/>
  <c r="O932" i="1"/>
  <c r="N932" i="1"/>
  <c r="AD931" i="1"/>
  <c r="O931" i="1"/>
  <c r="N931" i="1"/>
  <c r="AD930" i="1"/>
  <c r="O930" i="1"/>
  <c r="N930" i="1"/>
  <c r="AD929" i="1"/>
  <c r="O929" i="1"/>
  <c r="N929" i="1"/>
  <c r="AD928" i="1"/>
  <c r="O928" i="1"/>
  <c r="N928" i="1"/>
  <c r="AD927" i="1"/>
  <c r="O927" i="1"/>
  <c r="N927" i="1"/>
  <c r="AD926" i="1"/>
  <c r="O926" i="1"/>
  <c r="N926" i="1"/>
  <c r="AD925" i="1"/>
  <c r="O925" i="1"/>
  <c r="N925" i="1"/>
  <c r="AD924" i="1"/>
  <c r="O924" i="1"/>
  <c r="N924" i="1"/>
  <c r="AD923" i="1"/>
  <c r="AD922" i="1"/>
  <c r="AD921" i="1"/>
  <c r="AD920" i="1"/>
  <c r="O920" i="1"/>
  <c r="N920" i="1"/>
  <c r="AD919" i="1"/>
  <c r="O919" i="1"/>
  <c r="N919" i="1"/>
  <c r="AD918" i="1"/>
  <c r="O918" i="1"/>
  <c r="N918" i="1"/>
  <c r="AD917" i="1"/>
  <c r="O917" i="1"/>
  <c r="N917" i="1"/>
  <c r="AD916" i="1"/>
  <c r="O916" i="1"/>
  <c r="N916" i="1"/>
  <c r="AD915" i="1"/>
  <c r="AD914" i="1"/>
  <c r="O914" i="1"/>
  <c r="N914" i="1"/>
  <c r="AD913" i="1"/>
  <c r="O913" i="1"/>
  <c r="N913" i="1"/>
  <c r="AD912" i="1"/>
  <c r="O912" i="1"/>
  <c r="N912" i="1"/>
  <c r="AD911" i="1"/>
  <c r="O911" i="1"/>
  <c r="N911" i="1"/>
  <c r="AD910" i="1"/>
  <c r="O910" i="1"/>
  <c r="N910" i="1"/>
  <c r="AD909" i="1"/>
  <c r="O909" i="1"/>
  <c r="N909" i="1"/>
  <c r="AD908" i="1"/>
  <c r="O908" i="1"/>
  <c r="N908" i="1"/>
  <c r="AD907" i="1"/>
  <c r="O907" i="1"/>
  <c r="N907" i="1"/>
  <c r="AD906" i="1"/>
  <c r="O906" i="1"/>
  <c r="N906" i="1"/>
  <c r="AD905" i="1"/>
  <c r="O905" i="1"/>
  <c r="N905" i="1"/>
  <c r="AD904" i="1"/>
  <c r="N904" i="1"/>
  <c r="AD903" i="1"/>
  <c r="N903" i="1"/>
  <c r="AD902" i="1"/>
  <c r="N902" i="1"/>
  <c r="AD901" i="1"/>
  <c r="N901" i="1"/>
  <c r="AD900" i="1"/>
  <c r="AD899" i="1"/>
  <c r="AD898" i="1"/>
  <c r="AD897" i="1"/>
  <c r="O897" i="1"/>
  <c r="N897" i="1"/>
  <c r="AD896" i="1"/>
  <c r="O896" i="1"/>
  <c r="N896" i="1"/>
  <c r="AD895" i="1"/>
  <c r="O895" i="1"/>
  <c r="N895" i="1"/>
  <c r="AD894" i="1"/>
  <c r="O894" i="1"/>
  <c r="N894" i="1"/>
  <c r="AD893" i="1"/>
  <c r="O893" i="1"/>
  <c r="N893" i="1"/>
  <c r="AD892" i="1"/>
  <c r="O892" i="1"/>
  <c r="N892" i="1"/>
  <c r="AD891" i="1"/>
  <c r="O891" i="1"/>
  <c r="N891" i="1"/>
  <c r="AD890" i="1"/>
  <c r="O890" i="1"/>
  <c r="N890" i="1"/>
  <c r="AD889" i="1"/>
  <c r="O889" i="1"/>
  <c r="N889" i="1"/>
  <c r="AD888" i="1"/>
  <c r="O888" i="1"/>
  <c r="N888" i="1"/>
  <c r="AD887" i="1"/>
  <c r="O887" i="1"/>
  <c r="N887" i="1"/>
  <c r="AD886" i="1"/>
  <c r="O886" i="1"/>
  <c r="N886" i="1"/>
  <c r="AD885" i="1"/>
  <c r="O885" i="1"/>
  <c r="N885" i="1"/>
  <c r="AD884" i="1"/>
  <c r="O884" i="1"/>
  <c r="N884" i="1"/>
  <c r="AD883" i="1"/>
  <c r="O883" i="1"/>
  <c r="N883" i="1"/>
  <c r="AD882" i="1"/>
  <c r="O882" i="1"/>
  <c r="N882" i="1"/>
  <c r="AD881" i="1"/>
  <c r="O881" i="1"/>
  <c r="N881" i="1"/>
  <c r="AD880" i="1"/>
  <c r="O880" i="1"/>
  <c r="N880" i="1"/>
  <c r="AD879" i="1"/>
  <c r="O879" i="1"/>
  <c r="N879" i="1"/>
  <c r="AD878" i="1"/>
  <c r="O878" i="1"/>
  <c r="N878" i="1"/>
  <c r="AD877" i="1"/>
  <c r="O877" i="1"/>
  <c r="N877" i="1"/>
  <c r="AD876" i="1"/>
  <c r="O876" i="1"/>
  <c r="N876" i="1"/>
  <c r="AD875" i="1"/>
  <c r="O875" i="1"/>
  <c r="AD874" i="1"/>
  <c r="O874" i="1"/>
  <c r="N874" i="1"/>
  <c r="AD873" i="1"/>
  <c r="O873" i="1"/>
  <c r="AD872" i="1"/>
  <c r="O872" i="1"/>
  <c r="AD871" i="1"/>
  <c r="O871" i="1"/>
  <c r="AD870" i="1"/>
  <c r="O870" i="1"/>
  <c r="N870" i="1"/>
  <c r="AD869" i="1"/>
  <c r="O869" i="1"/>
  <c r="AD868" i="1"/>
  <c r="O868" i="1"/>
  <c r="N868" i="1"/>
  <c r="AD867" i="1"/>
  <c r="O867" i="1"/>
  <c r="N867" i="1"/>
  <c r="AD866" i="1"/>
  <c r="O866" i="1"/>
  <c r="N866" i="1"/>
  <c r="AD865" i="1"/>
  <c r="O865" i="1"/>
  <c r="N865" i="1"/>
  <c r="AD864" i="1"/>
  <c r="O864" i="1"/>
  <c r="AD863" i="1"/>
  <c r="O863" i="1"/>
  <c r="AD862" i="1"/>
  <c r="O862" i="1"/>
  <c r="N862" i="1"/>
  <c r="AD861" i="1"/>
  <c r="O861" i="1"/>
  <c r="AD860" i="1"/>
  <c r="N860" i="1"/>
  <c r="AD859" i="1"/>
  <c r="N859" i="1"/>
  <c r="AD858" i="1"/>
  <c r="N858" i="1"/>
  <c r="AD857" i="1"/>
  <c r="N857" i="1"/>
  <c r="AD856" i="1"/>
  <c r="N856" i="1"/>
  <c r="AD855" i="1"/>
  <c r="O855" i="1"/>
  <c r="N855" i="1"/>
  <c r="AD854" i="1"/>
  <c r="O854" i="1"/>
  <c r="N854" i="1"/>
  <c r="AD853" i="1"/>
  <c r="O853" i="1"/>
  <c r="N853" i="1"/>
  <c r="AD852" i="1"/>
  <c r="O852" i="1"/>
  <c r="N852" i="1"/>
  <c r="AD851" i="1"/>
  <c r="O851" i="1"/>
  <c r="N851" i="1"/>
  <c r="AD850" i="1"/>
  <c r="O850" i="1"/>
  <c r="N850" i="1"/>
  <c r="AD849" i="1"/>
  <c r="O849" i="1"/>
  <c r="N849" i="1"/>
  <c r="AD848" i="1"/>
  <c r="O848" i="1"/>
  <c r="N848" i="1"/>
  <c r="AD847" i="1"/>
  <c r="O847" i="1"/>
  <c r="N847" i="1"/>
  <c r="AD846" i="1"/>
  <c r="AD845" i="1"/>
  <c r="O845" i="1"/>
  <c r="N845" i="1"/>
  <c r="AD844" i="1"/>
  <c r="O844" i="1"/>
  <c r="N844" i="1"/>
  <c r="AD843" i="1"/>
  <c r="O843" i="1"/>
  <c r="N843" i="1"/>
  <c r="AD842" i="1"/>
  <c r="O842" i="1"/>
  <c r="N842" i="1"/>
  <c r="AD841" i="1"/>
  <c r="O841" i="1"/>
  <c r="N841" i="1"/>
  <c r="AD840" i="1"/>
  <c r="O840" i="1"/>
  <c r="N840" i="1"/>
  <c r="AD839" i="1"/>
  <c r="O839" i="1"/>
  <c r="N839" i="1"/>
  <c r="AD838" i="1"/>
  <c r="O838" i="1"/>
  <c r="N838" i="1"/>
  <c r="AD837" i="1"/>
  <c r="AD836" i="1"/>
  <c r="O836" i="1"/>
  <c r="N836" i="1"/>
  <c r="AD835" i="1"/>
  <c r="O835" i="1"/>
  <c r="N835" i="1"/>
  <c r="AD834" i="1"/>
  <c r="AD833" i="1"/>
  <c r="O833" i="1"/>
  <c r="N833" i="1"/>
  <c r="AD832" i="1"/>
  <c r="O832" i="1"/>
  <c r="N832" i="1"/>
  <c r="AD831" i="1"/>
  <c r="O831" i="1"/>
  <c r="N831" i="1"/>
  <c r="AD830" i="1"/>
  <c r="O830" i="1"/>
  <c r="N830" i="1"/>
  <c r="AD829" i="1"/>
  <c r="O829" i="1"/>
  <c r="N829" i="1"/>
  <c r="AD828" i="1"/>
  <c r="O828" i="1"/>
  <c r="N828" i="1"/>
  <c r="AD827" i="1"/>
  <c r="O827" i="1"/>
  <c r="N827" i="1"/>
  <c r="AD826" i="1"/>
  <c r="O826" i="1"/>
  <c r="N826" i="1"/>
  <c r="AD825" i="1"/>
  <c r="O825" i="1"/>
  <c r="N825" i="1"/>
  <c r="AD824" i="1"/>
  <c r="O824" i="1"/>
  <c r="N824" i="1"/>
  <c r="AD823" i="1"/>
  <c r="O823" i="1"/>
  <c r="N823" i="1"/>
  <c r="AD822" i="1"/>
  <c r="O822" i="1"/>
  <c r="N822" i="1"/>
  <c r="AD821" i="1"/>
  <c r="O821" i="1"/>
  <c r="N821" i="1"/>
  <c r="AD820" i="1"/>
  <c r="O820" i="1"/>
  <c r="N820" i="1"/>
  <c r="AD819" i="1"/>
  <c r="O819" i="1"/>
  <c r="N819" i="1"/>
  <c r="AD818" i="1"/>
  <c r="O818" i="1"/>
  <c r="N818" i="1"/>
  <c r="AD817" i="1"/>
  <c r="O817" i="1"/>
  <c r="N817" i="1"/>
  <c r="AD816" i="1"/>
  <c r="O816" i="1"/>
  <c r="N816" i="1"/>
  <c r="AD815" i="1"/>
  <c r="O815" i="1"/>
  <c r="N815" i="1"/>
  <c r="AD814" i="1"/>
  <c r="O814" i="1"/>
  <c r="N814" i="1"/>
  <c r="AD813" i="1"/>
  <c r="O813" i="1"/>
  <c r="N813" i="1"/>
  <c r="AD812" i="1"/>
  <c r="O812" i="1"/>
  <c r="N812" i="1"/>
  <c r="AD811" i="1"/>
  <c r="O811" i="1"/>
  <c r="N811" i="1"/>
  <c r="AD810" i="1"/>
  <c r="O810" i="1"/>
  <c r="N810" i="1"/>
  <c r="AD809" i="1"/>
  <c r="O809" i="1"/>
  <c r="N809" i="1"/>
  <c r="AD808" i="1"/>
  <c r="O808" i="1"/>
  <c r="N808" i="1"/>
  <c r="AD807" i="1"/>
  <c r="O807" i="1"/>
  <c r="N807" i="1"/>
  <c r="AD806" i="1"/>
  <c r="O806" i="1"/>
  <c r="N806" i="1"/>
  <c r="AD805" i="1"/>
  <c r="O805" i="1"/>
  <c r="N805" i="1"/>
  <c r="AD804" i="1"/>
  <c r="O804" i="1"/>
  <c r="N804" i="1"/>
  <c r="AD803" i="1"/>
  <c r="O803" i="1"/>
  <c r="N803" i="1"/>
  <c r="AD802" i="1"/>
  <c r="O802" i="1"/>
  <c r="N802" i="1"/>
  <c r="AD801" i="1"/>
  <c r="O801" i="1"/>
  <c r="N801" i="1"/>
  <c r="AD800" i="1"/>
  <c r="O800" i="1"/>
  <c r="N800" i="1"/>
  <c r="AD799" i="1"/>
  <c r="N799" i="1"/>
  <c r="AD798" i="1"/>
  <c r="N798" i="1"/>
  <c r="AD797" i="1"/>
  <c r="N797" i="1"/>
  <c r="AD796" i="1"/>
  <c r="O796" i="1"/>
  <c r="N796" i="1"/>
  <c r="AD795" i="1"/>
  <c r="O795" i="1"/>
  <c r="N795" i="1"/>
  <c r="AD794" i="1"/>
  <c r="O794" i="1"/>
  <c r="N794" i="1"/>
  <c r="AD793" i="1"/>
  <c r="O793" i="1"/>
  <c r="N793" i="1"/>
  <c r="AD792" i="1"/>
  <c r="O792" i="1"/>
  <c r="N792" i="1"/>
  <c r="AD791" i="1"/>
  <c r="O791" i="1"/>
  <c r="N791" i="1"/>
  <c r="AD790" i="1"/>
  <c r="O790" i="1"/>
  <c r="N790" i="1"/>
  <c r="AD789" i="1"/>
  <c r="AD788" i="1"/>
  <c r="AD787" i="1"/>
  <c r="AD786" i="1"/>
  <c r="AD785" i="1"/>
  <c r="O785" i="1"/>
  <c r="N785" i="1"/>
  <c r="AD784" i="1"/>
  <c r="O784" i="1"/>
  <c r="N784" i="1"/>
  <c r="AD783" i="1"/>
  <c r="O783" i="1"/>
  <c r="N783" i="1"/>
  <c r="AD782" i="1"/>
  <c r="O782" i="1"/>
  <c r="N782" i="1"/>
  <c r="AD781" i="1"/>
  <c r="O781" i="1"/>
  <c r="N781" i="1"/>
  <c r="AD780" i="1"/>
  <c r="O780" i="1"/>
  <c r="N780" i="1"/>
  <c r="AD779" i="1"/>
  <c r="AD778" i="1"/>
  <c r="AD777" i="1"/>
  <c r="O777" i="1"/>
  <c r="N777" i="1"/>
  <c r="AD776" i="1"/>
  <c r="O776" i="1"/>
  <c r="N776" i="1"/>
  <c r="AD775" i="1"/>
  <c r="O775" i="1"/>
  <c r="N775" i="1"/>
  <c r="AD774" i="1"/>
  <c r="O774" i="1"/>
  <c r="N774" i="1"/>
  <c r="AD773" i="1"/>
  <c r="O773" i="1"/>
  <c r="N773" i="1"/>
  <c r="AD772" i="1"/>
  <c r="O772" i="1"/>
  <c r="N772" i="1"/>
  <c r="AD771" i="1"/>
  <c r="O771" i="1"/>
  <c r="N771" i="1"/>
  <c r="AD770" i="1"/>
  <c r="O770" i="1"/>
  <c r="N770" i="1"/>
  <c r="AD769" i="1"/>
  <c r="O769" i="1"/>
  <c r="N769" i="1"/>
  <c r="AD768" i="1"/>
  <c r="O768" i="1"/>
  <c r="N768" i="1"/>
  <c r="AD767" i="1"/>
  <c r="O767" i="1"/>
  <c r="N767" i="1"/>
  <c r="AD766" i="1"/>
  <c r="N766" i="1"/>
  <c r="AD765" i="1"/>
  <c r="N765" i="1"/>
  <c r="AD764" i="1"/>
  <c r="N764" i="1"/>
  <c r="AD763" i="1"/>
  <c r="O763" i="1"/>
  <c r="N763" i="1"/>
  <c r="AD762" i="1"/>
  <c r="O762" i="1"/>
  <c r="N762" i="1"/>
  <c r="AD761" i="1"/>
  <c r="O761" i="1"/>
  <c r="N761" i="1"/>
  <c r="AD760" i="1"/>
  <c r="O760" i="1"/>
  <c r="N760" i="1"/>
  <c r="AD759" i="1"/>
  <c r="O759" i="1"/>
  <c r="N759" i="1"/>
  <c r="AD758" i="1"/>
  <c r="O758" i="1"/>
  <c r="N758" i="1"/>
  <c r="AD757" i="1"/>
  <c r="O757" i="1"/>
  <c r="N757" i="1"/>
  <c r="AD756" i="1"/>
  <c r="O756" i="1"/>
  <c r="N756" i="1"/>
  <c r="AD755" i="1"/>
  <c r="O755" i="1"/>
  <c r="N755" i="1"/>
  <c r="AD754" i="1"/>
  <c r="O754" i="1"/>
  <c r="N754" i="1"/>
  <c r="AD753" i="1"/>
  <c r="O753" i="1"/>
  <c r="N753" i="1"/>
  <c r="AD752" i="1"/>
  <c r="O752" i="1"/>
  <c r="N752" i="1"/>
  <c r="AD751" i="1"/>
  <c r="O751" i="1"/>
  <c r="N751" i="1"/>
  <c r="AD750" i="1"/>
  <c r="O750" i="1"/>
  <c r="N750" i="1"/>
  <c r="AD749" i="1"/>
  <c r="O749" i="1"/>
  <c r="N749" i="1"/>
  <c r="AD748" i="1"/>
  <c r="O748" i="1"/>
  <c r="N748" i="1"/>
  <c r="AD747" i="1"/>
  <c r="O747" i="1"/>
  <c r="N747" i="1"/>
  <c r="AD746" i="1"/>
  <c r="O746" i="1"/>
  <c r="N746" i="1"/>
  <c r="AD745" i="1"/>
  <c r="O745" i="1"/>
  <c r="N745" i="1"/>
  <c r="AD744" i="1"/>
  <c r="O744" i="1"/>
  <c r="N744" i="1"/>
  <c r="AD743" i="1"/>
  <c r="O743" i="1"/>
  <c r="N743" i="1"/>
  <c r="AD742" i="1"/>
  <c r="O742" i="1"/>
  <c r="N742" i="1"/>
  <c r="AD741" i="1"/>
  <c r="O741" i="1"/>
  <c r="N741" i="1"/>
  <c r="AD740" i="1"/>
  <c r="O740" i="1"/>
  <c r="N740" i="1"/>
  <c r="AD739" i="1"/>
  <c r="O739" i="1"/>
  <c r="N739" i="1"/>
  <c r="AD738" i="1"/>
  <c r="O738" i="1"/>
  <c r="N738" i="1"/>
  <c r="AD737" i="1"/>
  <c r="O737" i="1"/>
  <c r="N737" i="1"/>
  <c r="AD736" i="1"/>
  <c r="O736" i="1"/>
  <c r="N736" i="1"/>
  <c r="AD735" i="1"/>
  <c r="O735" i="1"/>
  <c r="N735" i="1"/>
  <c r="AD734" i="1"/>
  <c r="O734" i="1"/>
  <c r="N734" i="1"/>
  <c r="AD733" i="1"/>
  <c r="O733" i="1"/>
  <c r="AD732" i="1"/>
  <c r="O732" i="1"/>
  <c r="AD731" i="1"/>
  <c r="O731" i="1"/>
  <c r="AD730" i="1"/>
  <c r="O730" i="1"/>
  <c r="N730" i="1"/>
  <c r="AD729" i="1"/>
  <c r="O729" i="1"/>
  <c r="N729" i="1"/>
  <c r="AD728" i="1"/>
  <c r="O728" i="1"/>
  <c r="N728" i="1"/>
  <c r="AD727" i="1"/>
  <c r="O727" i="1"/>
  <c r="N727" i="1"/>
  <c r="AD726" i="1"/>
  <c r="O726" i="1"/>
  <c r="N726" i="1"/>
  <c r="AD725" i="1"/>
  <c r="O725" i="1"/>
  <c r="N725" i="1"/>
  <c r="AD724" i="1"/>
  <c r="O724" i="1"/>
  <c r="N724" i="1"/>
  <c r="AD723" i="1"/>
  <c r="O723" i="1"/>
  <c r="N723" i="1"/>
  <c r="AD722" i="1"/>
  <c r="O722" i="1"/>
  <c r="N722" i="1"/>
  <c r="AD721" i="1"/>
  <c r="AD720" i="1"/>
  <c r="O720" i="1"/>
  <c r="N720" i="1"/>
  <c r="AD719" i="1"/>
  <c r="O719" i="1"/>
  <c r="N719" i="1"/>
  <c r="AD718" i="1"/>
  <c r="O718" i="1"/>
  <c r="N718" i="1"/>
  <c r="AD717" i="1"/>
  <c r="O717" i="1"/>
  <c r="N717" i="1"/>
  <c r="AD716" i="1"/>
  <c r="O716" i="1"/>
  <c r="N716" i="1"/>
  <c r="AD715" i="1"/>
  <c r="O715" i="1"/>
  <c r="N715" i="1"/>
  <c r="AD714" i="1"/>
  <c r="N714" i="1"/>
  <c r="AD713" i="1"/>
  <c r="N713" i="1"/>
  <c r="AD712" i="1"/>
  <c r="N712" i="1"/>
  <c r="AD711" i="1"/>
  <c r="N711" i="1"/>
  <c r="AD710" i="1"/>
  <c r="AD709" i="1"/>
  <c r="O709" i="1"/>
  <c r="N709" i="1"/>
  <c r="AD708" i="1"/>
  <c r="O708" i="1"/>
  <c r="N708" i="1"/>
  <c r="AD707" i="1"/>
  <c r="O707" i="1"/>
  <c r="N707" i="1"/>
  <c r="AD706" i="1"/>
  <c r="AD705" i="1"/>
  <c r="AD704" i="1"/>
  <c r="AD703" i="1"/>
  <c r="AD702" i="1"/>
  <c r="O702" i="1"/>
  <c r="N702" i="1"/>
  <c r="AD701" i="1"/>
  <c r="O701" i="1"/>
  <c r="N701" i="1"/>
  <c r="AD700" i="1"/>
  <c r="O700" i="1"/>
  <c r="N700" i="1"/>
  <c r="AD699" i="1"/>
  <c r="O699" i="1"/>
  <c r="N699" i="1"/>
  <c r="AD698" i="1"/>
  <c r="O698" i="1"/>
  <c r="N698" i="1"/>
  <c r="AD697" i="1"/>
  <c r="O697" i="1"/>
  <c r="N697" i="1"/>
  <c r="AD696" i="1"/>
  <c r="O696" i="1"/>
  <c r="N696" i="1"/>
  <c r="AD695" i="1"/>
  <c r="O695" i="1"/>
  <c r="N695" i="1"/>
  <c r="AD694" i="1"/>
  <c r="O694" i="1"/>
  <c r="AD693" i="1"/>
  <c r="O693" i="1"/>
  <c r="N693" i="1"/>
  <c r="AD692" i="1"/>
  <c r="O692" i="1"/>
  <c r="AD691" i="1"/>
  <c r="O691" i="1"/>
  <c r="N691" i="1"/>
  <c r="AD690" i="1"/>
  <c r="O690" i="1"/>
  <c r="N690" i="1"/>
  <c r="AD689" i="1"/>
  <c r="O689" i="1"/>
  <c r="N689" i="1"/>
  <c r="AD688" i="1"/>
  <c r="AD687" i="1"/>
  <c r="AD686" i="1"/>
  <c r="AD685" i="1"/>
  <c r="AD684" i="1"/>
  <c r="AD683" i="1"/>
  <c r="N683" i="1"/>
  <c r="AD682" i="1"/>
  <c r="N682" i="1"/>
  <c r="AD681" i="1"/>
  <c r="N681" i="1"/>
  <c r="AD680" i="1"/>
  <c r="O680" i="1"/>
  <c r="N680" i="1"/>
  <c r="AD679" i="1"/>
  <c r="O679" i="1"/>
  <c r="N679" i="1"/>
  <c r="AD678" i="1"/>
  <c r="O678" i="1"/>
  <c r="N678" i="1"/>
  <c r="AD677" i="1"/>
  <c r="AD676" i="1"/>
  <c r="O676" i="1"/>
  <c r="N676" i="1"/>
  <c r="AD675" i="1"/>
  <c r="O675" i="1"/>
  <c r="N675" i="1"/>
  <c r="AD674" i="1"/>
  <c r="O674" i="1"/>
  <c r="N674" i="1"/>
  <c r="AD673" i="1"/>
  <c r="O673" i="1"/>
  <c r="N673" i="1"/>
  <c r="AD672" i="1"/>
  <c r="O672" i="1"/>
  <c r="N672" i="1"/>
  <c r="AD671" i="1"/>
  <c r="O671" i="1"/>
  <c r="N671" i="1"/>
  <c r="AD670" i="1"/>
  <c r="O670" i="1"/>
  <c r="N670" i="1"/>
  <c r="AD669" i="1"/>
  <c r="O669" i="1"/>
  <c r="N669" i="1"/>
  <c r="AD668" i="1"/>
  <c r="O668" i="1"/>
  <c r="N668" i="1"/>
  <c r="AD667" i="1"/>
  <c r="O667" i="1"/>
  <c r="N667" i="1"/>
  <c r="AD666" i="1"/>
  <c r="O666" i="1"/>
  <c r="N666" i="1"/>
  <c r="AD665" i="1"/>
  <c r="O665" i="1"/>
  <c r="N665" i="1"/>
  <c r="AD664" i="1"/>
  <c r="O664" i="1"/>
  <c r="N664" i="1"/>
  <c r="AD663" i="1"/>
  <c r="O663" i="1"/>
  <c r="N663" i="1"/>
  <c r="AD662" i="1"/>
  <c r="O662" i="1"/>
  <c r="N662" i="1"/>
  <c r="AD661" i="1"/>
  <c r="O661" i="1"/>
  <c r="N661" i="1"/>
  <c r="AD660" i="1"/>
  <c r="O660" i="1"/>
  <c r="N660" i="1"/>
  <c r="AD659" i="1"/>
  <c r="O659" i="1"/>
  <c r="N659" i="1"/>
  <c r="AD658" i="1"/>
  <c r="N658" i="1"/>
  <c r="AD657" i="1"/>
  <c r="N657" i="1"/>
  <c r="AD656" i="1"/>
  <c r="N656" i="1"/>
  <c r="AD655" i="1"/>
  <c r="O655" i="1"/>
  <c r="N655" i="1"/>
  <c r="AD654" i="1"/>
  <c r="O654" i="1"/>
  <c r="N654" i="1"/>
  <c r="AD653" i="1"/>
  <c r="O653" i="1"/>
  <c r="AD652" i="1"/>
  <c r="O652" i="1"/>
  <c r="AD651" i="1"/>
  <c r="O651" i="1"/>
  <c r="AD650" i="1"/>
  <c r="O650" i="1"/>
  <c r="AD649" i="1"/>
  <c r="O649" i="1"/>
  <c r="AD648" i="1"/>
  <c r="O648" i="1"/>
  <c r="AD647" i="1"/>
  <c r="O647" i="1"/>
  <c r="AD646" i="1"/>
  <c r="O646" i="1"/>
  <c r="N646" i="1"/>
  <c r="AD645" i="1"/>
  <c r="O645" i="1"/>
  <c r="N645" i="1"/>
  <c r="AD644" i="1"/>
  <c r="O644" i="1"/>
  <c r="N644" i="1"/>
  <c r="AD643" i="1"/>
  <c r="O643" i="1"/>
  <c r="N643" i="1"/>
  <c r="AD642" i="1"/>
  <c r="O642" i="1"/>
  <c r="AD641" i="1"/>
  <c r="O641" i="1"/>
  <c r="AD640" i="1"/>
  <c r="O640" i="1"/>
  <c r="AD639" i="1"/>
  <c r="O639" i="1"/>
  <c r="AD638" i="1"/>
  <c r="O638" i="1"/>
  <c r="N638" i="1"/>
  <c r="AD637" i="1"/>
  <c r="O637" i="1"/>
  <c r="N637" i="1"/>
  <c r="AD636" i="1"/>
  <c r="O636" i="1"/>
  <c r="N636" i="1"/>
  <c r="AD635" i="1"/>
  <c r="O635" i="1"/>
  <c r="N635" i="1"/>
  <c r="AD634" i="1"/>
  <c r="O634" i="1"/>
  <c r="N634" i="1"/>
  <c r="AD633" i="1"/>
  <c r="O633" i="1"/>
  <c r="N633" i="1"/>
  <c r="AD632" i="1"/>
  <c r="N632" i="1"/>
  <c r="AD631" i="1"/>
  <c r="N631" i="1"/>
  <c r="AD630" i="1"/>
  <c r="O630" i="1"/>
  <c r="N630" i="1"/>
  <c r="AD629" i="1"/>
  <c r="O629" i="1"/>
  <c r="N629" i="1"/>
  <c r="AD628" i="1"/>
  <c r="AD627" i="1"/>
  <c r="O627" i="1"/>
  <c r="N627" i="1"/>
  <c r="AD626" i="1"/>
  <c r="O626" i="1"/>
  <c r="N626" i="1"/>
  <c r="AD625" i="1"/>
  <c r="O625" i="1"/>
  <c r="N625" i="1"/>
  <c r="AD624" i="1"/>
  <c r="O624" i="1"/>
  <c r="N624" i="1"/>
  <c r="AD623" i="1"/>
  <c r="O623" i="1"/>
  <c r="N623" i="1"/>
  <c r="AD622" i="1"/>
  <c r="O622" i="1"/>
  <c r="N622" i="1"/>
  <c r="AD621" i="1"/>
  <c r="O621" i="1"/>
  <c r="N621" i="1"/>
  <c r="AD620" i="1"/>
  <c r="O620" i="1"/>
  <c r="N620" i="1"/>
  <c r="AD619" i="1"/>
  <c r="O619" i="1"/>
  <c r="N619" i="1"/>
  <c r="AD618" i="1"/>
  <c r="O618" i="1"/>
  <c r="N618" i="1"/>
  <c r="AD617" i="1"/>
  <c r="O617" i="1"/>
  <c r="N617" i="1"/>
  <c r="AD616" i="1"/>
  <c r="O616" i="1"/>
  <c r="N616" i="1"/>
  <c r="AD615" i="1"/>
  <c r="O615" i="1"/>
  <c r="N615" i="1"/>
  <c r="AD614" i="1"/>
  <c r="O614" i="1"/>
  <c r="AD613" i="1"/>
  <c r="O613" i="1"/>
  <c r="N613" i="1"/>
  <c r="AD612" i="1"/>
  <c r="O612" i="1"/>
  <c r="N612" i="1"/>
  <c r="AD611" i="1"/>
  <c r="O611" i="1"/>
  <c r="N611" i="1"/>
  <c r="AD610" i="1"/>
  <c r="O610" i="1"/>
  <c r="N610" i="1"/>
  <c r="AD609" i="1"/>
  <c r="O609" i="1"/>
  <c r="N609" i="1"/>
  <c r="AD608" i="1"/>
  <c r="O608" i="1"/>
  <c r="N608" i="1"/>
  <c r="AD607" i="1"/>
  <c r="O607" i="1"/>
  <c r="N607" i="1"/>
  <c r="AD606" i="1"/>
  <c r="O606" i="1"/>
  <c r="N606" i="1"/>
  <c r="AD605" i="1"/>
  <c r="O605" i="1"/>
  <c r="N605" i="1"/>
  <c r="AD604" i="1"/>
  <c r="O604" i="1"/>
  <c r="N604" i="1"/>
  <c r="AD603" i="1"/>
  <c r="O603" i="1"/>
  <c r="N603" i="1"/>
  <c r="AD602" i="1"/>
  <c r="O602" i="1"/>
  <c r="N602" i="1"/>
  <c r="AD601" i="1"/>
  <c r="O601" i="1"/>
  <c r="N601" i="1"/>
  <c r="AD600" i="1"/>
  <c r="O600" i="1"/>
  <c r="N600" i="1"/>
  <c r="AD599" i="1"/>
  <c r="O599" i="1"/>
  <c r="N599" i="1"/>
  <c r="AD598" i="1"/>
  <c r="O598" i="1"/>
  <c r="N598" i="1"/>
  <c r="AD597" i="1"/>
  <c r="O597" i="1"/>
  <c r="N597" i="1"/>
  <c r="AD596" i="1"/>
  <c r="O596" i="1"/>
  <c r="N596" i="1"/>
  <c r="AD595" i="1"/>
  <c r="O595" i="1"/>
  <c r="N595" i="1"/>
  <c r="AD594" i="1"/>
  <c r="N594" i="1"/>
  <c r="AD593" i="1"/>
  <c r="N593" i="1"/>
  <c r="AD592" i="1"/>
  <c r="O592" i="1"/>
  <c r="N592" i="1"/>
  <c r="AD591" i="1"/>
  <c r="O591" i="1"/>
  <c r="N591" i="1"/>
  <c r="AD590" i="1"/>
  <c r="O590" i="1"/>
  <c r="N590" i="1"/>
  <c r="AD589" i="1"/>
  <c r="O589" i="1"/>
  <c r="N589" i="1"/>
  <c r="AD588" i="1"/>
  <c r="O588" i="1"/>
  <c r="N588" i="1"/>
  <c r="AD587" i="1"/>
  <c r="O587" i="1"/>
  <c r="N587" i="1"/>
  <c r="AD586" i="1"/>
  <c r="O586" i="1"/>
  <c r="N586" i="1"/>
  <c r="AD585" i="1"/>
  <c r="O585" i="1"/>
  <c r="N585" i="1"/>
  <c r="AD584" i="1"/>
  <c r="O584" i="1"/>
  <c r="N584" i="1"/>
  <c r="AD583" i="1"/>
  <c r="O583" i="1"/>
  <c r="N583" i="1"/>
  <c r="AD582" i="1"/>
  <c r="O582" i="1"/>
  <c r="N582" i="1"/>
  <c r="AD581" i="1"/>
  <c r="O581" i="1"/>
  <c r="N581" i="1"/>
  <c r="AD580" i="1"/>
  <c r="O580" i="1"/>
  <c r="N580" i="1"/>
  <c r="AD579" i="1"/>
  <c r="O579" i="1"/>
  <c r="N579" i="1"/>
  <c r="AD578" i="1"/>
  <c r="O578" i="1"/>
  <c r="N578" i="1"/>
  <c r="AD577" i="1"/>
  <c r="O577" i="1"/>
  <c r="N577" i="1"/>
  <c r="AD576" i="1"/>
  <c r="O576" i="1"/>
  <c r="N576" i="1"/>
  <c r="AD575" i="1"/>
  <c r="O575" i="1"/>
  <c r="N575" i="1"/>
  <c r="AD574" i="1"/>
  <c r="O574" i="1"/>
  <c r="N574" i="1"/>
  <c r="AD573" i="1"/>
  <c r="O573" i="1"/>
  <c r="N573" i="1"/>
  <c r="AD572" i="1"/>
  <c r="O572" i="1"/>
  <c r="N572" i="1"/>
  <c r="AD571" i="1"/>
  <c r="O571" i="1"/>
  <c r="N571" i="1"/>
  <c r="AD570" i="1"/>
  <c r="O570" i="1"/>
  <c r="N570" i="1"/>
  <c r="AD569" i="1"/>
  <c r="O569" i="1"/>
  <c r="N569" i="1"/>
  <c r="AD568" i="1"/>
  <c r="O568" i="1"/>
  <c r="N568" i="1"/>
  <c r="AD567" i="1"/>
  <c r="O567" i="1"/>
  <c r="N567" i="1"/>
  <c r="AD566" i="1"/>
  <c r="O566" i="1"/>
  <c r="N566" i="1"/>
  <c r="AD565" i="1"/>
  <c r="N565" i="1"/>
  <c r="AD564" i="1"/>
  <c r="N564" i="1"/>
  <c r="AD563" i="1"/>
  <c r="N563" i="1"/>
  <c r="AD562" i="1"/>
  <c r="O562" i="1"/>
  <c r="N562" i="1"/>
  <c r="AD561" i="1"/>
  <c r="O561" i="1"/>
  <c r="N561" i="1"/>
  <c r="AD560" i="1"/>
  <c r="O560" i="1"/>
  <c r="N560" i="1"/>
  <c r="AD559" i="1"/>
  <c r="O559" i="1"/>
  <c r="N559" i="1"/>
  <c r="AD558" i="1"/>
  <c r="O558" i="1"/>
  <c r="N558" i="1"/>
  <c r="AD557" i="1"/>
  <c r="O557" i="1"/>
  <c r="N557" i="1"/>
  <c r="AD556" i="1"/>
  <c r="O556" i="1"/>
  <c r="N556" i="1"/>
  <c r="AD555" i="1"/>
  <c r="O555" i="1"/>
  <c r="N555" i="1"/>
  <c r="AD554" i="1"/>
  <c r="O554" i="1"/>
  <c r="N554" i="1"/>
  <c r="AD553" i="1"/>
  <c r="O553" i="1"/>
  <c r="N553" i="1"/>
  <c r="AD552" i="1"/>
  <c r="O552" i="1"/>
  <c r="N552" i="1"/>
  <c r="AD551" i="1"/>
  <c r="O551" i="1"/>
  <c r="N551" i="1"/>
  <c r="AD550" i="1"/>
  <c r="O550" i="1"/>
  <c r="N550" i="1"/>
  <c r="AD549" i="1"/>
  <c r="O549" i="1"/>
  <c r="N549" i="1"/>
  <c r="AD548" i="1"/>
  <c r="O548" i="1"/>
  <c r="N548" i="1"/>
  <c r="AD547" i="1"/>
  <c r="O547" i="1"/>
  <c r="N547" i="1"/>
  <c r="AD546" i="1"/>
  <c r="AD545" i="1"/>
  <c r="O545" i="1"/>
  <c r="AD544" i="1"/>
  <c r="O544" i="1"/>
  <c r="AD543" i="1"/>
  <c r="O543" i="1"/>
  <c r="AD542" i="1"/>
  <c r="O542" i="1"/>
  <c r="N542" i="1"/>
  <c r="AD541" i="1"/>
  <c r="O541" i="1"/>
  <c r="N541" i="1"/>
  <c r="AD540" i="1"/>
  <c r="O540" i="1"/>
  <c r="N540" i="1"/>
  <c r="AD539" i="1"/>
  <c r="O539" i="1"/>
  <c r="N539" i="1"/>
  <c r="AD538" i="1"/>
  <c r="O538" i="1"/>
  <c r="N538" i="1"/>
  <c r="AD537" i="1"/>
  <c r="O537" i="1"/>
  <c r="N537" i="1"/>
  <c r="AD536" i="1"/>
  <c r="O536" i="1"/>
  <c r="N536" i="1"/>
  <c r="AD535" i="1"/>
  <c r="O535" i="1"/>
  <c r="N535" i="1"/>
  <c r="AD534" i="1"/>
  <c r="O534" i="1"/>
  <c r="N534" i="1"/>
  <c r="AD533" i="1"/>
  <c r="O533" i="1"/>
  <c r="N533" i="1"/>
  <c r="AD532" i="1"/>
  <c r="O532" i="1"/>
  <c r="N532" i="1"/>
  <c r="AD531" i="1"/>
  <c r="O531" i="1"/>
  <c r="N531" i="1"/>
  <c r="AD530" i="1"/>
  <c r="O530" i="1"/>
  <c r="N530" i="1"/>
  <c r="AD529" i="1"/>
  <c r="O529" i="1"/>
  <c r="N529" i="1"/>
  <c r="AD528" i="1"/>
  <c r="O528" i="1"/>
  <c r="N528" i="1"/>
  <c r="AD527" i="1"/>
  <c r="O527" i="1"/>
  <c r="N527" i="1"/>
  <c r="AD526" i="1"/>
  <c r="O526" i="1"/>
  <c r="N526" i="1"/>
  <c r="AD525" i="1"/>
  <c r="O525" i="1"/>
  <c r="N525" i="1"/>
  <c r="AD524" i="1"/>
  <c r="O524" i="1"/>
  <c r="N524" i="1"/>
  <c r="AD523" i="1"/>
  <c r="O523" i="1"/>
  <c r="N523" i="1"/>
  <c r="AD522" i="1"/>
  <c r="O522" i="1"/>
  <c r="N522" i="1"/>
  <c r="AD521" i="1"/>
  <c r="O521" i="1"/>
  <c r="N521" i="1"/>
  <c r="AD520" i="1"/>
  <c r="O520" i="1"/>
  <c r="N520" i="1"/>
  <c r="AD519" i="1"/>
  <c r="O519" i="1"/>
  <c r="N519" i="1"/>
  <c r="AD518" i="1"/>
  <c r="O518" i="1"/>
  <c r="N518" i="1"/>
  <c r="AD517" i="1"/>
  <c r="O517" i="1"/>
  <c r="N517" i="1"/>
  <c r="AD516" i="1"/>
  <c r="O516" i="1"/>
  <c r="N516" i="1"/>
  <c r="AD515" i="1"/>
  <c r="O515" i="1"/>
  <c r="N515" i="1"/>
  <c r="AD514" i="1"/>
  <c r="O514" i="1"/>
  <c r="N514" i="1"/>
  <c r="AD513" i="1"/>
  <c r="O513" i="1"/>
  <c r="N513" i="1"/>
  <c r="AD512" i="1"/>
  <c r="O512" i="1"/>
  <c r="N512" i="1"/>
  <c r="AD511" i="1"/>
  <c r="O511" i="1"/>
  <c r="N511" i="1"/>
  <c r="AD510" i="1"/>
  <c r="O510" i="1"/>
  <c r="N510" i="1"/>
  <c r="AD509" i="1"/>
  <c r="O509" i="1"/>
  <c r="N509" i="1"/>
  <c r="AD508" i="1"/>
  <c r="O508" i="1"/>
  <c r="N508" i="1"/>
  <c r="AD507" i="1"/>
  <c r="O507" i="1"/>
  <c r="N507" i="1"/>
  <c r="AD506" i="1"/>
  <c r="N506" i="1"/>
  <c r="AD505" i="1"/>
  <c r="N505" i="1"/>
  <c r="AD504" i="1"/>
  <c r="N504" i="1"/>
  <c r="AD503" i="1"/>
  <c r="O503" i="1"/>
  <c r="N503" i="1"/>
  <c r="AD502" i="1"/>
  <c r="O502" i="1"/>
  <c r="N502" i="1"/>
  <c r="AD501" i="1"/>
  <c r="O501" i="1"/>
  <c r="N501" i="1"/>
  <c r="AD500" i="1"/>
  <c r="O500" i="1"/>
  <c r="N500" i="1"/>
  <c r="AD499" i="1"/>
  <c r="O499" i="1"/>
  <c r="N499" i="1"/>
  <c r="AD498" i="1"/>
  <c r="O498" i="1"/>
  <c r="AD497" i="1"/>
  <c r="O497" i="1"/>
  <c r="N497" i="1"/>
  <c r="AD496" i="1"/>
  <c r="O496" i="1"/>
  <c r="N496" i="1"/>
  <c r="AD495" i="1"/>
  <c r="O495" i="1"/>
  <c r="N495" i="1"/>
  <c r="AD494" i="1"/>
  <c r="O494" i="1"/>
  <c r="N494" i="1"/>
  <c r="AD493" i="1"/>
  <c r="O493" i="1"/>
  <c r="N493" i="1"/>
  <c r="AD492" i="1"/>
  <c r="O492" i="1"/>
  <c r="N492" i="1"/>
  <c r="AD491" i="1"/>
  <c r="O491" i="1"/>
  <c r="N491" i="1"/>
  <c r="AD490" i="1"/>
  <c r="O490" i="1"/>
  <c r="N490" i="1"/>
  <c r="AD489" i="1"/>
  <c r="O489" i="1"/>
  <c r="N489" i="1"/>
  <c r="AD488" i="1"/>
  <c r="O488" i="1"/>
  <c r="N488" i="1"/>
  <c r="AD487" i="1"/>
  <c r="O487" i="1"/>
  <c r="N487" i="1"/>
  <c r="AD486" i="1"/>
  <c r="O486" i="1"/>
  <c r="N486" i="1"/>
  <c r="AD485" i="1"/>
  <c r="O485" i="1"/>
  <c r="N485" i="1"/>
  <c r="AD484" i="1"/>
  <c r="O484" i="1"/>
  <c r="N484" i="1"/>
  <c r="AD483" i="1"/>
  <c r="O483" i="1"/>
  <c r="N483" i="1"/>
  <c r="AD482" i="1"/>
  <c r="O482" i="1"/>
  <c r="N482" i="1"/>
  <c r="AD481" i="1"/>
  <c r="O481" i="1"/>
  <c r="N481" i="1"/>
  <c r="AD480" i="1"/>
  <c r="O480" i="1"/>
  <c r="N480" i="1"/>
  <c r="AD479" i="1"/>
  <c r="O479" i="1"/>
  <c r="N479" i="1"/>
  <c r="AD478" i="1"/>
  <c r="O478" i="1"/>
  <c r="N478" i="1"/>
  <c r="AD477" i="1"/>
  <c r="O477" i="1"/>
  <c r="N477" i="1"/>
  <c r="AD476" i="1"/>
  <c r="O476" i="1"/>
  <c r="N476" i="1"/>
  <c r="AD475" i="1"/>
  <c r="O475" i="1"/>
  <c r="N475" i="1"/>
  <c r="AD474" i="1"/>
  <c r="O474" i="1"/>
  <c r="N474" i="1"/>
  <c r="AD473" i="1"/>
  <c r="O473" i="1"/>
  <c r="N473" i="1"/>
  <c r="AD472" i="1"/>
  <c r="O472" i="1"/>
  <c r="N472" i="1"/>
  <c r="AD471" i="1"/>
  <c r="O471" i="1"/>
  <c r="N471" i="1"/>
  <c r="AD470" i="1"/>
  <c r="O470" i="1"/>
  <c r="N470" i="1"/>
  <c r="AD469" i="1"/>
  <c r="AD468" i="1"/>
  <c r="O468" i="1"/>
  <c r="N468" i="1"/>
  <c r="AD467" i="1"/>
  <c r="O467" i="1"/>
  <c r="N467" i="1"/>
  <c r="AD466" i="1"/>
  <c r="O466" i="1"/>
  <c r="N466" i="1"/>
  <c r="AD465" i="1"/>
  <c r="O465" i="1"/>
  <c r="N465" i="1"/>
  <c r="AD464" i="1"/>
  <c r="O464" i="1"/>
  <c r="AD463" i="1"/>
  <c r="O463" i="1"/>
  <c r="AD462" i="1"/>
  <c r="O462" i="1"/>
  <c r="N462" i="1"/>
  <c r="AD461" i="1"/>
  <c r="O461" i="1"/>
  <c r="N461" i="1"/>
  <c r="AD460" i="1"/>
  <c r="O460" i="1"/>
  <c r="AD459" i="1"/>
  <c r="O459" i="1"/>
  <c r="N459" i="1"/>
  <c r="AD458" i="1"/>
  <c r="O458" i="1"/>
  <c r="N458" i="1"/>
  <c r="AD457" i="1"/>
  <c r="O457" i="1"/>
  <c r="N457" i="1"/>
  <c r="AD456" i="1"/>
  <c r="O456" i="1"/>
  <c r="N456" i="1"/>
  <c r="AD455" i="1"/>
  <c r="AD454" i="1"/>
  <c r="AD453" i="1"/>
  <c r="AD452" i="1"/>
  <c r="N452" i="1"/>
  <c r="AD451" i="1"/>
  <c r="N451" i="1"/>
  <c r="AD450" i="1"/>
  <c r="N450" i="1"/>
  <c r="AD449" i="1"/>
  <c r="N449" i="1"/>
  <c r="AD448" i="1"/>
  <c r="O448" i="1"/>
  <c r="N448" i="1"/>
  <c r="AD447" i="1"/>
  <c r="O447" i="1"/>
  <c r="N447" i="1"/>
  <c r="AD446" i="1"/>
  <c r="O446" i="1"/>
  <c r="N446" i="1"/>
  <c r="AD445" i="1"/>
  <c r="O445" i="1"/>
  <c r="N445" i="1"/>
  <c r="AD444" i="1"/>
  <c r="O444" i="1"/>
  <c r="N444" i="1"/>
  <c r="AD443" i="1"/>
  <c r="O443" i="1"/>
  <c r="N443" i="1"/>
  <c r="AD442" i="1"/>
  <c r="O442" i="1"/>
  <c r="N442" i="1"/>
  <c r="AD441" i="1"/>
  <c r="O441" i="1"/>
  <c r="N441" i="1"/>
  <c r="AD440" i="1"/>
  <c r="O440" i="1"/>
  <c r="N440" i="1"/>
  <c r="AD439" i="1"/>
  <c r="O439" i="1"/>
  <c r="N439" i="1"/>
  <c r="AD438" i="1"/>
  <c r="O438" i="1"/>
  <c r="N438" i="1"/>
  <c r="AD437" i="1"/>
  <c r="O437" i="1"/>
  <c r="N437" i="1"/>
  <c r="AD436" i="1"/>
  <c r="O436" i="1"/>
  <c r="N436" i="1"/>
  <c r="AD435" i="1"/>
  <c r="O435" i="1"/>
  <c r="AD434" i="1"/>
  <c r="O434" i="1"/>
  <c r="AD433" i="1"/>
  <c r="O433" i="1"/>
  <c r="AD432" i="1"/>
  <c r="O432" i="1"/>
  <c r="AD431" i="1"/>
  <c r="O431" i="1"/>
  <c r="AD430" i="1"/>
  <c r="O430" i="1"/>
  <c r="N430" i="1"/>
  <c r="AD429" i="1"/>
  <c r="O429" i="1"/>
  <c r="N429" i="1"/>
  <c r="AD428" i="1"/>
  <c r="O428" i="1"/>
  <c r="N428" i="1"/>
  <c r="AD427" i="1"/>
  <c r="O427" i="1"/>
  <c r="N427" i="1"/>
  <c r="AD426" i="1"/>
  <c r="O426" i="1"/>
  <c r="N426" i="1"/>
  <c r="AD425" i="1"/>
  <c r="O425" i="1"/>
  <c r="N425" i="1"/>
  <c r="AD424" i="1"/>
  <c r="O424" i="1"/>
  <c r="N424" i="1"/>
  <c r="AD423" i="1"/>
  <c r="O423" i="1"/>
  <c r="N423" i="1"/>
  <c r="AD422" i="1"/>
  <c r="O422" i="1"/>
  <c r="N422" i="1"/>
  <c r="AD421" i="1"/>
  <c r="O421" i="1"/>
  <c r="N421" i="1"/>
  <c r="AD420" i="1"/>
  <c r="O420" i="1"/>
  <c r="N420" i="1"/>
  <c r="AD419" i="1"/>
  <c r="O419" i="1"/>
  <c r="N419" i="1"/>
  <c r="AD418" i="1"/>
  <c r="O418" i="1"/>
  <c r="N418" i="1"/>
  <c r="AD417" i="1"/>
  <c r="O417" i="1"/>
  <c r="N417" i="1"/>
  <c r="AD416" i="1"/>
  <c r="O416" i="1"/>
  <c r="N416" i="1"/>
  <c r="AD415" i="1"/>
  <c r="O415" i="1"/>
  <c r="N415" i="1"/>
  <c r="AD414" i="1"/>
  <c r="O414" i="1"/>
  <c r="N414" i="1"/>
  <c r="AD413" i="1"/>
  <c r="O413" i="1"/>
  <c r="N413" i="1"/>
  <c r="AD412" i="1"/>
  <c r="O412" i="1"/>
  <c r="N412" i="1"/>
  <c r="AD411" i="1"/>
  <c r="O411" i="1"/>
  <c r="N411" i="1"/>
  <c r="AD410" i="1"/>
  <c r="O410" i="1"/>
  <c r="N410" i="1"/>
  <c r="AD409" i="1"/>
  <c r="O409" i="1"/>
  <c r="N409" i="1"/>
  <c r="AD408" i="1"/>
  <c r="O408" i="1"/>
  <c r="N408" i="1"/>
  <c r="AD407" i="1"/>
  <c r="O407" i="1"/>
  <c r="N407" i="1"/>
  <c r="AD406" i="1"/>
  <c r="O406" i="1"/>
  <c r="N406" i="1"/>
  <c r="AD405" i="1"/>
  <c r="O405" i="1"/>
  <c r="N405" i="1"/>
  <c r="AD404" i="1"/>
  <c r="O404" i="1"/>
  <c r="N404" i="1"/>
  <c r="AD403" i="1"/>
  <c r="O403" i="1"/>
  <c r="N403" i="1"/>
  <c r="AD402" i="1"/>
  <c r="O402" i="1"/>
  <c r="N402" i="1"/>
  <c r="AD401" i="1"/>
  <c r="O401" i="1"/>
  <c r="N401" i="1"/>
  <c r="AD400" i="1"/>
  <c r="O400" i="1"/>
  <c r="N400" i="1"/>
  <c r="AD399" i="1"/>
  <c r="O399" i="1"/>
  <c r="N399" i="1"/>
  <c r="AD398" i="1"/>
  <c r="O398" i="1"/>
  <c r="N398" i="1"/>
  <c r="AD397" i="1"/>
  <c r="O397" i="1"/>
  <c r="N397" i="1"/>
  <c r="AD396" i="1"/>
  <c r="O396" i="1"/>
  <c r="N396" i="1"/>
  <c r="AD395" i="1"/>
  <c r="O395" i="1"/>
  <c r="N395" i="1"/>
  <c r="AD394" i="1"/>
  <c r="O394" i="1"/>
  <c r="N394" i="1"/>
  <c r="AD393" i="1"/>
  <c r="O393" i="1"/>
  <c r="AD392" i="1"/>
  <c r="O392" i="1"/>
  <c r="N392" i="1"/>
  <c r="AD391" i="1"/>
  <c r="AD390" i="1"/>
  <c r="O390" i="1"/>
  <c r="N390" i="1"/>
  <c r="AD389" i="1"/>
  <c r="O389" i="1"/>
  <c r="N389" i="1"/>
  <c r="AD388" i="1"/>
  <c r="O388" i="1"/>
  <c r="N388" i="1"/>
  <c r="AD387" i="1"/>
  <c r="O387" i="1"/>
  <c r="N387" i="1"/>
  <c r="AD386" i="1"/>
  <c r="AD385" i="1"/>
  <c r="O385" i="1"/>
  <c r="N385" i="1"/>
  <c r="AD384" i="1"/>
  <c r="O384" i="1"/>
  <c r="N384" i="1"/>
  <c r="AD383" i="1"/>
  <c r="O383" i="1"/>
  <c r="N383" i="1"/>
  <c r="AD382" i="1"/>
  <c r="O382" i="1"/>
  <c r="N382" i="1"/>
  <c r="AD381" i="1"/>
  <c r="O381" i="1"/>
  <c r="N381" i="1"/>
  <c r="AD380" i="1"/>
  <c r="O380" i="1"/>
  <c r="N380" i="1"/>
  <c r="AD379" i="1"/>
  <c r="O379" i="1"/>
  <c r="N379" i="1"/>
  <c r="AD378" i="1"/>
  <c r="O378" i="1"/>
  <c r="N378" i="1"/>
  <c r="AD377" i="1"/>
  <c r="O377" i="1"/>
  <c r="N377" i="1"/>
  <c r="AD376" i="1"/>
  <c r="O376" i="1"/>
  <c r="N376" i="1"/>
  <c r="AD375" i="1"/>
  <c r="O375" i="1"/>
  <c r="N375" i="1"/>
  <c r="AD374" i="1"/>
  <c r="O374" i="1"/>
  <c r="N374" i="1"/>
  <c r="AD373" i="1"/>
  <c r="O373" i="1"/>
  <c r="N373" i="1"/>
  <c r="AD372" i="1"/>
  <c r="O372" i="1"/>
  <c r="N372" i="1"/>
  <c r="AD371" i="1"/>
  <c r="AD370" i="1"/>
  <c r="AD369" i="1"/>
  <c r="O369" i="1"/>
  <c r="N369" i="1"/>
  <c r="AD368" i="1"/>
  <c r="O368" i="1"/>
  <c r="N368" i="1"/>
  <c r="AD367" i="1"/>
  <c r="O367" i="1"/>
  <c r="N367" i="1"/>
  <c r="AD366" i="1"/>
  <c r="O366" i="1"/>
  <c r="N366" i="1"/>
  <c r="AD365" i="1"/>
  <c r="O365" i="1"/>
  <c r="N365" i="1"/>
  <c r="AD364" i="1"/>
  <c r="O364" i="1"/>
  <c r="N364" i="1"/>
  <c r="AD363" i="1"/>
  <c r="O363" i="1"/>
  <c r="N363" i="1"/>
  <c r="AD362" i="1"/>
  <c r="O362" i="1"/>
  <c r="N362" i="1"/>
  <c r="AD361" i="1"/>
  <c r="O361" i="1"/>
  <c r="N361" i="1"/>
  <c r="AD360" i="1"/>
  <c r="O360" i="1"/>
  <c r="N360" i="1"/>
  <c r="AD359" i="1"/>
  <c r="O359" i="1"/>
  <c r="N359" i="1"/>
  <c r="AD358" i="1"/>
  <c r="O358" i="1"/>
  <c r="N358" i="1"/>
  <c r="AD357" i="1"/>
  <c r="O357" i="1"/>
  <c r="N357" i="1"/>
  <c r="AD356" i="1"/>
  <c r="O356" i="1"/>
  <c r="N356" i="1"/>
  <c r="AD355" i="1"/>
  <c r="O355" i="1"/>
  <c r="N355" i="1"/>
  <c r="AD354" i="1"/>
  <c r="O354" i="1"/>
  <c r="N354" i="1"/>
  <c r="AD353" i="1"/>
  <c r="O353" i="1"/>
  <c r="N353" i="1"/>
  <c r="AD352" i="1"/>
  <c r="O352" i="1"/>
  <c r="N352" i="1"/>
  <c r="AD351" i="1"/>
  <c r="O351" i="1"/>
  <c r="N351" i="1"/>
  <c r="AD350" i="1"/>
  <c r="O350" i="1"/>
  <c r="N350" i="1"/>
  <c r="AD349" i="1"/>
  <c r="AD348" i="1"/>
  <c r="O348" i="1"/>
  <c r="N348" i="1"/>
  <c r="AD347" i="1"/>
  <c r="O347" i="1"/>
  <c r="N347" i="1"/>
  <c r="AD346" i="1"/>
  <c r="O346" i="1"/>
  <c r="N346" i="1"/>
  <c r="AD345" i="1"/>
  <c r="O345" i="1"/>
  <c r="N345" i="1"/>
  <c r="AD344" i="1"/>
  <c r="O344" i="1"/>
  <c r="N344" i="1"/>
  <c r="AD343" i="1"/>
  <c r="O343" i="1"/>
  <c r="N343" i="1"/>
  <c r="AD342" i="1"/>
  <c r="O342" i="1"/>
  <c r="N342" i="1"/>
  <c r="AD341" i="1"/>
  <c r="O341" i="1"/>
  <c r="N341" i="1"/>
  <c r="AD340" i="1"/>
  <c r="O340" i="1"/>
  <c r="N340" i="1"/>
  <c r="AD339" i="1"/>
  <c r="O339" i="1"/>
  <c r="N339" i="1"/>
  <c r="AD338" i="1"/>
  <c r="O338" i="1"/>
  <c r="N338" i="1"/>
  <c r="AD337" i="1"/>
  <c r="O337" i="1"/>
  <c r="N337" i="1"/>
  <c r="AD336" i="1"/>
  <c r="O336" i="1"/>
  <c r="N336" i="1"/>
  <c r="AD335" i="1"/>
  <c r="O335" i="1"/>
  <c r="N335" i="1"/>
  <c r="AD334" i="1"/>
  <c r="O334" i="1"/>
  <c r="N334" i="1"/>
  <c r="AD333" i="1"/>
  <c r="O333" i="1"/>
  <c r="N333" i="1"/>
  <c r="AD332" i="1"/>
  <c r="N332" i="1"/>
  <c r="AD331" i="1"/>
  <c r="AD330" i="1"/>
  <c r="AD329" i="1"/>
  <c r="AD328" i="1"/>
  <c r="O328" i="1"/>
  <c r="N328" i="1"/>
  <c r="AD327" i="1"/>
  <c r="O327" i="1"/>
  <c r="N327" i="1"/>
  <c r="AD326" i="1"/>
  <c r="O326" i="1"/>
  <c r="N326" i="1"/>
  <c r="AD325" i="1"/>
  <c r="O325" i="1"/>
  <c r="N325" i="1"/>
  <c r="AD324" i="1"/>
  <c r="O324" i="1"/>
  <c r="N324" i="1"/>
  <c r="AD323" i="1"/>
  <c r="O323" i="1"/>
  <c r="N323" i="1"/>
  <c r="AD322" i="1"/>
  <c r="O322" i="1"/>
  <c r="N322" i="1"/>
  <c r="AD321" i="1"/>
  <c r="O321" i="1"/>
  <c r="N321" i="1"/>
  <c r="AD320" i="1"/>
  <c r="O320" i="1"/>
  <c r="N320" i="1"/>
  <c r="AD319" i="1"/>
  <c r="AD318" i="1"/>
  <c r="O318" i="1"/>
  <c r="N318" i="1"/>
  <c r="AD317" i="1"/>
  <c r="O317" i="1"/>
  <c r="N317" i="1"/>
  <c r="AD316" i="1"/>
  <c r="O316" i="1"/>
  <c r="N316" i="1"/>
  <c r="AD315" i="1"/>
  <c r="O315" i="1"/>
  <c r="N315" i="1"/>
  <c r="AD314" i="1"/>
  <c r="O314" i="1"/>
  <c r="N314" i="1"/>
  <c r="AD313" i="1"/>
  <c r="O313" i="1"/>
  <c r="N313" i="1"/>
  <c r="AD312" i="1"/>
  <c r="O312" i="1"/>
  <c r="N312" i="1"/>
  <c r="AD311" i="1"/>
  <c r="O311" i="1"/>
  <c r="N311" i="1"/>
  <c r="AD310" i="1"/>
  <c r="O310" i="1"/>
  <c r="N310" i="1"/>
  <c r="AD309" i="1"/>
  <c r="O309" i="1"/>
  <c r="N309" i="1"/>
  <c r="AD308" i="1"/>
  <c r="O308" i="1"/>
  <c r="N308" i="1"/>
  <c r="AD307" i="1"/>
  <c r="O307" i="1"/>
  <c r="N307" i="1"/>
  <c r="AD306" i="1"/>
  <c r="O306" i="1"/>
  <c r="N306" i="1"/>
  <c r="AD305" i="1"/>
  <c r="O305" i="1"/>
  <c r="N305" i="1"/>
  <c r="AD304" i="1"/>
  <c r="AD303" i="1"/>
  <c r="O303" i="1"/>
  <c r="N303" i="1"/>
  <c r="AD302" i="1"/>
  <c r="O302" i="1"/>
  <c r="N302" i="1"/>
  <c r="AD301" i="1"/>
  <c r="O301" i="1"/>
  <c r="N301" i="1"/>
  <c r="AD300" i="1"/>
  <c r="O300" i="1"/>
  <c r="N300" i="1"/>
  <c r="AD299" i="1"/>
  <c r="O299" i="1"/>
  <c r="N299" i="1"/>
  <c r="AD298" i="1"/>
  <c r="O298" i="1"/>
  <c r="N298" i="1"/>
  <c r="AD297" i="1"/>
  <c r="O297" i="1"/>
  <c r="N297" i="1"/>
  <c r="AD296" i="1"/>
  <c r="O296" i="1"/>
  <c r="N296" i="1"/>
  <c r="AD295" i="1"/>
  <c r="O295" i="1"/>
  <c r="N295" i="1"/>
  <c r="AD294" i="1"/>
  <c r="O294" i="1"/>
  <c r="N294" i="1"/>
  <c r="AD293" i="1"/>
  <c r="O293" i="1"/>
  <c r="N293" i="1"/>
  <c r="AD292" i="1"/>
  <c r="O292" i="1"/>
  <c r="N292" i="1"/>
  <c r="AD291" i="1"/>
  <c r="O291" i="1"/>
  <c r="AD290" i="1"/>
  <c r="O290" i="1"/>
  <c r="N290" i="1"/>
  <c r="AD289" i="1"/>
  <c r="O289" i="1"/>
  <c r="N289" i="1"/>
  <c r="AD288" i="1"/>
  <c r="O288" i="1"/>
  <c r="N288" i="1"/>
  <c r="AD287" i="1"/>
  <c r="O287" i="1"/>
  <c r="N287" i="1"/>
  <c r="AD286" i="1"/>
  <c r="O286" i="1"/>
  <c r="N286" i="1"/>
  <c r="AD285" i="1"/>
  <c r="O285" i="1"/>
  <c r="N285" i="1"/>
  <c r="AD284" i="1"/>
  <c r="O284" i="1"/>
  <c r="N284" i="1"/>
  <c r="AD283" i="1"/>
  <c r="O283" i="1"/>
  <c r="N283" i="1"/>
  <c r="AD282" i="1"/>
  <c r="O282" i="1"/>
  <c r="N282" i="1"/>
  <c r="AD281" i="1"/>
  <c r="O281" i="1"/>
  <c r="AD280" i="1"/>
  <c r="O280" i="1"/>
  <c r="AD279" i="1"/>
  <c r="O279" i="1"/>
  <c r="AD278" i="1"/>
  <c r="N278" i="1"/>
  <c r="AD277" i="1"/>
  <c r="N277" i="1"/>
  <c r="AD276" i="1"/>
  <c r="N276" i="1"/>
  <c r="AD275" i="1"/>
  <c r="N275" i="1"/>
  <c r="AD274" i="1"/>
  <c r="N274" i="1"/>
  <c r="AD273" i="1"/>
  <c r="O273" i="1"/>
  <c r="N273" i="1"/>
  <c r="AD272" i="1"/>
  <c r="O272" i="1"/>
  <c r="N272" i="1"/>
  <c r="AD271" i="1"/>
  <c r="O271" i="1"/>
  <c r="N271" i="1"/>
  <c r="AD270" i="1"/>
  <c r="O270" i="1"/>
  <c r="AD269" i="1"/>
  <c r="O269" i="1"/>
  <c r="N269" i="1"/>
  <c r="AD268" i="1"/>
  <c r="O268" i="1"/>
  <c r="N268" i="1"/>
  <c r="AD267" i="1"/>
  <c r="O267" i="1"/>
  <c r="N267" i="1"/>
  <c r="AD266" i="1"/>
  <c r="O266" i="1"/>
  <c r="N266" i="1"/>
  <c r="AD265" i="1"/>
  <c r="O265" i="1"/>
  <c r="N265" i="1"/>
  <c r="AD264" i="1"/>
  <c r="O264" i="1"/>
  <c r="N264" i="1"/>
  <c r="AD263" i="1"/>
  <c r="O263" i="1"/>
  <c r="N263" i="1"/>
  <c r="AD262" i="1"/>
  <c r="AD261" i="1"/>
  <c r="O261" i="1"/>
  <c r="N261" i="1"/>
  <c r="AD260" i="1"/>
  <c r="O260" i="1"/>
  <c r="N260" i="1"/>
  <c r="AD259" i="1"/>
  <c r="O259" i="1"/>
  <c r="N259" i="1"/>
  <c r="AD258" i="1"/>
  <c r="O258" i="1"/>
  <c r="N258" i="1"/>
  <c r="AD257" i="1"/>
  <c r="O257" i="1"/>
  <c r="AD256" i="1"/>
  <c r="O256" i="1"/>
  <c r="AD255" i="1"/>
  <c r="O255" i="1"/>
  <c r="AD254" i="1"/>
  <c r="O254" i="1"/>
  <c r="AD253" i="1"/>
  <c r="O253" i="1"/>
  <c r="AD252" i="1"/>
  <c r="O252" i="1"/>
  <c r="N252" i="1"/>
  <c r="AD251" i="1"/>
  <c r="O251" i="1"/>
  <c r="N251" i="1"/>
  <c r="AD250" i="1"/>
  <c r="O250" i="1"/>
  <c r="N250" i="1"/>
  <c r="AD249" i="1"/>
  <c r="O249" i="1"/>
  <c r="N249" i="1"/>
  <c r="AD248" i="1"/>
  <c r="O248" i="1"/>
  <c r="N248" i="1"/>
  <c r="AD247" i="1"/>
  <c r="O247" i="1"/>
  <c r="N247" i="1"/>
  <c r="AD246" i="1"/>
  <c r="O246" i="1"/>
  <c r="N246" i="1"/>
  <c r="AD245" i="1"/>
  <c r="O245" i="1"/>
  <c r="N245" i="1"/>
  <c r="AD244" i="1"/>
  <c r="O244" i="1"/>
  <c r="N244" i="1"/>
  <c r="AD243" i="1"/>
  <c r="O243" i="1"/>
  <c r="N243" i="1"/>
  <c r="AD242" i="1"/>
  <c r="O242" i="1"/>
  <c r="N242" i="1"/>
  <c r="AD241" i="1"/>
  <c r="O241" i="1"/>
  <c r="N241" i="1"/>
  <c r="AD240" i="1"/>
  <c r="O240" i="1"/>
  <c r="N240" i="1"/>
  <c r="AD239" i="1"/>
  <c r="O239" i="1"/>
  <c r="N239" i="1"/>
  <c r="AD238" i="1"/>
  <c r="O238" i="1"/>
  <c r="N238" i="1"/>
  <c r="AD237" i="1"/>
  <c r="O237" i="1"/>
  <c r="N237" i="1"/>
  <c r="AD236" i="1"/>
  <c r="O236" i="1"/>
  <c r="N236" i="1"/>
  <c r="AD235" i="1"/>
  <c r="O235" i="1"/>
  <c r="N235" i="1"/>
  <c r="AD234" i="1"/>
  <c r="O234" i="1"/>
  <c r="N234" i="1"/>
  <c r="AD233" i="1"/>
  <c r="O233" i="1"/>
  <c r="N233" i="1"/>
  <c r="AD232" i="1"/>
  <c r="O232" i="1"/>
  <c r="N232" i="1"/>
  <c r="AD231" i="1"/>
  <c r="O231" i="1"/>
  <c r="N231" i="1"/>
  <c r="AD230" i="1"/>
  <c r="O230" i="1"/>
  <c r="N230" i="1"/>
  <c r="AD229" i="1"/>
  <c r="O229" i="1"/>
  <c r="N229" i="1"/>
  <c r="AD228" i="1"/>
  <c r="O228" i="1"/>
  <c r="N228" i="1"/>
  <c r="AD227" i="1"/>
  <c r="O227" i="1"/>
  <c r="N227" i="1"/>
  <c r="AD226" i="1"/>
  <c r="O226" i="1"/>
  <c r="N226" i="1"/>
  <c r="AD225" i="1"/>
  <c r="O225" i="1"/>
  <c r="N225" i="1"/>
  <c r="AD224" i="1"/>
  <c r="N224" i="1"/>
  <c r="AD223" i="1"/>
  <c r="N223" i="1"/>
  <c r="AD222" i="1"/>
  <c r="O222" i="1"/>
  <c r="AD221" i="1"/>
  <c r="O221" i="1"/>
  <c r="AD220" i="1"/>
  <c r="O220" i="1"/>
  <c r="AD219" i="1"/>
  <c r="O219" i="1"/>
  <c r="N219" i="1"/>
  <c r="AD218" i="1"/>
  <c r="O218" i="1"/>
  <c r="N218" i="1"/>
  <c r="AD217" i="1"/>
  <c r="O217" i="1"/>
  <c r="N217" i="1"/>
  <c r="AD216" i="1"/>
  <c r="N216" i="1"/>
  <c r="AD215" i="1"/>
  <c r="N215" i="1"/>
  <c r="AD214" i="1"/>
  <c r="N214" i="1"/>
  <c r="AD213" i="1"/>
  <c r="O213" i="1"/>
  <c r="N213" i="1"/>
  <c r="AD212" i="1"/>
  <c r="O212" i="1"/>
  <c r="N212" i="1"/>
  <c r="AD211" i="1"/>
  <c r="O211" i="1"/>
  <c r="N211" i="1"/>
  <c r="AD210" i="1"/>
  <c r="O210" i="1"/>
  <c r="N210" i="1"/>
  <c r="AD209" i="1"/>
  <c r="O209" i="1"/>
  <c r="N209" i="1"/>
  <c r="AD208" i="1"/>
  <c r="AD207" i="1"/>
  <c r="AD206" i="1"/>
  <c r="O206" i="1"/>
  <c r="N206" i="1"/>
  <c r="AD205" i="1"/>
  <c r="O205" i="1"/>
  <c r="N205" i="1"/>
  <c r="AD204" i="1"/>
  <c r="O204" i="1"/>
  <c r="N204" i="1"/>
  <c r="AD203" i="1"/>
  <c r="O203" i="1"/>
  <c r="N203" i="1"/>
  <c r="AD202" i="1"/>
  <c r="O202" i="1"/>
  <c r="N202" i="1"/>
  <c r="AD201" i="1"/>
  <c r="O201" i="1"/>
  <c r="N201" i="1"/>
  <c r="AD200" i="1"/>
  <c r="O200" i="1"/>
  <c r="N200" i="1"/>
  <c r="AD199" i="1"/>
  <c r="O199" i="1"/>
  <c r="N199" i="1"/>
  <c r="AD198" i="1"/>
  <c r="O198" i="1"/>
  <c r="N198" i="1"/>
  <c r="AD197" i="1"/>
  <c r="O197" i="1"/>
  <c r="N197" i="1"/>
  <c r="AD196" i="1"/>
  <c r="O196" i="1"/>
  <c r="N196" i="1"/>
  <c r="AD195" i="1"/>
  <c r="O195" i="1"/>
  <c r="N195" i="1"/>
  <c r="AD194" i="1"/>
  <c r="O194" i="1"/>
  <c r="N194" i="1"/>
  <c r="AD193" i="1"/>
  <c r="O193" i="1"/>
  <c r="N193" i="1"/>
  <c r="AD192" i="1"/>
  <c r="O192" i="1"/>
  <c r="N192" i="1"/>
  <c r="AD191" i="1"/>
  <c r="O191" i="1"/>
  <c r="N191" i="1"/>
  <c r="AD190" i="1"/>
  <c r="O190" i="1"/>
  <c r="N190" i="1"/>
  <c r="AD189" i="1"/>
  <c r="O189" i="1"/>
  <c r="N189" i="1"/>
  <c r="AD188" i="1"/>
  <c r="O188" i="1"/>
  <c r="N188" i="1"/>
  <c r="AD187" i="1"/>
  <c r="O187" i="1"/>
  <c r="N187" i="1"/>
  <c r="AD186" i="1"/>
  <c r="O186" i="1"/>
  <c r="N186" i="1"/>
  <c r="AD185" i="1"/>
  <c r="O185" i="1"/>
  <c r="N185" i="1"/>
  <c r="AD184" i="1"/>
  <c r="O184" i="1"/>
  <c r="N184" i="1"/>
  <c r="AD183" i="1"/>
  <c r="O183" i="1"/>
  <c r="N183" i="1"/>
  <c r="AD182" i="1"/>
  <c r="O182" i="1"/>
  <c r="N182" i="1"/>
  <c r="AD181" i="1"/>
  <c r="O181" i="1"/>
  <c r="N181" i="1"/>
  <c r="AD180" i="1"/>
  <c r="O180" i="1"/>
  <c r="N180" i="1"/>
  <c r="AD179" i="1"/>
  <c r="O179" i="1"/>
  <c r="AD178" i="1"/>
  <c r="O178" i="1"/>
  <c r="N178" i="1"/>
  <c r="AD177" i="1"/>
  <c r="O177" i="1"/>
  <c r="N177" i="1"/>
  <c r="AD176" i="1"/>
  <c r="N176" i="1"/>
  <c r="AD175" i="1"/>
  <c r="N175" i="1"/>
  <c r="AD174" i="1"/>
  <c r="N174" i="1"/>
  <c r="AD173" i="1"/>
  <c r="N173" i="1"/>
  <c r="AD172" i="1"/>
  <c r="N172" i="1"/>
  <c r="AD171" i="1"/>
  <c r="N171" i="1"/>
  <c r="AD170" i="1"/>
  <c r="N170" i="1"/>
  <c r="AD169" i="1"/>
  <c r="N169" i="1"/>
  <c r="AD168" i="1"/>
  <c r="N168" i="1"/>
  <c r="AD167" i="1"/>
  <c r="N167" i="1"/>
  <c r="AD166" i="1"/>
  <c r="N166" i="1"/>
  <c r="AD165" i="1"/>
  <c r="N165" i="1"/>
  <c r="AD164" i="1"/>
  <c r="N164" i="1"/>
  <c r="AD163" i="1"/>
  <c r="N163" i="1"/>
  <c r="AD162" i="1"/>
  <c r="N162" i="1"/>
  <c r="AD161" i="1"/>
  <c r="N161" i="1"/>
  <c r="AD160" i="1"/>
  <c r="N160" i="1"/>
  <c r="AD159" i="1"/>
  <c r="N159" i="1"/>
  <c r="AD158" i="1"/>
  <c r="O158" i="1"/>
  <c r="N158" i="1"/>
  <c r="AD157" i="1"/>
  <c r="O157" i="1"/>
  <c r="N157" i="1"/>
  <c r="AD156" i="1"/>
  <c r="O156" i="1"/>
  <c r="N156" i="1"/>
  <c r="AD155" i="1"/>
  <c r="O155" i="1"/>
  <c r="N155" i="1"/>
  <c r="AD154" i="1"/>
  <c r="O154" i="1"/>
  <c r="N154" i="1"/>
  <c r="AD153" i="1"/>
  <c r="O153" i="1"/>
  <c r="N153" i="1"/>
  <c r="AD152" i="1"/>
  <c r="O152" i="1"/>
  <c r="N152" i="1"/>
  <c r="AD151" i="1"/>
  <c r="O151" i="1"/>
  <c r="N151" i="1"/>
  <c r="AD150" i="1"/>
  <c r="O150" i="1"/>
  <c r="N150" i="1"/>
  <c r="AD149" i="1"/>
  <c r="O149" i="1"/>
  <c r="N149" i="1"/>
  <c r="AD148" i="1"/>
  <c r="O148" i="1"/>
  <c r="N148" i="1"/>
  <c r="AD147" i="1"/>
  <c r="O147" i="1"/>
  <c r="N147" i="1"/>
  <c r="AD146" i="1"/>
  <c r="O146" i="1"/>
  <c r="N146" i="1"/>
  <c r="AD145" i="1"/>
  <c r="O145" i="1"/>
  <c r="N145" i="1"/>
  <c r="AD144" i="1"/>
  <c r="O144" i="1"/>
  <c r="N144" i="1"/>
  <c r="AD143" i="1"/>
  <c r="N143" i="1"/>
  <c r="AD142" i="1"/>
  <c r="N142" i="1"/>
  <c r="AD141" i="1"/>
  <c r="AD140" i="1"/>
  <c r="O140" i="1"/>
  <c r="N140" i="1"/>
  <c r="AD139" i="1"/>
  <c r="O139" i="1"/>
  <c r="N139" i="1"/>
  <c r="AD138" i="1"/>
  <c r="AD137" i="1"/>
  <c r="O137" i="1"/>
  <c r="N137" i="1"/>
  <c r="AD136" i="1"/>
  <c r="O136" i="1"/>
  <c r="N136" i="1"/>
  <c r="AD135" i="1"/>
  <c r="O135" i="1"/>
  <c r="N135" i="1"/>
  <c r="AD134" i="1"/>
  <c r="O134" i="1"/>
  <c r="N134" i="1"/>
  <c r="AD133" i="1"/>
  <c r="O133" i="1"/>
  <c r="N133" i="1"/>
  <c r="AD132" i="1"/>
  <c r="O132" i="1"/>
  <c r="N132" i="1"/>
  <c r="AD131" i="1"/>
  <c r="O131" i="1"/>
  <c r="N131" i="1"/>
  <c r="AD130" i="1"/>
  <c r="O130" i="1"/>
  <c r="N130" i="1"/>
  <c r="AD129" i="1"/>
  <c r="O129" i="1"/>
  <c r="N129" i="1"/>
  <c r="AD128" i="1"/>
  <c r="O128" i="1"/>
  <c r="N128" i="1"/>
  <c r="AD127" i="1"/>
  <c r="O127" i="1"/>
  <c r="N127" i="1"/>
  <c r="AD126" i="1"/>
  <c r="O126" i="1"/>
  <c r="N126" i="1"/>
  <c r="AD125" i="1"/>
  <c r="O125" i="1"/>
  <c r="N125" i="1"/>
  <c r="AD124" i="1"/>
  <c r="O124" i="1"/>
  <c r="N124" i="1"/>
  <c r="AD123" i="1"/>
  <c r="O123" i="1"/>
  <c r="N123" i="1"/>
  <c r="AD122" i="1"/>
  <c r="AD121" i="1"/>
  <c r="O121" i="1"/>
  <c r="N121" i="1"/>
  <c r="AD120" i="1"/>
  <c r="O120" i="1"/>
  <c r="N120" i="1"/>
  <c r="AD119" i="1"/>
  <c r="O119" i="1"/>
  <c r="N119" i="1"/>
  <c r="AD118" i="1"/>
  <c r="O118" i="1"/>
  <c r="N118" i="1"/>
  <c r="AD117" i="1"/>
  <c r="O117" i="1"/>
  <c r="N117" i="1"/>
  <c r="AD116" i="1"/>
  <c r="O116" i="1"/>
  <c r="N116" i="1"/>
  <c r="AD115" i="1"/>
  <c r="O115" i="1"/>
  <c r="N115" i="1"/>
  <c r="AD114" i="1"/>
  <c r="O114" i="1"/>
  <c r="N114" i="1"/>
  <c r="AD113" i="1"/>
  <c r="O113" i="1"/>
  <c r="N113" i="1"/>
  <c r="AD112" i="1"/>
  <c r="O112" i="1"/>
  <c r="N112" i="1"/>
  <c r="AD111" i="1"/>
  <c r="O111" i="1"/>
  <c r="N111" i="1"/>
  <c r="AD110" i="1"/>
  <c r="O110" i="1"/>
  <c r="N110" i="1"/>
  <c r="AD109" i="1"/>
  <c r="O109" i="1"/>
  <c r="N109" i="1"/>
  <c r="AD108" i="1"/>
  <c r="O108" i="1"/>
  <c r="N108" i="1"/>
  <c r="AD107" i="1"/>
  <c r="O107" i="1"/>
  <c r="N107" i="1"/>
  <c r="AD106" i="1"/>
  <c r="O106" i="1"/>
  <c r="N106" i="1"/>
  <c r="AD105" i="1"/>
  <c r="O105" i="1"/>
  <c r="N105" i="1"/>
  <c r="AD104" i="1"/>
  <c r="O104" i="1"/>
  <c r="N104" i="1"/>
  <c r="AD103" i="1"/>
  <c r="N103" i="1"/>
  <c r="AD102" i="1"/>
  <c r="N102" i="1"/>
  <c r="AD101" i="1"/>
  <c r="N101" i="1"/>
  <c r="AD100" i="1"/>
  <c r="N100" i="1"/>
  <c r="AD99" i="1"/>
  <c r="N99" i="1"/>
  <c r="AD98" i="1"/>
  <c r="N98" i="1"/>
  <c r="AD97" i="1"/>
  <c r="O97" i="1"/>
  <c r="N97" i="1"/>
  <c r="AD96" i="1"/>
  <c r="O96" i="1"/>
  <c r="N96" i="1"/>
  <c r="AD95" i="1"/>
  <c r="O95" i="1"/>
  <c r="N95" i="1"/>
  <c r="AD94" i="1"/>
  <c r="O94" i="1"/>
  <c r="N94" i="1"/>
  <c r="AD93" i="1"/>
  <c r="O93" i="1"/>
  <c r="N93" i="1"/>
  <c r="AD92" i="1"/>
  <c r="O92" i="1"/>
  <c r="N92" i="1"/>
  <c r="AD91" i="1"/>
  <c r="O91" i="1"/>
  <c r="N91" i="1"/>
  <c r="AD90" i="1"/>
  <c r="O90" i="1"/>
  <c r="N90" i="1"/>
  <c r="AD89" i="1"/>
  <c r="O89" i="1"/>
  <c r="N89" i="1"/>
  <c r="AD88" i="1"/>
  <c r="O88" i="1"/>
  <c r="N88" i="1"/>
  <c r="AD87" i="1"/>
  <c r="O87" i="1"/>
  <c r="N87" i="1"/>
  <c r="AD86" i="1"/>
  <c r="O86" i="1"/>
  <c r="N86" i="1"/>
  <c r="AD85" i="1"/>
  <c r="O85" i="1"/>
  <c r="N85" i="1"/>
  <c r="AD84" i="1"/>
  <c r="O84" i="1"/>
  <c r="N84" i="1"/>
  <c r="AD83" i="1"/>
  <c r="O83" i="1"/>
  <c r="N83" i="1"/>
  <c r="AD82" i="1"/>
  <c r="O82" i="1"/>
  <c r="N82" i="1"/>
  <c r="AD81" i="1"/>
  <c r="O81" i="1"/>
  <c r="N81" i="1"/>
  <c r="AD80" i="1"/>
  <c r="O80" i="1"/>
  <c r="N80" i="1"/>
  <c r="AD79" i="1"/>
  <c r="AD78" i="1"/>
  <c r="O78" i="1"/>
  <c r="N78" i="1"/>
  <c r="AD77" i="1"/>
  <c r="O77" i="1"/>
  <c r="N77" i="1"/>
  <c r="AD76" i="1"/>
  <c r="O76" i="1"/>
  <c r="N76" i="1"/>
  <c r="AD75" i="1"/>
  <c r="O75" i="1"/>
  <c r="N75" i="1"/>
  <c r="AD74" i="1"/>
  <c r="O74" i="1"/>
  <c r="N74" i="1"/>
  <c r="AD73" i="1"/>
  <c r="AD72" i="1"/>
  <c r="N72" i="1"/>
  <c r="AD71" i="1"/>
  <c r="N71" i="1"/>
  <c r="AD70" i="1"/>
  <c r="N70" i="1"/>
  <c r="AD69" i="1"/>
  <c r="N69" i="1"/>
  <c r="AD68" i="1"/>
  <c r="N68" i="1"/>
  <c r="AD67" i="1"/>
  <c r="O67" i="1"/>
  <c r="N67" i="1"/>
  <c r="AD66" i="1"/>
  <c r="O66" i="1"/>
  <c r="N66" i="1"/>
  <c r="AD65" i="1"/>
  <c r="O65" i="1"/>
  <c r="N65" i="1"/>
  <c r="AD64" i="1"/>
  <c r="O64" i="1"/>
  <c r="N64" i="1"/>
  <c r="AD63" i="1"/>
  <c r="O63" i="1"/>
  <c r="N63" i="1"/>
  <c r="AD62" i="1"/>
  <c r="O62" i="1"/>
  <c r="N62" i="1"/>
  <c r="AD61" i="1"/>
  <c r="O61" i="1"/>
  <c r="N61" i="1"/>
  <c r="AD60" i="1"/>
  <c r="O60" i="1"/>
  <c r="N60" i="1"/>
  <c r="AD59" i="1"/>
  <c r="O59" i="1"/>
  <c r="N59" i="1"/>
  <c r="AD58" i="1"/>
  <c r="O58" i="1"/>
  <c r="N58" i="1"/>
  <c r="AD57" i="1"/>
  <c r="O57" i="1"/>
  <c r="N57" i="1"/>
  <c r="AD56" i="1"/>
  <c r="O56" i="1"/>
  <c r="N56" i="1"/>
  <c r="AD55" i="1"/>
  <c r="O55" i="1"/>
  <c r="N55" i="1"/>
  <c r="AD54" i="1"/>
  <c r="O54" i="1"/>
  <c r="N54" i="1"/>
  <c r="AD53" i="1"/>
  <c r="O53" i="1"/>
  <c r="N53" i="1"/>
  <c r="AD52" i="1"/>
  <c r="O52" i="1"/>
  <c r="N52" i="1"/>
  <c r="AD51" i="1"/>
  <c r="O51" i="1"/>
  <c r="N51" i="1"/>
  <c r="AD50" i="1"/>
  <c r="O50" i="1"/>
  <c r="N50" i="1"/>
  <c r="AD49" i="1"/>
  <c r="O49" i="1"/>
  <c r="N49" i="1"/>
  <c r="AD48" i="1"/>
  <c r="O48" i="1"/>
  <c r="N48" i="1"/>
  <c r="AD47" i="1"/>
  <c r="O47" i="1"/>
  <c r="N47" i="1"/>
  <c r="AD46" i="1"/>
  <c r="O46" i="1"/>
  <c r="N46" i="1"/>
  <c r="AD45" i="1"/>
  <c r="O45" i="1"/>
  <c r="N45" i="1"/>
  <c r="AD44" i="1"/>
  <c r="O44" i="1"/>
  <c r="N44" i="1"/>
  <c r="AD43" i="1"/>
  <c r="O43" i="1"/>
  <c r="N43" i="1"/>
  <c r="AD42" i="1"/>
  <c r="O42" i="1"/>
  <c r="N42" i="1"/>
  <c r="AD41" i="1"/>
  <c r="O41" i="1"/>
  <c r="N41" i="1"/>
  <c r="AD40" i="1"/>
  <c r="O40" i="1"/>
  <c r="N40" i="1"/>
  <c r="AD39" i="1"/>
  <c r="O39" i="1"/>
  <c r="N39" i="1"/>
  <c r="AD38" i="1"/>
  <c r="O38" i="1"/>
  <c r="N38" i="1"/>
  <c r="AD37" i="1"/>
  <c r="O37" i="1"/>
  <c r="N37" i="1"/>
  <c r="AD36" i="1"/>
  <c r="O36" i="1"/>
  <c r="N36" i="1"/>
  <c r="AD35" i="1"/>
  <c r="O35" i="1"/>
  <c r="N35" i="1"/>
  <c r="AD34" i="1"/>
  <c r="O34" i="1"/>
  <c r="N34" i="1"/>
  <c r="AD33" i="1"/>
  <c r="O33" i="1"/>
  <c r="N33" i="1"/>
  <c r="AD32" i="1"/>
  <c r="O32" i="1"/>
  <c r="N32" i="1"/>
  <c r="AD31" i="1"/>
  <c r="O31" i="1"/>
  <c r="N31" i="1"/>
  <c r="AD30" i="1"/>
  <c r="O30" i="1"/>
  <c r="N30" i="1"/>
  <c r="AD29" i="1"/>
  <c r="O29" i="1"/>
  <c r="N29" i="1"/>
  <c r="AD28" i="1"/>
  <c r="N28" i="1"/>
  <c r="AD27" i="1"/>
  <c r="N27" i="1"/>
  <c r="AD26" i="1"/>
  <c r="AD25" i="1"/>
  <c r="AD24" i="1"/>
  <c r="O24" i="1"/>
  <c r="N24" i="1"/>
  <c r="AD23" i="1"/>
  <c r="O23" i="1"/>
  <c r="N23" i="1"/>
  <c r="AD22" i="1"/>
  <c r="O22" i="1"/>
  <c r="N22" i="1"/>
  <c r="AD21" i="1"/>
  <c r="O21" i="1"/>
  <c r="N21" i="1"/>
  <c r="AD20" i="1"/>
  <c r="O20" i="1"/>
  <c r="N20" i="1"/>
  <c r="AD19" i="1"/>
  <c r="O19" i="1"/>
  <c r="N19" i="1"/>
  <c r="AD18" i="1"/>
  <c r="O18" i="1"/>
  <c r="N18" i="1"/>
  <c r="AD17" i="1"/>
  <c r="O17" i="1"/>
  <c r="N17" i="1"/>
  <c r="AD16" i="1"/>
  <c r="O16" i="1"/>
  <c r="N16" i="1"/>
  <c r="AD15" i="1"/>
  <c r="O15" i="1"/>
  <c r="N15" i="1"/>
  <c r="AD14" i="1"/>
  <c r="O14" i="1"/>
  <c r="N14" i="1"/>
  <c r="AD13" i="1"/>
  <c r="O13" i="1"/>
  <c r="N13" i="1"/>
  <c r="AD12" i="1"/>
  <c r="O12" i="1"/>
  <c r="N12" i="1"/>
  <c r="AD11" i="1"/>
  <c r="O11" i="1"/>
  <c r="N11" i="1"/>
  <c r="AD10" i="1"/>
  <c r="O10" i="1"/>
  <c r="N10" i="1"/>
  <c r="AD9" i="1"/>
  <c r="O9" i="1"/>
  <c r="N9" i="1"/>
  <c r="AD8" i="1"/>
  <c r="O8" i="1"/>
  <c r="N8" i="1"/>
  <c r="AD7" i="1"/>
  <c r="O7" i="1"/>
  <c r="N7" i="1"/>
  <c r="AD6" i="1"/>
  <c r="O6" i="1"/>
  <c r="N6" i="1"/>
  <c r="AD5" i="1"/>
  <c r="O5" i="1"/>
  <c r="N5" i="1"/>
</calcChain>
</file>

<file path=xl/sharedStrings.xml><?xml version="1.0" encoding="utf-8"?>
<sst xmlns="http://schemas.openxmlformats.org/spreadsheetml/2006/main" count="102273" uniqueCount="21709">
  <si>
    <t>Division III</t>
  </si>
  <si>
    <t>Division I</t>
  </si>
  <si>
    <t>Division II</t>
  </si>
  <si>
    <t>Geographical information</t>
  </si>
  <si>
    <t>Institutional specifics</t>
  </si>
  <si>
    <t>Academic data</t>
  </si>
  <si>
    <t>Institutional data</t>
  </si>
  <si>
    <t>National rankings</t>
  </si>
  <si>
    <t>Conference</t>
  </si>
  <si>
    <t>State</t>
  </si>
  <si>
    <t>Division</t>
  </si>
  <si>
    <t>Sport code</t>
  </si>
  <si>
    <t>Unique ID</t>
  </si>
  <si>
    <t>Added? (x)</t>
  </si>
  <si>
    <t>Removed? (y)</t>
  </si>
  <si>
    <t>School</t>
  </si>
  <si>
    <t>First name</t>
  </si>
  <si>
    <t>Last name</t>
  </si>
  <si>
    <t>Position</t>
  </si>
  <si>
    <t>Email address</t>
  </si>
  <si>
    <t>Phone number</t>
  </si>
  <si>
    <t>Twitter</t>
  </si>
  <si>
    <t>Questionnaire</t>
  </si>
  <si>
    <t>City</t>
  </si>
  <si>
    <t>Size of city</t>
  </si>
  <si>
    <t>Private/Public</t>
  </si>
  <si>
    <t>Religious affiliation?</t>
  </si>
  <si>
    <t>HBCU? 
Community College? 
Women only?</t>
  </si>
  <si>
    <t>Average GPA</t>
  </si>
  <si>
    <t>SAT-Reading
(25th-75th percentile)</t>
  </si>
  <si>
    <t>SAT-Math 
(25th-75th percentile)</t>
  </si>
  <si>
    <t>ACT composite
(25th-75th percentile)</t>
  </si>
  <si>
    <t>Acceptance rate</t>
  </si>
  <si>
    <t>Total yearly cost 
(in-state/out-of-state)
(with books and supplies, and room and board.)</t>
  </si>
  <si>
    <t>Majors offered</t>
  </si>
  <si>
    <t>No. of undergrads</t>
  </si>
  <si>
    <t>U.S. News ranking
(National, 2018)</t>
  </si>
  <si>
    <t>U.S. News ranking
(national liberal arts, 2018)</t>
  </si>
  <si>
    <t>IPEDS/NCES ID</t>
  </si>
  <si>
    <t>Gulf South</t>
  </si>
  <si>
    <t>Alabama</t>
  </si>
  <si>
    <t>DII</t>
  </si>
  <si>
    <t>SAA</t>
  </si>
  <si>
    <t>DIII</t>
  </si>
  <si>
    <t>DIII22</t>
  </si>
  <si>
    <t>Birmingham-Southern College</t>
  </si>
  <si>
    <t>Kimball</t>
  </si>
  <si>
    <t>Cassady</t>
  </si>
  <si>
    <t>Head coach</t>
  </si>
  <si>
    <t>kcassady@bsc.edu</t>
  </si>
  <si>
    <t>(205) 226-7741</t>
  </si>
  <si>
    <t>DII10</t>
  </si>
  <si>
    <t>University of Alabama - Huntsville</t>
  </si>
  <si>
    <t>Melanie</t>
  </si>
  <si>
    <t>Carter</t>
  </si>
  <si>
    <t>AC</t>
  </si>
  <si>
    <t>melanie.carter@uah.edu</t>
  </si>
  <si>
    <t>256-824-2194 256-824-2194</t>
  </si>
  <si>
    <t>Birmingham-Southern</t>
  </si>
  <si>
    <t>AL</t>
  </si>
  <si>
    <t>Birmingham</t>
  </si>
  <si>
    <t>Alabama-Huntsville</t>
  </si>
  <si>
    <t>150,000-300,000</t>
  </si>
  <si>
    <t>Private (not-for-profit)</t>
  </si>
  <si>
    <t>AAC</t>
  </si>
  <si>
    <t>y (United Methodist)</t>
  </si>
  <si>
    <t>FL</t>
  </si>
  <si>
    <t>DI</t>
  </si>
  <si>
    <t>DI37</t>
  </si>
  <si>
    <t>University of Central Florida</t>
  </si>
  <si>
    <t>Cindy</t>
  </si>
  <si>
    <t>Ball-Malone</t>
  </si>
  <si>
    <t>cbmalone@athletics.ucf.edu</t>
  </si>
  <si>
    <t>Huntsville</t>
  </si>
  <si>
    <t>Public</t>
  </si>
  <si>
    <t>n</t>
  </si>
  <si>
    <t>500-610</t>
  </si>
  <si>
    <t>490-570</t>
  </si>
  <si>
    <t>23-28</t>
  </si>
  <si>
    <t>520-660</t>
  </si>
  <si>
    <t>540-680</t>
  </si>
  <si>
    <t>25-31</t>
  </si>
  <si>
    <t>Central Florida (UCF)</t>
  </si>
  <si>
    <t>$24,711/$35,481</t>
  </si>
  <si>
    <t>Orlando</t>
  </si>
  <si>
    <t>540-630</t>
  </si>
  <si>
    <t>540-640</t>
  </si>
  <si>
    <t>24-28</t>
  </si>
  <si>
    <t>$22,254/$38,353</t>
  </si>
  <si>
    <t>DI38</t>
  </si>
  <si>
    <t>DIII23</t>
  </si>
  <si>
    <t>DII11</t>
  </si>
  <si>
    <t>Tiffany</t>
  </si>
  <si>
    <t>Jordan</t>
  </si>
  <si>
    <t>Jeff</t>
  </si>
  <si>
    <t>Les</t>
  </si>
  <si>
    <t>Gillespie</t>
  </si>
  <si>
    <t>tpatteson@athletics.ucf.edu</t>
  </si>
  <si>
    <t>Stuedeman</t>
  </si>
  <si>
    <t>407-823-4298</t>
  </si>
  <si>
    <t>jdgilles@bsc.edu</t>
  </si>
  <si>
    <t>(205) 441-3556</t>
  </si>
  <si>
    <t>stuedel@uah.edu</t>
  </si>
  <si>
    <t>256-824-2204 256-824-2204</t>
  </si>
  <si>
    <t>DI39</t>
  </si>
  <si>
    <t>USAC</t>
  </si>
  <si>
    <t>DIII71</t>
  </si>
  <si>
    <t>Kendra</t>
  </si>
  <si>
    <t>Lynch</t>
  </si>
  <si>
    <t>Huntingdon College</t>
  </si>
  <si>
    <t>klynch@athletics.ucf.edu</t>
  </si>
  <si>
    <t>Casey</t>
  </si>
  <si>
    <t>Chrietzberg</t>
  </si>
  <si>
    <t>cchriet@hawks.huntingdon.edu</t>
  </si>
  <si>
    <t>(334) 833-4531</t>
  </si>
  <si>
    <t>DIII21518</t>
  </si>
  <si>
    <t>x</t>
  </si>
  <si>
    <t>Murphy</t>
  </si>
  <si>
    <t>Davis</t>
  </si>
  <si>
    <t>Huntingdon</t>
  </si>
  <si>
    <t>Graduate Asst</t>
  </si>
  <si>
    <t>Montgomery</t>
  </si>
  <si>
    <t>420-525</t>
  </si>
  <si>
    <t>DI40</t>
  </si>
  <si>
    <t>425-525</t>
  </si>
  <si>
    <t>19-24</t>
  </si>
  <si>
    <t>y</t>
  </si>
  <si>
    <t>Dir of Ops Victoria has been removed.</t>
  </si>
  <si>
    <t>DI21518</t>
  </si>
  <si>
    <t>DIII72</t>
  </si>
  <si>
    <t>Kelsey</t>
  </si>
  <si>
    <t>Baker</t>
  </si>
  <si>
    <t>DIII21519</t>
  </si>
  <si>
    <t>kelsey.baker@hawks.huntingdon.edu</t>
  </si>
  <si>
    <t>(334) 652-4882</t>
  </si>
  <si>
    <t>Robert</t>
  </si>
  <si>
    <t>Malone</t>
  </si>
  <si>
    <t>Gil</t>
  </si>
  <si>
    <t>Loeser</t>
  </si>
  <si>
    <t>Volunteer AC</t>
  </si>
  <si>
    <t>Arkansas</t>
  </si>
  <si>
    <t>DIII109</t>
  </si>
  <si>
    <t>Hendrix College</t>
  </si>
  <si>
    <t>Emily</t>
  </si>
  <si>
    <t>Stockalper</t>
  </si>
  <si>
    <t>Stockalper@hendrix.edu</t>
  </si>
  <si>
    <t>DII38</t>
  </si>
  <si>
    <t>DI21519</t>
  </si>
  <si>
    <t>Auburn University - Montgomery</t>
  </si>
  <si>
    <t>Scottie</t>
  </si>
  <si>
    <t>Kyle</t>
  </si>
  <si>
    <t>Wilkes</t>
  </si>
  <si>
    <t>Sheppard</t>
  </si>
  <si>
    <t>swilkes@aum.edu</t>
  </si>
  <si>
    <t>Dir of Ops</t>
  </si>
  <si>
    <t>334-244-3520 334-244-3520</t>
  </si>
  <si>
    <t>ksheppard@athletics.ucf.edu</t>
  </si>
  <si>
    <t>1213 1213</t>
  </si>
  <si>
    <t>CT</t>
  </si>
  <si>
    <t>DI192</t>
  </si>
  <si>
    <t>University of Connecticut</t>
  </si>
  <si>
    <t>Laura</t>
  </si>
  <si>
    <t>Valentino</t>
  </si>
  <si>
    <t>laura.valentino@uconn.edu</t>
  </si>
  <si>
    <t>(860) 486-5632</t>
  </si>
  <si>
    <t>Auburn-Montgomery</t>
  </si>
  <si>
    <t>435-495</t>
  </si>
  <si>
    <t>445-495</t>
  </si>
  <si>
    <t>$20,080/$31,150</t>
  </si>
  <si>
    <t>Connecticut (UCONN)</t>
  </si>
  <si>
    <t>DII39</t>
  </si>
  <si>
    <t>Storrs</t>
  </si>
  <si>
    <t>10,000-25,000</t>
  </si>
  <si>
    <t>Eric</t>
  </si>
  <si>
    <t>Newell</t>
  </si>
  <si>
    <t>enewell1@aum.edu</t>
  </si>
  <si>
    <t>550-650</t>
  </si>
  <si>
    <t>334-244-3538 334-244-3538</t>
  </si>
  <si>
    <t>570-690</t>
  </si>
  <si>
    <t>26-31</t>
  </si>
  <si>
    <t>501-505-2993</t>
  </si>
  <si>
    <t>$30,002/$51,794</t>
  </si>
  <si>
    <t>SIAC</t>
  </si>
  <si>
    <t>Hendrix</t>
  </si>
  <si>
    <t>AR</t>
  </si>
  <si>
    <t>Conway</t>
  </si>
  <si>
    <t>50,000-75,000</t>
  </si>
  <si>
    <t>DII74</t>
  </si>
  <si>
    <t>DI193</t>
  </si>
  <si>
    <t>550-690</t>
  </si>
  <si>
    <t>550-670</t>
  </si>
  <si>
    <t>26-32</t>
  </si>
  <si>
    <t>Miles College</t>
  </si>
  <si>
    <t>Christie</t>
  </si>
  <si>
    <t>Christopher</t>
  </si>
  <si>
    <t>Novatin</t>
  </si>
  <si>
    <t>Brown</t>
  </si>
  <si>
    <t>christie.novatin@uconn.edu</t>
  </si>
  <si>
    <t>205-929-1101 205-929-1101</t>
  </si>
  <si>
    <t>DI194</t>
  </si>
  <si>
    <t>Miles (AL)</t>
  </si>
  <si>
    <t>Jessica</t>
  </si>
  <si>
    <t>Jacobson</t>
  </si>
  <si>
    <t>jessica.jacobson@uconn.edu</t>
  </si>
  <si>
    <t>Fairfield</t>
  </si>
  <si>
    <t>10,000 and under</t>
  </si>
  <si>
    <t>Amy</t>
  </si>
  <si>
    <t>Weaver</t>
  </si>
  <si>
    <t>weaver@hendrix.edu</t>
  </si>
  <si>
    <t>501-450-3899</t>
  </si>
  <si>
    <t>y (Christian Methodist Episcopal Church)</t>
  </si>
  <si>
    <t>DI195</t>
  </si>
  <si>
    <t>HBCU</t>
  </si>
  <si>
    <t>Pattie</t>
  </si>
  <si>
    <t>n/a</t>
  </si>
  <si>
    <t>Ruth</t>
  </si>
  <si>
    <t>16 average</t>
  </si>
  <si>
    <t>pattie.taylor@uconn.edu</t>
  </si>
  <si>
    <t>American Southwest</t>
  </si>
  <si>
    <t>NC</t>
  </si>
  <si>
    <t>DI270</t>
  </si>
  <si>
    <t>East Carolina University</t>
  </si>
  <si>
    <t>Courtney</t>
  </si>
  <si>
    <t>Oliver</t>
  </si>
  <si>
    <t>oliverco15@ecu.edu</t>
  </si>
  <si>
    <t>(252) 737-1428 (252) 737-1428</t>
  </si>
  <si>
    <t>DIII145</t>
  </si>
  <si>
    <t>University of the Ozarks</t>
  </si>
  <si>
    <t>Denise</t>
  </si>
  <si>
    <t>Godwin</t>
  </si>
  <si>
    <t>dgodwin@ozarks.edu</t>
  </si>
  <si>
    <t>479-979-1463</t>
  </si>
  <si>
    <t>DII75</t>
  </si>
  <si>
    <t>Ozarks (MO)</t>
  </si>
  <si>
    <t>Katie</t>
  </si>
  <si>
    <t>Haisten</t>
  </si>
  <si>
    <t>East Carolina</t>
  </si>
  <si>
    <t>Greenville</t>
  </si>
  <si>
    <t>75,000-150,000</t>
  </si>
  <si>
    <t>480-560</t>
  </si>
  <si>
    <t>20-24</t>
  </si>
  <si>
    <t>$21,162/$37,120</t>
  </si>
  <si>
    <t>Clarksville</t>
  </si>
  <si>
    <t>DI271</t>
  </si>
  <si>
    <t>Hirschbuhl</t>
  </si>
  <si>
    <t>hirschbuhlj15@ecu.edu</t>
  </si>
  <si>
    <t>(252) 737-4817 (252) 737-4817</t>
  </si>
  <si>
    <t>DII76</t>
  </si>
  <si>
    <t>y (Presbyterian)</t>
  </si>
  <si>
    <t>Patrick</t>
  </si>
  <si>
    <t>Peasant</t>
  </si>
  <si>
    <t>ppeasant@aol.com</t>
  </si>
  <si>
    <t>390-500</t>
  </si>
  <si>
    <t>430-530</t>
  </si>
  <si>
    <t>DI272</t>
  </si>
  <si>
    <t>Ellie</t>
  </si>
  <si>
    <t>Cooper</t>
  </si>
  <si>
    <t>cooperel18@ecu.edu</t>
  </si>
  <si>
    <t>(252) 737-1434 (252) 737-1434</t>
  </si>
  <si>
    <t>Ozarks (AR)</t>
  </si>
  <si>
    <t>DII93</t>
  </si>
  <si>
    <t>University of Montevallo</t>
  </si>
  <si>
    <t>JameLynn</t>
  </si>
  <si>
    <t>Johnson</t>
  </si>
  <si>
    <t>jjohns77@montevallo.edu</t>
  </si>
  <si>
    <t>DI273</t>
  </si>
  <si>
    <t>Maggie</t>
  </si>
  <si>
    <t>Hawkins</t>
  </si>
  <si>
    <t>hawkinsm18@ecu.edu</t>
  </si>
  <si>
    <t>DI274</t>
  </si>
  <si>
    <t>Sydney</t>
  </si>
  <si>
    <t>Benz</t>
  </si>
  <si>
    <t>Montevallo</t>
  </si>
  <si>
    <t>DIII20102</t>
  </si>
  <si>
    <t>Doelling</t>
  </si>
  <si>
    <t>440-620</t>
  </si>
  <si>
    <t>460-580</t>
  </si>
  <si>
    <t>kdoelling@ozarks.edu</t>
  </si>
  <si>
    <t>20-26</t>
  </si>
  <si>
    <t>$25,220/$37,490</t>
  </si>
  <si>
    <t>TX</t>
  </si>
  <si>
    <t>DI359</t>
  </si>
  <si>
    <t>University of Houston</t>
  </si>
  <si>
    <t>Kristin</t>
  </si>
  <si>
    <t>Vesely</t>
  </si>
  <si>
    <t>kvesely@central.uh.edu</t>
  </si>
  <si>
    <t>(713) 743-9460</t>
  </si>
  <si>
    <t>Houston</t>
  </si>
  <si>
    <t>over 1,000,000</t>
  </si>
  <si>
    <t>3.0 minimum</t>
  </si>
  <si>
    <t>DII94</t>
  </si>
  <si>
    <t>510-610</t>
  </si>
  <si>
    <t>530-640</t>
  </si>
  <si>
    <t>$24,605/$36,797</t>
  </si>
  <si>
    <t>Lindsay</t>
  </si>
  <si>
    <t>Vanover</t>
  </si>
  <si>
    <t>lvanover@montevallo.edu</t>
  </si>
  <si>
    <t>(205) 665-6196 (205) 665-6196</t>
  </si>
  <si>
    <t>DI360</t>
  </si>
  <si>
    <t>SCIAC</t>
  </si>
  <si>
    <t>California</t>
  </si>
  <si>
    <t>DIII183</t>
  </si>
  <si>
    <t>California Lutheran University</t>
  </si>
  <si>
    <t>Debby</t>
  </si>
  <si>
    <t>Day</t>
  </si>
  <si>
    <t>dday@callutheran.edu</t>
  </si>
  <si>
    <t>Megan</t>
  </si>
  <si>
    <t>805-493-3408</t>
  </si>
  <si>
    <t>Gibson-Loftin</t>
  </si>
  <si>
    <t>mlloftin@uh.edu</t>
  </si>
  <si>
    <t>DII95</t>
  </si>
  <si>
    <t>California Lutheran</t>
  </si>
  <si>
    <t>CA</t>
  </si>
  <si>
    <t>Thousand Oaks</t>
  </si>
  <si>
    <t>Aguilar</t>
  </si>
  <si>
    <t>DI361</t>
  </si>
  <si>
    <t>Lexie</t>
  </si>
  <si>
    <t>Elkins</t>
  </si>
  <si>
    <t>y (Evangelical Lutheran Church)</t>
  </si>
  <si>
    <t>493-590</t>
  </si>
  <si>
    <t>22-27</t>
  </si>
  <si>
    <t>DI362</t>
  </si>
  <si>
    <t>Demi</t>
  </si>
  <si>
    <t>Turner</t>
  </si>
  <si>
    <t>ddturne4@central.uh.edu</t>
  </si>
  <si>
    <t>DII137</t>
  </si>
  <si>
    <t>Spring Hill College</t>
  </si>
  <si>
    <t>AC Shea has been removed.</t>
  </si>
  <si>
    <t>DIII184</t>
  </si>
  <si>
    <t>Dave</t>
  </si>
  <si>
    <t>Demaio</t>
  </si>
  <si>
    <t>ddemaio@callutheran.edu</t>
  </si>
  <si>
    <t>(805) 493-3400</t>
  </si>
  <si>
    <t>DI363</t>
  </si>
  <si>
    <t>Zach</t>
  </si>
  <si>
    <t>Laffey</t>
  </si>
  <si>
    <t>zlaffey@Central.UH.EDU</t>
  </si>
  <si>
    <t>DIII185</t>
  </si>
  <si>
    <t>Erin</t>
  </si>
  <si>
    <t>Farley</t>
  </si>
  <si>
    <t>efarley@callutheran.edu</t>
  </si>
  <si>
    <t>Spring Hill</t>
  </si>
  <si>
    <t>Mobile</t>
  </si>
  <si>
    <t>y (Roman Catholic)</t>
  </si>
  <si>
    <t>500-600</t>
  </si>
  <si>
    <t>500-590</t>
  </si>
  <si>
    <t>TN</t>
  </si>
  <si>
    <t>DI435</t>
  </si>
  <si>
    <t>University of Memphis</t>
  </si>
  <si>
    <t>Natalie</t>
  </si>
  <si>
    <t>Poole</t>
  </si>
  <si>
    <t>nmpoole1@memphis.edu</t>
  </si>
  <si>
    <t>@NataliePooleUM</t>
  </si>
  <si>
    <t>Memphis</t>
  </si>
  <si>
    <t>300,000-1,000,000</t>
  </si>
  <si>
    <t>450-600</t>
  </si>
  <si>
    <t>450-560</t>
  </si>
  <si>
    <t>18-25</t>
  </si>
  <si>
    <t>$24,205/$35,917</t>
  </si>
  <si>
    <t>DIII186</t>
  </si>
  <si>
    <t>DII138</t>
  </si>
  <si>
    <t>Jason</t>
  </si>
  <si>
    <t>Gluckman</t>
  </si>
  <si>
    <t>Steve</t>
  </si>
  <si>
    <t>Kittrell</t>
  </si>
  <si>
    <t>jgluckman@callutheran.edu</t>
  </si>
  <si>
    <t>skittrell@shc.edu</t>
  </si>
  <si>
    <t>(251) 380-3490 (251) 380-3490</t>
  </si>
  <si>
    <t>DI436</t>
  </si>
  <si>
    <t>Andy</t>
  </si>
  <si>
    <t>Lott</t>
  </si>
  <si>
    <t>jalott@memphis.edu</t>
  </si>
  <si>
    <t>901-678-1195</t>
  </si>
  <si>
    <t>@jalott32</t>
  </si>
  <si>
    <t>DIII187</t>
  </si>
  <si>
    <t>DII175</t>
  </si>
  <si>
    <t>DeAnn</t>
  </si>
  <si>
    <t>Tuskegee University</t>
  </si>
  <si>
    <t>Young</t>
  </si>
  <si>
    <t>Dietrich</t>
  </si>
  <si>
    <t>Randle</t>
  </si>
  <si>
    <t>deannyoung@callutheran.edu</t>
  </si>
  <si>
    <t>drandle@tuskegee.edu</t>
  </si>
  <si>
    <t>334.727.8276 334.727.8276</t>
  </si>
  <si>
    <t>DI437</t>
  </si>
  <si>
    <t>Helen</t>
  </si>
  <si>
    <t>Peña</t>
  </si>
  <si>
    <t>hpena@memphis.edu</t>
  </si>
  <si>
    <t>DIII344</t>
  </si>
  <si>
    <t>Chapman University</t>
  </si>
  <si>
    <t>Janet</t>
  </si>
  <si>
    <t>Tuskegee</t>
  </si>
  <si>
    <t>Lloyd</t>
  </si>
  <si>
    <t>jlloyd@chapman.edu</t>
  </si>
  <si>
    <t>(714) 997-6518</t>
  </si>
  <si>
    <t>DI438</t>
  </si>
  <si>
    <t>440-560</t>
  </si>
  <si>
    <t>450-550</t>
  </si>
  <si>
    <t>21-22</t>
  </si>
  <si>
    <t>Volunteer AC Jordan has been removed.</t>
  </si>
  <si>
    <t>DI576</t>
  </si>
  <si>
    <t>University of South Florida</t>
  </si>
  <si>
    <t>Ken</t>
  </si>
  <si>
    <t>Eriksen</t>
  </si>
  <si>
    <t>eriksen@usf.edu</t>
  </si>
  <si>
    <t>Chapman (CA)</t>
  </si>
  <si>
    <t>(813) 974-4111 (813) 974-4111</t>
  </si>
  <si>
    <t>Orange</t>
  </si>
  <si>
    <t>DII176</t>
  </si>
  <si>
    <t>HC Edward has been removed.</t>
  </si>
  <si>
    <t>y (Christian Church -- Disciples of Christ)</t>
  </si>
  <si>
    <t>560-650</t>
  </si>
  <si>
    <t>25-30</t>
  </si>
  <si>
    <t>South Florida</t>
  </si>
  <si>
    <t>Tampa</t>
  </si>
  <si>
    <t>530-620</t>
  </si>
  <si>
    <t>$21,410/$32,324</t>
  </si>
  <si>
    <t>DIII345</t>
  </si>
  <si>
    <t>Suzy</t>
  </si>
  <si>
    <t>Brazney</t>
  </si>
  <si>
    <t>brazney@chapman.edu</t>
  </si>
  <si>
    <t>TBA</t>
  </si>
  <si>
    <t>DI577</t>
  </si>
  <si>
    <t>Moore</t>
  </si>
  <si>
    <t>moore31@usf.edu</t>
  </si>
  <si>
    <t>(813) 974-7211 (813) 974-7211</t>
  </si>
  <si>
    <t>DIII346</t>
  </si>
  <si>
    <t>Monica</t>
  </si>
  <si>
    <t>Colunga</t>
  </si>
  <si>
    <t>DII208</t>
  </si>
  <si>
    <t>University of West Alabama</t>
  </si>
  <si>
    <t>Angel</t>
  </si>
  <si>
    <t>adbrown@uwa.edu</t>
  </si>
  <si>
    <t>205-652-3839 205-652-3839</t>
  </si>
  <si>
    <t>DI578</t>
  </si>
  <si>
    <t>Kristen</t>
  </si>
  <si>
    <t>DIII347</t>
  </si>
  <si>
    <t>Wyckoff</t>
  </si>
  <si>
    <t>kwyckoff1@usf.edu</t>
  </si>
  <si>
    <t>Greg</t>
  </si>
  <si>
    <t>Crandall</t>
  </si>
  <si>
    <t>DI579</t>
  </si>
  <si>
    <t>Morgan</t>
  </si>
  <si>
    <t>Gross</t>
  </si>
  <si>
    <t>morgangross@mail.usf.edu</t>
  </si>
  <si>
    <t>West Alabama</t>
  </si>
  <si>
    <t>Livingston</t>
  </si>
  <si>
    <t>440-520</t>
  </si>
  <si>
    <t>420-500</t>
  </si>
  <si>
    <t>18-23</t>
  </si>
  <si>
    <t>$20,204/$27,490</t>
  </si>
  <si>
    <t>DIII399</t>
  </si>
  <si>
    <t>Claremont-Mudd-Scripps Colleges</t>
  </si>
  <si>
    <t>Gina</t>
  </si>
  <si>
    <t>Oaks Garcia</t>
  </si>
  <si>
    <t>Gina.oaks@cms.claremont.edu</t>
  </si>
  <si>
    <t>909-607-8613</t>
  </si>
  <si>
    <t>DI580</t>
  </si>
  <si>
    <t>Tommy</t>
  </si>
  <si>
    <t>Santiago</t>
  </si>
  <si>
    <t>DII209</t>
  </si>
  <si>
    <t>tommys@usf.edu</t>
  </si>
  <si>
    <t>Carie</t>
  </si>
  <si>
    <t>Dever-Boaz</t>
  </si>
  <si>
    <t>Claremont McKenna-Harvey Mudd-Scripps</t>
  </si>
  <si>
    <t>cdever-boaz@uwa.edu</t>
  </si>
  <si>
    <t>205-652-3485 205-652-3485</t>
  </si>
  <si>
    <t>Claremont</t>
  </si>
  <si>
    <t>25,000-50,000</t>
  </si>
  <si>
    <t>650-740</t>
  </si>
  <si>
    <t>670-750</t>
  </si>
  <si>
    <t>31-33</t>
  </si>
  <si>
    <t>OK</t>
  </si>
  <si>
    <t>DI759</t>
  </si>
  <si>
    <t>University of Tulsa</t>
  </si>
  <si>
    <t>Crissy</t>
  </si>
  <si>
    <t>Strimple</t>
  </si>
  <si>
    <t>crissy-strimple@utulsa.edu</t>
  </si>
  <si>
    <t>918-631-5093</t>
  </si>
  <si>
    <t>DIII400</t>
  </si>
  <si>
    <t>DIII21528</t>
  </si>
  <si>
    <t>Bob</t>
  </si>
  <si>
    <t>Oaks</t>
  </si>
  <si>
    <t>Tulsa</t>
  </si>
  <si>
    <t>Kelly</t>
  </si>
  <si>
    <t>Byrd</t>
  </si>
  <si>
    <t>byrdk3370@uwa.edu</t>
  </si>
  <si>
    <t>550-700</t>
  </si>
  <si>
    <t>26-33</t>
  </si>
  <si>
    <t>DIII401</t>
  </si>
  <si>
    <t>Stevie</t>
  </si>
  <si>
    <t>Knapp</t>
  </si>
  <si>
    <t>DI760</t>
  </si>
  <si>
    <t>Sandra</t>
  </si>
  <si>
    <t>Owens</t>
  </si>
  <si>
    <t>sandras@utulsa.edu</t>
  </si>
  <si>
    <t>918-631-2741</t>
  </si>
  <si>
    <t>GAC</t>
  </si>
  <si>
    <t>DII271</t>
  </si>
  <si>
    <t>DIII402</t>
  </si>
  <si>
    <t>Arkansas Tech University</t>
  </si>
  <si>
    <t>Josh</t>
  </si>
  <si>
    <t>Will</t>
  </si>
  <si>
    <t>Bertke</t>
  </si>
  <si>
    <t>Loredo</t>
  </si>
  <si>
    <t>jbertke@atu.edu</t>
  </si>
  <si>
    <t>479-964-3231 479-964-3231</t>
  </si>
  <si>
    <t>DI761</t>
  </si>
  <si>
    <t>Mitch</t>
  </si>
  <si>
    <t>Roberts</t>
  </si>
  <si>
    <t>mitch-roberts@utulsa.edu</t>
  </si>
  <si>
    <t>DIII20901</t>
  </si>
  <si>
    <t>University of La Verne</t>
  </si>
  <si>
    <t>Tara</t>
  </si>
  <si>
    <t>Allis</t>
  </si>
  <si>
    <t>DI762</t>
  </si>
  <si>
    <t>MaKenna</t>
  </si>
  <si>
    <t>La Verne</t>
  </si>
  <si>
    <t>McGill</t>
  </si>
  <si>
    <t>mnm4311@utulsa.edu</t>
  </si>
  <si>
    <t>Arkansas Tech</t>
  </si>
  <si>
    <t>460-560</t>
  </si>
  <si>
    <t>470-570</t>
  </si>
  <si>
    <t>Russellville</t>
  </si>
  <si>
    <t>2.0 minimum</t>
  </si>
  <si>
    <t>990 composite minimum</t>
  </si>
  <si>
    <t>19 minimum</t>
  </si>
  <si>
    <t>$18,234/$23,490</t>
  </si>
  <si>
    <t>KS</t>
  </si>
  <si>
    <t>DI803</t>
  </si>
  <si>
    <t>Wichita State University</t>
  </si>
  <si>
    <t>Kristi</t>
  </si>
  <si>
    <t>Bredbenner</t>
  </si>
  <si>
    <t>kbredbenner@goshockers.com</t>
  </si>
  <si>
    <t>316 978-3260 316 978-3260</t>
  </si>
  <si>
    <t>DII272</t>
  </si>
  <si>
    <t>DIII20912</t>
  </si>
  <si>
    <t>Rachel</t>
  </si>
  <si>
    <t>Minogue</t>
  </si>
  <si>
    <t>Sarah</t>
  </si>
  <si>
    <t>Wichita State</t>
  </si>
  <si>
    <t>Coronado</t>
  </si>
  <si>
    <t>Wichita</t>
  </si>
  <si>
    <t>445-615</t>
  </si>
  <si>
    <t>470-605</t>
  </si>
  <si>
    <t>21-27</t>
  </si>
  <si>
    <t>$22,362/$31,101</t>
  </si>
  <si>
    <t>DIII20913</t>
  </si>
  <si>
    <t>Yvon</t>
  </si>
  <si>
    <t>yminogue@laverne.edu</t>
  </si>
  <si>
    <t>(909) 448-4343</t>
  </si>
  <si>
    <t>DI804</t>
  </si>
  <si>
    <t>Elizabeth</t>
  </si>
  <si>
    <t>Economon</t>
  </si>
  <si>
    <t>eeconomon@goshockers.com</t>
  </si>
  <si>
    <t>316-978-5407 316-978-5407</t>
  </si>
  <si>
    <t>DII273</t>
  </si>
  <si>
    <t>Kristina</t>
  </si>
  <si>
    <t>McSweeney</t>
  </si>
  <si>
    <t>kmcsweeney@atu.edu</t>
  </si>
  <si>
    <t>479-964-3232 479-964-3232</t>
  </si>
  <si>
    <t>DIII472</t>
  </si>
  <si>
    <t>Dennis</t>
  </si>
  <si>
    <t>Blas</t>
  </si>
  <si>
    <t>dblas@laverne.edu</t>
  </si>
  <si>
    <t>DI805</t>
  </si>
  <si>
    <t>DIII20275</t>
  </si>
  <si>
    <t>Lashley</t>
  </si>
  <si>
    <t>mlashley@goshockers.com</t>
  </si>
  <si>
    <t>Occidental College</t>
  </si>
  <si>
    <t>316-978-5550 316-978-5550</t>
  </si>
  <si>
    <t>Henry</t>
  </si>
  <si>
    <t>Moranchel</t>
  </si>
  <si>
    <t>Occidental</t>
  </si>
  <si>
    <t>Los Angeles</t>
  </si>
  <si>
    <t>DII274</t>
  </si>
  <si>
    <t>600-700</t>
  </si>
  <si>
    <t>Whitney</t>
  </si>
  <si>
    <t>Robinson</t>
  </si>
  <si>
    <t>600-720</t>
  </si>
  <si>
    <t>28-31</t>
  </si>
  <si>
    <t>wrobinson6@atu.edu</t>
  </si>
  <si>
    <t>DI806</t>
  </si>
  <si>
    <t>Laurie</t>
  </si>
  <si>
    <t>Derrico</t>
  </si>
  <si>
    <t>lderrico@goshockers.com</t>
  </si>
  <si>
    <t>316-978-3112 316-978-3112</t>
  </si>
  <si>
    <t>DIII533</t>
  </si>
  <si>
    <t>Alison</t>
  </si>
  <si>
    <t>Haehnel</t>
  </si>
  <si>
    <t>Head Coach</t>
  </si>
  <si>
    <t>haehnel@oxy.edu</t>
  </si>
  <si>
    <t>323-259-2632</t>
  </si>
  <si>
    <t>DII322</t>
  </si>
  <si>
    <t>ACC</t>
  </si>
  <si>
    <t>MA</t>
  </si>
  <si>
    <t>University of Arkansas at Monticello</t>
  </si>
  <si>
    <t>Miranda</t>
  </si>
  <si>
    <t>DI886</t>
  </si>
  <si>
    <t>Garza</t>
  </si>
  <si>
    <t>Boston College</t>
  </si>
  <si>
    <t>Kvilhaug</t>
  </si>
  <si>
    <t>GarzaMS@uamont.edu</t>
  </si>
  <si>
    <t>870-460-1158</t>
  </si>
  <si>
    <t>softball@bc.edu</t>
  </si>
  <si>
    <t>@mirandagarza_13</t>
  </si>
  <si>
    <t>552-3107</t>
  </si>
  <si>
    <t>DIII534</t>
  </si>
  <si>
    <t>Kelliner</t>
  </si>
  <si>
    <t>Arkansas-Monticello</t>
  </si>
  <si>
    <t>Croushore</t>
  </si>
  <si>
    <t>Monticello</t>
  </si>
  <si>
    <t>15-22</t>
  </si>
  <si>
    <t>$18,348/$24,198</t>
  </si>
  <si>
    <t>Boston</t>
  </si>
  <si>
    <t>DII323</t>
  </si>
  <si>
    <t>DIII595</t>
  </si>
  <si>
    <t>Graduate Asst Abigail has been removed.</t>
  </si>
  <si>
    <t>Pomona-Pitzer Colleges</t>
  </si>
  <si>
    <t>JoAnne</t>
  </si>
  <si>
    <t>Ferguson</t>
  </si>
  <si>
    <t>@UAMSoftball</t>
  </si>
  <si>
    <t>joanne.ferguson@pomona.edu</t>
  </si>
  <si>
    <t>909-607-5439</t>
  </si>
  <si>
    <t>620-720</t>
  </si>
  <si>
    <t>640-740</t>
  </si>
  <si>
    <t>30-33</t>
  </si>
  <si>
    <t>Pomona-Pitzer</t>
  </si>
  <si>
    <t>650-730</t>
  </si>
  <si>
    <t>650-720</t>
  </si>
  <si>
    <t>DII324</t>
  </si>
  <si>
    <t>29-32</t>
  </si>
  <si>
    <t>Lem</t>
  </si>
  <si>
    <t>lem@uamont.edu</t>
  </si>
  <si>
    <t>DI887</t>
  </si>
  <si>
    <t>Olivia</t>
  </si>
  <si>
    <t>Watkins</t>
  </si>
  <si>
    <t>watkinol@bc.edu</t>
  </si>
  <si>
    <t>DIII596</t>
  </si>
  <si>
    <t>Lynette</t>
  </si>
  <si>
    <t>Velasquez</t>
  </si>
  <si>
    <t>DIII21529</t>
  </si>
  <si>
    <t>DI888</t>
  </si>
  <si>
    <t>DIII597</t>
  </si>
  <si>
    <t>Matt</t>
  </si>
  <si>
    <t>Abigail</t>
  </si>
  <si>
    <t>Alberghini</t>
  </si>
  <si>
    <t>Duthu</t>
  </si>
  <si>
    <t>Jazmyne</t>
  </si>
  <si>
    <t>Cortinas</t>
  </si>
  <si>
    <t>albergma@bc.edu</t>
  </si>
  <si>
    <t>ael31706@uamont.edu</t>
  </si>
  <si>
    <t>Jazmyne.Cortinas@pomona.edu</t>
  </si>
  <si>
    <t>SC</t>
  </si>
  <si>
    <t>DI953</t>
  </si>
  <si>
    <t>DIII661</t>
  </si>
  <si>
    <t>Clemson University</t>
  </si>
  <si>
    <t>University of Redlands</t>
  </si>
  <si>
    <t>John</t>
  </si>
  <si>
    <t>Jose</t>
  </si>
  <si>
    <t>Rittman</t>
  </si>
  <si>
    <t>Ortega</t>
  </si>
  <si>
    <t>jrittma@clemson.edu</t>
  </si>
  <si>
    <t>jose_ortega@redlands.edu</t>
  </si>
  <si>
    <t>864-656-9555</t>
  </si>
  <si>
    <t>909-748-8414</t>
  </si>
  <si>
    <t>DII347</t>
  </si>
  <si>
    <t>Harding University</t>
  </si>
  <si>
    <t>Phil</t>
  </si>
  <si>
    <t>Berry</t>
  </si>
  <si>
    <t>prayberry@harding.edu</t>
  </si>
  <si>
    <t>501-279-5105 501-279-5105</t>
  </si>
  <si>
    <t>Redlands (CA)</t>
  </si>
  <si>
    <t>Redlands</t>
  </si>
  <si>
    <t>Clemson</t>
  </si>
  <si>
    <t>490-590</t>
  </si>
  <si>
    <t>490-600</t>
  </si>
  <si>
    <t>560-660</t>
  </si>
  <si>
    <t>590-680</t>
  </si>
  <si>
    <t>$28,662/$48,544</t>
  </si>
  <si>
    <t>Harding (AR)</t>
  </si>
  <si>
    <t>DIII662</t>
  </si>
  <si>
    <t>Searcy</t>
  </si>
  <si>
    <t>Chelsea</t>
  </si>
  <si>
    <t>Rex</t>
  </si>
  <si>
    <t>chelsea_rex@redlands.edu</t>
  </si>
  <si>
    <t>y (Christian)</t>
  </si>
  <si>
    <t>909-748-8436</t>
  </si>
  <si>
    <t>480-610</t>
  </si>
  <si>
    <t>22-28</t>
  </si>
  <si>
    <t>DI954</t>
  </si>
  <si>
    <t>Jamieson</t>
  </si>
  <si>
    <t>kjamies@clemson.edu</t>
  </si>
  <si>
    <t>DIII663</t>
  </si>
  <si>
    <t>Haley</t>
  </si>
  <si>
    <t>Harris</t>
  </si>
  <si>
    <t>DII348</t>
  </si>
  <si>
    <t>Wearden</t>
  </si>
  <si>
    <t>kwearden@harding.edu</t>
  </si>
  <si>
    <t>DIII664</t>
  </si>
  <si>
    <t>Vicki</t>
  </si>
  <si>
    <t>King</t>
  </si>
  <si>
    <t>DI955</t>
  </si>
  <si>
    <t>Breault</t>
  </si>
  <si>
    <t>cbreaul@clemson.edu</t>
  </si>
  <si>
    <t>DIII727</t>
  </si>
  <si>
    <t>DII349</t>
  </si>
  <si>
    <t>Whittier College</t>
  </si>
  <si>
    <t>Trisha</t>
  </si>
  <si>
    <t>Senyo</t>
  </si>
  <si>
    <t>tsenyo@whittier.edu</t>
  </si>
  <si>
    <t>Madi</t>
  </si>
  <si>
    <t>(562) 907-4935</t>
  </si>
  <si>
    <t>Trump</t>
  </si>
  <si>
    <t>mtrump@harding.edu</t>
  </si>
  <si>
    <t>DI956</t>
  </si>
  <si>
    <t>Whittier</t>
  </si>
  <si>
    <t>Reese</t>
  </si>
  <si>
    <t>Jacobs</t>
  </si>
  <si>
    <t>jeannim@clemson.edu</t>
  </si>
  <si>
    <t>460-570</t>
  </si>
  <si>
    <t>DIII728</t>
  </si>
  <si>
    <t>DI957</t>
  </si>
  <si>
    <t>Benvenuto</t>
  </si>
  <si>
    <t>Jeannie</t>
  </si>
  <si>
    <t>DII395</t>
  </si>
  <si>
    <t>864-656-9567</t>
  </si>
  <si>
    <t>Henderson State University</t>
  </si>
  <si>
    <t>David</t>
  </si>
  <si>
    <t>Martinez</t>
  </si>
  <si>
    <t>martind@hsu.edu</t>
  </si>
  <si>
    <t>870-230-5575 870-230-5575</t>
  </si>
  <si>
    <t>DIII729</t>
  </si>
  <si>
    <t>Brigid</t>
  </si>
  <si>
    <t>Ruiz</t>
  </si>
  <si>
    <t>DI958</t>
  </si>
  <si>
    <t>Jake</t>
  </si>
  <si>
    <t>Combs</t>
  </si>
  <si>
    <t>softball@clemson.edu</t>
  </si>
  <si>
    <t>DIII730</t>
  </si>
  <si>
    <t>Henderson State</t>
  </si>
  <si>
    <t>Mandie</t>
  </si>
  <si>
    <t>Arkadelphia</t>
  </si>
  <si>
    <t>Perez</t>
  </si>
  <si>
    <t>438-440</t>
  </si>
  <si>
    <t>580-590</t>
  </si>
  <si>
    <t>19-25</t>
  </si>
  <si>
    <t>DI1029</t>
  </si>
  <si>
    <t>$21,106/$27,946</t>
  </si>
  <si>
    <t>Duke University</t>
  </si>
  <si>
    <t>Marissa</t>
  </si>
  <si>
    <t>marissa.young@duke.edu</t>
  </si>
  <si>
    <t>(919) 684-0805</t>
  </si>
  <si>
    <t>DIII731</t>
  </si>
  <si>
    <t>Mike</t>
  </si>
  <si>
    <t>McBride</t>
  </si>
  <si>
    <t>DII396</t>
  </si>
  <si>
    <t>Warren</t>
  </si>
  <si>
    <t>Duke</t>
  </si>
  <si>
    <t>Durham</t>
  </si>
  <si>
    <t>warrenc@hsu.edu</t>
  </si>
  <si>
    <t>Connecticut</t>
  </si>
  <si>
    <t>DIII835</t>
  </si>
  <si>
    <t>680-770</t>
  </si>
  <si>
    <t>700-800</t>
  </si>
  <si>
    <t>31-34</t>
  </si>
  <si>
    <t>Albertus Magnus College</t>
  </si>
  <si>
    <t>Ed</t>
  </si>
  <si>
    <t>Emielita</t>
  </si>
  <si>
    <t>eemielita@albertus.edu</t>
  </si>
  <si>
    <t>203-906-0591</t>
  </si>
  <si>
    <t>DII397</t>
  </si>
  <si>
    <t>Beth</t>
  </si>
  <si>
    <t>Jackson</t>
  </si>
  <si>
    <t>jacksoe@hsu.edu</t>
  </si>
  <si>
    <t>Albertus Magnus</t>
  </si>
  <si>
    <t>New Haven</t>
  </si>
  <si>
    <t>420-460</t>
  </si>
  <si>
    <t>440-490</t>
  </si>
  <si>
    <t>19-29</t>
  </si>
  <si>
    <t>DI1030</t>
  </si>
  <si>
    <t>Bloomer</t>
  </si>
  <si>
    <t>joshua.bloomer@duke.edu</t>
  </si>
  <si>
    <t>DIII836</t>
  </si>
  <si>
    <t>DII431</t>
  </si>
  <si>
    <t>Curt</t>
  </si>
  <si>
    <t>Hawkes</t>
  </si>
  <si>
    <t>Ouachita Baptist University</t>
  </si>
  <si>
    <t>chawkes@albertus.edu</t>
  </si>
  <si>
    <t>Leslie</t>
  </si>
  <si>
    <t>Dean</t>
  </si>
  <si>
    <t>deanl@obu.edu</t>
  </si>
  <si>
    <t>DI1031</t>
  </si>
  <si>
    <t>DIII837</t>
  </si>
  <si>
    <t>Carli</t>
  </si>
  <si>
    <t>Matrisian</t>
  </si>
  <si>
    <t>Bracamonte</t>
  </si>
  <si>
    <t>carli.matrisian@albertus.edu</t>
  </si>
  <si>
    <t>jessica.bracamonte@duke.edu</t>
  </si>
  <si>
    <t>Ouachita Baptist</t>
  </si>
  <si>
    <t>y (Southern Baptist)</t>
  </si>
  <si>
    <t>470-610</t>
  </si>
  <si>
    <t>480-590</t>
  </si>
  <si>
    <t>21-28</t>
  </si>
  <si>
    <t>DIII838</t>
  </si>
  <si>
    <t>Wilson</t>
  </si>
  <si>
    <t>DI1032</t>
  </si>
  <si>
    <t>Kellie</t>
  </si>
  <si>
    <t>Quarles</t>
  </si>
  <si>
    <t>kellie.quarles@duke.edu</t>
  </si>
  <si>
    <t>DIII21534</t>
  </si>
  <si>
    <t>Gary</t>
  </si>
  <si>
    <t>Jones</t>
  </si>
  <si>
    <t>jonesg@obu.edu</t>
  </si>
  <si>
    <t>214-403-5561 214-403-5561</t>
  </si>
  <si>
    <t>DIII881</t>
  </si>
  <si>
    <t>DI1128</t>
  </si>
  <si>
    <t>United States Coast Guard Academy</t>
  </si>
  <si>
    <t>Florida State University</t>
  </si>
  <si>
    <t>Donna</t>
  </si>
  <si>
    <t>Lonni</t>
  </si>
  <si>
    <t>Koczajowski</t>
  </si>
  <si>
    <t>Alameda</t>
  </si>
  <si>
    <t>donna.l.koczajowski@uscga.edu</t>
  </si>
  <si>
    <t>aalameda@fsu.edu</t>
  </si>
  <si>
    <t>860-444-8604</t>
  </si>
  <si>
    <t>Coast Guard</t>
  </si>
  <si>
    <t>Florida State</t>
  </si>
  <si>
    <t>Tallahassee</t>
  </si>
  <si>
    <t>DII12124</t>
  </si>
  <si>
    <t>New London</t>
  </si>
  <si>
    <t>Southern Arkansas University</t>
  </si>
  <si>
    <t>Military Academy</t>
  </si>
  <si>
    <t>560-640</t>
  </si>
  <si>
    <t>Choate</t>
  </si>
  <si>
    <t>550-640</t>
  </si>
  <si>
    <t>25-29</t>
  </si>
  <si>
    <t>$22,575/$37,741</t>
  </si>
  <si>
    <t>Southern Arkansas</t>
  </si>
  <si>
    <t>Magnolia</t>
  </si>
  <si>
    <t>400-550</t>
  </si>
  <si>
    <t>18-24</t>
  </si>
  <si>
    <t>$21,791/$25,451</t>
  </si>
  <si>
    <t>DI1129</t>
  </si>
  <si>
    <t>Travis</t>
  </si>
  <si>
    <t>DIII882</t>
  </si>
  <si>
    <t>tdwilson@fsu.edu</t>
  </si>
  <si>
    <t>Dana</t>
  </si>
  <si>
    <t>Fleischman</t>
  </si>
  <si>
    <t>dana.r.fleischmann@uscga.edu</t>
  </si>
  <si>
    <t>860-444-8605</t>
  </si>
  <si>
    <t>DII12125</t>
  </si>
  <si>
    <t>Bailey</t>
  </si>
  <si>
    <t>Oetting</t>
  </si>
  <si>
    <t>DI1130</t>
  </si>
  <si>
    <t>Troy</t>
  </si>
  <si>
    <t>Cameron</t>
  </si>
  <si>
    <t>DIII883</t>
  </si>
  <si>
    <t>Arielle</t>
  </si>
  <si>
    <t>DII466</t>
  </si>
  <si>
    <t>Kayla</t>
  </si>
  <si>
    <t>English</t>
  </si>
  <si>
    <t>kaylaenglish@saumag.edu</t>
  </si>
  <si>
    <t>870-235-4386 870-235-4386</t>
  </si>
  <si>
    <t>DI1131</t>
  </si>
  <si>
    <t>Tubeck</t>
  </si>
  <si>
    <t>ktubeck@fsu.edu</t>
  </si>
  <si>
    <t>850-644-9594</t>
  </si>
  <si>
    <t>DIII884</t>
  </si>
  <si>
    <t>Nina</t>
  </si>
  <si>
    <t>Wojtkiewicz</t>
  </si>
  <si>
    <t>GA</t>
  </si>
  <si>
    <t>DI1237</t>
  </si>
  <si>
    <t>Georgia Tech</t>
  </si>
  <si>
    <t>Aileen</t>
  </si>
  <si>
    <t>Morales</t>
  </si>
  <si>
    <t>gtsoftball@athletics.gatech.edu</t>
  </si>
  <si>
    <t>DII467</t>
  </si>
  <si>
    <t>Brooke</t>
  </si>
  <si>
    <t>Goad</t>
  </si>
  <si>
    <t>BrookeGoad@saumag.edu</t>
  </si>
  <si>
    <t>DIII962</t>
  </si>
  <si>
    <t>Eastern Connecticut State University</t>
  </si>
  <si>
    <t>Diana</t>
  </si>
  <si>
    <t>Pepin</t>
  </si>
  <si>
    <t>pepind@easternct.edu</t>
  </si>
  <si>
    <t>860-465-5182</t>
  </si>
  <si>
    <t>Atlanta</t>
  </si>
  <si>
    <t>640-730</t>
  </si>
  <si>
    <t>30-34</t>
  </si>
  <si>
    <t>Eastern Connecticut State</t>
  </si>
  <si>
    <t>$27,420/$47,612</t>
  </si>
  <si>
    <t>Willimantic</t>
  </si>
  <si>
    <t>DII468</t>
  </si>
  <si>
    <t>Anderson</t>
  </si>
  <si>
    <t>480-570</t>
  </si>
  <si>
    <t>JasonAnderson@saumag.edu</t>
  </si>
  <si>
    <t>870-235-4384 870-235-4384</t>
  </si>
  <si>
    <t>$26,310/$39,171</t>
  </si>
  <si>
    <t>DI1238</t>
  </si>
  <si>
    <t>Mariconda</t>
  </si>
  <si>
    <t>rmariconda@athletics.gatech.edu</t>
  </si>
  <si>
    <t>c: 770.547.5019</t>
  </si>
  <si>
    <t>DIII963</t>
  </si>
  <si>
    <t>Mark</t>
  </si>
  <si>
    <t>Correia</t>
  </si>
  <si>
    <t>GNAC</t>
  </si>
  <si>
    <t>British Columbia</t>
  </si>
  <si>
    <t>DII509</t>
  </si>
  <si>
    <t>Simon Fraser University</t>
  </si>
  <si>
    <t>Kirsten</t>
  </si>
  <si>
    <t>Grant</t>
  </si>
  <si>
    <t>kegrant@sfu.ca</t>
  </si>
  <si>
    <t>Simon Fraser</t>
  </si>
  <si>
    <t>BC</t>
  </si>
  <si>
    <t>Burnaby</t>
  </si>
  <si>
    <t>Canadian university</t>
  </si>
  <si>
    <t>DI1239</t>
  </si>
  <si>
    <t>Owen</t>
  </si>
  <si>
    <t>PC</t>
  </si>
  <si>
    <t>DIII964</t>
  </si>
  <si>
    <t>aowen@athletics.gatech.edu</t>
  </si>
  <si>
    <t>Dawn</t>
  </si>
  <si>
    <t>Brolin</t>
  </si>
  <si>
    <t>$5,540 (tuition only)</t>
  </si>
  <si>
    <t>DI1240</t>
  </si>
  <si>
    <t>Caroline</t>
  </si>
  <si>
    <t>Hardy</t>
  </si>
  <si>
    <t>jhardy@athletics.gatech.edu</t>
  </si>
  <si>
    <t>DIII965</t>
  </si>
  <si>
    <t>Tom</t>
  </si>
  <si>
    <t>Madera</t>
  </si>
  <si>
    <t>DII510</t>
  </si>
  <si>
    <t>Lana</t>
  </si>
  <si>
    <t>Van Dyken</t>
  </si>
  <si>
    <t>KY</t>
  </si>
  <si>
    <t>DI1316</t>
  </si>
  <si>
    <t>University of Louisville</t>
  </si>
  <si>
    <t>DIII975</t>
  </si>
  <si>
    <t>Holly</t>
  </si>
  <si>
    <t>Aprile</t>
  </si>
  <si>
    <t>Ja'Rice</t>
  </si>
  <si>
    <t>holly@GoCards.com</t>
  </si>
  <si>
    <t>Manson</t>
  </si>
  <si>
    <t>502-852-1782</t>
  </si>
  <si>
    <t>mansonj@easternct.edu</t>
  </si>
  <si>
    <t>860-465-0175</t>
  </si>
  <si>
    <t>DII511</t>
  </si>
  <si>
    <t>Tina</t>
  </si>
  <si>
    <t>Andreana</t>
  </si>
  <si>
    <t>tina_andreana@sfu.ca</t>
  </si>
  <si>
    <t>778-782-3318</t>
  </si>
  <si>
    <t>DIII1002</t>
  </si>
  <si>
    <t>Louisville</t>
  </si>
  <si>
    <t>Mitchell College</t>
  </si>
  <si>
    <t>Pacific West</t>
  </si>
  <si>
    <t>500-620</t>
  </si>
  <si>
    <t>500-630</t>
  </si>
  <si>
    <t>22-29</t>
  </si>
  <si>
    <t>DII564</t>
  </si>
  <si>
    <t>$26,026/$41,048</t>
  </si>
  <si>
    <t>Academy of Art University</t>
  </si>
  <si>
    <t>Meagan</t>
  </si>
  <si>
    <t>Dixon</t>
  </si>
  <si>
    <t>mdixon@academyart.edu</t>
  </si>
  <si>
    <t>Mitchell (CT)</t>
  </si>
  <si>
    <t>415-618-6595 415-618-6595</t>
  </si>
  <si>
    <t>DI1317</t>
  </si>
  <si>
    <t>Griffin</t>
  </si>
  <si>
    <t>Joiner</t>
  </si>
  <si>
    <t>griffin@GoCards.com</t>
  </si>
  <si>
    <t>502-852-7854</t>
  </si>
  <si>
    <t>Academy of Art</t>
  </si>
  <si>
    <t>San Francisco</t>
  </si>
  <si>
    <t>Private (for-profit)</t>
  </si>
  <si>
    <t>DIII20271</t>
  </si>
  <si>
    <t>Art school</t>
  </si>
  <si>
    <t>Miller</t>
  </si>
  <si>
    <t>miller_er@mitchell.edu</t>
  </si>
  <si>
    <t>860-701-3521</t>
  </si>
  <si>
    <t>DI1318</t>
  </si>
  <si>
    <t>Ashley</t>
  </si>
  <si>
    <t>Lane</t>
  </si>
  <si>
    <t>ashleyl@GoCards.com</t>
  </si>
  <si>
    <t>502-852-7695</t>
  </si>
  <si>
    <t>DII565</t>
  </si>
  <si>
    <t>Guy</t>
  </si>
  <si>
    <t>Shinsato</t>
  </si>
  <si>
    <t>DIII1024</t>
  </si>
  <si>
    <t>gshinsato@academyart.edu</t>
  </si>
  <si>
    <t>University of Saint Joseph</t>
  </si>
  <si>
    <t>Jim</t>
  </si>
  <si>
    <t>McKinnon</t>
  </si>
  <si>
    <t>jimckinnon@usj.edu</t>
  </si>
  <si>
    <t>860.231.5473</t>
  </si>
  <si>
    <t>DI1319</t>
  </si>
  <si>
    <t>Bonk</t>
  </si>
  <si>
    <t>casey@GoCards.com</t>
  </si>
  <si>
    <t>502-852-5344</t>
  </si>
  <si>
    <t>DII566</t>
  </si>
  <si>
    <t>St. Joseph (CT)</t>
  </si>
  <si>
    <t>West Hartford</t>
  </si>
  <si>
    <t>Rianda</t>
  </si>
  <si>
    <t>srianda@academyart.edu</t>
  </si>
  <si>
    <t>DI1320</t>
  </si>
  <si>
    <t>415-618-6125 415-618-6125</t>
  </si>
  <si>
    <t>Women only</t>
  </si>
  <si>
    <t>Giorgiana</t>
  </si>
  <si>
    <t>420-550</t>
  </si>
  <si>
    <t>Zeremenko</t>
  </si>
  <si>
    <t>DI1490</t>
  </si>
  <si>
    <t>University of North Carolina at Chapel Hill</t>
  </si>
  <si>
    <t>Papa</t>
  </si>
  <si>
    <t>DII614</t>
  </si>
  <si>
    <t>djp@unc.edu</t>
  </si>
  <si>
    <t>919-475-3264</t>
  </si>
  <si>
    <t>Azusa Pacific University</t>
  </si>
  <si>
    <t>Ariana</t>
  </si>
  <si>
    <t>Zboray</t>
  </si>
  <si>
    <t>North Carolina</t>
  </si>
  <si>
    <t>Chapel Hill</t>
  </si>
  <si>
    <t>DIII1025</t>
  </si>
  <si>
    <t>610-720</t>
  </si>
  <si>
    <t>28-33</t>
  </si>
  <si>
    <t>Valenti</t>
  </si>
  <si>
    <t>$24,898/$49,980</t>
  </si>
  <si>
    <t>Azusa Pacific</t>
  </si>
  <si>
    <t>Azusa</t>
  </si>
  <si>
    <t>y (Undenominational)</t>
  </si>
  <si>
    <t>450-570</t>
  </si>
  <si>
    <t>DI1491</t>
  </si>
  <si>
    <t>Mary Jo</t>
  </si>
  <si>
    <t>Firnbach</t>
  </si>
  <si>
    <t>mjfirnba@email.unc.edu</t>
  </si>
  <si>
    <t>c: 979-450-6100</t>
  </si>
  <si>
    <t>DII615</t>
  </si>
  <si>
    <t>DIII1026</t>
  </si>
  <si>
    <t>Abry</t>
  </si>
  <si>
    <t>Moreno</t>
  </si>
  <si>
    <t>Torres</t>
  </si>
  <si>
    <t>DI1492</t>
  </si>
  <si>
    <t>Chelsey</t>
  </si>
  <si>
    <t>Barclay</t>
  </si>
  <si>
    <t>cbarclay@unc.edu</t>
  </si>
  <si>
    <t>c: 408-712-8874</t>
  </si>
  <si>
    <t>DII616</t>
  </si>
  <si>
    <t>Carrie</t>
  </si>
  <si>
    <t>Webber</t>
  </si>
  <si>
    <t>Head coach (second email)</t>
  </si>
  <si>
    <t>cwebber@apu.edu</t>
  </si>
  <si>
    <t>(626) 815-6000, Ext. 5443 (626) 815-6000, Ext. 5443</t>
  </si>
  <si>
    <t>DI1493</t>
  </si>
  <si>
    <t>Nicole</t>
  </si>
  <si>
    <t>Bond</t>
  </si>
  <si>
    <t>DIII1067</t>
  </si>
  <si>
    <t>Trinity College - Connecticut</t>
  </si>
  <si>
    <t>Molly</t>
  </si>
  <si>
    <t>Rathbun</t>
  </si>
  <si>
    <t>molly.rathbun@trincoll.edu</t>
  </si>
  <si>
    <t>DI1494</t>
  </si>
  <si>
    <t>Katelyn</t>
  </si>
  <si>
    <t>Shifflett</t>
  </si>
  <si>
    <t>softball@apu.edu</t>
  </si>
  <si>
    <t>katelyns@live.unc.edu</t>
  </si>
  <si>
    <t>Trinity (CT)</t>
  </si>
  <si>
    <t>Hartford</t>
  </si>
  <si>
    <t>540-670</t>
  </si>
  <si>
    <t>570-700</t>
  </si>
  <si>
    <t>DI20993</t>
  </si>
  <si>
    <t>DIII21544</t>
  </si>
  <si>
    <t>Dobbins</t>
  </si>
  <si>
    <t>Cayla</t>
  </si>
  <si>
    <t>Broussard</t>
  </si>
  <si>
    <t>cbroussard14@apu.edu</t>
  </si>
  <si>
    <t>DIII1068</t>
  </si>
  <si>
    <t>Brittany</t>
  </si>
  <si>
    <t>DI1598</t>
  </si>
  <si>
    <t>Sarnese</t>
  </si>
  <si>
    <t>North Carolina State University</t>
  </si>
  <si>
    <t>brittany.grimm@trincoll.edu</t>
  </si>
  <si>
    <t>Jennifer</t>
  </si>
  <si>
    <t>860-297-5279</t>
  </si>
  <si>
    <t>Patrick-Swift</t>
  </si>
  <si>
    <t>jrpatric@ncsu.edu</t>
  </si>
  <si>
    <t>(919) 513-7595 (919) 513-7595</t>
  </si>
  <si>
    <t>DIII21545</t>
  </si>
  <si>
    <t>Racqual</t>
  </si>
  <si>
    <t>Espinoza</t>
  </si>
  <si>
    <t>North Carolina State</t>
  </si>
  <si>
    <t>DIII1134</t>
  </si>
  <si>
    <t>Raleigh</t>
  </si>
  <si>
    <t>Wesleyan University</t>
  </si>
  <si>
    <t>Jen</t>
  </si>
  <si>
    <t>jslane@wesleyan.edu</t>
  </si>
  <si>
    <t>570-660</t>
  </si>
  <si>
    <t>(860) 685-2436</t>
  </si>
  <si>
    <t>600-690</t>
  </si>
  <si>
    <t>$23,039/$40,558</t>
  </si>
  <si>
    <t>DII661</t>
  </si>
  <si>
    <t>Biola University</t>
  </si>
  <si>
    <t>Justine</t>
  </si>
  <si>
    <t>McLean</t>
  </si>
  <si>
    <t>Wesleyan (CT)</t>
  </si>
  <si>
    <t>Middletown</t>
  </si>
  <si>
    <t>620-740</t>
  </si>
  <si>
    <t>DI1599</t>
  </si>
  <si>
    <t>630-740</t>
  </si>
  <si>
    <t>Swift</t>
  </si>
  <si>
    <t>paswift@ncsu.edu</t>
  </si>
  <si>
    <t>(919) 513-7593 (919) 513-7593</t>
  </si>
  <si>
    <t>DIII1135</t>
  </si>
  <si>
    <t>Nicoletta</t>
  </si>
  <si>
    <t>Cuccio</t>
  </si>
  <si>
    <t>ncuccio@wesleyan.edu</t>
  </si>
  <si>
    <t>Biola</t>
  </si>
  <si>
    <t>La Mirada</t>
  </si>
  <si>
    <t>DI1600</t>
  </si>
  <si>
    <t>Wilkinson</t>
  </si>
  <si>
    <t>cnwilkin@ncsu.edu</t>
  </si>
  <si>
    <t>DIII1136</t>
  </si>
  <si>
    <t>Meaghan</t>
  </si>
  <si>
    <t>Constant</t>
  </si>
  <si>
    <t>DI1601</t>
  </si>
  <si>
    <t>DII662</t>
  </si>
  <si>
    <t>Taylor</t>
  </si>
  <si>
    <t>Halte</t>
  </si>
  <si>
    <t>mptaylo4@ncsu.edu</t>
  </si>
  <si>
    <t>(919) 515-2861 (919) 515-2861</t>
  </si>
  <si>
    <t>DIII1207</t>
  </si>
  <si>
    <t>DI1602</t>
  </si>
  <si>
    <t>Petteys</t>
  </si>
  <si>
    <t>Western Connecticut State University</t>
  </si>
  <si>
    <t>Heather</t>
  </si>
  <si>
    <t>Stone</t>
  </si>
  <si>
    <t>stoneh@wcsu.edu</t>
  </si>
  <si>
    <t>(203) 837-9019</t>
  </si>
  <si>
    <t>DII663</t>
  </si>
  <si>
    <t>Christine</t>
  </si>
  <si>
    <t>Dickerson</t>
  </si>
  <si>
    <t>christine.dickerson@biola.edu</t>
  </si>
  <si>
    <t>DI21067</t>
  </si>
  <si>
    <t>(919) 513-7597 (919) 513-7597</t>
  </si>
  <si>
    <t>Western Connecticut State</t>
  </si>
  <si>
    <t>Danbury</t>
  </si>
  <si>
    <t>440-550</t>
  </si>
  <si>
    <t>440-540</t>
  </si>
  <si>
    <t>$25,439/$38,300</t>
  </si>
  <si>
    <t>DII664</t>
  </si>
  <si>
    <t>Nikki</t>
  </si>
  <si>
    <t>Udria</t>
  </si>
  <si>
    <t>busoftball@biola.edu</t>
  </si>
  <si>
    <t>IN</t>
  </si>
  <si>
    <t>562-944-0351 x5935 562-944-0351 x5935</t>
  </si>
  <si>
    <t>DI1684</t>
  </si>
  <si>
    <t>University of Notre Dame</t>
  </si>
  <si>
    <t>Deanna</t>
  </si>
  <si>
    <t>Gumpf</t>
  </si>
  <si>
    <t>gumpf.2@nd.edu</t>
  </si>
  <si>
    <t>DIII1208</t>
  </si>
  <si>
    <t>Kim</t>
  </si>
  <si>
    <t>CCAA</t>
  </si>
  <si>
    <t>DIII1209</t>
  </si>
  <si>
    <t>DII721</t>
  </si>
  <si>
    <t>Melissa</t>
  </si>
  <si>
    <t>Notre Dame (IN)</t>
  </si>
  <si>
    <t>California State University - Chico</t>
  </si>
  <si>
    <t>Fracker</t>
  </si>
  <si>
    <t>Cyrena</t>
  </si>
  <si>
    <t>South Bend</t>
  </si>
  <si>
    <t>530-898-4685 530-898-4685</t>
  </si>
  <si>
    <t>670-760</t>
  </si>
  <si>
    <t>680-780</t>
  </si>
  <si>
    <t>32-35</t>
  </si>
  <si>
    <t>Cal State-Chico</t>
  </si>
  <si>
    <t>Chico</t>
  </si>
  <si>
    <t>Delaware</t>
  </si>
  <si>
    <t>DI1685</t>
  </si>
  <si>
    <t>DIII1261</t>
  </si>
  <si>
    <t>Kris</t>
  </si>
  <si>
    <t>Wesley College</t>
  </si>
  <si>
    <t>Ganeff</t>
  </si>
  <si>
    <t>$23,846/$35,006</t>
  </si>
  <si>
    <t>Juli</t>
  </si>
  <si>
    <t>Greep</t>
  </si>
  <si>
    <t>ganeff.2@nd.edu</t>
  </si>
  <si>
    <t>Juli.Greep@wesley.edu</t>
  </si>
  <si>
    <t>631-9125</t>
  </si>
  <si>
    <t>302-736-2302</t>
  </si>
  <si>
    <t>Wesley (DE)</t>
  </si>
  <si>
    <t>DE</t>
  </si>
  <si>
    <t>Dover</t>
  </si>
  <si>
    <t>DI1686</t>
  </si>
  <si>
    <t>DII722</t>
  </si>
  <si>
    <t>370-460</t>
  </si>
  <si>
    <t>370-470</t>
  </si>
  <si>
    <t>15-17</t>
  </si>
  <si>
    <t>Lizzy</t>
  </si>
  <si>
    <t>Shamblin</t>
  </si>
  <si>
    <t>Ristano</t>
  </si>
  <si>
    <t>aashamblin@csuchico.edu</t>
  </si>
  <si>
    <t>elemire@nd.edu</t>
  </si>
  <si>
    <t>631-8295</t>
  </si>
  <si>
    <t>DIII1262</t>
  </si>
  <si>
    <t>DiRubbio</t>
  </si>
  <si>
    <t>megan.dirubbio@email.wesley.edu</t>
  </si>
  <si>
    <t>DIII21552</t>
  </si>
  <si>
    <t>Akins</t>
  </si>
  <si>
    <t>DI1687</t>
  </si>
  <si>
    <t>District of Columbia</t>
  </si>
  <si>
    <t>Burkhardt</t>
  </si>
  <si>
    <t>DIII1310</t>
  </si>
  <si>
    <t>Catholic University of America</t>
  </si>
  <si>
    <t>Bruce</t>
  </si>
  <si>
    <t>McConkey</t>
  </si>
  <si>
    <t>mcconkey@cua.edu</t>
  </si>
  <si>
    <t>202-319-4750</t>
  </si>
  <si>
    <t>DI21592</t>
  </si>
  <si>
    <t>Jamie</t>
  </si>
  <si>
    <t>Spitale</t>
  </si>
  <si>
    <t>jmandari@nd.edu</t>
  </si>
  <si>
    <t>DII768</t>
  </si>
  <si>
    <t>631-3750</t>
  </si>
  <si>
    <t>Catholic (DC)</t>
  </si>
  <si>
    <t>DC</t>
  </si>
  <si>
    <t>California State University - Dominguez Hills</t>
  </si>
  <si>
    <t>Washington DC</t>
  </si>
  <si>
    <t>Garcia</t>
  </si>
  <si>
    <t>klgarcia@csudh.edu</t>
  </si>
  <si>
    <t>310-243-3889</t>
  </si>
  <si>
    <t>520-630</t>
  </si>
  <si>
    <t>520-620</t>
  </si>
  <si>
    <t>PA</t>
  </si>
  <si>
    <t>DI1786</t>
  </si>
  <si>
    <t>University of Pittsburgh</t>
  </si>
  <si>
    <t>Jodi</t>
  </si>
  <si>
    <t>Hermanek</t>
  </si>
  <si>
    <t>jhermanek@athletics.pitt.edu</t>
  </si>
  <si>
    <t>412-648-8334 412-648-8334</t>
  </si>
  <si>
    <t>DIII1311</t>
  </si>
  <si>
    <t>Don</t>
  </si>
  <si>
    <t>bakerd@cua.edu</t>
  </si>
  <si>
    <t>Cal State-Dominguez Hills</t>
  </si>
  <si>
    <t>Carson</t>
  </si>
  <si>
    <t>Pittsburgh</t>
  </si>
  <si>
    <t>910 average composite</t>
  </si>
  <si>
    <t>DIII1312</t>
  </si>
  <si>
    <t>27-32</t>
  </si>
  <si>
    <t>$32,782/$43,922</t>
  </si>
  <si>
    <t>$23,225/$34,385</t>
  </si>
  <si>
    <t>Boyd</t>
  </si>
  <si>
    <t>DI1787</t>
  </si>
  <si>
    <t>Jillian</t>
  </si>
  <si>
    <t>DIII1313</t>
  </si>
  <si>
    <t>Van Wagnen</t>
  </si>
  <si>
    <t>jvanwag@athletics.pitt.edu</t>
  </si>
  <si>
    <t>Colline</t>
  </si>
  <si>
    <t>DII769</t>
  </si>
  <si>
    <t>09colline@cua.edu</t>
  </si>
  <si>
    <t>Stephanie</t>
  </si>
  <si>
    <t>Guerra</t>
  </si>
  <si>
    <t>sjimenez52@csudh.edu</t>
  </si>
  <si>
    <t>DIII20928</t>
  </si>
  <si>
    <t>Kayli</t>
  </si>
  <si>
    <t>Paugh</t>
  </si>
  <si>
    <t>DI1788</t>
  </si>
  <si>
    <t>paugh@cua.edu</t>
  </si>
  <si>
    <t>Jenna</t>
  </si>
  <si>
    <t>Hall</t>
  </si>
  <si>
    <t>jhall@athletics.pitt.edu</t>
  </si>
  <si>
    <t>DII770</t>
  </si>
  <si>
    <t>Maier</t>
  </si>
  <si>
    <t>jmaier@csudh.edu</t>
  </si>
  <si>
    <t>310-243-3917</t>
  </si>
  <si>
    <t>DIII1371</t>
  </si>
  <si>
    <t>Gallaudet University</t>
  </si>
  <si>
    <t>Justen</t>
  </si>
  <si>
    <t>Burns</t>
  </si>
  <si>
    <t>justen.burns@gallaudet.edu</t>
  </si>
  <si>
    <t>DI1789</t>
  </si>
  <si>
    <t>202.250.2191</t>
  </si>
  <si>
    <t>Michelle</t>
  </si>
  <si>
    <t>Huber</t>
  </si>
  <si>
    <t>mhuber@athletics.pitt.edu</t>
  </si>
  <si>
    <t>DII800</t>
  </si>
  <si>
    <t>California State University - East Bay</t>
  </si>
  <si>
    <t>Gallaudet</t>
  </si>
  <si>
    <t>Sam</t>
  </si>
  <si>
    <t>Duran</t>
  </si>
  <si>
    <t>sam.duran@csueastbay.edu</t>
  </si>
  <si>
    <t>(510) 885-3045 (510) 885-3045</t>
  </si>
  <si>
    <t>350-540</t>
  </si>
  <si>
    <t>350-530</t>
  </si>
  <si>
    <t>14-20</t>
  </si>
  <si>
    <t>DI1790</t>
  </si>
  <si>
    <t>Sebbane</t>
  </si>
  <si>
    <t>ksebbane@athletics.pitt.edu</t>
  </si>
  <si>
    <t>DIII1372</t>
  </si>
  <si>
    <t>Cal State-East Bay</t>
  </si>
  <si>
    <t>Alicia</t>
  </si>
  <si>
    <t>Hayward</t>
  </si>
  <si>
    <t>alicia.johnson@gallaudet.edu</t>
  </si>
  <si>
    <t>990 average composite</t>
  </si>
  <si>
    <t>16-21</t>
  </si>
  <si>
    <t>$24,822/$35,982</t>
  </si>
  <si>
    <t>NY</t>
  </si>
  <si>
    <t>DI1857</t>
  </si>
  <si>
    <t>Syracuse University</t>
  </si>
  <si>
    <t>Shannon</t>
  </si>
  <si>
    <t>Doepking</t>
  </si>
  <si>
    <t>sndoepki@syr.edu</t>
  </si>
  <si>
    <t>DIII1373</t>
  </si>
  <si>
    <t>Chandler</t>
  </si>
  <si>
    <t>Gloudeman</t>
  </si>
  <si>
    <t>chandler.gloudeman@gallaudet.edu</t>
  </si>
  <si>
    <t>DII801</t>
  </si>
  <si>
    <t>Claire</t>
  </si>
  <si>
    <t>Sua-Amundson</t>
  </si>
  <si>
    <t>claire.amundson@csueastbay.edu</t>
  </si>
  <si>
    <t>Syracuse</t>
  </si>
  <si>
    <t>530-630</t>
  </si>
  <si>
    <t>DIII1404</t>
  </si>
  <si>
    <t>Trinity Washington University</t>
  </si>
  <si>
    <t>Ratke</t>
  </si>
  <si>
    <t>ratkee@trinitydc.edu</t>
  </si>
  <si>
    <t>202-884-9097</t>
  </si>
  <si>
    <t>DII866</t>
  </si>
  <si>
    <t>California State University - Monterey Bay</t>
  </si>
  <si>
    <t>Andrea</t>
  </si>
  <si>
    <t>Kenney</t>
  </si>
  <si>
    <t>akenney@csumb.edu</t>
  </si>
  <si>
    <t>DI1858</t>
  </si>
  <si>
    <t>(831) 582-3721 (831) 582-3721</t>
  </si>
  <si>
    <t>Vanessa</t>
  </si>
  <si>
    <t>Shippy</t>
  </si>
  <si>
    <t>Trinity Washington</t>
  </si>
  <si>
    <t>vmshippy@syr.edu</t>
  </si>
  <si>
    <t>Cal State-Monterey Bay</t>
  </si>
  <si>
    <t>Seaside</t>
  </si>
  <si>
    <t>420-530</t>
  </si>
  <si>
    <t>17-23</t>
  </si>
  <si>
    <t>$21,678/$32,838</t>
  </si>
  <si>
    <t>DI1859</t>
  </si>
  <si>
    <t>Bryan</t>
  </si>
  <si>
    <t>Ingalls</t>
  </si>
  <si>
    <t>DIII21556</t>
  </si>
  <si>
    <t>Annie</t>
  </si>
  <si>
    <t>Aldrete</t>
  </si>
  <si>
    <t>DIII1405</t>
  </si>
  <si>
    <t>Myesha</t>
  </si>
  <si>
    <t>Green</t>
  </si>
  <si>
    <t>DI1860</t>
  </si>
  <si>
    <t>Michael</t>
  </si>
  <si>
    <t>Steuerwald</t>
  </si>
  <si>
    <t>mdsteuer@syr.edu</t>
  </si>
  <si>
    <t>Georgia</t>
  </si>
  <si>
    <t>DIII1413</t>
  </si>
  <si>
    <t>Agnes Scott College</t>
  </si>
  <si>
    <t>Kerry</t>
  </si>
  <si>
    <t>Busby</t>
  </si>
  <si>
    <t>kbusby@agnesscott.edu</t>
  </si>
  <si>
    <t>404-471-6475</t>
  </si>
  <si>
    <t>VA</t>
  </si>
  <si>
    <t>DI1938</t>
  </si>
  <si>
    <t>University of Virginia</t>
  </si>
  <si>
    <t>Joanna</t>
  </si>
  <si>
    <t>Hardin</t>
  </si>
  <si>
    <t>coachhardin@Virginia.edu</t>
  </si>
  <si>
    <t>434-982-5126 434-982-5126</t>
  </si>
  <si>
    <t>DIII21557</t>
  </si>
  <si>
    <t>Hennings</t>
  </si>
  <si>
    <t>Agnes Scott</t>
  </si>
  <si>
    <t>Decatur</t>
  </si>
  <si>
    <t>560-680</t>
  </si>
  <si>
    <t>24-30</t>
  </si>
  <si>
    <t>Virginia</t>
  </si>
  <si>
    <t>Charlottesville</t>
  </si>
  <si>
    <t>29-33</t>
  </si>
  <si>
    <t>$31,186/$60,530</t>
  </si>
  <si>
    <t>DIII21558</t>
  </si>
  <si>
    <t>Celeste</t>
  </si>
  <si>
    <t>Villagrana</t>
  </si>
  <si>
    <t>DIII1414</t>
  </si>
  <si>
    <t>Marty</t>
  </si>
  <si>
    <t>Hutchinson</t>
  </si>
  <si>
    <t>DI1939</t>
  </si>
  <si>
    <t>Sidwell</t>
  </si>
  <si>
    <t>js7jn@virginia.edu</t>
  </si>
  <si>
    <t>407-618-4799 407-618-4799</t>
  </si>
  <si>
    <t>DII924</t>
  </si>
  <si>
    <t>California State University - San Bernardino</t>
  </si>
  <si>
    <t>Brandon</t>
  </si>
  <si>
    <t>Wallace</t>
  </si>
  <si>
    <t>Brandon.Wallace@csusb.edu</t>
  </si>
  <si>
    <t>DIII1437</t>
  </si>
  <si>
    <t>Berry College</t>
  </si>
  <si>
    <t>DI1940</t>
  </si>
  <si>
    <t>Volunteer AC Shelby has been removed.</t>
  </si>
  <si>
    <t>Cal State-San Bernardino</t>
  </si>
  <si>
    <t>San Bernardino</t>
  </si>
  <si>
    <t>390-490</t>
  </si>
  <si>
    <t>16-20</t>
  </si>
  <si>
    <t>$23,620/$34,780</t>
  </si>
  <si>
    <t>Berry (GA)</t>
  </si>
  <si>
    <t>Mount Berry</t>
  </si>
  <si>
    <t>DI1941</t>
  </si>
  <si>
    <t>Shae</t>
  </si>
  <si>
    <t>530-610</t>
  </si>
  <si>
    <t>Braxton</t>
  </si>
  <si>
    <t>24-29</t>
  </si>
  <si>
    <t>sbraxton@virginia.edu</t>
  </si>
  <si>
    <t>571-242-7298 571-242-7298</t>
  </si>
  <si>
    <t>DII925</t>
  </si>
  <si>
    <t>Cori</t>
  </si>
  <si>
    <t>Reinhardt</t>
  </si>
  <si>
    <t>Corinne.reinhardt@csusb.edu</t>
  </si>
  <si>
    <t>DI2036</t>
  </si>
  <si>
    <t>Virginia Tech</t>
  </si>
  <si>
    <t>DIII1438</t>
  </si>
  <si>
    <t>Pete</t>
  </si>
  <si>
    <t>D'Amour</t>
  </si>
  <si>
    <t>peted@vt.edu</t>
  </si>
  <si>
    <t>Stanley</t>
  </si>
  <si>
    <t>540-231-2720</t>
  </si>
  <si>
    <t>Interim HC</t>
  </si>
  <si>
    <t>estanley@berry.edu</t>
  </si>
  <si>
    <t>(706) 368-6382</t>
  </si>
  <si>
    <t>Blacksburg</t>
  </si>
  <si>
    <t>DII926</t>
  </si>
  <si>
    <t>Dee</t>
  </si>
  <si>
    <t>Payan</t>
  </si>
  <si>
    <t>Diana.Payan@csusb.edu</t>
  </si>
  <si>
    <t>909-537-5022 909-537-5022</t>
  </si>
  <si>
    <t>$25,762/$42,885</t>
  </si>
  <si>
    <t>DIII1439</t>
  </si>
  <si>
    <t>Washington</t>
  </si>
  <si>
    <t>DI2037</t>
  </si>
  <si>
    <t>(706) 233-4058</t>
  </si>
  <si>
    <t>Kirin</t>
  </si>
  <si>
    <t>Kumar</t>
  </si>
  <si>
    <t>DII948</t>
  </si>
  <si>
    <t>kirink@vt.edu</t>
  </si>
  <si>
    <t>540-231-3063</t>
  </si>
  <si>
    <t>California State University - San Marcos</t>
  </si>
  <si>
    <t>Pam</t>
  </si>
  <si>
    <t>pstone@csusm.edu</t>
  </si>
  <si>
    <t>760-750-7103 760-750-7103</t>
  </si>
  <si>
    <t>DIII1440</t>
  </si>
  <si>
    <t>Lindsey</t>
  </si>
  <si>
    <t>Campbell</t>
  </si>
  <si>
    <t>Cal State-San Marcos</t>
  </si>
  <si>
    <t>San Marcos</t>
  </si>
  <si>
    <t>DI2038</t>
  </si>
  <si>
    <t>430-520</t>
  </si>
  <si>
    <t>430-540</t>
  </si>
  <si>
    <t>Doug</t>
  </si>
  <si>
    <t>Gillis</t>
  </si>
  <si>
    <t>$24,641/$35,801</t>
  </si>
  <si>
    <t>gillis44@vt.edu</t>
  </si>
  <si>
    <t>DIII20937</t>
  </si>
  <si>
    <t>Tressa</t>
  </si>
  <si>
    <t>Watson</t>
  </si>
  <si>
    <t>DI2039</t>
  </si>
  <si>
    <t>twatson@berry.edu</t>
  </si>
  <si>
    <t>DII949</t>
  </si>
  <si>
    <t>Davis Showalter</t>
  </si>
  <si>
    <t>Stef</t>
  </si>
  <si>
    <t>whitd@vt.edu</t>
  </si>
  <si>
    <t>Ewing</t>
  </si>
  <si>
    <t>540-231-7240</t>
  </si>
  <si>
    <t>sewing@csusm.edu</t>
  </si>
  <si>
    <t>DI2040</t>
  </si>
  <si>
    <t>Andrew</t>
  </si>
  <si>
    <t>Stover</t>
  </si>
  <si>
    <t>DIII1481</t>
  </si>
  <si>
    <t>Covenant College</t>
  </si>
  <si>
    <t>Brie</t>
  </si>
  <si>
    <t>Carmack</t>
  </si>
  <si>
    <t>aubrie.carmack@covenant.edu</t>
  </si>
  <si>
    <t>706.419.1584</t>
  </si>
  <si>
    <t>softball@csusm.edu</t>
  </si>
  <si>
    <t>DI21605</t>
  </si>
  <si>
    <t>Sami</t>
  </si>
  <si>
    <t>Fagan</t>
  </si>
  <si>
    <t>fagansami@vt.edu</t>
  </si>
  <si>
    <t>231-1804 231-1804</t>
  </si>
  <si>
    <t>Covenant (GA)</t>
  </si>
  <si>
    <t>Lookout Mountain</t>
  </si>
  <si>
    <t>y (‎Presbyterian Church in America)</t>
  </si>
  <si>
    <t>America East</t>
  </si>
  <si>
    <t>DI2187</t>
  </si>
  <si>
    <t>510-630</t>
  </si>
  <si>
    <t>SUNY University at Albany</t>
  </si>
  <si>
    <t>Chris</t>
  </si>
  <si>
    <t>Cannata</t>
  </si>
  <si>
    <t>DII976</t>
  </si>
  <si>
    <t>ccannata@albany.edu</t>
  </si>
  <si>
    <t>(518) 442-4391</t>
  </si>
  <si>
    <t>California State University - Stanislaus</t>
  </si>
  <si>
    <t>Alexus</t>
  </si>
  <si>
    <t>amartinez87@csustan.edu</t>
  </si>
  <si>
    <t>DIII1482</t>
  </si>
  <si>
    <t>Albany</t>
  </si>
  <si>
    <t>Palm</t>
  </si>
  <si>
    <t>jessica.palm@covenant.edu</t>
  </si>
  <si>
    <t>706.419.1505</t>
  </si>
  <si>
    <t>Cal State-Stanislaus</t>
  </si>
  <si>
    <t>Turlock</t>
  </si>
  <si>
    <t>SUNY-Albany</t>
  </si>
  <si>
    <t>890-1,110 average composite</t>
  </si>
  <si>
    <t>490-580</t>
  </si>
  <si>
    <t>22-26</t>
  </si>
  <si>
    <t>$19,826/$30,986</t>
  </si>
  <si>
    <t>$25,110/$40,190</t>
  </si>
  <si>
    <t>DIII1508</t>
  </si>
  <si>
    <t>DII977</t>
  </si>
  <si>
    <t>DI2188</t>
  </si>
  <si>
    <t>Emory University</t>
  </si>
  <si>
    <t>Adrianna</t>
  </si>
  <si>
    <t>Baggetta</t>
  </si>
  <si>
    <t>Ventoza</t>
  </si>
  <si>
    <t>adrianna.baggetta@emory.edu</t>
  </si>
  <si>
    <t>404-727-7311</t>
  </si>
  <si>
    <t>jventoza@csustan.edu</t>
  </si>
  <si>
    <t>(209) 667-3105 (209) 667-3105</t>
  </si>
  <si>
    <t>Jack</t>
  </si>
  <si>
    <t>Coons</t>
  </si>
  <si>
    <t>DI2189</t>
  </si>
  <si>
    <t>Emory (GA)</t>
  </si>
  <si>
    <t>Kate</t>
  </si>
  <si>
    <t>DII1013</t>
  </si>
  <si>
    <t>Gentile</t>
  </si>
  <si>
    <t>kgentile@albany.edu</t>
  </si>
  <si>
    <t>(518) 591-8652</t>
  </si>
  <si>
    <t>University of California - San Diego</t>
  </si>
  <si>
    <t>Cristina</t>
  </si>
  <si>
    <t>Byrne</t>
  </si>
  <si>
    <t>cabyrne@ucsd.edu</t>
  </si>
  <si>
    <t>858.246.2694</t>
  </si>
  <si>
    <t>630-730</t>
  </si>
  <si>
    <t>660-770</t>
  </si>
  <si>
    <t>DI2190</t>
  </si>
  <si>
    <t>Joe</t>
  </si>
  <si>
    <t>Reardon</t>
  </si>
  <si>
    <t>hitking20@aol.com</t>
  </si>
  <si>
    <t>DIII1509</t>
  </si>
  <si>
    <t>Moss</t>
  </si>
  <si>
    <t>California-San Diego</t>
  </si>
  <si>
    <t>San Diego</t>
  </si>
  <si>
    <t>610-770</t>
  </si>
  <si>
    <t>27-33</t>
  </si>
  <si>
    <t>$32,239/$58,921</t>
  </si>
  <si>
    <t>DI2243</t>
  </si>
  <si>
    <t>SUNY Binghamton University</t>
  </si>
  <si>
    <t>Johnston</t>
  </si>
  <si>
    <t>mburrell@binghamton.edu</t>
  </si>
  <si>
    <t>607-777-6838 607-777-6838</t>
  </si>
  <si>
    <t>DII1014</t>
  </si>
  <si>
    <t>Millsap</t>
  </si>
  <si>
    <t>AC/Rec Coor</t>
  </si>
  <si>
    <t>jmillsap@ucsd.edu</t>
  </si>
  <si>
    <t>DIII1573</t>
  </si>
  <si>
    <t>858.534.8442</t>
  </si>
  <si>
    <t>LaGrange College</t>
  </si>
  <si>
    <t>Claybrook</t>
  </si>
  <si>
    <t>Binghamton</t>
  </si>
  <si>
    <t>Vestal</t>
  </si>
  <si>
    <t>jclaybrook@lagrange.edu</t>
  </si>
  <si>
    <t>706-880-8262</t>
  </si>
  <si>
    <t>630-710</t>
  </si>
  <si>
    <t>$24,861/$39,941</t>
  </si>
  <si>
    <t>LaGrange (GA)</t>
  </si>
  <si>
    <t>LaGrange</t>
  </si>
  <si>
    <t>DII1015</t>
  </si>
  <si>
    <t>DI2244</t>
  </si>
  <si>
    <t>Patti</t>
  </si>
  <si>
    <t>Gerckens</t>
  </si>
  <si>
    <t>pgerckens@ucsd.edu</t>
  </si>
  <si>
    <t>470-550</t>
  </si>
  <si>
    <t>460-540</t>
  </si>
  <si>
    <t>Bump</t>
  </si>
  <si>
    <t>bumpj@binghamton.edu</t>
  </si>
  <si>
    <t>607-777-3617 607-777-3617</t>
  </si>
  <si>
    <t>DI2245</t>
  </si>
  <si>
    <t>DIII1575</t>
  </si>
  <si>
    <t>O'Hara</t>
  </si>
  <si>
    <t>Roy</t>
  </si>
  <si>
    <t>sohara@binghamton.edu</t>
  </si>
  <si>
    <t>DeMooney</t>
  </si>
  <si>
    <t>DII1016</t>
  </si>
  <si>
    <t>Ray</t>
  </si>
  <si>
    <t>Noelte</t>
  </si>
  <si>
    <t>rnoelte@ucsd.edu</t>
  </si>
  <si>
    <t>DI2297</t>
  </si>
  <si>
    <t>University of Hartford</t>
  </si>
  <si>
    <t>Angie</t>
  </si>
  <si>
    <t>Churchill</t>
  </si>
  <si>
    <t>achurchil@hartford.edu</t>
  </si>
  <si>
    <t>860-768-7786</t>
  </si>
  <si>
    <t>DIII20938</t>
  </si>
  <si>
    <t>DII1017</t>
  </si>
  <si>
    <t>Eva</t>
  </si>
  <si>
    <t>ewatson@ucsd.edu</t>
  </si>
  <si>
    <t>DII1081</t>
  </si>
  <si>
    <t>Concordia University - Irvine</t>
  </si>
  <si>
    <t>Rose</t>
  </si>
  <si>
    <t>Imbriano</t>
  </si>
  <si>
    <t>rose.imbriano@cui.edu</t>
  </si>
  <si>
    <t>DIII1646</t>
  </si>
  <si>
    <t>949-214-3225 949-214-3225</t>
  </si>
  <si>
    <t>Piedmont College</t>
  </si>
  <si>
    <t>Terry</t>
  </si>
  <si>
    <t>Martin</t>
  </si>
  <si>
    <t>wtmartin@piedmont.edu</t>
  </si>
  <si>
    <t>(706) 778-3000, x1288</t>
  </si>
  <si>
    <t>DI2298</t>
  </si>
  <si>
    <t>Justus</t>
  </si>
  <si>
    <t>justus@hartford.edu</t>
  </si>
  <si>
    <t>860-768-5157</t>
  </si>
  <si>
    <t>Concordia (CA)</t>
  </si>
  <si>
    <t>Irvine</t>
  </si>
  <si>
    <t>y (Lutheran-Missouri Synod)</t>
  </si>
  <si>
    <t>457-580</t>
  </si>
  <si>
    <t>450-580</t>
  </si>
  <si>
    <t>Piedmont</t>
  </si>
  <si>
    <t>Demorest</t>
  </si>
  <si>
    <t>y (United Church of Christ)</t>
  </si>
  <si>
    <t>DI2299</t>
  </si>
  <si>
    <t>DII1082</t>
  </si>
  <si>
    <t>430-550</t>
  </si>
  <si>
    <t>Hannah</t>
  </si>
  <si>
    <t>Elise</t>
  </si>
  <si>
    <t>Ford</t>
  </si>
  <si>
    <t>Laws</t>
  </si>
  <si>
    <t>hford@hartford.edu</t>
  </si>
  <si>
    <t>ME</t>
  </si>
  <si>
    <t>DIII1647</t>
  </si>
  <si>
    <t>DI2357</t>
  </si>
  <si>
    <t>University of Maine</t>
  </si>
  <si>
    <t>Winters</t>
  </si>
  <si>
    <t>Coutts</t>
  </si>
  <si>
    <t>jwinters@piedmont.edu</t>
  </si>
  <si>
    <t>michael.coutts@maine.edu</t>
  </si>
  <si>
    <t>207-581-4065 207-581-4065</t>
  </si>
  <si>
    <t>(706) 778-3000, x1147</t>
  </si>
  <si>
    <t>DII1083</t>
  </si>
  <si>
    <t>Cerulle</t>
  </si>
  <si>
    <t>Maine</t>
  </si>
  <si>
    <t>Orono</t>
  </si>
  <si>
    <t>470-590</t>
  </si>
  <si>
    <t>480-600</t>
  </si>
  <si>
    <t>21-26</t>
  </si>
  <si>
    <t>$23,992/$42,862</t>
  </si>
  <si>
    <t>DIII1648</t>
  </si>
  <si>
    <t>Waldrop</t>
  </si>
  <si>
    <t>twaldrop@piedmont.edu</t>
  </si>
  <si>
    <t>DI2358</t>
  </si>
  <si>
    <t>Fitzpatrick</t>
  </si>
  <si>
    <t>jordan.fitzpatrick@maine.edu</t>
  </si>
  <si>
    <t>207-581-4509 207-581-4509</t>
  </si>
  <si>
    <t>DII1084</t>
  </si>
  <si>
    <t>Mari</t>
  </si>
  <si>
    <t>Kawano</t>
  </si>
  <si>
    <t>DIII1677</t>
  </si>
  <si>
    <t>Wesleyan College</t>
  </si>
  <si>
    <t>Penny</t>
  </si>
  <si>
    <t>Siquerios</t>
  </si>
  <si>
    <t>psiqueiros@wesleyancollege.edu</t>
  </si>
  <si>
    <t>(478) 757-5253</t>
  </si>
  <si>
    <t>MD</t>
  </si>
  <si>
    <t>DI2391</t>
  </si>
  <si>
    <t>DII1085</t>
  </si>
  <si>
    <t>Crystal</t>
  </si>
  <si>
    <t>Rosenthal</t>
  </si>
  <si>
    <t>University of Maryland - Baltimore County</t>
  </si>
  <si>
    <t>crystal.rosenthal@cui.edu</t>
  </si>
  <si>
    <t>Kuhlmeyer</t>
  </si>
  <si>
    <t>949-214-3223 949-214-3223</t>
  </si>
  <si>
    <t>ckuhlme@umbc.edu</t>
  </si>
  <si>
    <t>410-455-1327</t>
  </si>
  <si>
    <t>Maryland-Baltimore County (UMBC)</t>
  </si>
  <si>
    <t>DII1086</t>
  </si>
  <si>
    <t>Baltimore</t>
  </si>
  <si>
    <t>Volunteer AC James has been removed.</t>
  </si>
  <si>
    <t>Wesleyan (GA)</t>
  </si>
  <si>
    <t>Macon</t>
  </si>
  <si>
    <t>570-670</t>
  </si>
  <si>
    <t>$26,894/$40,122</t>
  </si>
  <si>
    <t>480-588</t>
  </si>
  <si>
    <t>450-530</t>
  </si>
  <si>
    <t>19-26</t>
  </si>
  <si>
    <t>DII1147</t>
  </si>
  <si>
    <t>Dominican University of California</t>
  </si>
  <si>
    <t>Alexandra</t>
  </si>
  <si>
    <t>Shamo</t>
  </si>
  <si>
    <t>DIII1678</t>
  </si>
  <si>
    <t>alexandra.shamo@dominican.edu</t>
  </si>
  <si>
    <t>Jonathan</t>
  </si>
  <si>
    <t>Long</t>
  </si>
  <si>
    <t>jlong@wesleyancollege.edu</t>
  </si>
  <si>
    <t>(478) 256-4489</t>
  </si>
  <si>
    <t>DI2392</t>
  </si>
  <si>
    <t>Carla</t>
  </si>
  <si>
    <t>Shepherd-Devereaux</t>
  </si>
  <si>
    <t>cshep@umbc.edu</t>
  </si>
  <si>
    <t>410-455-1311</t>
  </si>
  <si>
    <t>Illinois</t>
  </si>
  <si>
    <t>Dominican (CA)</t>
  </si>
  <si>
    <t>DIII1706</t>
  </si>
  <si>
    <t>San Rafael</t>
  </si>
  <si>
    <t>Augustana College - Illinois</t>
  </si>
  <si>
    <t>Kistler</t>
  </si>
  <si>
    <t>KristinaKistler@augustana.edu</t>
  </si>
  <si>
    <t>(309) 794-7529</t>
  </si>
  <si>
    <t>450-563</t>
  </si>
  <si>
    <t>468-560</t>
  </si>
  <si>
    <t>21-25</t>
  </si>
  <si>
    <t>DI2393</t>
  </si>
  <si>
    <t>Tori</t>
  </si>
  <si>
    <t>Vanderplas</t>
  </si>
  <si>
    <t>vicalex1@umbc.edu</t>
  </si>
  <si>
    <t>Augustana (IL)</t>
  </si>
  <si>
    <t>IL</t>
  </si>
  <si>
    <t>Rock Island</t>
  </si>
  <si>
    <t>510-620</t>
  </si>
  <si>
    <t>DI2444</t>
  </si>
  <si>
    <t>University of Massachusetts - Lowell</t>
  </si>
  <si>
    <t>Danielle</t>
  </si>
  <si>
    <t>Henderson</t>
  </si>
  <si>
    <t>danielle_henderson@uml.edu</t>
  </si>
  <si>
    <t>978-934-3977 978-934-3977</t>
  </si>
  <si>
    <t>DII1148</t>
  </si>
  <si>
    <t>Juliana</t>
  </si>
  <si>
    <t>Santos</t>
  </si>
  <si>
    <t>DIII1707</t>
  </si>
  <si>
    <t>juliana.santos@dominican.edu</t>
  </si>
  <si>
    <t>Jaime</t>
  </si>
  <si>
    <t>Rehmert</t>
  </si>
  <si>
    <t>Massachusetts-Lowell</t>
  </si>
  <si>
    <t>Lowell</t>
  </si>
  <si>
    <t>$29,002/$45,570</t>
  </si>
  <si>
    <t>DII1149</t>
  </si>
  <si>
    <t>Catlyn</t>
  </si>
  <si>
    <t>Cavender</t>
  </si>
  <si>
    <t>DIII1708</t>
  </si>
  <si>
    <t>Emilee</t>
  </si>
  <si>
    <t>DI2445</t>
  </si>
  <si>
    <t>Mikayla</t>
  </si>
  <si>
    <t>Panko</t>
  </si>
  <si>
    <t>mikayla_panko@uml.edu</t>
  </si>
  <si>
    <t>978-934-6734 978-934-6734</t>
  </si>
  <si>
    <t>DII1150</t>
  </si>
  <si>
    <t>Reynolds</t>
  </si>
  <si>
    <t>DIII1709</t>
  </si>
  <si>
    <t>Catalano</t>
  </si>
  <si>
    <t>DI2446</t>
  </si>
  <si>
    <t>Carbone</t>
  </si>
  <si>
    <t>Taylor_Carbone@uml.edu</t>
  </si>
  <si>
    <t>978-934-6767 978-934-6767</t>
  </si>
  <si>
    <t>DII1184</t>
  </si>
  <si>
    <t>Fresno Pacific University</t>
  </si>
  <si>
    <t>Fidel</t>
  </si>
  <si>
    <t>Chavez</t>
  </si>
  <si>
    <t>DIII1770</t>
  </si>
  <si>
    <t>Aurora University</t>
  </si>
  <si>
    <t>McKenzie</t>
  </si>
  <si>
    <t>mmckenzi@aurora.edu</t>
  </si>
  <si>
    <t>630-844-4939</t>
  </si>
  <si>
    <t>Fresno Pacific</t>
  </si>
  <si>
    <t>Fresno</t>
  </si>
  <si>
    <t>y (Mennonite Brethren Church)</t>
  </si>
  <si>
    <t>DI21020</t>
  </si>
  <si>
    <t>SUNY Stony Brook University</t>
  </si>
  <si>
    <t>Candi</t>
  </si>
  <si>
    <t>Letts</t>
  </si>
  <si>
    <t>candi.letts@stonybrook.edu</t>
  </si>
  <si>
    <t>632-4517 632-4517</t>
  </si>
  <si>
    <t>Stony Brook</t>
  </si>
  <si>
    <t>550-660</t>
  </si>
  <si>
    <t>600-710</t>
  </si>
  <si>
    <t>$24,649/$41,889</t>
  </si>
  <si>
    <t>Aurora (IL)</t>
  </si>
  <si>
    <t>Aurora</t>
  </si>
  <si>
    <t>DII1185</t>
  </si>
  <si>
    <t>Elijah</t>
  </si>
  <si>
    <t>Gallegos</t>
  </si>
  <si>
    <t>420-520</t>
  </si>
  <si>
    <t>DI2552</t>
  </si>
  <si>
    <t>Bryant</t>
  </si>
  <si>
    <t>megan.bryant@stonybrook.edu</t>
  </si>
  <si>
    <t>631-632-7282</t>
  </si>
  <si>
    <t>DII1186</t>
  </si>
  <si>
    <t>Shawn</t>
  </si>
  <si>
    <t>Peterson</t>
  </si>
  <si>
    <t>DIII1771</t>
  </si>
  <si>
    <t>Starkey</t>
  </si>
  <si>
    <t>DII1187</t>
  </si>
  <si>
    <t>Sena</t>
  </si>
  <si>
    <t>DIII1824</t>
  </si>
  <si>
    <t>Benedictine University</t>
  </si>
  <si>
    <t>Heidkamp</t>
  </si>
  <si>
    <t>kheidkamp@ben.edu</t>
  </si>
  <si>
    <t>630-829-6149</t>
  </si>
  <si>
    <t>DI2553</t>
  </si>
  <si>
    <t>Benet</t>
  </si>
  <si>
    <t>Higgs</t>
  </si>
  <si>
    <t>benet.higgs@stonybrook.edu</t>
  </si>
  <si>
    <t>631-632-4517</t>
  </si>
  <si>
    <t>DII1188</t>
  </si>
  <si>
    <t>Benedictine (IL)</t>
  </si>
  <si>
    <t>Lisle</t>
  </si>
  <si>
    <t>Ramirez</t>
  </si>
  <si>
    <t>jaime.ramirez@fresno.edu</t>
  </si>
  <si>
    <t>(559) 453-2085</t>
  </si>
  <si>
    <t>Atlantic 10</t>
  </si>
  <si>
    <t>OH</t>
  </si>
  <si>
    <t>DI2718</t>
  </si>
  <si>
    <t>University of Dayton</t>
  </si>
  <si>
    <t>Cara</t>
  </si>
  <si>
    <t>LaPlaca</t>
  </si>
  <si>
    <t>flyersoftball@udayton.edu</t>
  </si>
  <si>
    <t>DIII1825</t>
  </si>
  <si>
    <t>(937) 229-4399 (937) 229-4399</t>
  </si>
  <si>
    <t>Lisa</t>
  </si>
  <si>
    <t>Gaskin</t>
  </si>
  <si>
    <t>lgaskin@ben.edu</t>
  </si>
  <si>
    <t>630-829-6152</t>
  </si>
  <si>
    <t>DIII1826</t>
  </si>
  <si>
    <t>Kathy</t>
  </si>
  <si>
    <t>Tumpane</t>
  </si>
  <si>
    <t>DII1189</t>
  </si>
  <si>
    <t>Carlos</t>
  </si>
  <si>
    <t>Herrada</t>
  </si>
  <si>
    <t>Dayton</t>
  </si>
  <si>
    <t>DIII1861</t>
  </si>
  <si>
    <t>Blackburn College</t>
  </si>
  <si>
    <t>Crum</t>
  </si>
  <si>
    <t>kerry.crum@blackburn.edu</t>
  </si>
  <si>
    <t>c: 217-415-5065</t>
  </si>
  <si>
    <t>DII1235</t>
  </si>
  <si>
    <t>Holy Names University</t>
  </si>
  <si>
    <t>Geena</t>
  </si>
  <si>
    <t>Garabedian</t>
  </si>
  <si>
    <t>garabedian@hnu.edu</t>
  </si>
  <si>
    <t>Blackburn</t>
  </si>
  <si>
    <t>Carlinville</t>
  </si>
  <si>
    <t>420-450</t>
  </si>
  <si>
    <t>370-440</t>
  </si>
  <si>
    <t>DI2719</t>
  </si>
  <si>
    <t>Tristan</t>
  </si>
  <si>
    <t>Wilcox</t>
  </si>
  <si>
    <t>twilcox1@udayton.edu</t>
  </si>
  <si>
    <t>Holy Names</t>
  </si>
  <si>
    <t>(937) 229-4188 (937) 229-4188</t>
  </si>
  <si>
    <t>Oakland</t>
  </si>
  <si>
    <t>402-490</t>
  </si>
  <si>
    <t>16-19</t>
  </si>
  <si>
    <t>DIII20956</t>
  </si>
  <si>
    <t>Halle</t>
  </si>
  <si>
    <t>Fransen</t>
  </si>
  <si>
    <t>halle.fransen@blackburn.edu</t>
  </si>
  <si>
    <t>DII1236</t>
  </si>
  <si>
    <t>DI2720</t>
  </si>
  <si>
    <t>Francesca</t>
  </si>
  <si>
    <t>Rodgers</t>
  </si>
  <si>
    <t>Carrullo</t>
  </si>
  <si>
    <t>rodgers@hnu.edu</t>
  </si>
  <si>
    <t>fcarrullo1@udayton.edu</t>
  </si>
  <si>
    <t>510-436-1491 510-436-1491</t>
  </si>
  <si>
    <t>DIII1893</t>
  </si>
  <si>
    <t>University of Chicago</t>
  </si>
  <si>
    <t>Kmak</t>
  </si>
  <si>
    <t>ruthkmak@uchicago.edu</t>
  </si>
  <si>
    <t>773-702-4642</t>
  </si>
  <si>
    <t>DI2721</t>
  </si>
  <si>
    <t>DII1264</t>
  </si>
  <si>
    <t>Amanda</t>
  </si>
  <si>
    <t>Humboldt State University</t>
  </si>
  <si>
    <t>Chicago</t>
  </si>
  <si>
    <t>Greenfield</t>
  </si>
  <si>
    <t>Breonna</t>
  </si>
  <si>
    <t>Bejaran</t>
  </si>
  <si>
    <t>agreenfield1@udayton.edu</t>
  </si>
  <si>
    <t>bfb44@humboldt.edu</t>
  </si>
  <si>
    <t>707-826-5956 707-826-5956</t>
  </si>
  <si>
    <t>720-800</t>
  </si>
  <si>
    <t>730-800</t>
  </si>
  <si>
    <t>DI2831</t>
  </si>
  <si>
    <t>Fordham University</t>
  </si>
  <si>
    <t>Inouye</t>
  </si>
  <si>
    <t>minouye@fordham.edu</t>
  </si>
  <si>
    <t>718-817-4412 718-817-4412</t>
  </si>
  <si>
    <t>DIII1894</t>
  </si>
  <si>
    <t>Humboldt State</t>
  </si>
  <si>
    <t>Arcata</t>
  </si>
  <si>
    <t>Ostler</t>
  </si>
  <si>
    <t>$23,951/$35,111</t>
  </si>
  <si>
    <t>Fordham</t>
  </si>
  <si>
    <t>New York City</t>
  </si>
  <si>
    <t>580-680</t>
  </si>
  <si>
    <t>590-690</t>
  </si>
  <si>
    <t>27-31</t>
  </si>
  <si>
    <t>DIII1895</t>
  </si>
  <si>
    <t>Alex</t>
  </si>
  <si>
    <t>Chiodo</t>
  </si>
  <si>
    <t>DII1265</t>
  </si>
  <si>
    <t>Madison</t>
  </si>
  <si>
    <t>Williams</t>
  </si>
  <si>
    <t>maw525@humboldt.edu</t>
  </si>
  <si>
    <t>DI2832</t>
  </si>
  <si>
    <t>Klampert</t>
  </si>
  <si>
    <t>mklampert@fordham.edu</t>
  </si>
  <si>
    <t>718-817-5949 718-817-5949</t>
  </si>
  <si>
    <t>DIII20272</t>
  </si>
  <si>
    <t>Myra</t>
  </si>
  <si>
    <t>Minuskin</t>
  </si>
  <si>
    <t>minuskin@uchicago.edu</t>
  </si>
  <si>
    <t>773-702-3866</t>
  </si>
  <si>
    <t>DII1266</t>
  </si>
  <si>
    <t>Shelli</t>
  </si>
  <si>
    <t>Sarchett</t>
  </si>
  <si>
    <t>mcm13@humboldt.edu</t>
  </si>
  <si>
    <t>707-826-5960 707-826-5960</t>
  </si>
  <si>
    <t>DI2833</t>
  </si>
  <si>
    <t>McEachern</t>
  </si>
  <si>
    <t>DIII1936</t>
  </si>
  <si>
    <t>kmceachern@fordham.edu</t>
  </si>
  <si>
    <t>Concordia University - Chicago</t>
  </si>
  <si>
    <t>718-817-2879 718-817-2879</t>
  </si>
  <si>
    <t>O'Malley-Fisher</t>
  </si>
  <si>
    <t>Sarah.OMalleyFisher@CUChicago.edu</t>
  </si>
  <si>
    <t>(708) 209-3650</t>
  </si>
  <si>
    <t>DII1284</t>
  </si>
  <si>
    <t>Notre Dame de Namur University</t>
  </si>
  <si>
    <t>Selina</t>
  </si>
  <si>
    <t>Rodriguez</t>
  </si>
  <si>
    <t>DI2884</t>
  </si>
  <si>
    <t>George Mason University</t>
  </si>
  <si>
    <t>Verbanic</t>
  </si>
  <si>
    <t>jverbani@gmu.edu</t>
  </si>
  <si>
    <t>(703) 993-3296 (703) 993-3296</t>
  </si>
  <si>
    <t>Concordia (IL)</t>
  </si>
  <si>
    <t>River Forest</t>
  </si>
  <si>
    <t>Notre Dame de Namur (CA)</t>
  </si>
  <si>
    <t>Belmont</t>
  </si>
  <si>
    <t>George Mason</t>
  </si>
  <si>
    <t>Fairfax</t>
  </si>
  <si>
    <t>400-508</t>
  </si>
  <si>
    <t>400-510</t>
  </si>
  <si>
    <t>17-22</t>
  </si>
  <si>
    <t>$27,860/$49,142</t>
  </si>
  <si>
    <t>DIII1937</t>
  </si>
  <si>
    <t>Golitko</t>
  </si>
  <si>
    <t>DI2885</t>
  </si>
  <si>
    <t>DII1285</t>
  </si>
  <si>
    <t>Justin</t>
  </si>
  <si>
    <t>Walker</t>
  </si>
  <si>
    <t>Katlin</t>
  </si>
  <si>
    <t>Olesky</t>
  </si>
  <si>
    <t>jrosswal@gmu.edu</t>
  </si>
  <si>
    <t>703-993-5630 703-993-5630</t>
  </si>
  <si>
    <t>kolesky@ndnu.edu</t>
  </si>
  <si>
    <t>c: 949-690-3550</t>
  </si>
  <si>
    <t>DIII20014</t>
  </si>
  <si>
    <t>Michele</t>
  </si>
  <si>
    <t>Alexander</t>
  </si>
  <si>
    <t>crf_alexanmr@cuchicago.edu</t>
  </si>
  <si>
    <t>DI2886</t>
  </si>
  <si>
    <t>DIII21564</t>
  </si>
  <si>
    <t>Griffith</t>
  </si>
  <si>
    <t>Angelica</t>
  </si>
  <si>
    <t>mgriff4@gmu.edu</t>
  </si>
  <si>
    <t>Terrel</t>
  </si>
  <si>
    <t>703-993-3813 703-993-3813</t>
  </si>
  <si>
    <t>DIII20393</t>
  </si>
  <si>
    <t>Marita</t>
  </si>
  <si>
    <t>Van Dyke</t>
  </si>
  <si>
    <t>crf_vandykjm@cuchicago.edu</t>
  </si>
  <si>
    <t>DII1350</t>
  </si>
  <si>
    <t>San Francisco State University</t>
  </si>
  <si>
    <t>Tayler</t>
  </si>
  <si>
    <t>DI2952</t>
  </si>
  <si>
    <t>Misfeldt</t>
  </si>
  <si>
    <t>DIII1973</t>
  </si>
  <si>
    <t>misfeldt@sfsu.edu</t>
  </si>
  <si>
    <t>George Washington University</t>
  </si>
  <si>
    <t>Shane</t>
  </si>
  <si>
    <t>Dominican University - Illinois</t>
  </si>
  <si>
    <t>Winkler</t>
  </si>
  <si>
    <t>Lukas</t>
  </si>
  <si>
    <t>winkler@gwu.edu</t>
  </si>
  <si>
    <t>clukas@dom.edu</t>
  </si>
  <si>
    <t>708-524-6237</t>
  </si>
  <si>
    <t>Dominican (IL)</t>
  </si>
  <si>
    <t>430-630</t>
  </si>
  <si>
    <t>20-25</t>
  </si>
  <si>
    <t>George Washington</t>
  </si>
  <si>
    <t>Washington D.C.</t>
  </si>
  <si>
    <t>San Francisco State</t>
  </si>
  <si>
    <t>580-695</t>
  </si>
  <si>
    <t>$25,232/$36,392</t>
  </si>
  <si>
    <t>DIII1974</t>
  </si>
  <si>
    <t>Garry</t>
  </si>
  <si>
    <t>Rivera</t>
  </si>
  <si>
    <t>grivera@dom.edu</t>
  </si>
  <si>
    <t>DI2953</t>
  </si>
  <si>
    <t>Kiana</t>
  </si>
  <si>
    <t>Quolas</t>
  </si>
  <si>
    <t>krquolas@gwu.edu</t>
  </si>
  <si>
    <t>202-994-4637</t>
  </si>
  <si>
    <t>DIII1975</t>
  </si>
  <si>
    <t>DII1352</t>
  </si>
  <si>
    <t>Allison</t>
  </si>
  <si>
    <t>Muligan</t>
  </si>
  <si>
    <t>amulligan@dom.edu</t>
  </si>
  <si>
    <t>708-524-5943</t>
  </si>
  <si>
    <t>Reid</t>
  </si>
  <si>
    <t>aliciareid@sfsu.edu</t>
  </si>
  <si>
    <t>415-338-2707</t>
  </si>
  <si>
    <t>DIII1976</t>
  </si>
  <si>
    <t>DI2954</t>
  </si>
  <si>
    <t>Potthast</t>
  </si>
  <si>
    <t>tpotthast@dom.edu</t>
  </si>
  <si>
    <t>Laina</t>
  </si>
  <si>
    <t>Holmgren</t>
  </si>
  <si>
    <t>lholmgren@gwu.edu</t>
  </si>
  <si>
    <t>202-242-3906</t>
  </si>
  <si>
    <t>DII1376</t>
  </si>
  <si>
    <t>Sonoma State University</t>
  </si>
  <si>
    <t>Brittney</t>
  </si>
  <si>
    <t>DIII2017</t>
  </si>
  <si>
    <t>Elmhurst College</t>
  </si>
  <si>
    <t>Scott</t>
  </si>
  <si>
    <t>Wachholz</t>
  </si>
  <si>
    <t>scott.wachholz@elmhurst.edu</t>
  </si>
  <si>
    <t>630-617-6140</t>
  </si>
  <si>
    <t>DI21016</t>
  </si>
  <si>
    <t>La Salle University</t>
  </si>
  <si>
    <t>Sara</t>
  </si>
  <si>
    <t>Keeny</t>
  </si>
  <si>
    <t>keenys1@lasalle.edu</t>
  </si>
  <si>
    <t>Sonoma State</t>
  </si>
  <si>
    <t>La Salle</t>
  </si>
  <si>
    <t>Rohnert Park</t>
  </si>
  <si>
    <t>Philadelphia</t>
  </si>
  <si>
    <t>$25,178/$36,338</t>
  </si>
  <si>
    <t>Elmhurst</t>
  </si>
  <si>
    <t>450-590</t>
  </si>
  <si>
    <t>DI3002</t>
  </si>
  <si>
    <t>DII1377</t>
  </si>
  <si>
    <t>Darreff</t>
  </si>
  <si>
    <t>darreff@lasalle.edu</t>
  </si>
  <si>
    <t>215-951-5087</t>
  </si>
  <si>
    <t>garciabri@sonoma.edu</t>
  </si>
  <si>
    <t>DIII2018</t>
  </si>
  <si>
    <t>Peter</t>
  </si>
  <si>
    <t>DII1378</t>
  </si>
  <si>
    <t>Bridges</t>
  </si>
  <si>
    <t>jennifer.bridges@sonoma.edu</t>
  </si>
  <si>
    <t>707-664-4054</t>
  </si>
  <si>
    <t>DIII2070</t>
  </si>
  <si>
    <t>Eureka College</t>
  </si>
  <si>
    <t>Debi</t>
  </si>
  <si>
    <t>Neff</t>
  </si>
  <si>
    <t>debineff@eureka.edu</t>
  </si>
  <si>
    <t>309-467-6376</t>
  </si>
  <si>
    <t>DI3003</t>
  </si>
  <si>
    <t>Seneca</t>
  </si>
  <si>
    <t>senecaj1@lasalle.edu</t>
  </si>
  <si>
    <t>Eureka</t>
  </si>
  <si>
    <t>410-620</t>
  </si>
  <si>
    <t>410-590</t>
  </si>
  <si>
    <t>Rocky Mountain (RMAC)</t>
  </si>
  <si>
    <t>Colorado</t>
  </si>
  <si>
    <t>DII1415</t>
  </si>
  <si>
    <t>Adams State University</t>
  </si>
  <si>
    <t>AC Shannon has been removed.</t>
  </si>
  <si>
    <t>DI3055</t>
  </si>
  <si>
    <t>University of Massachusetts - Amherst</t>
  </si>
  <si>
    <t>DIII2071</t>
  </si>
  <si>
    <t>Stefanoni</t>
  </si>
  <si>
    <t>Kelli</t>
  </si>
  <si>
    <t>Dunne</t>
  </si>
  <si>
    <t>kstefano@admin.umass.edu</t>
  </si>
  <si>
    <t>@UMCoachKristi</t>
  </si>
  <si>
    <t>Massachusetts (UMASS)</t>
  </si>
  <si>
    <t>Amherst</t>
  </si>
  <si>
    <t>$29,268/$46,501</t>
  </si>
  <si>
    <t>Adams State</t>
  </si>
  <si>
    <t>CO</t>
  </si>
  <si>
    <t>Alamosa</t>
  </si>
  <si>
    <t>413-530</t>
  </si>
  <si>
    <t>DIII2103</t>
  </si>
  <si>
    <t>$22,266/$33,282</t>
  </si>
  <si>
    <t>Greenville University</t>
  </si>
  <si>
    <t>Buddy</t>
  </si>
  <si>
    <t>Foster</t>
  </si>
  <si>
    <t>buddy.foster@greenville.edu</t>
  </si>
  <si>
    <t>618.664.6835</t>
  </si>
  <si>
    <t>DII1416</t>
  </si>
  <si>
    <t>DI3056</t>
  </si>
  <si>
    <t>y (Free Methodist)</t>
  </si>
  <si>
    <t>Dervin</t>
  </si>
  <si>
    <t>Ronnie</t>
  </si>
  <si>
    <t>400-540</t>
  </si>
  <si>
    <t>Gajownik</t>
  </si>
  <si>
    <t>vgajownik@umass.edu</t>
  </si>
  <si>
    <t>dtaylor@adams.edu</t>
  </si>
  <si>
    <t>413-545-0038</t>
  </si>
  <si>
    <t>587-7842 587-7842</t>
  </si>
  <si>
    <t>DIII2104</t>
  </si>
  <si>
    <t>DIII21567</t>
  </si>
  <si>
    <t>Kessler</t>
  </si>
  <si>
    <t>Micciulli</t>
  </si>
  <si>
    <t>whitney.kessler@greenville.edu</t>
  </si>
  <si>
    <t>(618) 664-6629</t>
  </si>
  <si>
    <t>DI3057</t>
  </si>
  <si>
    <t>Messina</t>
  </si>
  <si>
    <t>DII1451</t>
  </si>
  <si>
    <t>Colorado Christian University</t>
  </si>
  <si>
    <t>Shelbie</t>
  </si>
  <si>
    <t>shday@ccu.edu</t>
  </si>
  <si>
    <t>DIII2105</t>
  </si>
  <si>
    <t>Kylie</t>
  </si>
  <si>
    <t>RI</t>
  </si>
  <si>
    <t>kgrant@greenville.edu</t>
  </si>
  <si>
    <t>DI3120</t>
  </si>
  <si>
    <t>University of Rhode Island</t>
  </si>
  <si>
    <t>Bridget</t>
  </si>
  <si>
    <t>Hurlman</t>
  </si>
  <si>
    <t>bhurlman@uri.edu</t>
  </si>
  <si>
    <t>401-874-5232</t>
  </si>
  <si>
    <t>Colorado Christian</t>
  </si>
  <si>
    <t>DIII2156</t>
  </si>
  <si>
    <t>Lakewood</t>
  </si>
  <si>
    <t>Illinois College</t>
  </si>
  <si>
    <t>Meghan</t>
  </si>
  <si>
    <t>Roman</t>
  </si>
  <si>
    <t>meghan.roman@ic.edu</t>
  </si>
  <si>
    <t>217.245.3197</t>
  </si>
  <si>
    <t>Rhode Island</t>
  </si>
  <si>
    <t>Kingston</t>
  </si>
  <si>
    <t>480-580</t>
  </si>
  <si>
    <t>$28,405/$44,395</t>
  </si>
  <si>
    <t>DII1452</t>
  </si>
  <si>
    <t>Kenzie</t>
  </si>
  <si>
    <t>Mattey</t>
  </si>
  <si>
    <t>Jacksonville</t>
  </si>
  <si>
    <t>DI3121</t>
  </si>
  <si>
    <t>403-560</t>
  </si>
  <si>
    <t>443-538</t>
  </si>
  <si>
    <t>Mary</t>
  </si>
  <si>
    <t>Holt-Kelsch</t>
  </si>
  <si>
    <t>mary_holt@uri.edu</t>
  </si>
  <si>
    <t>DIII2157</t>
  </si>
  <si>
    <t>DII1453</t>
  </si>
  <si>
    <t>Noel</t>
  </si>
  <si>
    <t>stephanie.noel@ic.edu</t>
  </si>
  <si>
    <t>Larry</t>
  </si>
  <si>
    <t>Hays</t>
  </si>
  <si>
    <t>lahays@ccu.edu</t>
  </si>
  <si>
    <t>DI3122</t>
  </si>
  <si>
    <t>Gamache</t>
  </si>
  <si>
    <t>olivia_gamache@uri.edu</t>
  </si>
  <si>
    <t>DIII2158</t>
  </si>
  <si>
    <t>Payton</t>
  </si>
  <si>
    <t>Cloe</t>
  </si>
  <si>
    <t>DII1496</t>
  </si>
  <si>
    <t>Colorado Mesa University</t>
  </si>
  <si>
    <t>Mercedes</t>
  </si>
  <si>
    <t>Lovato</t>
  </si>
  <si>
    <t>mlovato@coloradomesa.edu</t>
  </si>
  <si>
    <t>970-248-1431</t>
  </si>
  <si>
    <t>DI3220</t>
  </si>
  <si>
    <t>St. Bonaventure University</t>
  </si>
  <si>
    <t>Threehouse</t>
  </si>
  <si>
    <t>mthreeho@sbu.edu</t>
  </si>
  <si>
    <t>716-375-2289</t>
  </si>
  <si>
    <t>DIII2245</t>
  </si>
  <si>
    <t>Illinois Wesleyan University</t>
  </si>
  <si>
    <t>Prager</t>
  </si>
  <si>
    <t>tprager@iwu.edu</t>
  </si>
  <si>
    <t>Colorado Mesa</t>
  </si>
  <si>
    <t>(309) 556-2755</t>
  </si>
  <si>
    <t>Grand Junction</t>
  </si>
  <si>
    <t xml:space="preserve">St. Bonaventure </t>
  </si>
  <si>
    <t>435-540</t>
  </si>
  <si>
    <t>St. Bonaventure</t>
  </si>
  <si>
    <t>435-550</t>
  </si>
  <si>
    <t>$22,719/$33,880</t>
  </si>
  <si>
    <t>470-583</t>
  </si>
  <si>
    <t>20-27</t>
  </si>
  <si>
    <t>Illinois Wesleyan</t>
  </si>
  <si>
    <t>DII1497</t>
  </si>
  <si>
    <t>Bloomington</t>
  </si>
  <si>
    <t>Erik</t>
  </si>
  <si>
    <t>Kozel</t>
  </si>
  <si>
    <t>510-640</t>
  </si>
  <si>
    <t>ekozel@coloradomesa.edu</t>
  </si>
  <si>
    <t>DI3221</t>
  </si>
  <si>
    <t>620-760</t>
  </si>
  <si>
    <t>Todd</t>
  </si>
  <si>
    <t>Randall</t>
  </si>
  <si>
    <t>trandall@sbu.edu</t>
  </si>
  <si>
    <t>DIII2246</t>
  </si>
  <si>
    <t>Grimes</t>
  </si>
  <si>
    <t>DII1548</t>
  </si>
  <si>
    <t>Colorado School of Mines</t>
  </si>
  <si>
    <t>Barbara</t>
  </si>
  <si>
    <t>303-273-3937 303-273-3937</t>
  </si>
  <si>
    <t>DI3222</t>
  </si>
  <si>
    <t>Schultz</t>
  </si>
  <si>
    <t>ashultz@sbu.edu</t>
  </si>
  <si>
    <t>716-375-2211</t>
  </si>
  <si>
    <t>Golden</t>
  </si>
  <si>
    <t>DIII2247</t>
  </si>
  <si>
    <t>$32,684/$51,014</t>
  </si>
  <si>
    <t>nmiller3@iwu.edu</t>
  </si>
  <si>
    <t>DI3265</t>
  </si>
  <si>
    <t>Saint Joseph's University</t>
  </si>
  <si>
    <t>Brooks</t>
  </si>
  <si>
    <t>ebrooks@sju.edu</t>
  </si>
  <si>
    <t>610-660-1734</t>
  </si>
  <si>
    <t>DII1549</t>
  </si>
  <si>
    <t>Kara</t>
  </si>
  <si>
    <t>DIII2248</t>
  </si>
  <si>
    <t>Kimmy</t>
  </si>
  <si>
    <t>Hassel</t>
  </si>
  <si>
    <t>St. Joseph's (PA)</t>
  </si>
  <si>
    <t>520-610</t>
  </si>
  <si>
    <t>DIII2314</t>
  </si>
  <si>
    <t>Knox College</t>
  </si>
  <si>
    <t>DII1550</t>
  </si>
  <si>
    <t>Rutledge</t>
  </si>
  <si>
    <t>eerutledge@knox.edu</t>
  </si>
  <si>
    <t>309-341-7284</t>
  </si>
  <si>
    <t>Wheeler</t>
  </si>
  <si>
    <t>twheeler@mines.edu</t>
  </si>
  <si>
    <t>DI3266</t>
  </si>
  <si>
    <t>McCool</t>
  </si>
  <si>
    <t>gmccool@sju.edu</t>
  </si>
  <si>
    <t>Knox</t>
  </si>
  <si>
    <t>Galesburg</t>
  </si>
  <si>
    <t>DII1612</t>
  </si>
  <si>
    <t>Colorado State University - Pueblo</t>
  </si>
  <si>
    <t>andrea.smylie@csupueblo.edu</t>
  </si>
  <si>
    <t>719-549-2240 719-549-2240</t>
  </si>
  <si>
    <t>MO</t>
  </si>
  <si>
    <t>DI3304</t>
  </si>
  <si>
    <t>Saint Louis University</t>
  </si>
  <si>
    <t>Christy</t>
  </si>
  <si>
    <t>Connoyer</t>
  </si>
  <si>
    <t>christy.connoyer@slu.edu</t>
  </si>
  <si>
    <t>314-977-3284</t>
  </si>
  <si>
    <t>DIII2315</t>
  </si>
  <si>
    <t>Colorado State-Pueblo</t>
  </si>
  <si>
    <t>Vernon</t>
  </si>
  <si>
    <t>Pueblo</t>
  </si>
  <si>
    <t>440-530</t>
  </si>
  <si>
    <t>$24,909/$39,491</t>
  </si>
  <si>
    <t>St. Louis</t>
  </si>
  <si>
    <t>540-660</t>
  </si>
  <si>
    <t>DIII2352</t>
  </si>
  <si>
    <t>Lake Forest College</t>
  </si>
  <si>
    <t>Kinsella</t>
  </si>
  <si>
    <t>kinsella@lakeforest.edu</t>
  </si>
  <si>
    <t>DII1613</t>
  </si>
  <si>
    <t>847-735-5291</t>
  </si>
  <si>
    <t>Zinanti</t>
  </si>
  <si>
    <t>DI3305</t>
  </si>
  <si>
    <t>Carmody</t>
  </si>
  <si>
    <t>chelsey.carmody@slu.edu</t>
  </si>
  <si>
    <t>Lake Forest</t>
  </si>
  <si>
    <t>314-977-9532</t>
  </si>
  <si>
    <t>520-600</t>
  </si>
  <si>
    <t>DII1614</t>
  </si>
  <si>
    <t>Koschke</t>
  </si>
  <si>
    <t>DI3306</t>
  </si>
  <si>
    <t>DIII2353</t>
  </si>
  <si>
    <t>christie.zinanti@csupueblo.edu</t>
  </si>
  <si>
    <t>Maxine</t>
  </si>
  <si>
    <t>(719) 549-2767 (719) 549-2767</t>
  </si>
  <si>
    <t>maxine.rodriguez@slu.edu</t>
  </si>
  <si>
    <t>Fillipp</t>
  </si>
  <si>
    <t>314-977-9535</t>
  </si>
  <si>
    <t>fillipp@lakeforest.edu</t>
  </si>
  <si>
    <t>DI3307</t>
  </si>
  <si>
    <t>DIII2397</t>
  </si>
  <si>
    <t>Volunteer AC Jay has been removed.</t>
  </si>
  <si>
    <t>MacMurray College</t>
  </si>
  <si>
    <t>Samantha</t>
  </si>
  <si>
    <t>Valentine</t>
  </si>
  <si>
    <t>DII1659</t>
  </si>
  <si>
    <t>samantha.valentine@mac.edu</t>
  </si>
  <si>
    <t>217-479-7140</t>
  </si>
  <si>
    <t>University of Colorado - Colorado Springs</t>
  </si>
  <si>
    <t>Ercolano</t>
  </si>
  <si>
    <t>aercolan@uccs.edu</t>
  </si>
  <si>
    <t>(719) 255-3006 (719) 255-3006</t>
  </si>
  <si>
    <t>Atlantic Sun</t>
  </si>
  <si>
    <t>DI3395</t>
  </si>
  <si>
    <t>Florida Gulf Coast University</t>
  </si>
  <si>
    <t>Deiros</t>
  </si>
  <si>
    <t>ddeiros@fgcu.edu</t>
  </si>
  <si>
    <t>(239) 590-7052</t>
  </si>
  <si>
    <t>MacMurray (IL)</t>
  </si>
  <si>
    <t>390-460</t>
  </si>
  <si>
    <t>460-480</t>
  </si>
  <si>
    <t>18-22</t>
  </si>
  <si>
    <t>Colorado-Colorado Springs</t>
  </si>
  <si>
    <t>Colorado Springs</t>
  </si>
  <si>
    <t>470-600</t>
  </si>
  <si>
    <t>Florida Gulf Coast</t>
  </si>
  <si>
    <t>$24,342/$35,070</t>
  </si>
  <si>
    <t>Fort Myers</t>
  </si>
  <si>
    <t>DIII2398</t>
  </si>
  <si>
    <t>500-580</t>
  </si>
  <si>
    <t>Ryan</t>
  </si>
  <si>
    <t>Hickman</t>
  </si>
  <si>
    <t>ryan.hickman@mac.edu</t>
  </si>
  <si>
    <t>$20,390/$39,434</t>
  </si>
  <si>
    <t>DII1660</t>
  </si>
  <si>
    <t>DI3396</t>
  </si>
  <si>
    <t>Ricki</t>
  </si>
  <si>
    <t>Rothbauer-Stubbs</t>
  </si>
  <si>
    <t>Kertes</t>
  </si>
  <si>
    <t>erothbau@uccs.edu</t>
  </si>
  <si>
    <t>jkertes@fgcu.edu</t>
  </si>
  <si>
    <t>DIII2428</t>
  </si>
  <si>
    <t>(239) 590-7062</t>
  </si>
  <si>
    <t>Millikin University</t>
  </si>
  <si>
    <t>Tenboer</t>
  </si>
  <si>
    <t>Co-Head coach</t>
  </si>
  <si>
    <t>ktenboer@millikin.edu</t>
  </si>
  <si>
    <t>217-420-6632</t>
  </si>
  <si>
    <t>DI3397</t>
  </si>
  <si>
    <t>Edwards</t>
  </si>
  <si>
    <t>Millikin</t>
  </si>
  <si>
    <t>jedwards@fgcu.edu</t>
  </si>
  <si>
    <t>DII1691</t>
  </si>
  <si>
    <t>Fort Lewis College</t>
  </si>
  <si>
    <t>Angelique</t>
  </si>
  <si>
    <t>470-580</t>
  </si>
  <si>
    <t>Elemen</t>
  </si>
  <si>
    <t>440-500</t>
  </si>
  <si>
    <t>amelemen@fortlewis.edu</t>
  </si>
  <si>
    <t>970-247-7067</t>
  </si>
  <si>
    <t>DI3454</t>
  </si>
  <si>
    <t>Jacksonville University</t>
  </si>
  <si>
    <t>Erica</t>
  </si>
  <si>
    <t>Fort Lewis</t>
  </si>
  <si>
    <t>Ayers</t>
  </si>
  <si>
    <t>DIII2429</t>
  </si>
  <si>
    <t>Durango</t>
  </si>
  <si>
    <t>eayers1@ju.edu</t>
  </si>
  <si>
    <t>(904) 256-7110 (904) 256-7110</t>
  </si>
  <si>
    <t>Sowers</t>
  </si>
  <si>
    <t>wsowers@millikin.edu</t>
  </si>
  <si>
    <t>217-425-4642</t>
  </si>
  <si>
    <t>DIII2430</t>
  </si>
  <si>
    <t>Stupek</t>
  </si>
  <si>
    <t>DI3455</t>
  </si>
  <si>
    <t>Haverman</t>
  </si>
  <si>
    <t>$25,524/$35,236</t>
  </si>
  <si>
    <t>ahaverm@ju.edu</t>
  </si>
  <si>
    <t>DIII2480</t>
  </si>
  <si>
    <t>Monmouth College</t>
  </si>
  <si>
    <t>Goddard</t>
  </si>
  <si>
    <t>jgoddard@monmouthcollege.edu</t>
  </si>
  <si>
    <t>309-457-2295</t>
  </si>
  <si>
    <t>DI3456</t>
  </si>
  <si>
    <t>Gettins</t>
  </si>
  <si>
    <t>cgettin1@ju.edu</t>
  </si>
  <si>
    <t>DII1692</t>
  </si>
  <si>
    <t>Monmouth (IL)</t>
  </si>
  <si>
    <t>Monmouth</t>
  </si>
  <si>
    <t>430-560</t>
  </si>
  <si>
    <t>DI3457</t>
  </si>
  <si>
    <t>Mario</t>
  </si>
  <si>
    <t>Hernandez</t>
  </si>
  <si>
    <t>mhernan13@ju.edu</t>
  </si>
  <si>
    <t>DIII2481</t>
  </si>
  <si>
    <t>Mollie</t>
  </si>
  <si>
    <t>Murdock</t>
  </si>
  <si>
    <t>mmurdock@monmouthcollege.edu</t>
  </si>
  <si>
    <t>DIII21583</t>
  </si>
  <si>
    <t>Reeves</t>
  </si>
  <si>
    <t>apreeves@fortlewis.edu</t>
  </si>
  <si>
    <t>DI3518</t>
  </si>
  <si>
    <t>970-247-7067 970-247-7067</t>
  </si>
  <si>
    <t>Kennesaw State University</t>
  </si>
  <si>
    <t>Tripp</t>
  </si>
  <si>
    <t>MacKay</t>
  </si>
  <si>
    <t>TrippMacKay@kennesaw.edu</t>
  </si>
  <si>
    <t>470-578-2102 470-578-2102</t>
  </si>
  <si>
    <t>DIII2482</t>
  </si>
  <si>
    <t>Kirsti</t>
  </si>
  <si>
    <t>Barton</t>
  </si>
  <si>
    <t>Kennesaw State</t>
  </si>
  <si>
    <t>Kennesaw</t>
  </si>
  <si>
    <t>$25,773/$36,349</t>
  </si>
  <si>
    <t>DI3519</t>
  </si>
  <si>
    <t>DII1721</t>
  </si>
  <si>
    <t>Alyssa</t>
  </si>
  <si>
    <t>Cousins</t>
  </si>
  <si>
    <t>DIII2541</t>
  </si>
  <si>
    <t>Metropolitan State University of Denver</t>
  </si>
  <si>
    <t>acousin5@kennesaw.edu</t>
  </si>
  <si>
    <t>North Central College</t>
  </si>
  <si>
    <t>Jacqueline</t>
  </si>
  <si>
    <t>470-578-2103 470-578-2103</t>
  </si>
  <si>
    <t>Kulawiak</t>
  </si>
  <si>
    <t>jpkulawiak@noctrl.edu</t>
  </si>
  <si>
    <t>Flood</t>
  </si>
  <si>
    <t>630-637-5509</t>
  </si>
  <si>
    <t>jflood7@msudenver.edu</t>
  </si>
  <si>
    <t>303-615-0572 303-615-0572</t>
  </si>
  <si>
    <t>North Central (IL)</t>
  </si>
  <si>
    <t>DI3520</t>
  </si>
  <si>
    <t>Naperville</t>
  </si>
  <si>
    <t>Camden</t>
  </si>
  <si>
    <t>Decker</t>
  </si>
  <si>
    <t>cdecker9@kennesaw.edu</t>
  </si>
  <si>
    <t>470-578-2123 470-578-2123</t>
  </si>
  <si>
    <t>Metropolitan State-Denver</t>
  </si>
  <si>
    <t>Denver</t>
  </si>
  <si>
    <t>$23,988/$37,154</t>
  </si>
  <si>
    <t>DIII2542</t>
  </si>
  <si>
    <t>DI3521</t>
  </si>
  <si>
    <t>Marshall</t>
  </si>
  <si>
    <t>amarsh64@kennesaw.edu</t>
  </si>
  <si>
    <t>DIII20115</t>
  </si>
  <si>
    <t>North Park University</t>
  </si>
  <si>
    <t>DII1722</t>
  </si>
  <si>
    <t>Eberling</t>
  </si>
  <si>
    <t>reeberling@northpark.edu</t>
  </si>
  <si>
    <t>North Park</t>
  </si>
  <si>
    <t>Van Wetzinga</t>
  </si>
  <si>
    <t>y (Evangelical Covenant Church)</t>
  </si>
  <si>
    <t>ahurst4@msudenver.edu</t>
  </si>
  <si>
    <t>430-580</t>
  </si>
  <si>
    <t>c: 303-556-4864; o: 303-615-0545</t>
  </si>
  <si>
    <t>442-580</t>
  </si>
  <si>
    <t>DIII2604</t>
  </si>
  <si>
    <t>Lipscomb University</t>
  </si>
  <si>
    <t>Ryman</t>
  </si>
  <si>
    <t>kristin.peck@lipscomb.edu</t>
  </si>
  <si>
    <t>(615) 966-5889</t>
  </si>
  <si>
    <t>kanderson5@northpark.edu</t>
  </si>
  <si>
    <t>(773) 244-6254</t>
  </si>
  <si>
    <t>Lipscomb</t>
  </si>
  <si>
    <t>Nashville</t>
  </si>
  <si>
    <t>DII12155</t>
  </si>
  <si>
    <t>Regis University</t>
  </si>
  <si>
    <t>500-638</t>
  </si>
  <si>
    <t>Cherry</t>
  </si>
  <si>
    <t>490-630</t>
  </si>
  <si>
    <t>mcherry001@regis.edu</t>
  </si>
  <si>
    <t>214-662-6148</t>
  </si>
  <si>
    <t>Regis (CO)</t>
  </si>
  <si>
    <t>cbh</t>
  </si>
  <si>
    <t>J.J.</t>
  </si>
  <si>
    <t>Dillingham</t>
  </si>
  <si>
    <t>jj.dillingham@lipscomb.edu</t>
  </si>
  <si>
    <t>(615) 966-7028</t>
  </si>
  <si>
    <t>DIII2605</t>
  </si>
  <si>
    <t>Dan</t>
  </si>
  <si>
    <t>Gooris</t>
  </si>
  <si>
    <t>dgooris@northpark.edu</t>
  </si>
  <si>
    <t>(773) 244-5222</t>
  </si>
  <si>
    <t>DII12156</t>
  </si>
  <si>
    <t>Morris</t>
  </si>
  <si>
    <t>amorris005@regis.edu</t>
  </si>
  <si>
    <t>Hunt</t>
  </si>
  <si>
    <t>DIII2606</t>
  </si>
  <si>
    <t>DI3625</t>
  </si>
  <si>
    <t>Farrell-Fink</t>
  </si>
  <si>
    <t>mfarrell-fink@northpark.edu</t>
  </si>
  <si>
    <t>University of North Alabama</t>
  </si>
  <si>
    <t>Cozart</t>
  </si>
  <si>
    <t>acozart@una.edu</t>
  </si>
  <si>
    <t>DII1751</t>
  </si>
  <si>
    <t>256-765-5993 256-765-5993</t>
  </si>
  <si>
    <t>Thompson</t>
  </si>
  <si>
    <t>nthompson005@regis.edu</t>
  </si>
  <si>
    <t>303-458-4307</t>
  </si>
  <si>
    <t>North Alabama</t>
  </si>
  <si>
    <t>Florence</t>
  </si>
  <si>
    <t>427-523</t>
  </si>
  <si>
    <t>435-530</t>
  </si>
  <si>
    <t>$19,698/$26,034</t>
  </si>
  <si>
    <t>DIII2607</t>
  </si>
  <si>
    <t>Katy</t>
  </si>
  <si>
    <t>Ortinau</t>
  </si>
  <si>
    <t>kaortinau@northpark.edu</t>
  </si>
  <si>
    <t>DI3626</t>
  </si>
  <si>
    <t>ldthompson@una.edu</t>
  </si>
  <si>
    <t>256-765-5982 256-765-5982</t>
  </si>
  <si>
    <t>DIII2631</t>
  </si>
  <si>
    <t>Principia College</t>
  </si>
  <si>
    <t>DI3627</t>
  </si>
  <si>
    <t>Leavoy</t>
  </si>
  <si>
    <t>Glover</t>
  </si>
  <si>
    <t>ECC</t>
  </si>
  <si>
    <t>ken.leavoy@principia.edu</t>
  </si>
  <si>
    <t>618.374.5036</t>
  </si>
  <si>
    <t>DII1818</t>
  </si>
  <si>
    <t>Principia</t>
  </si>
  <si>
    <t>University of Bridgeport</t>
  </si>
  <si>
    <t>Elsah</t>
  </si>
  <si>
    <t>Rossetti</t>
  </si>
  <si>
    <t>490-620</t>
  </si>
  <si>
    <t>480-620</t>
  </si>
  <si>
    <t>DI3655</t>
  </si>
  <si>
    <t>University of North Florida</t>
  </si>
  <si>
    <t>Marcie</t>
  </si>
  <si>
    <t>marcie.higgs@unf.edu</t>
  </si>
  <si>
    <t>(904) 620-2947</t>
  </si>
  <si>
    <t>Bridgeport (CT)</t>
  </si>
  <si>
    <t>North Florida</t>
  </si>
  <si>
    <t>Bridgeport</t>
  </si>
  <si>
    <t>DIII2669</t>
  </si>
  <si>
    <t>Rockford University</t>
  </si>
  <si>
    <t>420-510</t>
  </si>
  <si>
    <t>Keener</t>
  </si>
  <si>
    <t>$21,210/$35,614</t>
  </si>
  <si>
    <t>jkeener@rockford.edu</t>
  </si>
  <si>
    <t>815-394-5007</t>
  </si>
  <si>
    <t>Rockford</t>
  </si>
  <si>
    <t>490-640</t>
  </si>
  <si>
    <t>DI3656</t>
  </si>
  <si>
    <t>DII1819</t>
  </si>
  <si>
    <t>Conrad</t>
  </si>
  <si>
    <t>Ramelli</t>
  </si>
  <si>
    <t>jeff.conrad@unf.edu</t>
  </si>
  <si>
    <t>(904) 620-5338</t>
  </si>
  <si>
    <t>DIII2670</t>
  </si>
  <si>
    <t>Nathan</t>
  </si>
  <si>
    <t>Burris</t>
  </si>
  <si>
    <t>nb157019@rockford.edu</t>
  </si>
  <si>
    <t>815-394-3789</t>
  </si>
  <si>
    <t>DI3657</t>
  </si>
  <si>
    <t>Cortney</t>
  </si>
  <si>
    <t>Radke</t>
  </si>
  <si>
    <t>c.radke@unf.edu</t>
  </si>
  <si>
    <t>(904) 620-2954</t>
  </si>
  <si>
    <t>DIII2671</t>
  </si>
  <si>
    <t>DII1820</t>
  </si>
  <si>
    <t>Blakeley-Snyder</t>
  </si>
  <si>
    <t>lblakeleysnyder@rockford.edu</t>
  </si>
  <si>
    <t>Caitlin</t>
  </si>
  <si>
    <t>Eichler</t>
  </si>
  <si>
    <t>DI3658</t>
  </si>
  <si>
    <t>DIII2710</t>
  </si>
  <si>
    <t>Wheaton College - Illinois</t>
  </si>
  <si>
    <t>Ellen</t>
  </si>
  <si>
    <t>Radandt-Stremler</t>
  </si>
  <si>
    <t>KK</t>
  </si>
  <si>
    <t>Leddy</t>
  </si>
  <si>
    <t>Ellen.Radandt@wheaton.edu</t>
  </si>
  <si>
    <t>630-752-5845</t>
  </si>
  <si>
    <t>Wheaton (IL)</t>
  </si>
  <si>
    <t>Wheaton</t>
  </si>
  <si>
    <t>DII1821</t>
  </si>
  <si>
    <t>590-710</t>
  </si>
  <si>
    <t>Stearns</t>
  </si>
  <si>
    <t>580-690</t>
  </si>
  <si>
    <t>dstearns@bridgeport.edu</t>
  </si>
  <si>
    <t>203-576-4736</t>
  </si>
  <si>
    <t>DI3718</t>
  </si>
  <si>
    <t>Stetson University</t>
  </si>
  <si>
    <t>Frank</t>
  </si>
  <si>
    <t>fgriffin@stetson.edu</t>
  </si>
  <si>
    <t>(386) 822-8129 (386) 822-8129</t>
  </si>
  <si>
    <t>DIII2711</t>
  </si>
  <si>
    <t>Simmons</t>
  </si>
  <si>
    <t>Stetson</t>
  </si>
  <si>
    <t>NE-10</t>
  </si>
  <si>
    <t>DeLand</t>
  </si>
  <si>
    <t>DII1857</t>
  </si>
  <si>
    <t>University of New Haven</t>
  </si>
  <si>
    <t>Leah</t>
  </si>
  <si>
    <t>McIntosh</t>
  </si>
  <si>
    <t>DIII2712</t>
  </si>
  <si>
    <t>Thornton</t>
  </si>
  <si>
    <t>203-932-7045 203-932-7045</t>
  </si>
  <si>
    <t>DI3719</t>
  </si>
  <si>
    <t>Franklin</t>
  </si>
  <si>
    <t>Drury</t>
  </si>
  <si>
    <t>fdrury@stetson.edu</t>
  </si>
  <si>
    <t>(386) 822-8138 (386) 822-8138</t>
  </si>
  <si>
    <t>DIII2713</t>
  </si>
  <si>
    <t>Colleen</t>
  </si>
  <si>
    <t>Feldheim</t>
  </si>
  <si>
    <t>DI3720</t>
  </si>
  <si>
    <t>Shellie</t>
  </si>
  <si>
    <t>DIII2714</t>
  </si>
  <si>
    <t>srobinson2@stetson.edu</t>
  </si>
  <si>
    <t>(386) 822-7337 (386) 822-7337</t>
  </si>
  <si>
    <t>@ShellRob3</t>
  </si>
  <si>
    <t>Paul</t>
  </si>
  <si>
    <t>Petricca</t>
  </si>
  <si>
    <t>Big 12</t>
  </si>
  <si>
    <t>Indiana</t>
  </si>
  <si>
    <t>DI3809</t>
  </si>
  <si>
    <t>DIII20262</t>
  </si>
  <si>
    <t>Baylor University</t>
  </si>
  <si>
    <t>Glenn</t>
  </si>
  <si>
    <t>Anderson University - Indiana</t>
  </si>
  <si>
    <t>Pat</t>
  </si>
  <si>
    <t>Medler</t>
  </si>
  <si>
    <t>glenn_moore@baylor.edu</t>
  </si>
  <si>
    <t>254-710-3055</t>
  </si>
  <si>
    <t>DII1858</t>
  </si>
  <si>
    <t>Anderson (IN)</t>
  </si>
  <si>
    <t>McNulla</t>
  </si>
  <si>
    <t>y (Church of God)</t>
  </si>
  <si>
    <t>grad-softball@newhaven.edu</t>
  </si>
  <si>
    <t>Baylor</t>
  </si>
  <si>
    <t>Waco</t>
  </si>
  <si>
    <t>y (Baptist)</t>
  </si>
  <si>
    <t>26-30</t>
  </si>
  <si>
    <t>DIII2802</t>
  </si>
  <si>
    <t>Tony</t>
  </si>
  <si>
    <t>Holloway</t>
  </si>
  <si>
    <t>tlholloway@anderson.edu</t>
  </si>
  <si>
    <t>765-641-4538</t>
  </si>
  <si>
    <t>DII1859</t>
  </si>
  <si>
    <t>DI3810</t>
  </si>
  <si>
    <t>Lumley</t>
  </si>
  <si>
    <t>Starek</t>
  </si>
  <si>
    <t>mark_lumley@baylor.edu</t>
  </si>
  <si>
    <t>254-710-3075</t>
  </si>
  <si>
    <t>jstarek@newhaven.edu</t>
  </si>
  <si>
    <t>DIII2803</t>
  </si>
  <si>
    <t>Jimenez</t>
  </si>
  <si>
    <t>djimenez@anderson.edu</t>
  </si>
  <si>
    <t>DI3811</t>
  </si>
  <si>
    <t>Britni</t>
  </si>
  <si>
    <t>Newman</t>
  </si>
  <si>
    <t>britni_newman@baylor.edu</t>
  </si>
  <si>
    <t>254-710-3095</t>
  </si>
  <si>
    <t>CACC</t>
  </si>
  <si>
    <t>DII1896</t>
  </si>
  <si>
    <t>Post University</t>
  </si>
  <si>
    <t>DIII2804</t>
  </si>
  <si>
    <t>Schaffer</t>
  </si>
  <si>
    <t>Calder</t>
  </si>
  <si>
    <t>@POST_SOFTBALL</t>
  </si>
  <si>
    <t>DI3812</t>
  </si>
  <si>
    <t>Leah_Brown@baylor.edu</t>
  </si>
  <si>
    <t>Post (CT)</t>
  </si>
  <si>
    <t>Waterbury</t>
  </si>
  <si>
    <t>DIII2868</t>
  </si>
  <si>
    <t>DePauw University</t>
  </si>
  <si>
    <t>Hanrahan</t>
  </si>
  <si>
    <t>ericahanrahan@depauw.edu</t>
  </si>
  <si>
    <t>765-658-4967</t>
  </si>
  <si>
    <t>DI3813</t>
  </si>
  <si>
    <t>Jon</t>
  </si>
  <si>
    <t>Graham</t>
  </si>
  <si>
    <t>jonathan_graham1@baylor.edu</t>
  </si>
  <si>
    <t>254-710-3249</t>
  </si>
  <si>
    <t>15-23</t>
  </si>
  <si>
    <t>IA</t>
  </si>
  <si>
    <t>DI3885</t>
  </si>
  <si>
    <t>DePauw</t>
  </si>
  <si>
    <t>Iowa State University</t>
  </si>
  <si>
    <t>Greencastle</t>
  </si>
  <si>
    <t>Martinez,</t>
  </si>
  <si>
    <t>cmart@iastate.edu</t>
  </si>
  <si>
    <t>DII1897</t>
  </si>
  <si>
    <t>515-294-3573</t>
  </si>
  <si>
    <t>530-660</t>
  </si>
  <si>
    <t>Brienza</t>
  </si>
  <si>
    <t>mbrienza@post.edu</t>
  </si>
  <si>
    <t>(203)-596-4556 (203)-596-4556</t>
  </si>
  <si>
    <t>DIII2869</t>
  </si>
  <si>
    <t>Gabby</t>
  </si>
  <si>
    <t>Smart</t>
  </si>
  <si>
    <t>gabriellesmart@depauw.edu</t>
  </si>
  <si>
    <t>Iowa State</t>
  </si>
  <si>
    <t>Ames</t>
  </si>
  <si>
    <t>DII1898</t>
  </si>
  <si>
    <t>460-610</t>
  </si>
  <si>
    <t>Tracey</t>
  </si>
  <si>
    <t>$20,000/$33,364</t>
  </si>
  <si>
    <t>Garofalo</t>
  </si>
  <si>
    <t>tgarofalo@post.edu</t>
  </si>
  <si>
    <t>(203) 596-4534 (203) 596-4534</t>
  </si>
  <si>
    <t>DIII2870</t>
  </si>
  <si>
    <t>DI3886</t>
  </si>
  <si>
    <t>England</t>
  </si>
  <si>
    <t>Pinkerton,</t>
  </si>
  <si>
    <t>jdpinker@iastate.edu</t>
  </si>
  <si>
    <t>Northeast-10</t>
  </si>
  <si>
    <t>515-294-3662</t>
  </si>
  <si>
    <t>DII1951</t>
  </si>
  <si>
    <t>Southern Connecticut State University</t>
  </si>
  <si>
    <t>Akcer</t>
  </si>
  <si>
    <t>akcerc1@southernct.edu</t>
  </si>
  <si>
    <t>DI3887</t>
  </si>
  <si>
    <t>Sinnott,</t>
  </si>
  <si>
    <t>ksinnott@iastate.edu</t>
  </si>
  <si>
    <t>DIII2961</t>
  </si>
  <si>
    <t>Franklin College</t>
  </si>
  <si>
    <t>Brad</t>
  </si>
  <si>
    <t>bjones@franklincollege.edu</t>
  </si>
  <si>
    <t>317-738-8033</t>
  </si>
  <si>
    <t>Southern Connecticut State</t>
  </si>
  <si>
    <t>410-510</t>
  </si>
  <si>
    <t>$25,074/$37,935</t>
  </si>
  <si>
    <t>DI3888</t>
  </si>
  <si>
    <t>Franklin (IN)</t>
  </si>
  <si>
    <t>Suarez,</t>
  </si>
  <si>
    <t>psuarez@iastate.edu</t>
  </si>
  <si>
    <t>y (American Baptist Churches USA)</t>
  </si>
  <si>
    <t>DII1952</t>
  </si>
  <si>
    <t>DI3962</t>
  </si>
  <si>
    <t>Paterson</t>
  </si>
  <si>
    <t>University of Kansas</t>
  </si>
  <si>
    <t>patersonk1@southernct.edu</t>
  </si>
  <si>
    <t>McFalls</t>
  </si>
  <si>
    <t>jmcfalls@ku.edu</t>
  </si>
  <si>
    <t>785-864-6538</t>
  </si>
  <si>
    <t>DIII3011</t>
  </si>
  <si>
    <t>Hanover College</t>
  </si>
  <si>
    <t>Collinsworth</t>
  </si>
  <si>
    <t>collinsworth@hanover.edu</t>
  </si>
  <si>
    <t>(812) 866-6822</t>
  </si>
  <si>
    <t>DII1953</t>
  </si>
  <si>
    <t>Kansas</t>
  </si>
  <si>
    <t>Lawrence</t>
  </si>
  <si>
    <t>AC Jamie has been removed.</t>
  </si>
  <si>
    <t>Hanover (IN)</t>
  </si>
  <si>
    <t>23-29</t>
  </si>
  <si>
    <t>Hanover</t>
  </si>
  <si>
    <t>$25,215/$41,999</t>
  </si>
  <si>
    <t>DI3963</t>
  </si>
  <si>
    <t>DII1954</t>
  </si>
  <si>
    <t>Rich</t>
  </si>
  <si>
    <t>Wieligman</t>
  </si>
  <si>
    <t>rwieligman@ku.edu</t>
  </si>
  <si>
    <t>785-864-4242</t>
  </si>
  <si>
    <t>Rispoli</t>
  </si>
  <si>
    <t>ortegaj3@southernct.edu</t>
  </si>
  <si>
    <t>203-392-6025</t>
  </si>
  <si>
    <t>DIII3012</t>
  </si>
  <si>
    <t>Paige</t>
  </si>
  <si>
    <t>Dickey</t>
  </si>
  <si>
    <t>dickey@hanover.edu</t>
  </si>
  <si>
    <t>DI3964</t>
  </si>
  <si>
    <t>Lamberth</t>
  </si>
  <si>
    <t>mlamberth@ku.edu</t>
  </si>
  <si>
    <t>DII2042</t>
  </si>
  <si>
    <t>785-312-2351</t>
  </si>
  <si>
    <t>Goldey-Beacom College</t>
  </si>
  <si>
    <t>Berryman</t>
  </si>
  <si>
    <t>berrymm@gbc.edu</t>
  </si>
  <si>
    <t>DIII3058</t>
  </si>
  <si>
    <t>Manchester University</t>
  </si>
  <si>
    <t>Dzurick</t>
  </si>
  <si>
    <t>jndzurick@Manchester.edu</t>
  </si>
  <si>
    <t>260-982-5379</t>
  </si>
  <si>
    <t>Goldey-Beacom</t>
  </si>
  <si>
    <t>DI3965</t>
  </si>
  <si>
    <t>Wilmington</t>
  </si>
  <si>
    <t>Fogue</t>
  </si>
  <si>
    <t>Manchester (IN)</t>
  </si>
  <si>
    <t>Manchester</t>
  </si>
  <si>
    <t>y (Church of Brethren)</t>
  </si>
  <si>
    <t>DII2043</t>
  </si>
  <si>
    <t>DI3966</t>
  </si>
  <si>
    <t>Jay</t>
  </si>
  <si>
    <t>Cacy</t>
  </si>
  <si>
    <t>cacy.williams@ku.edu</t>
  </si>
  <si>
    <t>DIII3059</t>
  </si>
  <si>
    <t>Emerich</t>
  </si>
  <si>
    <t>SJEmerich@manchester.edu</t>
  </si>
  <si>
    <t>260-982-5410</t>
  </si>
  <si>
    <t>DII2044</t>
  </si>
  <si>
    <t>Chuck</t>
  </si>
  <si>
    <t>DI4106</t>
  </si>
  <si>
    <t>Lockwood</t>
  </si>
  <si>
    <t>University of Oklahoma</t>
  </si>
  <si>
    <t>Patty</t>
  </si>
  <si>
    <t>Gasso</t>
  </si>
  <si>
    <t>pgasso@ou.edu</t>
  </si>
  <si>
    <t>(405) 325-8377</t>
  </si>
  <si>
    <t>DIII3085</t>
  </si>
  <si>
    <t>Rose-Hulman Institute of Technology</t>
  </si>
  <si>
    <t>Brian</t>
  </si>
  <si>
    <t>Shearer</t>
  </si>
  <si>
    <t>shearer@rose-hulman.edu</t>
  </si>
  <si>
    <t>(812) 872-6086</t>
  </si>
  <si>
    <t>DII2045</t>
  </si>
  <si>
    <t>Alexa</t>
  </si>
  <si>
    <t>Calareso</t>
  </si>
  <si>
    <t>Oklahoma</t>
  </si>
  <si>
    <t>Norman</t>
  </si>
  <si>
    <t>520-665</t>
  </si>
  <si>
    <t>$27,308/$41,630</t>
  </si>
  <si>
    <t>Rose-Hulman</t>
  </si>
  <si>
    <t>Terre Haute</t>
  </si>
  <si>
    <t>DII2046</t>
  </si>
  <si>
    <t>560-670</t>
  </si>
  <si>
    <t>640-760</t>
  </si>
  <si>
    <t>Bill</t>
  </si>
  <si>
    <t>Streets</t>
  </si>
  <si>
    <t>streets@gbc.edu</t>
  </si>
  <si>
    <t>302-225-6219</t>
  </si>
  <si>
    <t>DI4107</t>
  </si>
  <si>
    <t>Rocha</t>
  </si>
  <si>
    <t>jrocha@ou.edu</t>
  </si>
  <si>
    <t>DII2080</t>
  </si>
  <si>
    <t>Wilmington University</t>
  </si>
  <si>
    <t>DIII3086</t>
  </si>
  <si>
    <t>James</t>
  </si>
  <si>
    <t>Brittingham</t>
  </si>
  <si>
    <t>james.t.brittingham@wilmu.edu</t>
  </si>
  <si>
    <t>DI4108</t>
  </si>
  <si>
    <t>Shattell</t>
  </si>
  <si>
    <t>shattell@rose-hulman.edu</t>
  </si>
  <si>
    <t>J.T.</t>
  </si>
  <si>
    <t>(812) 877-8460</t>
  </si>
  <si>
    <t>jtgasso@ou.edu</t>
  </si>
  <si>
    <t>Wilmington (DE)</t>
  </si>
  <si>
    <t>New Castle</t>
  </si>
  <si>
    <t>y (Quakers)</t>
  </si>
  <si>
    <t>DI4109</t>
  </si>
  <si>
    <t>Jackie</t>
  </si>
  <si>
    <t>jackiel@ou.edu</t>
  </si>
  <si>
    <t>DIII3118</t>
  </si>
  <si>
    <t>Saint Mary's College - Indiana</t>
  </si>
  <si>
    <t>Zache Martin</t>
  </si>
  <si>
    <t>kzache@saintmarys.edu</t>
  </si>
  <si>
    <t>(574) 284-4910</t>
  </si>
  <si>
    <t>DII2081</t>
  </si>
  <si>
    <t>Groff</t>
  </si>
  <si>
    <t>rich.a.groff@wilmu.edu</t>
  </si>
  <si>
    <t>St. Mary's (IN)</t>
  </si>
  <si>
    <t>c: (302) 261-1001</t>
  </si>
  <si>
    <t>DI4168</t>
  </si>
  <si>
    <t>Notre Dame</t>
  </si>
  <si>
    <t>Oklahoma State University</t>
  </si>
  <si>
    <t>Kenny</t>
  </si>
  <si>
    <t>Gajewski</t>
  </si>
  <si>
    <t>kenny.g@okstate.edu</t>
  </si>
  <si>
    <t>(405) 744-5883 (405) 744-5883</t>
  </si>
  <si>
    <t>DIII3119</t>
  </si>
  <si>
    <t>Oklahoma State</t>
  </si>
  <si>
    <t>softball@saintmarys.edu</t>
  </si>
  <si>
    <t>Stillwater</t>
  </si>
  <si>
    <t>DII2082</t>
  </si>
  <si>
    <t>490-610</t>
  </si>
  <si>
    <t>Shehorn</t>
  </si>
  <si>
    <t>$23,071/$37,193</t>
  </si>
  <si>
    <t>michael.r.shehorn@wilmu.edu</t>
  </si>
  <si>
    <t>(302) 669-6606</t>
  </si>
  <si>
    <t>DI4169</t>
  </si>
  <si>
    <t>Stacie</t>
  </si>
  <si>
    <t>Pestrak</t>
  </si>
  <si>
    <t>Recruiting Coor</t>
  </si>
  <si>
    <t>DIII3120</t>
  </si>
  <si>
    <t>pestrak@okstate.edu</t>
  </si>
  <si>
    <t>Sunshine State</t>
  </si>
  <si>
    <t>(405) 744-4655 (405) 744-4655</t>
  </si>
  <si>
    <t>Florida</t>
  </si>
  <si>
    <t>Cassie</t>
  </si>
  <si>
    <t>DII2127</t>
  </si>
  <si>
    <t>Barry University</t>
  </si>
  <si>
    <t>Sophie</t>
  </si>
  <si>
    <t>Slagle</t>
  </si>
  <si>
    <t>sslagle@barry.edu</t>
  </si>
  <si>
    <t>305-899-3282 305-899-3282</t>
  </si>
  <si>
    <t>@SlagleSophie</t>
  </si>
  <si>
    <t>Barry (FL)</t>
  </si>
  <si>
    <t>Miami Shores</t>
  </si>
  <si>
    <t>DIII3121</t>
  </si>
  <si>
    <t>430-510</t>
  </si>
  <si>
    <t>18-21</t>
  </si>
  <si>
    <t>DI4170</t>
  </si>
  <si>
    <t>Cottrill</t>
  </si>
  <si>
    <t>jeff.cottrill@okstate.edu</t>
  </si>
  <si>
    <t>(405) 744-7660 (405) 744-7660</t>
  </si>
  <si>
    <t>DII2128</t>
  </si>
  <si>
    <t>Sean</t>
  </si>
  <si>
    <t>Cotter</t>
  </si>
  <si>
    <t>DIII3162</t>
  </si>
  <si>
    <t>scotter@barry.edu</t>
  </si>
  <si>
    <t>305-899-3564 305-899-3564</t>
  </si>
  <si>
    <t>Trine University</t>
  </si>
  <si>
    <t>Donnie</t>
  </si>
  <si>
    <t>Danklefsen</t>
  </si>
  <si>
    <t>danklefsend@trine.edu</t>
  </si>
  <si>
    <t>260.665.4444</t>
  </si>
  <si>
    <t>DI4171</t>
  </si>
  <si>
    <t>Bargfeldt</t>
  </si>
  <si>
    <t>john.bargfeldt@okstate.edu</t>
  </si>
  <si>
    <t>Trine (IN)</t>
  </si>
  <si>
    <t>Angola</t>
  </si>
  <si>
    <t>DII2129</t>
  </si>
  <si>
    <t>BFord@barry.edu</t>
  </si>
  <si>
    <t>DI4172</t>
  </si>
  <si>
    <t>Mikkelson</t>
  </si>
  <si>
    <t>tiffany.mikkelson@okstate.edu</t>
  </si>
  <si>
    <t>DIII3163</t>
  </si>
  <si>
    <t>Harvey</t>
  </si>
  <si>
    <t>harveyb@trine.edu</t>
  </si>
  <si>
    <t>DI4236</t>
  </si>
  <si>
    <t>DII2161</t>
  </si>
  <si>
    <t>University of Texas - Austin</t>
  </si>
  <si>
    <t>Eckerd College</t>
  </si>
  <si>
    <t>White,</t>
  </si>
  <si>
    <t>Pegram</t>
  </si>
  <si>
    <t>mike.white@athletics.utexas.edu</t>
  </si>
  <si>
    <t>pegramjd@eckerd.edu</t>
  </si>
  <si>
    <t>512-475-7884</t>
  </si>
  <si>
    <t>919-802-3885 919-802-3885</t>
  </si>
  <si>
    <t>DIII3164</t>
  </si>
  <si>
    <t>Smith</t>
  </si>
  <si>
    <t>smithd@trine.edu</t>
  </si>
  <si>
    <t>Eckerd</t>
  </si>
  <si>
    <t>Texas</t>
  </si>
  <si>
    <t>St. Petersburg</t>
  </si>
  <si>
    <t>Austin</t>
  </si>
  <si>
    <t>580-730</t>
  </si>
  <si>
    <t>Iowa</t>
  </si>
  <si>
    <t>$25,134/$50,724</t>
  </si>
  <si>
    <t>DIII3258</t>
  </si>
  <si>
    <t>Buena Vista University</t>
  </si>
  <si>
    <t>Berneking</t>
  </si>
  <si>
    <t>bernekinga@bvu.edu</t>
  </si>
  <si>
    <t>712.749.2014</t>
  </si>
  <si>
    <t>DII2162</t>
  </si>
  <si>
    <t>Profitt</t>
  </si>
  <si>
    <t>DI4237</t>
  </si>
  <si>
    <t>grimeskj@eckerd.edu</t>
  </si>
  <si>
    <t>727-864-7697 727-864-7697</t>
  </si>
  <si>
    <t>Singleton,</t>
  </si>
  <si>
    <t>steven.singleton@athletics.utexas.edu</t>
  </si>
  <si>
    <t>Buena Vista</t>
  </si>
  <si>
    <t>Storm Lake</t>
  </si>
  <si>
    <t>DII2163</t>
  </si>
  <si>
    <t>Dick</t>
  </si>
  <si>
    <t>Rusha</t>
  </si>
  <si>
    <t>DI4238</t>
  </si>
  <si>
    <t>Spencer,</t>
  </si>
  <si>
    <t>spencer@athletics.utexas.edu</t>
  </si>
  <si>
    <t>512-475-7883</t>
  </si>
  <si>
    <t>DIII3259</t>
  </si>
  <si>
    <t>Hansen</t>
  </si>
  <si>
    <t>hansenb@bvu.edu</t>
  </si>
  <si>
    <t>712.749.2020</t>
  </si>
  <si>
    <t>DII2164</t>
  </si>
  <si>
    <t>DI4239</t>
  </si>
  <si>
    <t>Jayme</t>
  </si>
  <si>
    <t>O'Bryant,</t>
  </si>
  <si>
    <t>Romanello</t>
  </si>
  <si>
    <t>jayme.obryant@athletics.utexas.edu</t>
  </si>
  <si>
    <t>512-232-2046</t>
  </si>
  <si>
    <t>DIII3260</t>
  </si>
  <si>
    <t>Jeanne</t>
  </si>
  <si>
    <t>Beaver</t>
  </si>
  <si>
    <t>DI21098</t>
  </si>
  <si>
    <t>DII2189</t>
  </si>
  <si>
    <t>Embry-Riddle Aeronautical University</t>
  </si>
  <si>
    <t>Texas Tech University</t>
  </si>
  <si>
    <t>Bianka</t>
  </si>
  <si>
    <t>Ceo</t>
  </si>
  <si>
    <t>Bell</t>
  </si>
  <si>
    <t>Bellb22@erau.edu</t>
  </si>
  <si>
    <t>386-323-5023 386-323-5023</t>
  </si>
  <si>
    <t>Texas Tech</t>
  </si>
  <si>
    <t>Lubbock</t>
  </si>
  <si>
    <t>DIII3261</t>
  </si>
  <si>
    <t>Peyton</t>
  </si>
  <si>
    <t>Renning</t>
  </si>
  <si>
    <t>Embry-Riddle Aeronautical (FL)</t>
  </si>
  <si>
    <t>Daytona Beach</t>
  </si>
  <si>
    <t>$23,129/$32,921</t>
  </si>
  <si>
    <t>DII2190</t>
  </si>
  <si>
    <t>Raquelli</t>
  </si>
  <si>
    <t>Bianco</t>
  </si>
  <si>
    <t>DIII3262</t>
  </si>
  <si>
    <t>Promes</t>
  </si>
  <si>
    <t>DI21102</t>
  </si>
  <si>
    <t>Davenport</t>
  </si>
  <si>
    <t>DII2191</t>
  </si>
  <si>
    <t>Kelsi</t>
  </si>
  <si>
    <t>dunnek@erau.edu</t>
  </si>
  <si>
    <t>386-323-5022 386-323-5022</t>
  </si>
  <si>
    <t>DIII3307</t>
  </si>
  <si>
    <t>Central College</t>
  </si>
  <si>
    <t>George</t>
  </si>
  <si>
    <t>Wares</t>
  </si>
  <si>
    <t>waresg@central.edu</t>
  </si>
  <si>
    <t>641-628-5195</t>
  </si>
  <si>
    <t>DI4422</t>
  </si>
  <si>
    <t>Adrian</t>
  </si>
  <si>
    <t>Gregory</t>
  </si>
  <si>
    <t>adrian.gregory@ttu.edu</t>
  </si>
  <si>
    <t>Peach Belt</t>
  </si>
  <si>
    <t>DII12174</t>
  </si>
  <si>
    <t>Central (IA)</t>
  </si>
  <si>
    <t>Flagler College - St. Augustine</t>
  </si>
  <si>
    <t>Pella</t>
  </si>
  <si>
    <t>Mo</t>
  </si>
  <si>
    <t>Triner</t>
  </si>
  <si>
    <t>mtriner@flsouthern.edu</t>
  </si>
  <si>
    <t>y (Reformed Church in America)</t>
  </si>
  <si>
    <t>Flagler</t>
  </si>
  <si>
    <t>Augustine</t>
  </si>
  <si>
    <t>460-660</t>
  </si>
  <si>
    <t>470-560</t>
  </si>
  <si>
    <t>DIII3308</t>
  </si>
  <si>
    <t>DII2231</t>
  </si>
  <si>
    <t>O'Brien</t>
  </si>
  <si>
    <t>obriena@central.edu</t>
  </si>
  <si>
    <t>641-628-5434</t>
  </si>
  <si>
    <t>Kaylee</t>
  </si>
  <si>
    <t>Allen</t>
  </si>
  <si>
    <t>kallen@flagler.edu</t>
  </si>
  <si>
    <t>DI4423</t>
  </si>
  <si>
    <t>Marder</t>
  </si>
  <si>
    <t>sam.marder@ttu.edu</t>
  </si>
  <si>
    <t>DIII3309</t>
  </si>
  <si>
    <t>Keith</t>
  </si>
  <si>
    <t>joneskt@central.edu</t>
  </si>
  <si>
    <t>(641) 628-5182</t>
  </si>
  <si>
    <t>DII2232</t>
  </si>
  <si>
    <t>Kathryn</t>
  </si>
  <si>
    <t>Geouge</t>
  </si>
  <si>
    <t>kgeouge@flagler.edu</t>
  </si>
  <si>
    <t>DI4424</t>
  </si>
  <si>
    <t>(904) 819-6483 (904) 819-6483</t>
  </si>
  <si>
    <t>Letty</t>
  </si>
  <si>
    <t>Olivarez</t>
  </si>
  <si>
    <t>letty.olivarez@ttu.edu</t>
  </si>
  <si>
    <t>DIII3310</t>
  </si>
  <si>
    <t>DII2264</t>
  </si>
  <si>
    <t>Florida Southern College</t>
  </si>
  <si>
    <t>Ian</t>
  </si>
  <si>
    <t>Brophy</t>
  </si>
  <si>
    <t>ibrophy@flsouthern.edu</t>
  </si>
  <si>
    <t>c: 863-616-5018</t>
  </si>
  <si>
    <t>DI4425</t>
  </si>
  <si>
    <t>Reed</t>
  </si>
  <si>
    <t>brooke.y.reed@ttu.edu</t>
  </si>
  <si>
    <t>(806) 834-0407 (806) 834-0407</t>
  </si>
  <si>
    <t>Florida Southern</t>
  </si>
  <si>
    <t>DIII3370</t>
  </si>
  <si>
    <t>Lakeland</t>
  </si>
  <si>
    <t>Coe College</t>
  </si>
  <si>
    <t>Diane</t>
  </si>
  <si>
    <t>Meyer</t>
  </si>
  <si>
    <t>dmeyer@coe.edu</t>
  </si>
  <si>
    <t>319-399-8859</t>
  </si>
  <si>
    <t>DII2265</t>
  </si>
  <si>
    <t>DI4426</t>
  </si>
  <si>
    <t>Coca</t>
  </si>
  <si>
    <t>Stephens</t>
  </si>
  <si>
    <t>Coe</t>
  </si>
  <si>
    <t>Cedar Rapids</t>
  </si>
  <si>
    <t>510-650</t>
  </si>
  <si>
    <t>DII2266</t>
  </si>
  <si>
    <t>Gaelyn</t>
  </si>
  <si>
    <t>Crowder</t>
  </si>
  <si>
    <t>DIII3371</t>
  </si>
  <si>
    <t>Koolbeck</t>
  </si>
  <si>
    <t>jwkoolbeck@coe.edu</t>
  </si>
  <si>
    <t>Big East</t>
  </si>
  <si>
    <t>319-399-8732 319-399-8732</t>
  </si>
  <si>
    <t>DI4566</t>
  </si>
  <si>
    <t>Butler University</t>
  </si>
  <si>
    <t>sahall@butler.edu</t>
  </si>
  <si>
    <t>317-940-9618</t>
  </si>
  <si>
    <t>DII2267</t>
  </si>
  <si>
    <t>Russell</t>
  </si>
  <si>
    <t>Butler</t>
  </si>
  <si>
    <t>Indianapolis</t>
  </si>
  <si>
    <t>530-638</t>
  </si>
  <si>
    <t>DIII3372</t>
  </si>
  <si>
    <t>Olson</t>
  </si>
  <si>
    <t>arolson@coe.edu</t>
  </si>
  <si>
    <t>DII2268</t>
  </si>
  <si>
    <t>DI4567</t>
  </si>
  <si>
    <t>plawrence@flsouthern.edu</t>
  </si>
  <si>
    <t>c: 989-708-7971; o: 863-616-6455</t>
  </si>
  <si>
    <t>Stacey</t>
  </si>
  <si>
    <t>Goyette</t>
  </si>
  <si>
    <t>sgoyette@butler.edu</t>
  </si>
  <si>
    <t>317-940-8388</t>
  </si>
  <si>
    <t>DIII3373</t>
  </si>
  <si>
    <t>Courtnee</t>
  </si>
  <si>
    <t>Hahn</t>
  </si>
  <si>
    <t>DII2315</t>
  </si>
  <si>
    <t>Florida Institute of Technology</t>
  </si>
  <si>
    <t>AC Amanda has been removed.</t>
  </si>
  <si>
    <t>DI4568</t>
  </si>
  <si>
    <t>Bain</t>
  </si>
  <si>
    <t>akbain@butler.edu</t>
  </si>
  <si>
    <t>Cornell College</t>
  </si>
  <si>
    <t>Sernek</t>
  </si>
  <si>
    <t>jsernek@cornellcollege.edu</t>
  </si>
  <si>
    <t>319-895-4411</t>
  </si>
  <si>
    <t>NE</t>
  </si>
  <si>
    <t>DI4616</t>
  </si>
  <si>
    <t>Creighton University</t>
  </si>
  <si>
    <t>Brent</t>
  </si>
  <si>
    <t>Vigness</t>
  </si>
  <si>
    <t>brentvigness@creighton.edu</t>
  </si>
  <si>
    <t>(402) 280-2949</t>
  </si>
  <si>
    <t>Florida Tech</t>
  </si>
  <si>
    <t>Melbourne</t>
  </si>
  <si>
    <t>Cornell (IA)</t>
  </si>
  <si>
    <t>Mt. Vernon</t>
  </si>
  <si>
    <t>Creighton</t>
  </si>
  <si>
    <t>Omaha</t>
  </si>
  <si>
    <t>475-655</t>
  </si>
  <si>
    <t>530-650</t>
  </si>
  <si>
    <t>495-620</t>
  </si>
  <si>
    <t>DII2316</t>
  </si>
  <si>
    <t>DI4617</t>
  </si>
  <si>
    <t>Renae</t>
  </si>
  <si>
    <t>Sinkler-O'Gorman</t>
  </si>
  <si>
    <t>Irizarry</t>
  </si>
  <si>
    <t>renaesinkler@creighton.edu</t>
  </si>
  <si>
    <t>(402) 280-3286</t>
  </si>
  <si>
    <t>Telecky</t>
  </si>
  <si>
    <t>DII2317</t>
  </si>
  <si>
    <t>Val</t>
  </si>
  <si>
    <t>Silvestrini</t>
  </si>
  <si>
    <t>vsilvestrini@fit.edu</t>
  </si>
  <si>
    <t>(321) 674-7199 (321) 674-7199</t>
  </si>
  <si>
    <t>Hope</t>
  </si>
  <si>
    <t>hopemoreno@creighton.edu</t>
  </si>
  <si>
    <t>DIII3455</t>
  </si>
  <si>
    <t>DII2318</t>
  </si>
  <si>
    <t>University of Dubuque</t>
  </si>
  <si>
    <t>Jeffrey</t>
  </si>
  <si>
    <t>Lamb</t>
  </si>
  <si>
    <t>Volunteer AC Kailey has been removed.</t>
  </si>
  <si>
    <t>JLamb@dbq.edu</t>
  </si>
  <si>
    <t>563.589.3683</t>
  </si>
  <si>
    <t>DI4649</t>
  </si>
  <si>
    <t>DePaul University</t>
  </si>
  <si>
    <t>Tracie</t>
  </si>
  <si>
    <t>Adix-Zins</t>
  </si>
  <si>
    <t>tadix@depaul.edu</t>
  </si>
  <si>
    <t>(773) 325-7253 (773) 325-7253</t>
  </si>
  <si>
    <t>Dubuque</t>
  </si>
  <si>
    <t>380-510</t>
  </si>
  <si>
    <t>360-490</t>
  </si>
  <si>
    <t>DePaul</t>
  </si>
  <si>
    <t>DIII21604</t>
  </si>
  <si>
    <t>Shanysse</t>
  </si>
  <si>
    <t>Emerenciana</t>
  </si>
  <si>
    <t>DIII3456</t>
  </si>
  <si>
    <t>Deering</t>
  </si>
  <si>
    <t>JDeering@dbq.edu</t>
  </si>
  <si>
    <t>DIII21605</t>
  </si>
  <si>
    <t>DI4650</t>
  </si>
  <si>
    <t>Xiarysse</t>
  </si>
  <si>
    <t>Yegge</t>
  </si>
  <si>
    <t>jyegge@depaul.edu</t>
  </si>
  <si>
    <t>(773) 325-4651 (773) 325-4651</t>
  </si>
  <si>
    <t>DIII3457</t>
  </si>
  <si>
    <t>DI4651</t>
  </si>
  <si>
    <t>Buchholz</t>
  </si>
  <si>
    <t>abuchho3@depaul.edu</t>
  </si>
  <si>
    <t>DII2357</t>
  </si>
  <si>
    <t>(773) 325-7547 (773) 325-7547</t>
  </si>
  <si>
    <t>Lynn University</t>
  </si>
  <si>
    <t>Marisa</t>
  </si>
  <si>
    <t>Runyon</t>
  </si>
  <si>
    <t>mrunyon@lynn.edu</t>
  </si>
  <si>
    <t>(561) 237-7572</t>
  </si>
  <si>
    <t>DIII3493</t>
  </si>
  <si>
    <t>Grinnell College</t>
  </si>
  <si>
    <t>Lynn</t>
  </si>
  <si>
    <t>anderson18@grinnell.edu</t>
  </si>
  <si>
    <t>641-269-3267</t>
  </si>
  <si>
    <t>Lynn (FL)</t>
  </si>
  <si>
    <t>Boca Raton</t>
  </si>
  <si>
    <t>DI4699</t>
  </si>
  <si>
    <t>Georgetown University</t>
  </si>
  <si>
    <t>Conlan</t>
  </si>
  <si>
    <t>pjc72@georgetown.edu</t>
  </si>
  <si>
    <t>202-687-6545 202-687-6545</t>
  </si>
  <si>
    <t>Grinnell</t>
  </si>
  <si>
    <t>640-750</t>
  </si>
  <si>
    <t>DII2358</t>
  </si>
  <si>
    <t>Georgetown (DC)</t>
  </si>
  <si>
    <t>Vazquez</t>
  </si>
  <si>
    <t>svazquez@lynn.edu</t>
  </si>
  <si>
    <t>660-760</t>
  </si>
  <si>
    <t>DIII3494</t>
  </si>
  <si>
    <t>Ben</t>
  </si>
  <si>
    <t>Suchon</t>
  </si>
  <si>
    <t>suchonbe@grinnell.edu</t>
  </si>
  <si>
    <t>DII2359</t>
  </si>
  <si>
    <t>Jill</t>
  </si>
  <si>
    <t>JMoore@lynn.edu</t>
  </si>
  <si>
    <t>(561) 237-7223</t>
  </si>
  <si>
    <t>DI4700</t>
  </si>
  <si>
    <t>Monique</t>
  </si>
  <si>
    <t>White</t>
  </si>
  <si>
    <t>mw1201@georgetown.edu</t>
  </si>
  <si>
    <t>DIII3495</t>
  </si>
  <si>
    <t>DII2402</t>
  </si>
  <si>
    <t>Harrold</t>
  </si>
  <si>
    <t>Nova Southeastern University</t>
  </si>
  <si>
    <t>Taylore</t>
  </si>
  <si>
    <t>Fuller</t>
  </si>
  <si>
    <t>tfuller0@nova.edu</t>
  </si>
  <si>
    <t>954-262-8229 954-262-8229</t>
  </si>
  <si>
    <t>DI4805</t>
  </si>
  <si>
    <t>Providence College</t>
  </si>
  <si>
    <t>Karwoski</t>
  </si>
  <si>
    <t>Nova Southeastern</t>
  </si>
  <si>
    <t>Iowa Wesleyan University</t>
  </si>
  <si>
    <t>jkarwosk@providence.edu</t>
  </si>
  <si>
    <t>Fort Lauderdale</t>
  </si>
  <si>
    <t>(401) 865-1423 (401) 865-1423</t>
  </si>
  <si>
    <t>Hampton</t>
  </si>
  <si>
    <t>mhampton@iw.edu</t>
  </si>
  <si>
    <t>319-385-6303</t>
  </si>
  <si>
    <t>Iowa Wesleyan</t>
  </si>
  <si>
    <t>Mt. Pleasant</t>
  </si>
  <si>
    <t>420-560</t>
  </si>
  <si>
    <t>17-21</t>
  </si>
  <si>
    <t>$38,106/$43,736</t>
  </si>
  <si>
    <t>DII2403</t>
  </si>
  <si>
    <t>Providence (RI)</t>
  </si>
  <si>
    <t>Providence</t>
  </si>
  <si>
    <t>Julie</t>
  </si>
  <si>
    <t>LeMaire</t>
  </si>
  <si>
    <t>jlemaire@nova.edu</t>
  </si>
  <si>
    <t>954-262-8258 954-262-8258</t>
  </si>
  <si>
    <t>DII12180</t>
  </si>
  <si>
    <t>DI4806</t>
  </si>
  <si>
    <t>Fry</t>
  </si>
  <si>
    <t>Palm Beach Atlantic University</t>
  </si>
  <si>
    <t>Carsyn</t>
  </si>
  <si>
    <t>benjamin.fry@iw.edu</t>
  </si>
  <si>
    <t>Bree</t>
  </si>
  <si>
    <t>Gordon</t>
  </si>
  <si>
    <t>Nasti</t>
  </si>
  <si>
    <t>bnasti@providence.edu</t>
  </si>
  <si>
    <t>401-865-2967 401-865-2967</t>
  </si>
  <si>
    <t>Palm Beach Atlantic</t>
  </si>
  <si>
    <t>West Palm Beach</t>
  </si>
  <si>
    <t>y (Interdenominational)</t>
  </si>
  <si>
    <t>DIII3590</t>
  </si>
  <si>
    <t>Loras College</t>
  </si>
  <si>
    <t>DI4807</t>
  </si>
  <si>
    <t>Winter</t>
  </si>
  <si>
    <t>ashley.winter@loras.edu</t>
  </si>
  <si>
    <t>Lagesse</t>
  </si>
  <si>
    <t>563.588.7159</t>
  </si>
  <si>
    <t>alagesse@providence.edu</t>
  </si>
  <si>
    <t>(401) 865-1593 (401) 865-1593</t>
  </si>
  <si>
    <t>DII2452</t>
  </si>
  <si>
    <t>Cooley</t>
  </si>
  <si>
    <t>jessica_cooley@pba.edu</t>
  </si>
  <si>
    <t>561-803-2531 561-803-2531</t>
  </si>
  <si>
    <t>DI4808</t>
  </si>
  <si>
    <t>Parry</t>
  </si>
  <si>
    <t>tparry.ga@providence.edu</t>
  </si>
  <si>
    <t>Loras</t>
  </si>
  <si>
    <t>483-633</t>
  </si>
  <si>
    <t>455-613</t>
  </si>
  <si>
    <t>NJ</t>
  </si>
  <si>
    <t>DI4858</t>
  </si>
  <si>
    <t>Seton Hall University</t>
  </si>
  <si>
    <t>paige.smith@shu.edu</t>
  </si>
  <si>
    <t>(973) 275-2408 (973) 275-2408</t>
  </si>
  <si>
    <t>DIII3591</t>
  </si>
  <si>
    <t>DII2496</t>
  </si>
  <si>
    <t>Kevin</t>
  </si>
  <si>
    <t>Schuchmann</t>
  </si>
  <si>
    <t>Rollins College</t>
  </si>
  <si>
    <t>Frew</t>
  </si>
  <si>
    <t>sfrew@rollins.edu</t>
  </si>
  <si>
    <t>Seton Hall</t>
  </si>
  <si>
    <t>407-646-2412</t>
  </si>
  <si>
    <t>South Orange</t>
  </si>
  <si>
    <t>23-27</t>
  </si>
  <si>
    <t>Rollins (FL)</t>
  </si>
  <si>
    <t>DIII3592</t>
  </si>
  <si>
    <t>Winter Park</t>
  </si>
  <si>
    <t>Klein</t>
  </si>
  <si>
    <t>DI4859</t>
  </si>
  <si>
    <t>Daniel</t>
  </si>
  <si>
    <t>Nicolaisen</t>
  </si>
  <si>
    <t>daniel.nicolaisen1@shu.edu</t>
  </si>
  <si>
    <t>DI4860</t>
  </si>
  <si>
    <t>DIII3593</t>
  </si>
  <si>
    <t>Ketarah</t>
  </si>
  <si>
    <t>DeVries</t>
  </si>
  <si>
    <t>(973) 761-9757 (973) 761-9757</t>
  </si>
  <si>
    <t>DII2497</t>
  </si>
  <si>
    <t>Blair</t>
  </si>
  <si>
    <t>Wagner</t>
  </si>
  <si>
    <t>DI4861</t>
  </si>
  <si>
    <t>Bergman</t>
  </si>
  <si>
    <t>DIII3640</t>
  </si>
  <si>
    <t>Luther College</t>
  </si>
  <si>
    <t>Hartl</t>
  </si>
  <si>
    <t>hartre01@luther.edu</t>
  </si>
  <si>
    <t>(563) 387-1244</t>
  </si>
  <si>
    <t>DII2498</t>
  </si>
  <si>
    <t>MIchelle</t>
  </si>
  <si>
    <t>DI21705</t>
  </si>
  <si>
    <t>mfrew@rollins.edu</t>
  </si>
  <si>
    <t>Lauren</t>
  </si>
  <si>
    <t>Atlas</t>
  </si>
  <si>
    <t>Luther (IA)</t>
  </si>
  <si>
    <t>Decorah</t>
  </si>
  <si>
    <t>448-573</t>
  </si>
  <si>
    <t>480-625</t>
  </si>
  <si>
    <t>DI4914</t>
  </si>
  <si>
    <t>DII2536</t>
  </si>
  <si>
    <t>St. John's University - New York</t>
  </si>
  <si>
    <t>Saint Leo University</t>
  </si>
  <si>
    <t>Guerriero</t>
  </si>
  <si>
    <t>guerrier@stjohns.edu</t>
  </si>
  <si>
    <t>718-990-6149</t>
  </si>
  <si>
    <t>brittany.johnson05@saintleo.edu</t>
  </si>
  <si>
    <t>(352) 588-8688 (352) 588-8688</t>
  </si>
  <si>
    <t>DIII21010</t>
  </si>
  <si>
    <t>Simpson College</t>
  </si>
  <si>
    <t>Addy</t>
  </si>
  <si>
    <t>Pender</t>
  </si>
  <si>
    <t>St. John's (NY)</t>
  </si>
  <si>
    <t>St. Leo (FL)</t>
  </si>
  <si>
    <t>St. Leo</t>
  </si>
  <si>
    <t>Simpson (IA)</t>
  </si>
  <si>
    <t>450-540</t>
  </si>
  <si>
    <t>Indianola</t>
  </si>
  <si>
    <t>DI4915</t>
  </si>
  <si>
    <t>460-590</t>
  </si>
  <si>
    <t>457-645</t>
  </si>
  <si>
    <t>Tiumalu</t>
  </si>
  <si>
    <t>tiumalua@stjohns.edu</t>
  </si>
  <si>
    <t>718-990-7522</t>
  </si>
  <si>
    <t>DIII3671</t>
  </si>
  <si>
    <t>DII2537</t>
  </si>
  <si>
    <t>Matthias</t>
  </si>
  <si>
    <t>brent.matthias@simpson.edu</t>
  </si>
  <si>
    <t>515-961-1337</t>
  </si>
  <si>
    <t>Francais</t>
  </si>
  <si>
    <t>DI4916</t>
  </si>
  <si>
    <t>Olexa</t>
  </si>
  <si>
    <t>Grace</t>
  </si>
  <si>
    <t>Kramer</t>
  </si>
  <si>
    <t>francais.olexa@saintleo.edu</t>
  </si>
  <si>
    <t>(352) 588-7112 (352) 588-7112</t>
  </si>
  <si>
    <t>DI4981</t>
  </si>
  <si>
    <t>Villanova University</t>
  </si>
  <si>
    <t>DIII3672</t>
  </si>
  <si>
    <t>Orchard</t>
  </si>
  <si>
    <t>bridget.orchard@villanova.edu</t>
  </si>
  <si>
    <t>Price</t>
  </si>
  <si>
    <t>610-519-4138</t>
  </si>
  <si>
    <t>casey.price@simpson.edu</t>
  </si>
  <si>
    <t>515-961-1260</t>
  </si>
  <si>
    <t>DII2538</t>
  </si>
  <si>
    <t>Affrunti</t>
  </si>
  <si>
    <t>patrick.affrunti@saintleo.edu</t>
  </si>
  <si>
    <t>(352) 588-8451 (352) 588-8451</t>
  </si>
  <si>
    <t>Villanova</t>
  </si>
  <si>
    <t>DIII3673</t>
  </si>
  <si>
    <t>kyle.owens@simpson.edu</t>
  </si>
  <si>
    <t>30-32</t>
  </si>
  <si>
    <t>DI4982</t>
  </si>
  <si>
    <t>DII2539</t>
  </si>
  <si>
    <t>Luety</t>
  </si>
  <si>
    <t>gluety@villanova.edu</t>
  </si>
  <si>
    <t>Kinberger</t>
  </si>
  <si>
    <t>DIII3674</t>
  </si>
  <si>
    <t>erin.kinberger@saintleo.edu</t>
  </si>
  <si>
    <t>Mickey</t>
  </si>
  <si>
    <t>Moenck</t>
  </si>
  <si>
    <t>DIII3675</t>
  </si>
  <si>
    <t>Ron</t>
  </si>
  <si>
    <t>DI4983</t>
  </si>
  <si>
    <t>Reusche</t>
  </si>
  <si>
    <t>ron.reusche@simpson.edu</t>
  </si>
  <si>
    <t>Plimpton</t>
  </si>
  <si>
    <t>chelsea.plimpton@villanova.edu</t>
  </si>
  <si>
    <t>DII2581</t>
  </si>
  <si>
    <t>University of Tampa</t>
  </si>
  <si>
    <t>Joseph</t>
  </si>
  <si>
    <t>bjoseph@ut.edu</t>
  </si>
  <si>
    <t>813-257-3481</t>
  </si>
  <si>
    <t>DIII20100</t>
  </si>
  <si>
    <t>Wartburg College</t>
  </si>
  <si>
    <t>Dickson</t>
  </si>
  <si>
    <t>DI4984</t>
  </si>
  <si>
    <t>taylor.dickson@wartburg.edu</t>
  </si>
  <si>
    <t>Wartburg</t>
  </si>
  <si>
    <t>Brielle</t>
  </si>
  <si>
    <t>Pietrafesa</t>
  </si>
  <si>
    <t>Waverly</t>
  </si>
  <si>
    <t>422-520</t>
  </si>
  <si>
    <t>480-550</t>
  </si>
  <si>
    <t>Big Sky</t>
  </si>
  <si>
    <t>DI5112</t>
  </si>
  <si>
    <t>DIII20278</t>
  </si>
  <si>
    <t>California State University - Sacramento</t>
  </si>
  <si>
    <t>Kurtz</t>
  </si>
  <si>
    <t>Mueller</t>
  </si>
  <si>
    <t>kevin.kurtz@csus.edu</t>
  </si>
  <si>
    <t>jamie.mueller@wartburg.edu</t>
  </si>
  <si>
    <t>(916) 278-7567</t>
  </si>
  <si>
    <t>319-352-8663 319-352-8663</t>
  </si>
  <si>
    <t>Kentucky</t>
  </si>
  <si>
    <t>DIII20094</t>
  </si>
  <si>
    <t>Berea College</t>
  </si>
  <si>
    <t>DII2582</t>
  </si>
  <si>
    <t>Daniels</t>
  </si>
  <si>
    <t>Cal State-Sacramento</t>
  </si>
  <si>
    <t>danielss@berea.edu</t>
  </si>
  <si>
    <t>Sacramento</t>
  </si>
  <si>
    <t>Rubio</t>
  </si>
  <si>
    <t>Berea (KY)</t>
  </si>
  <si>
    <t>Berea</t>
  </si>
  <si>
    <t>410-520</t>
  </si>
  <si>
    <t>drubio@ut.edu</t>
  </si>
  <si>
    <t>$24,862/$36,022</t>
  </si>
  <si>
    <t>DIII20344</t>
  </si>
  <si>
    <t>DI5113</t>
  </si>
  <si>
    <t>Mikus</t>
  </si>
  <si>
    <t>Losbergs</t>
  </si>
  <si>
    <t>DII2583</t>
  </si>
  <si>
    <t>mikuslosbergs@csus.edu</t>
  </si>
  <si>
    <t>Jaci</t>
  </si>
  <si>
    <t>jdavis@tampaspartans.com</t>
  </si>
  <si>
    <t>DIII20430</t>
  </si>
  <si>
    <t>Yost</t>
  </si>
  <si>
    <t>Yostn@berea.edu</t>
  </si>
  <si>
    <t>859.985.3229</t>
  </si>
  <si>
    <t>DI5114</t>
  </si>
  <si>
    <t>Nick</t>
  </si>
  <si>
    <t>Brunner</t>
  </si>
  <si>
    <t>DIII20056</t>
  </si>
  <si>
    <t>Centre College</t>
  </si>
  <si>
    <t>tori.brown@centre.edu</t>
  </si>
  <si>
    <t>(859) 238-8753 (859) 238-8753</t>
  </si>
  <si>
    <t>Centre (KY)</t>
  </si>
  <si>
    <t>DII2584</t>
  </si>
  <si>
    <t>Danville</t>
  </si>
  <si>
    <t>Kanter</t>
  </si>
  <si>
    <t>520-650</t>
  </si>
  <si>
    <t>560-690</t>
  </si>
  <si>
    <t>lkanter@ut.edu</t>
  </si>
  <si>
    <t>ID</t>
  </si>
  <si>
    <t>DI5272</t>
  </si>
  <si>
    <t>Idaho State University</t>
  </si>
  <si>
    <t>Cristal</t>
  </si>
  <si>
    <t>browcri2@isu.edu</t>
  </si>
  <si>
    <t>208-282-5269</t>
  </si>
  <si>
    <t>DIII20068</t>
  </si>
  <si>
    <t>Krystal</t>
  </si>
  <si>
    <t>Cammuse</t>
  </si>
  <si>
    <t>krystal.cammuse@centre.edu</t>
  </si>
  <si>
    <t>DII2648</t>
  </si>
  <si>
    <t>Idaho State</t>
  </si>
  <si>
    <t>Pocatello</t>
  </si>
  <si>
    <t>University of West Florida</t>
  </si>
  <si>
    <t>West Florida Softball</t>
  </si>
  <si>
    <t>(General)</t>
  </si>
  <si>
    <t>softball@uwf.edu</t>
  </si>
  <si>
    <t>DIII20127</t>
  </si>
  <si>
    <t>Spalding University</t>
  </si>
  <si>
    <t>Franconia</t>
  </si>
  <si>
    <t>jfranconia@spalding.edu</t>
  </si>
  <si>
    <t>Spalding</t>
  </si>
  <si>
    <t>450-548</t>
  </si>
  <si>
    <t>433-558</t>
  </si>
  <si>
    <t>West Florida</t>
  </si>
  <si>
    <t>Pensacola</t>
  </si>
  <si>
    <t>$19,014/$31,895</t>
  </si>
  <si>
    <t>410-540</t>
  </si>
  <si>
    <t>420-540</t>
  </si>
  <si>
    <t>$20,540/$34,607</t>
  </si>
  <si>
    <t>DIII20414</t>
  </si>
  <si>
    <t>Art</t>
  </si>
  <si>
    <t>awilliams@spalding.edu</t>
  </si>
  <si>
    <t>DII2649</t>
  </si>
  <si>
    <t>(502) 873-4201 (502) 873-4201</t>
  </si>
  <si>
    <t>Emma</t>
  </si>
  <si>
    <t>Johansen</t>
  </si>
  <si>
    <t>ejohansen@uwf.edu</t>
  </si>
  <si>
    <t>850.474.3315</t>
  </si>
  <si>
    <t>DI5273</t>
  </si>
  <si>
    <t>Randy</t>
  </si>
  <si>
    <t>Clark</t>
  </si>
  <si>
    <t>softball@isu.edu</t>
  </si>
  <si>
    <t>DIII20113</t>
  </si>
  <si>
    <t>DII2650</t>
  </si>
  <si>
    <t>Thomas More University</t>
  </si>
  <si>
    <t>Becca</t>
  </si>
  <si>
    <t>Eagan</t>
  </si>
  <si>
    <t>bat18@students.uwf.edu</t>
  </si>
  <si>
    <t>lindsay.eagan@thomasmore.edu</t>
  </si>
  <si>
    <t>(859) 344-3628</t>
  </si>
  <si>
    <t>Thomas More</t>
  </si>
  <si>
    <t>Crestview Hills</t>
  </si>
  <si>
    <t>DI5274</t>
  </si>
  <si>
    <t>Sabrina</t>
  </si>
  <si>
    <t>208-282-3352</t>
  </si>
  <si>
    <t>DII2651</t>
  </si>
  <si>
    <t>Perkins</t>
  </si>
  <si>
    <t>MT</t>
  </si>
  <si>
    <t>DI5317</t>
  </si>
  <si>
    <t>University of Montana</t>
  </si>
  <si>
    <t>Meuchel</t>
  </si>
  <si>
    <t>melanie.meuchel@mso.umt.edu</t>
  </si>
  <si>
    <t>440-570</t>
  </si>
  <si>
    <t>406-243-4338</t>
  </si>
  <si>
    <t>DII2652</t>
  </si>
  <si>
    <t>Montana</t>
  </si>
  <si>
    <t>Ashliegh</t>
  </si>
  <si>
    <t>Missoula</t>
  </si>
  <si>
    <t>amclean@uwf.edu</t>
  </si>
  <si>
    <t>850.474.3316</t>
  </si>
  <si>
    <t>DIII20114</t>
  </si>
  <si>
    <t>$19,521/$37,047</t>
  </si>
  <si>
    <t>patrick.eagan@thomasmore.edu</t>
  </si>
  <si>
    <t>(859) 344-3381</t>
  </si>
  <si>
    <t>DI5318</t>
  </si>
  <si>
    <t>DII12190</t>
  </si>
  <si>
    <t>Albany State University</t>
  </si>
  <si>
    <t>Shepherd</t>
  </si>
  <si>
    <t>sarah.obrien@mso.umt.edu</t>
  </si>
  <si>
    <t>c: 406-274-0210</t>
  </si>
  <si>
    <t>Megan.shepherd@asurams.edu</t>
  </si>
  <si>
    <t>Albany State</t>
  </si>
  <si>
    <t>DIII20207</t>
  </si>
  <si>
    <t>430-488</t>
  </si>
  <si>
    <t>410-488</t>
  </si>
  <si>
    <t>Dallis</t>
  </si>
  <si>
    <t>17-20</t>
  </si>
  <si>
    <t>Knotts</t>
  </si>
  <si>
    <t>$17,398/$27,646</t>
  </si>
  <si>
    <t>knottsd@thomasmore.edu</t>
  </si>
  <si>
    <t>DI5319</t>
  </si>
  <si>
    <t>Magali</t>
  </si>
  <si>
    <t>Frezzotti</t>
  </si>
  <si>
    <t>magali.frezzotti@umontana.edu</t>
  </si>
  <si>
    <t>DII2693</t>
  </si>
  <si>
    <t>Harley</t>
  </si>
  <si>
    <t>Roller</t>
  </si>
  <si>
    <t>harley.roller@asurams.edu</t>
  </si>
  <si>
    <t>229-500-2860 229-500-2860</t>
  </si>
  <si>
    <t>DIII20041</t>
  </si>
  <si>
    <t>Transylvania University</t>
  </si>
  <si>
    <t>Kimi</t>
  </si>
  <si>
    <t>Blewett</t>
  </si>
  <si>
    <t>kblewett@transy.edu</t>
  </si>
  <si>
    <t>Transylvania</t>
  </si>
  <si>
    <t>Lexington</t>
  </si>
  <si>
    <t>ND</t>
  </si>
  <si>
    <t>DI5402</t>
  </si>
  <si>
    <t>University of North Dakota</t>
  </si>
  <si>
    <t>Stevens</t>
  </si>
  <si>
    <t>jordan.a.stevens@und.edu</t>
  </si>
  <si>
    <t>701-777.4952</t>
  </si>
  <si>
    <t>DII2715</t>
  </si>
  <si>
    <t>Augusta University (formerly Georgia Regents University)</t>
  </si>
  <si>
    <t>Evan</t>
  </si>
  <si>
    <t>esmith24@augusta.edu</t>
  </si>
  <si>
    <t>706-731-7913</t>
  </si>
  <si>
    <t>DIII20166</t>
  </si>
  <si>
    <t>North Dakota</t>
  </si>
  <si>
    <t>Hendrickson</t>
  </si>
  <si>
    <t>Augusta (GA)</t>
  </si>
  <si>
    <t>Grand Forks</t>
  </si>
  <si>
    <t>shendrickson@transy.edu</t>
  </si>
  <si>
    <t>Augusta</t>
  </si>
  <si>
    <t>859-281-3575</t>
  </si>
  <si>
    <t>3.2 minimum</t>
  </si>
  <si>
    <t>$20,414/$31,568</t>
  </si>
  <si>
    <t>$20,632/$35,340</t>
  </si>
  <si>
    <t>DI5403</t>
  </si>
  <si>
    <t>Naomi</t>
  </si>
  <si>
    <t>DIII20167</t>
  </si>
  <si>
    <t>DII2716</t>
  </si>
  <si>
    <t>Tellez</t>
  </si>
  <si>
    <t>naomi.tellez@und.edu</t>
  </si>
  <si>
    <t>nhernandez@transy.edu</t>
  </si>
  <si>
    <t>859-233-8897</t>
  </si>
  <si>
    <t>DIII20348</t>
  </si>
  <si>
    <t>701-777.2353</t>
  </si>
  <si>
    <t>Shewmaker</t>
  </si>
  <si>
    <t>Brocato</t>
  </si>
  <si>
    <t>mbrocato@augusta.edu</t>
  </si>
  <si>
    <t>706-731-7916</t>
  </si>
  <si>
    <t>DII12193</t>
  </si>
  <si>
    <t>Louisiana</t>
  </si>
  <si>
    <t>Clark Atlanta University</t>
  </si>
  <si>
    <t>DI5404</t>
  </si>
  <si>
    <t>Stopa</t>
  </si>
  <si>
    <t>donald.stopa@und.edu</t>
  </si>
  <si>
    <t>701-777.5968</t>
  </si>
  <si>
    <t>DIII3985</t>
  </si>
  <si>
    <t>Clark Atlanta</t>
  </si>
  <si>
    <t>Centenary College of Louisiana</t>
  </si>
  <si>
    <t>Suire</t>
  </si>
  <si>
    <t>msuire@centenary.edu</t>
  </si>
  <si>
    <t>(318) 841-7287</t>
  </si>
  <si>
    <t>420-490</t>
  </si>
  <si>
    <t>400-480</t>
  </si>
  <si>
    <t>DI5525</t>
  </si>
  <si>
    <t>University of Northern Colorado</t>
  </si>
  <si>
    <t>DII12194</t>
  </si>
  <si>
    <t>bennie.garcia@unco.edu</t>
  </si>
  <si>
    <t>Amari</t>
  </si>
  <si>
    <t>Lawson</t>
  </si>
  <si>
    <t>970.351.2055 970.351.2055</t>
  </si>
  <si>
    <t>Centenary (LA)</t>
  </si>
  <si>
    <t>LA</t>
  </si>
  <si>
    <t>Shreveport</t>
  </si>
  <si>
    <t>Northern Colorado</t>
  </si>
  <si>
    <t>Greeley</t>
  </si>
  <si>
    <t>DII2747</t>
  </si>
  <si>
    <t>404-880-6813 404-880-6813</t>
  </si>
  <si>
    <t>468-580</t>
  </si>
  <si>
    <t>$23,618/$35,204</t>
  </si>
  <si>
    <t>DIII3986</t>
  </si>
  <si>
    <t>Patterson</t>
  </si>
  <si>
    <t>DI5526</t>
  </si>
  <si>
    <t>DII2748</t>
  </si>
  <si>
    <t>Hodgson</t>
  </si>
  <si>
    <t>Cachetne</t>
  </si>
  <si>
    <t>Barrett</t>
  </si>
  <si>
    <t>brooke.hodgson@unco.edu</t>
  </si>
  <si>
    <t>970.351.1124 970.351.1124</t>
  </si>
  <si>
    <t>DIII4020</t>
  </si>
  <si>
    <t>Louisiana College</t>
  </si>
  <si>
    <t>Barry</t>
  </si>
  <si>
    <t>barry.roberts@lacollege.edu</t>
  </si>
  <si>
    <t>DII2749</t>
  </si>
  <si>
    <t>318-487-7131</t>
  </si>
  <si>
    <t>AC Raji has been removed.</t>
  </si>
  <si>
    <t>DI5527</t>
  </si>
  <si>
    <t>Bledsoe</t>
  </si>
  <si>
    <t>DII2750</t>
  </si>
  <si>
    <t>Tamera</t>
  </si>
  <si>
    <t>Pineville</t>
  </si>
  <si>
    <t>430-568</t>
  </si>
  <si>
    <t>DI5528</t>
  </si>
  <si>
    <t>Kaley</t>
  </si>
  <si>
    <t>DII2751</t>
  </si>
  <si>
    <t>Lawanda</t>
  </si>
  <si>
    <t>Pearson</t>
  </si>
  <si>
    <t>lpearson@cau.edu</t>
  </si>
  <si>
    <t>DIII4021</t>
  </si>
  <si>
    <t>Rankin</t>
  </si>
  <si>
    <t>brankin0627@gmail.com</t>
  </si>
  <si>
    <t>DI5529</t>
  </si>
  <si>
    <t>DII2789</t>
  </si>
  <si>
    <t>Harold</t>
  </si>
  <si>
    <t>Columbus State University</t>
  </si>
  <si>
    <t>harold.simmons@unco.edu</t>
  </si>
  <si>
    <t>970-290-6219 970-290-6219</t>
  </si>
  <si>
    <t>durham_katie@columbusstate.edu</t>
  </si>
  <si>
    <t>706-569-3024 706-569-3024</t>
  </si>
  <si>
    <t>OR</t>
  </si>
  <si>
    <t>DIII4022</t>
  </si>
  <si>
    <t>Columbus State</t>
  </si>
  <si>
    <t>DI5575</t>
  </si>
  <si>
    <t>Columbus</t>
  </si>
  <si>
    <t>Portland State University</t>
  </si>
  <si>
    <t>Meadow</t>
  </si>
  <si>
    <t>McWhorter</t>
  </si>
  <si>
    <t>Community College</t>
  </si>
  <si>
    <t>meadow@pdx.edu</t>
  </si>
  <si>
    <t>503-725-4400 503-725-4400</t>
  </si>
  <si>
    <t>bailey.allen26@yahoo.com</t>
  </si>
  <si>
    <t>$21,089/$31,663</t>
  </si>
  <si>
    <t>Portland State</t>
  </si>
  <si>
    <t>Portland</t>
  </si>
  <si>
    <t>DII2790</t>
  </si>
  <si>
    <t>$24,087/$40,602</t>
  </si>
  <si>
    <t>Perdue</t>
  </si>
  <si>
    <t>DIII4023</t>
  </si>
  <si>
    <t>perdue_elizabeth@columbusstate.edu</t>
  </si>
  <si>
    <t>Barber</t>
  </si>
  <si>
    <t>jaybar1955@gmail.com</t>
  </si>
  <si>
    <t>DI5576</t>
  </si>
  <si>
    <t>Wilkerson</t>
  </si>
  <si>
    <t>wilkerso@pdx.edu</t>
  </si>
  <si>
    <t>DII2791</t>
  </si>
  <si>
    <t>Calli</t>
  </si>
  <si>
    <t>Star</t>
  </si>
  <si>
    <t>star_calli@columbusstate.edu</t>
  </si>
  <si>
    <t>DIII4024</t>
  </si>
  <si>
    <t>Mattie</t>
  </si>
  <si>
    <t>Stine</t>
  </si>
  <si>
    <t>DI5577</t>
  </si>
  <si>
    <t>AC (Hitting)</t>
  </si>
  <si>
    <t>Iris</t>
  </si>
  <si>
    <t>DII2792</t>
  </si>
  <si>
    <t>Iris6@pdx.edu</t>
  </si>
  <si>
    <t>Huskisson</t>
  </si>
  <si>
    <t>huskisson_brad@columbusstate.edu</t>
  </si>
  <si>
    <t>mattie.stine@rpsb.us</t>
  </si>
  <si>
    <t>DI5578</t>
  </si>
  <si>
    <t>Ricky</t>
  </si>
  <si>
    <t>Conference Carolinas</t>
  </si>
  <si>
    <t>DII2823</t>
  </si>
  <si>
    <t>Emmanuel College - Georgia</t>
  </si>
  <si>
    <t>Brock</t>
  </si>
  <si>
    <t>Radaker</t>
  </si>
  <si>
    <t>bradaker@ec.edu</t>
  </si>
  <si>
    <t>770-714-1113</t>
  </si>
  <si>
    <t>UT</t>
  </si>
  <si>
    <t>DI21109</t>
  </si>
  <si>
    <t>Southern Utah University</t>
  </si>
  <si>
    <t>Brianna</t>
  </si>
  <si>
    <t>Fliehmann</t>
  </si>
  <si>
    <t>DIII4047</t>
  </si>
  <si>
    <t>Southern Utah</t>
  </si>
  <si>
    <t>Cedar City</t>
  </si>
  <si>
    <t>Bates College</t>
  </si>
  <si>
    <t>McKell</t>
  </si>
  <si>
    <t>Barnes</t>
  </si>
  <si>
    <t>mbarnes@bates.edu</t>
  </si>
  <si>
    <t>207-755-5950</t>
  </si>
  <si>
    <t>$19,997/$33,277</t>
  </si>
  <si>
    <t>Emmanuel (GA)</t>
  </si>
  <si>
    <t>Franklin Springs</t>
  </si>
  <si>
    <t>y (International Pentecostal Holiness Church)</t>
  </si>
  <si>
    <t>DI5628</t>
  </si>
  <si>
    <t>Bates (ME)</t>
  </si>
  <si>
    <t>Don Don</t>
  </si>
  <si>
    <t>Lewiston</t>
  </si>
  <si>
    <t>dondonwilliams@suu.edu</t>
  </si>
  <si>
    <t>435-865-8126 435-865-8126</t>
  </si>
  <si>
    <t>690-730</t>
  </si>
  <si>
    <t>DII2824</t>
  </si>
  <si>
    <t>Missy</t>
  </si>
  <si>
    <t>mradaker@ec.edu</t>
  </si>
  <si>
    <t>DIII4080</t>
  </si>
  <si>
    <t>Bowdoin College</t>
  </si>
  <si>
    <t>Sullivan</t>
  </si>
  <si>
    <t>rsulliva@bowdoin.edu</t>
  </si>
  <si>
    <t>(207) 725-3962</t>
  </si>
  <si>
    <t>DI5629</t>
  </si>
  <si>
    <t>DII2825</t>
  </si>
  <si>
    <t>Laurin</t>
  </si>
  <si>
    <t>Watts</t>
  </si>
  <si>
    <t>laurinwatts@suu.edu</t>
  </si>
  <si>
    <t>Alan</t>
  </si>
  <si>
    <t>435-865-8127 435-865-8127</t>
  </si>
  <si>
    <t>Meade</t>
  </si>
  <si>
    <t>ameade@ec.edu</t>
  </si>
  <si>
    <t>Bowdoin</t>
  </si>
  <si>
    <t>Brunswick</t>
  </si>
  <si>
    <t>650-750</t>
  </si>
  <si>
    <t>DI5687</t>
  </si>
  <si>
    <t>Weber State University</t>
  </si>
  <si>
    <t>Mary Kay</t>
  </si>
  <si>
    <t>Amicone</t>
  </si>
  <si>
    <t>marykayamicone@weber.edu</t>
  </si>
  <si>
    <t>DII2869</t>
  </si>
  <si>
    <t>Fort Valley State University</t>
  </si>
  <si>
    <t>Weber State</t>
  </si>
  <si>
    <t>P.D.</t>
  </si>
  <si>
    <t>DIII4081</t>
  </si>
  <si>
    <t>Anglea</t>
  </si>
  <si>
    <t>Ogden</t>
  </si>
  <si>
    <t>Burton</t>
  </si>
  <si>
    <t>jburton@bowdoin.edu</t>
  </si>
  <si>
    <t>(207) 725-3783</t>
  </si>
  <si>
    <t>$19,775/$29,001</t>
  </si>
  <si>
    <t>Fort Valley State</t>
  </si>
  <si>
    <t>Fort Valley</t>
  </si>
  <si>
    <t>380-470</t>
  </si>
  <si>
    <t>390-470</t>
  </si>
  <si>
    <t>DI5688</t>
  </si>
  <si>
    <t>15-19</t>
  </si>
  <si>
    <t>Delahoussaye</t>
  </si>
  <si>
    <t>kdelahoussaye@weber.edu</t>
  </si>
  <si>
    <t>DIII4126</t>
  </si>
  <si>
    <t>Colby College</t>
  </si>
  <si>
    <t>Terren</t>
  </si>
  <si>
    <t>DII2870</t>
  </si>
  <si>
    <t>Terren.Allen@colby.edu</t>
  </si>
  <si>
    <t>c: 207-250-1133; o: 207-859-4916</t>
  </si>
  <si>
    <t>Tucker</t>
  </si>
  <si>
    <t>DI5689</t>
  </si>
  <si>
    <t>Jensen</t>
  </si>
  <si>
    <t>kevinjensen1@weber.edu</t>
  </si>
  <si>
    <t>DII2871</t>
  </si>
  <si>
    <t>Colby (ME)</t>
  </si>
  <si>
    <t>bryantj01@fvsu.edu</t>
  </si>
  <si>
    <t>c: 912-286-4073; o: 478-825-6710</t>
  </si>
  <si>
    <t>Waterville</t>
  </si>
  <si>
    <t>DI5690</t>
  </si>
  <si>
    <t>Kirtlyn</t>
  </si>
  <si>
    <t>Bohling</t>
  </si>
  <si>
    <t>630-725</t>
  </si>
  <si>
    <t>640-745</t>
  </si>
  <si>
    <t>DII2889</t>
  </si>
  <si>
    <t>Georgia College &amp; State University</t>
  </si>
  <si>
    <t>DIII4127</t>
  </si>
  <si>
    <t>Gonzales</t>
  </si>
  <si>
    <t>Dorothy</t>
  </si>
  <si>
    <t>Big South</t>
  </si>
  <si>
    <t>O'Donnell</t>
  </si>
  <si>
    <t>brittany.gonzales@gcsu.edu</t>
  </si>
  <si>
    <t>dmcamero@colby.edu</t>
  </si>
  <si>
    <t>(478) 445-5279</t>
  </si>
  <si>
    <t>DI5739</t>
  </si>
  <si>
    <t>Campbell University</t>
  </si>
  <si>
    <t>Sharonda</t>
  </si>
  <si>
    <t>McDonald</t>
  </si>
  <si>
    <t>smcdonald@campbell.edu</t>
  </si>
  <si>
    <t>Georgia College and State University</t>
  </si>
  <si>
    <t>Milledgeville</t>
  </si>
  <si>
    <t>DIII4128</t>
  </si>
  <si>
    <t>$27,331/$45,679</t>
  </si>
  <si>
    <t>Bules Creek</t>
  </si>
  <si>
    <t>DII2890</t>
  </si>
  <si>
    <t>Grodecki</t>
  </si>
  <si>
    <t>jamie.grodecki@gcsu.edu</t>
  </si>
  <si>
    <t>(478) 445-6871</t>
  </si>
  <si>
    <t>DI5740</t>
  </si>
  <si>
    <t>Stewart</t>
  </si>
  <si>
    <t>mstewart@campbell.edu</t>
  </si>
  <si>
    <t>910-890-0644 910-890-0644</t>
  </si>
  <si>
    <t>@MattStew</t>
  </si>
  <si>
    <t>DII12203</t>
  </si>
  <si>
    <t>Georgia Southwestern State University</t>
  </si>
  <si>
    <t>Georgia Southwestern State</t>
  </si>
  <si>
    <t>Americus</t>
  </si>
  <si>
    <t>DI5741</t>
  </si>
  <si>
    <t>Glosson-Stenger</t>
  </si>
  <si>
    <t>19-23</t>
  </si>
  <si>
    <t>dstenger@campbell.edu</t>
  </si>
  <si>
    <t>DIII21139</t>
  </si>
  <si>
    <t>$20,378/$30,634</t>
  </si>
  <si>
    <t>University of Maine at Farmington</t>
  </si>
  <si>
    <t>Maine-Farmington</t>
  </si>
  <si>
    <t>Farmington</t>
  </si>
  <si>
    <t>DII2906</t>
  </si>
  <si>
    <t>DI5742</t>
  </si>
  <si>
    <t>katie.roberts@gsw.edu</t>
  </si>
  <si>
    <t>(229) 931-4215</t>
  </si>
  <si>
    <t>440-580</t>
  </si>
  <si>
    <t>430-548</t>
  </si>
  <si>
    <t>$21,299/$29,819</t>
  </si>
  <si>
    <t>Mazziotta</t>
  </si>
  <si>
    <t>lmazziotta@campbell.edu</t>
  </si>
  <si>
    <t>DIII4186</t>
  </si>
  <si>
    <t>Husson University</t>
  </si>
  <si>
    <t>Diann</t>
  </si>
  <si>
    <t>Ramsey</t>
  </si>
  <si>
    <t>ramseyd@husson.edu</t>
  </si>
  <si>
    <t>207-992-4928</t>
  </si>
  <si>
    <t>DI5743</t>
  </si>
  <si>
    <t>Mackenzie</t>
  </si>
  <si>
    <t>Castillo</t>
  </si>
  <si>
    <t>mcastillo@campbell.edu</t>
  </si>
  <si>
    <t>DII2907</t>
  </si>
  <si>
    <t>910-893-1563 910-893-1563</t>
  </si>
  <si>
    <t>Husson</t>
  </si>
  <si>
    <t>Bangor</t>
  </si>
  <si>
    <t>43-540</t>
  </si>
  <si>
    <t>DI5810</t>
  </si>
  <si>
    <t>Charleston Southern University</t>
  </si>
  <si>
    <t>Venus</t>
  </si>
  <si>
    <t>vtaylor@csuniv.edu</t>
  </si>
  <si>
    <t>(843) 863-7686 (843) 863-7686</t>
  </si>
  <si>
    <t>DII2951</t>
  </si>
  <si>
    <t>University of North Georgia</t>
  </si>
  <si>
    <t>DIII4187</t>
  </si>
  <si>
    <t>Child</t>
  </si>
  <si>
    <t>Lee</t>
  </si>
  <si>
    <t>molly.child@ung.edu</t>
  </si>
  <si>
    <t>706-864-1861 706-864-1861</t>
  </si>
  <si>
    <t>Charleston Southern</t>
  </si>
  <si>
    <t>Speronis</t>
  </si>
  <si>
    <t>Charleston</t>
  </si>
  <si>
    <t>speronisl@husson.edu</t>
  </si>
  <si>
    <t>207-941-7171</t>
  </si>
  <si>
    <t>North Georgia</t>
  </si>
  <si>
    <t>Dahlonega</t>
  </si>
  <si>
    <t>400-500</t>
  </si>
  <si>
    <t>$19,263/$27,618</t>
  </si>
  <si>
    <t>DI5811</t>
  </si>
  <si>
    <t>Stevi</t>
  </si>
  <si>
    <t>DIII4188</t>
  </si>
  <si>
    <t>sjohnson@csuniv.edu</t>
  </si>
  <si>
    <t>(843) 863-7430 (843) 863-7430</t>
  </si>
  <si>
    <t>Rick</t>
  </si>
  <si>
    <t>robertsri@husson.edu</t>
  </si>
  <si>
    <t>DII2952</t>
  </si>
  <si>
    <t>Collins</t>
  </si>
  <si>
    <t>katie.collins@ung.edu</t>
  </si>
  <si>
    <t>DI5812</t>
  </si>
  <si>
    <t>Christina</t>
  </si>
  <si>
    <t>Biggerstaff</t>
  </si>
  <si>
    <t>DIII4189</t>
  </si>
  <si>
    <t>cbiggerstaff@csuniv.edu</t>
  </si>
  <si>
    <t>Jenn</t>
  </si>
  <si>
    <t>Plourde</t>
  </si>
  <si>
    <t>DII2953</t>
  </si>
  <si>
    <t>mike.davenport@ung.edu</t>
  </si>
  <si>
    <t>DI5813</t>
  </si>
  <si>
    <t>Bakenhus</t>
  </si>
  <si>
    <t>DIII4267</t>
  </si>
  <si>
    <t>Kat</t>
  </si>
  <si>
    <t>McKay</t>
  </si>
  <si>
    <t>kmckay40@maine.edu</t>
  </si>
  <si>
    <t>207-778-7925</t>
  </si>
  <si>
    <t>DII2977</t>
  </si>
  <si>
    <t>Paine College</t>
  </si>
  <si>
    <t>DI5814</t>
  </si>
  <si>
    <t>Carvajal</t>
  </si>
  <si>
    <t>Caitlyn</t>
  </si>
  <si>
    <t>Emberson</t>
  </si>
  <si>
    <t>Paine (GA)</t>
  </si>
  <si>
    <t>320-420</t>
  </si>
  <si>
    <t>300-410</t>
  </si>
  <si>
    <t>14-17</t>
  </si>
  <si>
    <t>DI5857</t>
  </si>
  <si>
    <t>Gardner-Webb University</t>
  </si>
  <si>
    <t>Cole</t>
  </si>
  <si>
    <t>tcole@gardner-webb.edu</t>
  </si>
  <si>
    <t>(704) 406-4351 (704) 406-4351</t>
  </si>
  <si>
    <t>@GWUSoftball</t>
  </si>
  <si>
    <t>DIII4287</t>
  </si>
  <si>
    <t>Gardner-Webb</t>
  </si>
  <si>
    <t>University of Maine at Presque Isle</t>
  </si>
  <si>
    <t>Alissa</t>
  </si>
  <si>
    <t>Boiling Springs</t>
  </si>
  <si>
    <t>DII3007</t>
  </si>
  <si>
    <t>Alissa.Edwards@maine.edu</t>
  </si>
  <si>
    <t>Shorter University</t>
  </si>
  <si>
    <t>(207) 768-9556</t>
  </si>
  <si>
    <t>khodgson@shorter.edu</t>
  </si>
  <si>
    <t>706-233-7788 706-233-7788</t>
  </si>
  <si>
    <t>Maine-Presque Isle</t>
  </si>
  <si>
    <t>Presque Isle</t>
  </si>
  <si>
    <t>DI5858</t>
  </si>
  <si>
    <t>390-520</t>
  </si>
  <si>
    <t>Lani</t>
  </si>
  <si>
    <t>16-22</t>
  </si>
  <si>
    <t>Shorter</t>
  </si>
  <si>
    <t>Ries</t>
  </si>
  <si>
    <t>$18,880/$22,510</t>
  </si>
  <si>
    <t>Rome</t>
  </si>
  <si>
    <t>lries@gardner-webb.edu</t>
  </si>
  <si>
    <t>(704) 406-3252 (704) 406-3252</t>
  </si>
  <si>
    <t>DIII4308</t>
  </si>
  <si>
    <t>University of Southern Maine</t>
  </si>
  <si>
    <t>Jamo</t>
  </si>
  <si>
    <t>sarah.jamo@maine.edu</t>
  </si>
  <si>
    <t>(207) 780-5649</t>
  </si>
  <si>
    <t>DI5859</t>
  </si>
  <si>
    <t>DII3008</t>
  </si>
  <si>
    <t>Alexis</t>
  </si>
  <si>
    <t>Bandin</t>
  </si>
  <si>
    <t>kroberts10@gardner-webb.edu</t>
  </si>
  <si>
    <t>(704) 406-3217 (704) 406-3217</t>
  </si>
  <si>
    <t>Southern Maine</t>
  </si>
  <si>
    <t>$21,976/$32,688</t>
  </si>
  <si>
    <t>Liberty University</t>
  </si>
  <si>
    <t>Dot</t>
  </si>
  <si>
    <t>Richardson</t>
  </si>
  <si>
    <t>softball@liberty.edu</t>
  </si>
  <si>
    <t>DII3009</t>
  </si>
  <si>
    <t>434-582-7255</t>
  </si>
  <si>
    <t>DIII4309</t>
  </si>
  <si>
    <t>Liberty</t>
  </si>
  <si>
    <t>Lynchburg</t>
  </si>
  <si>
    <t>DII3065</t>
  </si>
  <si>
    <t>Valdosta State University</t>
  </si>
  <si>
    <t>Shelby</t>
  </si>
  <si>
    <t>Hill</t>
  </si>
  <si>
    <t>DIII4347</t>
  </si>
  <si>
    <t>Saint Joseph's College of Maine</t>
  </si>
  <si>
    <t>Smyth</t>
  </si>
  <si>
    <t>jsmyth@sjcme.edu</t>
  </si>
  <si>
    <t>207/893-7663</t>
  </si>
  <si>
    <t>Valdosta State</t>
  </si>
  <si>
    <t>Valdosta</t>
  </si>
  <si>
    <t>St. Joseph's (ME)</t>
  </si>
  <si>
    <t>Standish</t>
  </si>
  <si>
    <t>$20,403/$30,997</t>
  </si>
  <si>
    <t>20-23</t>
  </si>
  <si>
    <t>DII3066</t>
  </si>
  <si>
    <t>DIII4348</t>
  </si>
  <si>
    <t>Graduate Asst Chandler has been removed.</t>
  </si>
  <si>
    <t>co-Head coach</t>
  </si>
  <si>
    <t>Kasey</t>
  </si>
  <si>
    <t>DIII4349</t>
  </si>
  <si>
    <t>DII3067</t>
  </si>
  <si>
    <t>Thomas</t>
  </si>
  <si>
    <t>Macera</t>
  </si>
  <si>
    <t>tjmacera@valdosta.edu</t>
  </si>
  <si>
    <t>(229) 333-7405 (229) 333-7405</t>
  </si>
  <si>
    <t>Alexia</t>
  </si>
  <si>
    <t>Dir SB Ops</t>
  </si>
  <si>
    <t>DIII4350</t>
  </si>
  <si>
    <t>Maddie</t>
  </si>
  <si>
    <t>Kluna</t>
  </si>
  <si>
    <t>DII3097</t>
  </si>
  <si>
    <t>DI5954</t>
  </si>
  <si>
    <t>Longwood University</t>
  </si>
  <si>
    <t>West Georgia Technical College - Murphy</t>
  </si>
  <si>
    <t>Ezell</t>
  </si>
  <si>
    <t>cezell@westga.edu</t>
  </si>
  <si>
    <t>678-839-1861</t>
  </si>
  <si>
    <t>Riley</t>
  </si>
  <si>
    <t>rileykl@longwood.edu</t>
  </si>
  <si>
    <t>434.395.2353 434.395.2353</t>
  </si>
  <si>
    <t>Longwood</t>
  </si>
  <si>
    <t>Farmville</t>
  </si>
  <si>
    <t>$26,817/$41,715</t>
  </si>
  <si>
    <t>West Georgia</t>
  </si>
  <si>
    <t>Carrollton</t>
  </si>
  <si>
    <t>440-510</t>
  </si>
  <si>
    <t>DIII21140</t>
  </si>
  <si>
    <t>430-500</t>
  </si>
  <si>
    <t>$22,486/$33,060</t>
  </si>
  <si>
    <t>Demmons</t>
  </si>
  <si>
    <t>DI5955</t>
  </si>
  <si>
    <t>millerka@longwood.edu</t>
  </si>
  <si>
    <t>434-395-2554 434-395-2554</t>
  </si>
  <si>
    <t>DII3098</t>
  </si>
  <si>
    <t>Al</t>
  </si>
  <si>
    <t>althomas@westga.edu</t>
  </si>
  <si>
    <t>678-839-3963</t>
  </si>
  <si>
    <t>DI5956</t>
  </si>
  <si>
    <t>murphyel2@longwood.edu</t>
  </si>
  <si>
    <t>DIII21643</t>
  </si>
  <si>
    <t>Plese</t>
  </si>
  <si>
    <t>DI5957</t>
  </si>
  <si>
    <t>Carly</t>
  </si>
  <si>
    <t>Adams</t>
  </si>
  <si>
    <t>adamscm2@longwood.edu</t>
  </si>
  <si>
    <t>DIII4392</t>
  </si>
  <si>
    <t>Thomas College</t>
  </si>
  <si>
    <t>Ali</t>
  </si>
  <si>
    <t>Kriegel</t>
  </si>
  <si>
    <t>DII3123</t>
  </si>
  <si>
    <t>kriegela@thomas.edu</t>
  </si>
  <si>
    <t>(207) 859-1207</t>
  </si>
  <si>
    <t>Young Harris College</t>
  </si>
  <si>
    <t>Jessie</t>
  </si>
  <si>
    <t>Homesley</t>
  </si>
  <si>
    <t>DI6030</t>
  </si>
  <si>
    <t>jdhomesley@yhc.edu</t>
  </si>
  <si>
    <t>Presbyterian College</t>
  </si>
  <si>
    <t>706.379.5077 706.379.5077</t>
  </si>
  <si>
    <t>dawilliam@presby.edu</t>
  </si>
  <si>
    <t>Thomas (ME)</t>
  </si>
  <si>
    <t>Presbyterian (SC)</t>
  </si>
  <si>
    <t>Clinton</t>
  </si>
  <si>
    <t>Young Harris</t>
  </si>
  <si>
    <t>470-595</t>
  </si>
  <si>
    <t>475-610</t>
  </si>
  <si>
    <t>DIII4393</t>
  </si>
  <si>
    <t>Parlin</t>
  </si>
  <si>
    <t>parlint@thomas.edu</t>
  </si>
  <si>
    <t>DI6031</t>
  </si>
  <si>
    <t>AC Mikayla has been removed.</t>
  </si>
  <si>
    <t>DII3124</t>
  </si>
  <si>
    <t>DIII4394</t>
  </si>
  <si>
    <t>Alderman</t>
  </si>
  <si>
    <t>salderman@yhc.edu</t>
  </si>
  <si>
    <t>Fisher</t>
  </si>
  <si>
    <t>bethany.fisher@thomas.edu</t>
  </si>
  <si>
    <t>(207) 660-1386</t>
  </si>
  <si>
    <t>DI6032</t>
  </si>
  <si>
    <t>Petik</t>
  </si>
  <si>
    <t>spetik@presby.edu</t>
  </si>
  <si>
    <t>864-833-7133</t>
  </si>
  <si>
    <t>DIII4430</t>
  </si>
  <si>
    <t>DII3125</t>
  </si>
  <si>
    <t>University of New England</t>
  </si>
  <si>
    <t>Letellier</t>
  </si>
  <si>
    <t>Lucas</t>
  </si>
  <si>
    <t>dletellier2@une.edu</t>
  </si>
  <si>
    <t>207-602-2922</t>
  </si>
  <si>
    <t>kjlucas@yhc.edu</t>
  </si>
  <si>
    <t>706.379.5179 706.379.5179</t>
  </si>
  <si>
    <t>Biddeford</t>
  </si>
  <si>
    <t>DI21753</t>
  </si>
  <si>
    <t>Siara</t>
  </si>
  <si>
    <t>Shelton</t>
  </si>
  <si>
    <t>siara.storm22@gmail.com</t>
  </si>
  <si>
    <t>864-833-7133 864-833-7133</t>
  </si>
  <si>
    <t>Hawaii</t>
  </si>
  <si>
    <t>DII3149</t>
  </si>
  <si>
    <t>Chaminade University of Honolulu</t>
  </si>
  <si>
    <t>LaRosa</t>
  </si>
  <si>
    <t>DIII4431</t>
  </si>
  <si>
    <t>Hamel</t>
  </si>
  <si>
    <t>DI6059</t>
  </si>
  <si>
    <t>Radford University</t>
  </si>
  <si>
    <t>Creasy</t>
  </si>
  <si>
    <t>ncreasy@radford.edu</t>
  </si>
  <si>
    <t>540-831-6585</t>
  </si>
  <si>
    <t>Chaminade</t>
  </si>
  <si>
    <t>HI</t>
  </si>
  <si>
    <t>Honolulu</t>
  </si>
  <si>
    <t>DIII4432</t>
  </si>
  <si>
    <t>Lorenc</t>
  </si>
  <si>
    <t>Radford</t>
  </si>
  <si>
    <t>$22,586/$34,667</t>
  </si>
  <si>
    <t>DII3150</t>
  </si>
  <si>
    <t>Roger</t>
  </si>
  <si>
    <t>Javillo</t>
  </si>
  <si>
    <t>DIII21141</t>
  </si>
  <si>
    <t>Doneski</t>
  </si>
  <si>
    <t>DI6060</t>
  </si>
  <si>
    <t>Kaitlyn</t>
  </si>
  <si>
    <t>Medlam</t>
  </si>
  <si>
    <t>kmedlam@radford.edu</t>
  </si>
  <si>
    <t>540-831-7725</t>
  </si>
  <si>
    <t>Maryland</t>
  </si>
  <si>
    <t>DIII4471</t>
  </si>
  <si>
    <t>DII3151</t>
  </si>
  <si>
    <t>Frostburg State University</t>
  </si>
  <si>
    <t>Rayna</t>
  </si>
  <si>
    <t>Vasko</t>
  </si>
  <si>
    <t>wcvasko@frostburg.edu</t>
  </si>
  <si>
    <t>Hood</t>
  </si>
  <si>
    <t>(301) 687-3242</t>
  </si>
  <si>
    <t>DI6061</t>
  </si>
  <si>
    <t>mhill74@radford.edu</t>
  </si>
  <si>
    <t>Frostburg State</t>
  </si>
  <si>
    <t>Frostburg</t>
  </si>
  <si>
    <t>$21,220/$33,744</t>
  </si>
  <si>
    <t>DII3152</t>
  </si>
  <si>
    <t>Pang Kee</t>
  </si>
  <si>
    <t>DIII4472</t>
  </si>
  <si>
    <t>Melisa</t>
  </si>
  <si>
    <t>Shock</t>
  </si>
  <si>
    <t>msshock@frostburg.edu</t>
  </si>
  <si>
    <t>(301) 687-7443</t>
  </si>
  <si>
    <t>DI6095</t>
  </si>
  <si>
    <t>University of South Carolina - Upstate</t>
  </si>
  <si>
    <t>DII3153</t>
  </si>
  <si>
    <t>chawkins@uscupstate.edu</t>
  </si>
  <si>
    <t>864-503-5171 864-503-5171</t>
  </si>
  <si>
    <t>Keoki</t>
  </si>
  <si>
    <t>DIII4546</t>
  </si>
  <si>
    <t>Hood College</t>
  </si>
  <si>
    <t>Hood softball</t>
  </si>
  <si>
    <t>softball@hood.edu</t>
  </si>
  <si>
    <t>DII3154</t>
  </si>
  <si>
    <t>Kent</t>
  </si>
  <si>
    <t>Yamaguchi</t>
  </si>
  <si>
    <t>kyamagu2@chaminade.edu</t>
  </si>
  <si>
    <t>South Carolina-Upstate</t>
  </si>
  <si>
    <t>808-735-4790</t>
  </si>
  <si>
    <t>Spartanburg</t>
  </si>
  <si>
    <t>Hood (MD)</t>
  </si>
  <si>
    <t>Frederick</t>
  </si>
  <si>
    <t>$24,261/$32,259</t>
  </si>
  <si>
    <t>DII3183</t>
  </si>
  <si>
    <t>Hawaii Pacific University</t>
  </si>
  <si>
    <t>Corrales</t>
  </si>
  <si>
    <t>jcorrales@hpu.edu</t>
  </si>
  <si>
    <t>808.356.5214</t>
  </si>
  <si>
    <t>DIII4547</t>
  </si>
  <si>
    <t>Burdette</t>
  </si>
  <si>
    <t>burdette@hood.edu</t>
  </si>
  <si>
    <t>(301) 696-3998</t>
  </si>
  <si>
    <t>DI6096</t>
  </si>
  <si>
    <t>Hawaii Pacific</t>
  </si>
  <si>
    <t>Pack</t>
  </si>
  <si>
    <t>bpack@uscupstate.edu</t>
  </si>
  <si>
    <t>864-503-5178 864-503-5178</t>
  </si>
  <si>
    <t>DIII4548</t>
  </si>
  <si>
    <t>LeEllen</t>
  </si>
  <si>
    <t>Lewis</t>
  </si>
  <si>
    <t>lewisl@hood.edu</t>
  </si>
  <si>
    <t>DII3184</t>
  </si>
  <si>
    <t>Stacy</t>
  </si>
  <si>
    <t>Araki</t>
  </si>
  <si>
    <t>DIII4549</t>
  </si>
  <si>
    <t>DI6097</t>
  </si>
  <si>
    <t>Bethany</t>
  </si>
  <si>
    <t>bna4@hood.edu</t>
  </si>
  <si>
    <t>Kendall</t>
  </si>
  <si>
    <t>Settlemyre</t>
  </si>
  <si>
    <t>settlem2@uscupstate.edu</t>
  </si>
  <si>
    <t>864-503-5792 864-503-5792</t>
  </si>
  <si>
    <t>DII3185</t>
  </si>
  <si>
    <t>Nakasone</t>
  </si>
  <si>
    <t>bnakasone@hpu.edu</t>
  </si>
  <si>
    <t>DIII4652</t>
  </si>
  <si>
    <t>808.224.7939</t>
  </si>
  <si>
    <t>McDaniel College</t>
  </si>
  <si>
    <t>pdsmith@mcdaniel.edu</t>
  </si>
  <si>
    <t>410-857-2568</t>
  </si>
  <si>
    <t>DI6098</t>
  </si>
  <si>
    <t>McGuffey</t>
  </si>
  <si>
    <t>McDaniel</t>
  </si>
  <si>
    <t>Westminster</t>
  </si>
  <si>
    <t>DII3186</t>
  </si>
  <si>
    <t>Jarnett</t>
  </si>
  <si>
    <t>Lono</t>
  </si>
  <si>
    <t>jlono@hpu.edu</t>
  </si>
  <si>
    <t>DI6139</t>
  </si>
  <si>
    <t>DIII4653</t>
  </si>
  <si>
    <t>Winthrop University</t>
  </si>
  <si>
    <t>Windy</t>
  </si>
  <si>
    <t>Tiffani</t>
  </si>
  <si>
    <t>DII3187</t>
  </si>
  <si>
    <t>Thees</t>
  </si>
  <si>
    <t>theesw@winthrop.edu</t>
  </si>
  <si>
    <t>803-323-2129, x6239</t>
  </si>
  <si>
    <t>Maile</t>
  </si>
  <si>
    <t>Winthrop</t>
  </si>
  <si>
    <t>Rock Hill</t>
  </si>
  <si>
    <t>DII3188</t>
  </si>
  <si>
    <t>DIII4654</t>
  </si>
  <si>
    <t>Elia</t>
  </si>
  <si>
    <t>450-565</t>
  </si>
  <si>
    <t>Maring</t>
  </si>
  <si>
    <t>$27,632/$41,212</t>
  </si>
  <si>
    <t>slm009@mcdaniel.edu</t>
  </si>
  <si>
    <t>DII3189</t>
  </si>
  <si>
    <t>Richard</t>
  </si>
  <si>
    <t>Nomura</t>
  </si>
  <si>
    <t>DIII4655</t>
  </si>
  <si>
    <t>DI6140</t>
  </si>
  <si>
    <t>Trainor-Barr</t>
  </si>
  <si>
    <t>etrainor@mcdaniel.edu</t>
  </si>
  <si>
    <t>morganja@winthrop.edu</t>
  </si>
  <si>
    <t>803-323-2129, x6391</t>
  </si>
  <si>
    <t>DII3221</t>
  </si>
  <si>
    <t>University of Hawaii at Hilo</t>
  </si>
  <si>
    <t>Fred</t>
  </si>
  <si>
    <t>Entilla</t>
  </si>
  <si>
    <t>entilla@hawaii.edu</t>
  </si>
  <si>
    <t>974-7703 974-7703</t>
  </si>
  <si>
    <t>DIII4656</t>
  </si>
  <si>
    <t>Lorusso</t>
  </si>
  <si>
    <t>DI6141</t>
  </si>
  <si>
    <t>Hawaii-Hilo</t>
  </si>
  <si>
    <t>Hilo</t>
  </si>
  <si>
    <t>Savanah</t>
  </si>
  <si>
    <t>Webster</t>
  </si>
  <si>
    <t>websters@winthrop.edu</t>
  </si>
  <si>
    <t>803-323-2129, x6415</t>
  </si>
  <si>
    <t>$22,288/$35,248</t>
  </si>
  <si>
    <t>DIII4657</t>
  </si>
  <si>
    <t>Leigh</t>
  </si>
  <si>
    <t>Blohm</t>
  </si>
  <si>
    <t>Big Ten</t>
  </si>
  <si>
    <t>DI21105</t>
  </si>
  <si>
    <t>DII3222</t>
  </si>
  <si>
    <t>University of Illinois</t>
  </si>
  <si>
    <t>Joey</t>
  </si>
  <si>
    <t>DIII4658</t>
  </si>
  <si>
    <t>Estrella,</t>
  </si>
  <si>
    <t>Drage</t>
  </si>
  <si>
    <t>josephe@hawaii.edu</t>
  </si>
  <si>
    <t>808-974-7700 808-974-7700</t>
  </si>
  <si>
    <t>AC Matt has been removed.</t>
  </si>
  <si>
    <t>Champaign</t>
  </si>
  <si>
    <t>705-790</t>
  </si>
  <si>
    <t>$30,064/$45,686</t>
  </si>
  <si>
    <t>DII3223</t>
  </si>
  <si>
    <t>Tracy</t>
  </si>
  <si>
    <t>Miyashiro</t>
  </si>
  <si>
    <t>DIII21142</t>
  </si>
  <si>
    <t>DI6210</t>
  </si>
  <si>
    <t>Tyra</t>
  </si>
  <si>
    <t>Perry</t>
  </si>
  <si>
    <t>IlliniSBall@illinois.edu</t>
  </si>
  <si>
    <t>217-300-3519</t>
  </si>
  <si>
    <t>DII3224</t>
  </si>
  <si>
    <t>Aisha</t>
  </si>
  <si>
    <t>Sueda</t>
  </si>
  <si>
    <t>DIII4698</t>
  </si>
  <si>
    <t>DII3225</t>
  </si>
  <si>
    <t>Notre Dame College</t>
  </si>
  <si>
    <t>Cheri</t>
  </si>
  <si>
    <t>Johns</t>
  </si>
  <si>
    <t>DI6211</t>
  </si>
  <si>
    <t>cjohns@ndm.edu</t>
  </si>
  <si>
    <t>410-532-3588</t>
  </si>
  <si>
    <t>Callen</t>
  </si>
  <si>
    <t>Trout</t>
  </si>
  <si>
    <t>Perreira</t>
  </si>
  <si>
    <t>troutl@illinois.edu</t>
  </si>
  <si>
    <t>callenp@hawaii.edu</t>
  </si>
  <si>
    <t>217-300-3472</t>
  </si>
  <si>
    <t>808-932-7176 808-932-7176</t>
  </si>
  <si>
    <t>Notre Dame (MD)</t>
  </si>
  <si>
    <t>Idaho</t>
  </si>
  <si>
    <t>DII3267</t>
  </si>
  <si>
    <t>Northwest Nazarene University</t>
  </si>
  <si>
    <t>Hallie</t>
  </si>
  <si>
    <t>Swanson</t>
  </si>
  <si>
    <t>DI6212</t>
  </si>
  <si>
    <t>Lance</t>
  </si>
  <si>
    <t>McMahon</t>
  </si>
  <si>
    <t>lmcmah4@illinois.edu</t>
  </si>
  <si>
    <t>217-300-0707</t>
  </si>
  <si>
    <t>DIII4699</t>
  </si>
  <si>
    <t>Northwest Nazarene</t>
  </si>
  <si>
    <t>Nampa</t>
  </si>
  <si>
    <t>Kastner</t>
  </si>
  <si>
    <t>y (Church of the Nazarene)</t>
  </si>
  <si>
    <t>skastner@ndm.edu</t>
  </si>
  <si>
    <t>410-532-3584</t>
  </si>
  <si>
    <t>DI6213</t>
  </si>
  <si>
    <t>DII3268</t>
  </si>
  <si>
    <t>Palmer</t>
  </si>
  <si>
    <t>mlpalmer@illinois.edu</t>
  </si>
  <si>
    <t>217-300-8334</t>
  </si>
  <si>
    <t>DIII4728</t>
  </si>
  <si>
    <t>rmwagner@nnu.edu</t>
  </si>
  <si>
    <t>208-467-8868 208-467-8868</t>
  </si>
  <si>
    <t>Salisbury University</t>
  </si>
  <si>
    <t>Margie</t>
  </si>
  <si>
    <t>Knight</t>
  </si>
  <si>
    <t>mjknight@salisbury.edu</t>
  </si>
  <si>
    <t>410.543.6352</t>
  </si>
  <si>
    <t>GLVC</t>
  </si>
  <si>
    <t>DII3309</t>
  </si>
  <si>
    <t>Salisbury</t>
  </si>
  <si>
    <t>University of Illinois at Springfield</t>
  </si>
  <si>
    <t>Blanchard</t>
  </si>
  <si>
    <t>cblan3@uis.edu</t>
  </si>
  <si>
    <t>c: 734-915-3121</t>
  </si>
  <si>
    <t>540-610</t>
  </si>
  <si>
    <t>540-620</t>
  </si>
  <si>
    <t>$24,714/$33,126</t>
  </si>
  <si>
    <t>DI6295</t>
  </si>
  <si>
    <t>Indiana University</t>
  </si>
  <si>
    <t>Shonda</t>
  </si>
  <si>
    <t>Stanton</t>
  </si>
  <si>
    <t>softball@indiana.edu</t>
  </si>
  <si>
    <t>(812) 855-9518 (812) 855-9518</t>
  </si>
  <si>
    <t>DIII4729</t>
  </si>
  <si>
    <t>Barbacow</t>
  </si>
  <si>
    <t>lebarbacow@salisbury.edu</t>
  </si>
  <si>
    <t>DIII4730</t>
  </si>
  <si>
    <t>Stitcher</t>
  </si>
  <si>
    <t>tpstitcher@salisbury.edu</t>
  </si>
  <si>
    <t>$24,809/$48,667</t>
  </si>
  <si>
    <t>Illinois-Springfield</t>
  </si>
  <si>
    <t>410.543.6349</t>
  </si>
  <si>
    <t>Springfield</t>
  </si>
  <si>
    <t>423-598</t>
  </si>
  <si>
    <t>463-548</t>
  </si>
  <si>
    <t>$24,913/$34,438</t>
  </si>
  <si>
    <t>DI6296</t>
  </si>
  <si>
    <t>Fearn</t>
  </si>
  <si>
    <t>DII3310</t>
  </si>
  <si>
    <t>DIII4731</t>
  </si>
  <si>
    <t>kfearn@iu.edu</t>
  </si>
  <si>
    <t>(812) 855-3569 (812) 855-3569</t>
  </si>
  <si>
    <t>Jaycee</t>
  </si>
  <si>
    <t>Terri</t>
  </si>
  <si>
    <t>Craver</t>
  </si>
  <si>
    <t>Sharpless</t>
  </si>
  <si>
    <t>DIII4732</t>
  </si>
  <si>
    <t>Garland</t>
  </si>
  <si>
    <t>DI6297</t>
  </si>
  <si>
    <t>DII3311</t>
  </si>
  <si>
    <t>Chanda</t>
  </si>
  <si>
    <t>bell1@iu.edu</t>
  </si>
  <si>
    <t>(812) 855-9738 (812) 855-9738</t>
  </si>
  <si>
    <t>DIII4733</t>
  </si>
  <si>
    <t>Keri</t>
  </si>
  <si>
    <t>Lombardo</t>
  </si>
  <si>
    <t>DI6298</t>
  </si>
  <si>
    <t>Michaela</t>
  </si>
  <si>
    <t>Schlattman</t>
  </si>
  <si>
    <t>DII3312</t>
  </si>
  <si>
    <t>mrschlat@iu.edu</t>
  </si>
  <si>
    <t>Guthrie</t>
  </si>
  <si>
    <t>snich2@uis.edu</t>
  </si>
  <si>
    <t>217-341-6354 217-341-6354</t>
  </si>
  <si>
    <t>DIII4734</t>
  </si>
  <si>
    <t>Gravdahl</t>
  </si>
  <si>
    <t>DI6402</t>
  </si>
  <si>
    <t>University of Iowa</t>
  </si>
  <si>
    <t>Renee</t>
  </si>
  <si>
    <t>DII3355</t>
  </si>
  <si>
    <t>Gillispie</t>
  </si>
  <si>
    <t>renee-gillispie@iowasoftball.com</t>
  </si>
  <si>
    <t>Lewis University</t>
  </si>
  <si>
    <t>319-335-9259 319-335-9259</t>
  </si>
  <si>
    <t>AC Brooke has been removed.</t>
  </si>
  <si>
    <t>DIII4825</t>
  </si>
  <si>
    <t>Stevenson University</t>
  </si>
  <si>
    <t>Julia</t>
  </si>
  <si>
    <t>Culotta</t>
  </si>
  <si>
    <t>jculotta@stevenson.edu</t>
  </si>
  <si>
    <t>443-352-4455</t>
  </si>
  <si>
    <t>Lewis (IL)</t>
  </si>
  <si>
    <t>Romeoville</t>
  </si>
  <si>
    <t>460-600</t>
  </si>
  <si>
    <t>Iowa City</t>
  </si>
  <si>
    <t>Stevenson (MD)</t>
  </si>
  <si>
    <t>Stevenson</t>
  </si>
  <si>
    <t>480-640</t>
  </si>
  <si>
    <t>$21,875/$42,113</t>
  </si>
  <si>
    <t>DIII4826</t>
  </si>
  <si>
    <t>hawkeyes@iowasoftball.com</t>
  </si>
  <si>
    <t>DII3356</t>
  </si>
  <si>
    <t>Alvis</t>
  </si>
  <si>
    <t>lalvis@stevenson.edu</t>
  </si>
  <si>
    <t>Becky</t>
  </si>
  <si>
    <t>Pearl</t>
  </si>
  <si>
    <t>pearlbe@lewisu.edu</t>
  </si>
  <si>
    <t>815-836-5547 815-836-5547</t>
  </si>
  <si>
    <t>DI6403</t>
  </si>
  <si>
    <t>DIII4883</t>
  </si>
  <si>
    <t>Trena</t>
  </si>
  <si>
    <t>Washington College</t>
  </si>
  <si>
    <t>Prater</t>
  </si>
  <si>
    <t>Lacey</t>
  </si>
  <si>
    <t>trena-prater@uiowa.edu</t>
  </si>
  <si>
    <t>Lister</t>
  </si>
  <si>
    <t>DIII21657</t>
  </si>
  <si>
    <t>llister2@washcoll.edu</t>
  </si>
  <si>
    <t>410-810-7463</t>
  </si>
  <si>
    <t>Mallory</t>
  </si>
  <si>
    <t>mwinters2@lewisu.edu</t>
  </si>
  <si>
    <t>815-836-5890 815-836-5890</t>
  </si>
  <si>
    <t>Washington (MD)</t>
  </si>
  <si>
    <t>Chestertown</t>
  </si>
  <si>
    <t>DI6404</t>
  </si>
  <si>
    <t>Dillinger</t>
  </si>
  <si>
    <t>ricky-dillinger@uiowa.edu</t>
  </si>
  <si>
    <t>DII3420</t>
  </si>
  <si>
    <t>McKendree University</t>
  </si>
  <si>
    <t>DIII4884</t>
  </si>
  <si>
    <t>crthomas@mckendree.edu</t>
  </si>
  <si>
    <t>Proffitt</t>
  </si>
  <si>
    <t>618-537-6916</t>
  </si>
  <si>
    <t>dproffitt2@washcoll.edu</t>
  </si>
  <si>
    <t>410-810-7103</t>
  </si>
  <si>
    <t>DI6405</t>
  </si>
  <si>
    <t>Keely</t>
  </si>
  <si>
    <t>McKendree</t>
  </si>
  <si>
    <t>McMillon</t>
  </si>
  <si>
    <t>Lebanon</t>
  </si>
  <si>
    <t>319-335-7892 319-335-7892</t>
  </si>
  <si>
    <t>410-560</t>
  </si>
  <si>
    <t>DIII4885</t>
  </si>
  <si>
    <t>445-550</t>
  </si>
  <si>
    <t>Clare</t>
  </si>
  <si>
    <t>Hofstedt</t>
  </si>
  <si>
    <t>chofstedt2@washcoll.edu</t>
  </si>
  <si>
    <t>DI6406</t>
  </si>
  <si>
    <t>Massachusetts</t>
  </si>
  <si>
    <t>DII3421</t>
  </si>
  <si>
    <t>Doud-Johnson</t>
  </si>
  <si>
    <t>DIII4931</t>
  </si>
  <si>
    <t>Amherst College</t>
  </si>
  <si>
    <t>Abi</t>
  </si>
  <si>
    <t>Corbett</t>
  </si>
  <si>
    <t>abigail.corbett19@mckendree.edu</t>
  </si>
  <si>
    <t>jjohnson@amherst.edu</t>
  </si>
  <si>
    <t>413-542-5378</t>
  </si>
  <si>
    <t>DI21110</t>
  </si>
  <si>
    <t>University of Maryland</t>
  </si>
  <si>
    <t>Forsythe</t>
  </si>
  <si>
    <t>forsythesoftball@yahoo.com</t>
  </si>
  <si>
    <t>DII3422</t>
  </si>
  <si>
    <t>College Park</t>
  </si>
  <si>
    <t>Fleming</t>
  </si>
  <si>
    <t>asfleming@mckendree.edu</t>
  </si>
  <si>
    <t>680-775</t>
  </si>
  <si>
    <t>618-537-6908</t>
  </si>
  <si>
    <t>620-730</t>
  </si>
  <si>
    <t>$26,063/$47,927</t>
  </si>
  <si>
    <t>DIII4932</t>
  </si>
  <si>
    <t>Bolduc</t>
  </si>
  <si>
    <t>jbolduc@amherst.edu</t>
  </si>
  <si>
    <t>DII3488</t>
  </si>
  <si>
    <t>DI6489</t>
  </si>
  <si>
    <t>413-542-2151</t>
  </si>
  <si>
    <t>Quincy University</t>
  </si>
  <si>
    <t>Passini</t>
  </si>
  <si>
    <t>passica@quincy.edu</t>
  </si>
  <si>
    <t>monty1@umd.edu</t>
  </si>
  <si>
    <t>301-314-7995 301-314-7995</t>
  </si>
  <si>
    <t>(217) 228-5432, Ext. 3517 (217) 228-5432, Ext. 3517</t>
  </si>
  <si>
    <t>Quincy (IL)</t>
  </si>
  <si>
    <t>DIII4933</t>
  </si>
  <si>
    <t>Quincy</t>
  </si>
  <si>
    <t>AC Ally has been removed.</t>
  </si>
  <si>
    <t>DI6490</t>
  </si>
  <si>
    <t>DIII21660</t>
  </si>
  <si>
    <t>Heckman</t>
  </si>
  <si>
    <t>cvbutler@umd.edu</t>
  </si>
  <si>
    <t>301-405-8792 301-405-8792</t>
  </si>
  <si>
    <t>DIII21143</t>
  </si>
  <si>
    <t>Mairin</t>
  </si>
  <si>
    <t>Dudek</t>
  </si>
  <si>
    <t>DII3530</t>
  </si>
  <si>
    <t>University of Indianapolis</t>
  </si>
  <si>
    <t>Ferrell</t>
  </si>
  <si>
    <t>DIII4996</t>
  </si>
  <si>
    <t>ferrellb@uindy.edu</t>
  </si>
  <si>
    <t>Anna Maria College</t>
  </si>
  <si>
    <t>317-788-5958</t>
  </si>
  <si>
    <t>Sasso</t>
  </si>
  <si>
    <t>lsasso@annamaria.edu</t>
  </si>
  <si>
    <t>DI6491</t>
  </si>
  <si>
    <t>c: 508-344-9913</t>
  </si>
  <si>
    <t>Larabee</t>
  </si>
  <si>
    <t>mlarabee@umd.edu</t>
  </si>
  <si>
    <t>301-405-9894 301-405-9894</t>
  </si>
  <si>
    <t>Anna Maria</t>
  </si>
  <si>
    <t>Paxton</t>
  </si>
  <si>
    <t>378-490</t>
  </si>
  <si>
    <t>378-480</t>
  </si>
  <si>
    <t>DI6492</t>
  </si>
  <si>
    <t>Camron</t>
  </si>
  <si>
    <t>Hammond</t>
  </si>
  <si>
    <t>hammondc@umd.edu</t>
  </si>
  <si>
    <t>DII3531</t>
  </si>
  <si>
    <t>DIII4997</t>
  </si>
  <si>
    <t>Frost</t>
  </si>
  <si>
    <t>mfrost@uindy.edu</t>
  </si>
  <si>
    <t>Benny</t>
  </si>
  <si>
    <t>317-788-2198</t>
  </si>
  <si>
    <t>bsasso@annamaria.edu</t>
  </si>
  <si>
    <t>MI</t>
  </si>
  <si>
    <t>University of Michigan</t>
  </si>
  <si>
    <t>Carol</t>
  </si>
  <si>
    <t>Hutchins</t>
  </si>
  <si>
    <t>hutch@umich.edu</t>
  </si>
  <si>
    <t>734-647-1269</t>
  </si>
  <si>
    <t>Independent</t>
  </si>
  <si>
    <t>DII3573</t>
  </si>
  <si>
    <t>DIII4998</t>
  </si>
  <si>
    <t>Oakland City University</t>
  </si>
  <si>
    <t>Modafari</t>
  </si>
  <si>
    <t>Eddy</t>
  </si>
  <si>
    <t>bmodafari@oak.edu</t>
  </si>
  <si>
    <t>jeddy@annamaria.edu</t>
  </si>
  <si>
    <t>812-749-1266 812-749-1266</t>
  </si>
  <si>
    <t>Michigan</t>
  </si>
  <si>
    <t>Ann Arbor</t>
  </si>
  <si>
    <t>670-770</t>
  </si>
  <si>
    <t>$28,776/$59,784</t>
  </si>
  <si>
    <t>Oakland City</t>
  </si>
  <si>
    <t>y (General Baptist Church)</t>
  </si>
  <si>
    <t>DIII4999</t>
  </si>
  <si>
    <t>415-525</t>
  </si>
  <si>
    <t>Lapierre</t>
  </si>
  <si>
    <t>AC (OF)</t>
  </si>
  <si>
    <t>Bonnie</t>
  </si>
  <si>
    <t>Tholl</t>
  </si>
  <si>
    <t>btholl@umich.edu</t>
  </si>
  <si>
    <t>DII3574</t>
  </si>
  <si>
    <t>DIII5000</t>
  </si>
  <si>
    <t>734-763-1444</t>
  </si>
  <si>
    <t>AC Caitlin has been removed.</t>
  </si>
  <si>
    <t>Sabby</t>
  </si>
  <si>
    <t>Carriera</t>
  </si>
  <si>
    <t>DII3575</t>
  </si>
  <si>
    <t>Buchta</t>
  </si>
  <si>
    <t>pbuchta@oak.edu</t>
  </si>
  <si>
    <t>812-749-1265 812-749-1265</t>
  </si>
  <si>
    <t>DIII5024</t>
  </si>
  <si>
    <t>Babson College</t>
  </si>
  <si>
    <t>Brundage</t>
  </si>
  <si>
    <t>Canan</t>
  </si>
  <si>
    <t>dcanan@babson.edu</t>
  </si>
  <si>
    <t>jbrundag@umich.edu</t>
  </si>
  <si>
    <t>(781) 239-4619</t>
  </si>
  <si>
    <t>734-763-7594</t>
  </si>
  <si>
    <t>DIII21661</t>
  </si>
  <si>
    <t>Schuler</t>
  </si>
  <si>
    <t>Babson</t>
  </si>
  <si>
    <t>rschuler@oak.edu</t>
  </si>
  <si>
    <t>Wellesley</t>
  </si>
  <si>
    <t>Mary Beth</t>
  </si>
  <si>
    <t>Dennison</t>
  </si>
  <si>
    <t>marybden@umich.edu</t>
  </si>
  <si>
    <t>GLIAC</t>
  </si>
  <si>
    <t>DII12231</t>
  </si>
  <si>
    <t>DIII5025</t>
  </si>
  <si>
    <t>Littlefield</t>
  </si>
  <si>
    <t>mlittlefield@babson.edu</t>
  </si>
  <si>
    <t>(781) 239-6678</t>
  </si>
  <si>
    <t>DIII5026</t>
  </si>
  <si>
    <t>Amber</t>
  </si>
  <si>
    <t>awhite16@babson.edu</t>
  </si>
  <si>
    <t>781-239-5217</t>
  </si>
  <si>
    <t>Purdue University - Northwest</t>
  </si>
  <si>
    <t>Niki</t>
  </si>
  <si>
    <t>Stansell</t>
  </si>
  <si>
    <t>stansell@PNW.edu</t>
  </si>
  <si>
    <t>(219) 989-8301</t>
  </si>
  <si>
    <t>Dir of Ops Kesley has been removed.</t>
  </si>
  <si>
    <t>DIII5078</t>
  </si>
  <si>
    <t>Purdue-Northwest</t>
  </si>
  <si>
    <t>Bay Path University</t>
  </si>
  <si>
    <t>Steven</t>
  </si>
  <si>
    <t>ssmith@baypath.edu</t>
  </si>
  <si>
    <t>413-565-1244</t>
  </si>
  <si>
    <t>$22,262/$31,680</t>
  </si>
  <si>
    <t>Bay Path</t>
  </si>
  <si>
    <t>Longmeadow</t>
  </si>
  <si>
    <t>DI6577</t>
  </si>
  <si>
    <t>Michigan State University</t>
  </si>
  <si>
    <t>Jacquie</t>
  </si>
  <si>
    <t>425-550</t>
  </si>
  <si>
    <t>420-515</t>
  </si>
  <si>
    <t>josephj@ath.msu.edu</t>
  </si>
  <si>
    <t>517-355-4752</t>
  </si>
  <si>
    <t>DIII21662</t>
  </si>
  <si>
    <t>@MSUCoachJoseph</t>
  </si>
  <si>
    <t>Michigan State</t>
  </si>
  <si>
    <t>East Lansing</t>
  </si>
  <si>
    <t>$27,290/$51,118</t>
  </si>
  <si>
    <t>DIII5079</t>
  </si>
  <si>
    <t>Goodhart</t>
  </si>
  <si>
    <t>agoodhart@baypath.edu</t>
  </si>
  <si>
    <t>DIII21663</t>
  </si>
  <si>
    <t>Kalyn</t>
  </si>
  <si>
    <t>Learnard</t>
  </si>
  <si>
    <t>DI6578</t>
  </si>
  <si>
    <t>Corrie</t>
  </si>
  <si>
    <t>chill@ath.msu.edu</t>
  </si>
  <si>
    <t>@CorrieHill</t>
  </si>
  <si>
    <t>DIII5108</t>
  </si>
  <si>
    <t>Becker College</t>
  </si>
  <si>
    <t>Hurley</t>
  </si>
  <si>
    <t>DIII21664</t>
  </si>
  <si>
    <t>richard.hurley@becker.edu</t>
  </si>
  <si>
    <t>Mia</t>
  </si>
  <si>
    <t>DI6579</t>
  </si>
  <si>
    <t>Sorden</t>
  </si>
  <si>
    <t>sorden@ath.msu.edu</t>
  </si>
  <si>
    <t>@CoachSorden</t>
  </si>
  <si>
    <t>Becker (MA)</t>
  </si>
  <si>
    <t>Worcester</t>
  </si>
  <si>
    <t>DIII21665</t>
  </si>
  <si>
    <t>DI6580</t>
  </si>
  <si>
    <t>Tatiana</t>
  </si>
  <si>
    <t>Sorokina</t>
  </si>
  <si>
    <t>Pond</t>
  </si>
  <si>
    <t>ponderin@msu.edu</t>
  </si>
  <si>
    <t>DIII5109</t>
  </si>
  <si>
    <t>DIII21666</t>
  </si>
  <si>
    <t>Tim</t>
  </si>
  <si>
    <t>Maynard</t>
  </si>
  <si>
    <t>MN</t>
  </si>
  <si>
    <t>DI6659</t>
  </si>
  <si>
    <t>University of Minnesota</t>
  </si>
  <si>
    <t>Trachsel</t>
  </si>
  <si>
    <t>trachsel@umn.edu</t>
  </si>
  <si>
    <t>612-626-5594</t>
  </si>
  <si>
    <t>DIII5132</t>
  </si>
  <si>
    <t>Brandeis University</t>
  </si>
  <si>
    <t>Minnesota</t>
  </si>
  <si>
    <t>Minneapolis</t>
  </si>
  <si>
    <t>DII3625</t>
  </si>
  <si>
    <t>560-700</t>
  </si>
  <si>
    <t>620-750</t>
  </si>
  <si>
    <t>University of Southern Indiana</t>
  </si>
  <si>
    <t>MacKenzi</t>
  </si>
  <si>
    <t>Dorsam</t>
  </si>
  <si>
    <t>$26,719/$36,383</t>
  </si>
  <si>
    <t>bmdorsam@usi.edu</t>
  </si>
  <si>
    <t>812-228-5075 812-228-5075</t>
  </si>
  <si>
    <t>DI6660</t>
  </si>
  <si>
    <t>Brandeis</t>
  </si>
  <si>
    <t>Waltham</t>
  </si>
  <si>
    <t>Piper</t>
  </si>
  <si>
    <t>Ritter</t>
  </si>
  <si>
    <t>mart1003@umn.edu</t>
  </si>
  <si>
    <t>610-710</t>
  </si>
  <si>
    <t>Southern Indiana</t>
  </si>
  <si>
    <t>Evansville</t>
  </si>
  <si>
    <t>$19,943/$30,185</t>
  </si>
  <si>
    <t>DI6661</t>
  </si>
  <si>
    <t>HC Danielle has been removed.</t>
  </si>
  <si>
    <t>Rietkovich Browder</t>
  </si>
  <si>
    <t>krietkov@umn.edu</t>
  </si>
  <si>
    <t>DII3626</t>
  </si>
  <si>
    <t>Lexi</t>
  </si>
  <si>
    <t>asreese@eagles.usi.edu</t>
  </si>
  <si>
    <t>812-465-1664 812-465-1664</t>
  </si>
  <si>
    <t>DI6662</t>
  </si>
  <si>
    <t>DIII5133</t>
  </si>
  <si>
    <t>Kraytenberg</t>
  </si>
  <si>
    <t>ekraytenberg@brandeis.edu</t>
  </si>
  <si>
    <t>DII3627</t>
  </si>
  <si>
    <t>Sue</t>
  </si>
  <si>
    <t>DI6663</t>
  </si>
  <si>
    <t>Kunkle</t>
  </si>
  <si>
    <t>kunkle@usi.edu</t>
  </si>
  <si>
    <t>Reina</t>
  </si>
  <si>
    <t>DIII5134</t>
  </si>
  <si>
    <t>DI6664</t>
  </si>
  <si>
    <t>Cody</t>
  </si>
  <si>
    <t>Shoemaker</t>
  </si>
  <si>
    <t>cshoemak@umn.edu</t>
  </si>
  <si>
    <t>DII3628</t>
  </si>
  <si>
    <t>Harmening</t>
  </si>
  <si>
    <t>812-464-1664 812-464-1664</t>
  </si>
  <si>
    <t>DIII5135</t>
  </si>
  <si>
    <t>Genovese</t>
  </si>
  <si>
    <t>Northern Sun</t>
  </si>
  <si>
    <t>DII3671</t>
  </si>
  <si>
    <t>DI6738</t>
  </si>
  <si>
    <t>Upper Iowa University</t>
  </si>
  <si>
    <t>University of Nebraska</t>
  </si>
  <si>
    <t>Rhonda</t>
  </si>
  <si>
    <t>vernonj77@uiu.edu</t>
  </si>
  <si>
    <t>Revelle</t>
  </si>
  <si>
    <t>c: 402-689-4901</t>
  </si>
  <si>
    <t>rrevelle@huskers.com</t>
  </si>
  <si>
    <t>(402) 472-8801 (402) 472-8801</t>
  </si>
  <si>
    <t>DIII5185</t>
  </si>
  <si>
    <t>Bridgewater State University</t>
  </si>
  <si>
    <t>Couturier</t>
  </si>
  <si>
    <t>lcouturier@bridgew.edu</t>
  </si>
  <si>
    <t>508-531-1898</t>
  </si>
  <si>
    <t>Nebraska</t>
  </si>
  <si>
    <t>Upper Iowa</t>
  </si>
  <si>
    <t>Lincoln</t>
  </si>
  <si>
    <t>Fayette</t>
  </si>
  <si>
    <t>Bridgewater State</t>
  </si>
  <si>
    <t>480-630</t>
  </si>
  <si>
    <t>Bridgewater</t>
  </si>
  <si>
    <t>430-440</t>
  </si>
  <si>
    <t>$24,245/$38,766</t>
  </si>
  <si>
    <t>17-24</t>
  </si>
  <si>
    <t>$25,403/$31,543</t>
  </si>
  <si>
    <t>DI6739</t>
  </si>
  <si>
    <t>Lori</t>
  </si>
  <si>
    <t>Sippel</t>
  </si>
  <si>
    <t>lsippel@huskers.com</t>
  </si>
  <si>
    <t>DIII5186</t>
  </si>
  <si>
    <t>Noons</t>
  </si>
  <si>
    <t>DII3672</t>
  </si>
  <si>
    <t>b1noons@bridgew.edu</t>
  </si>
  <si>
    <t>hickmana26@uiu.edu</t>
  </si>
  <si>
    <t>563-425-5174 563-425-5174</t>
  </si>
  <si>
    <t>DI6740</t>
  </si>
  <si>
    <t>dmiller@huskers.com</t>
  </si>
  <si>
    <t>MIAA</t>
  </si>
  <si>
    <t>DIII5187</t>
  </si>
  <si>
    <t>DII3712</t>
  </si>
  <si>
    <t>Emporia State University</t>
  </si>
  <si>
    <t>Plante</t>
  </si>
  <si>
    <t>Linda</t>
  </si>
  <si>
    <t>j1plante@bridgew.edu</t>
  </si>
  <si>
    <t>Passmore</t>
  </si>
  <si>
    <t>linda.mikessports@gmail.com</t>
  </si>
  <si>
    <t>620-341-6164 620-341-6164</t>
  </si>
  <si>
    <t>@EState_Softball</t>
  </si>
  <si>
    <t>Emporia State</t>
  </si>
  <si>
    <t>DI6742</t>
  </si>
  <si>
    <t>Emporia</t>
  </si>
  <si>
    <t>agrant@huskers.com</t>
  </si>
  <si>
    <t>DIII5238</t>
  </si>
  <si>
    <t>490-540</t>
  </si>
  <si>
    <t>Clark University</t>
  </si>
  <si>
    <t>Wage</t>
  </si>
  <si>
    <t>lwage@clarku.edu</t>
  </si>
  <si>
    <t>$19,041/$32,254</t>
  </si>
  <si>
    <t>(508) 793-7637</t>
  </si>
  <si>
    <t>DI6839</t>
  </si>
  <si>
    <t>Northwestern University</t>
  </si>
  <si>
    <t>Drohan</t>
  </si>
  <si>
    <t>Clark (MA)</t>
  </si>
  <si>
    <t>DII3713</t>
  </si>
  <si>
    <t>k-drohan@northwestern.edu</t>
  </si>
  <si>
    <t>847-491-4650</t>
  </si>
  <si>
    <t>Aubree</t>
  </si>
  <si>
    <t>Harsh</t>
  </si>
  <si>
    <t>560-665</t>
  </si>
  <si>
    <t>Northwestern (IL)</t>
  </si>
  <si>
    <t>DII3714</t>
  </si>
  <si>
    <t>Evanston</t>
  </si>
  <si>
    <t>y (United Methodist Church)</t>
  </si>
  <si>
    <t>Medina</t>
  </si>
  <si>
    <t>690-760</t>
  </si>
  <si>
    <t>cmedina1@g.emporia.edu</t>
  </si>
  <si>
    <t>710-800</t>
  </si>
  <si>
    <t>32-34</t>
  </si>
  <si>
    <t>DIII5239</t>
  </si>
  <si>
    <t>Rahall</t>
  </si>
  <si>
    <t>wlrah@yahoo.com</t>
  </si>
  <si>
    <t>DI6840</t>
  </si>
  <si>
    <t>DII3715</t>
  </si>
  <si>
    <t>Caryl</t>
  </si>
  <si>
    <t>April</t>
  </si>
  <si>
    <t>Rosales</t>
  </si>
  <si>
    <t>c-drohan@northwestern.edu</t>
  </si>
  <si>
    <t>ahuddles@emporia.edu</t>
  </si>
  <si>
    <t>847-491-4649</t>
  </si>
  <si>
    <t>(620) 341-6164 (620) 341-6164</t>
  </si>
  <si>
    <t>DIII5240</t>
  </si>
  <si>
    <t>Ginese</t>
  </si>
  <si>
    <t>sginese@clarku.edu</t>
  </si>
  <si>
    <t>DI6841</t>
  </si>
  <si>
    <t>DII3758</t>
  </si>
  <si>
    <t>Fort Hays State University</t>
  </si>
  <si>
    <t>Gascoigne</t>
  </si>
  <si>
    <t>DIII5286</t>
  </si>
  <si>
    <t>m.gascoigne@northwestern.edu</t>
  </si>
  <si>
    <t>Curry College</t>
  </si>
  <si>
    <t>847-491-4291</t>
  </si>
  <si>
    <t>Weckworth</t>
  </si>
  <si>
    <t>jejordan4@fhsu.edu</t>
  </si>
  <si>
    <t>(785) 628-4687 (785) 628-4687</t>
  </si>
  <si>
    <t>bweckwor@curry.edu</t>
  </si>
  <si>
    <t>617-333-2352</t>
  </si>
  <si>
    <t>DI6842</t>
  </si>
  <si>
    <t>Fran</t>
  </si>
  <si>
    <t>Strub</t>
  </si>
  <si>
    <t>Curry (MA)</t>
  </si>
  <si>
    <t>FrancisStrub2016@u.northwestern.edu</t>
  </si>
  <si>
    <t>Milton</t>
  </si>
  <si>
    <t>Fort Hays State</t>
  </si>
  <si>
    <t>$17,510/$27,052</t>
  </si>
  <si>
    <t>DI6843</t>
  </si>
  <si>
    <t>DIII5287</t>
  </si>
  <si>
    <t>Leanne</t>
  </si>
  <si>
    <t>Filler</t>
  </si>
  <si>
    <t>Tarkanian</t>
  </si>
  <si>
    <t>filler@northwestern.edu</t>
  </si>
  <si>
    <t>leanne.tarkanian@curry.edu</t>
  </si>
  <si>
    <t>DII3759</t>
  </si>
  <si>
    <t>Pilkington</t>
  </si>
  <si>
    <t>ammohr2@fhsu.edu</t>
  </si>
  <si>
    <t>(785) 628-5885 (785) 628-5885</t>
  </si>
  <si>
    <t>DI6844</t>
  </si>
  <si>
    <t>Faith</t>
  </si>
  <si>
    <t>Canfield</t>
  </si>
  <si>
    <t>faithcanfield2021@u.northwestern.edu</t>
  </si>
  <si>
    <t>DIII5288</t>
  </si>
  <si>
    <t>Bruno</t>
  </si>
  <si>
    <t>DII3800</t>
  </si>
  <si>
    <t>mbruno2013@curry.edu</t>
  </si>
  <si>
    <t>Newman University</t>
  </si>
  <si>
    <t>Shockley</t>
  </si>
  <si>
    <t>shockleyr@newmanu.edu</t>
  </si>
  <si>
    <t>316-942-4291, ext. 2198 316-942-4291, ext. 2198</t>
  </si>
  <si>
    <t>DI21148</t>
  </si>
  <si>
    <t>Ohio State University</t>
  </si>
  <si>
    <t>Cammi</t>
  </si>
  <si>
    <t>Prantl</t>
  </si>
  <si>
    <t>Ohio State</t>
  </si>
  <si>
    <t>Newman (KS)</t>
  </si>
  <si>
    <t>DIII5334</t>
  </si>
  <si>
    <t>Dean College</t>
  </si>
  <si>
    <t>$25,847/$44,039</t>
  </si>
  <si>
    <t>413-528</t>
  </si>
  <si>
    <t>Krause</t>
  </si>
  <si>
    <t>465-510</t>
  </si>
  <si>
    <t>akrause@dean.edu</t>
  </si>
  <si>
    <t>(508) 541-1648</t>
  </si>
  <si>
    <t>Dean (MA)</t>
  </si>
  <si>
    <t>DI6918</t>
  </si>
  <si>
    <t>DII3801</t>
  </si>
  <si>
    <t>Kovach Schoenly</t>
  </si>
  <si>
    <t>softball@osu.edu</t>
  </si>
  <si>
    <t>Gustafson</t>
  </si>
  <si>
    <t>gustafsona@newmanu.edu</t>
  </si>
  <si>
    <t>DII3842</t>
  </si>
  <si>
    <t>Pittsburg State University</t>
  </si>
  <si>
    <t>Daro</t>
  </si>
  <si>
    <t>DIII5335</t>
  </si>
  <si>
    <t>jdaro@pittstate.edu</t>
  </si>
  <si>
    <t>620-235-4967</t>
  </si>
  <si>
    <t>Tammy</t>
  </si>
  <si>
    <t>Silveira</t>
  </si>
  <si>
    <t>tsilveira@dean.edu</t>
  </si>
  <si>
    <t>DI6919</t>
  </si>
  <si>
    <t>McIntyre</t>
  </si>
  <si>
    <t>Pittsburg State (KS)</t>
  </si>
  <si>
    <t>Pittsburg</t>
  </si>
  <si>
    <t>DIII5358</t>
  </si>
  <si>
    <t>$19,190/$29,942</t>
  </si>
  <si>
    <t>Eastern Nazarene College</t>
  </si>
  <si>
    <t>Dani</t>
  </si>
  <si>
    <t>Bishop</t>
  </si>
  <si>
    <t>dani.bishop@enc.edu</t>
  </si>
  <si>
    <t>617-745-3644</t>
  </si>
  <si>
    <t>DI6920</t>
  </si>
  <si>
    <t>clark.3233@osu.edu</t>
  </si>
  <si>
    <t>DII3843</t>
  </si>
  <si>
    <t>Balazs</t>
  </si>
  <si>
    <t>abalazs@pittstate.edu</t>
  </si>
  <si>
    <t>620-235-6551</t>
  </si>
  <si>
    <t>Eastern Nazarene</t>
  </si>
  <si>
    <t>DI6921</t>
  </si>
  <si>
    <t>410-550</t>
  </si>
  <si>
    <t>smith.10455@osu.edu</t>
  </si>
  <si>
    <t>614-247-5363</t>
  </si>
  <si>
    <t>DII3882</t>
  </si>
  <si>
    <t>Washburn University</t>
  </si>
  <si>
    <t>DIII5359</t>
  </si>
  <si>
    <t>Simone</t>
  </si>
  <si>
    <t>simone.patterson@washburn.edu</t>
  </si>
  <si>
    <t>Clements</t>
  </si>
  <si>
    <t>Lauren.A.Clements@lions.enc.edu</t>
  </si>
  <si>
    <t>DI7031</t>
  </si>
  <si>
    <t>Penn State</t>
  </si>
  <si>
    <t>Lehotak</t>
  </si>
  <si>
    <t>ajl22@psu.edu</t>
  </si>
  <si>
    <t>814-863-7472 814-863-7472</t>
  </si>
  <si>
    <t>Washburn (KS)</t>
  </si>
  <si>
    <t>Topeka</t>
  </si>
  <si>
    <t>DIII5360</t>
  </si>
  <si>
    <t>AC Heidi has been removed.</t>
  </si>
  <si>
    <t>$19,862/$29,494</t>
  </si>
  <si>
    <t>State College</t>
  </si>
  <si>
    <t>DII3883</t>
  </si>
  <si>
    <t>$35,758/$50,240</t>
  </si>
  <si>
    <t>DIII5361</t>
  </si>
  <si>
    <t>Zordel</t>
  </si>
  <si>
    <t>taylor.zordel@washburn.edu</t>
  </si>
  <si>
    <t>@tzordel</t>
  </si>
  <si>
    <t>Gambale</t>
  </si>
  <si>
    <t>DII3884</t>
  </si>
  <si>
    <t>Brenda</t>
  </si>
  <si>
    <t>Holaday</t>
  </si>
  <si>
    <t>DIII5390</t>
  </si>
  <si>
    <t>brenda.holaday@washburn.edu</t>
  </si>
  <si>
    <t>Elms College</t>
  </si>
  <si>
    <t>785-670-1797</t>
  </si>
  <si>
    <t>Cheryl</t>
  </si>
  <si>
    <t>@BrendaHoladay</t>
  </si>
  <si>
    <t>Condon</t>
  </si>
  <si>
    <t>condonc@elms.edu</t>
  </si>
  <si>
    <t>(413)-265-2212</t>
  </si>
  <si>
    <t>DI7032</t>
  </si>
  <si>
    <t>Caffrey</t>
  </si>
  <si>
    <t>szs34@psu.edu</t>
  </si>
  <si>
    <t>814-865-0936 814-865-0936</t>
  </si>
  <si>
    <t>Elms</t>
  </si>
  <si>
    <t>Chicopee</t>
  </si>
  <si>
    <t>DIII21675</t>
  </si>
  <si>
    <t>420-535</t>
  </si>
  <si>
    <t>Kirk</t>
  </si>
  <si>
    <t>taylor.kirk@washburn.edu</t>
  </si>
  <si>
    <t>785-670-1466</t>
  </si>
  <si>
    <t>@Taylor_Kirk15</t>
  </si>
  <si>
    <t>DI7033</t>
  </si>
  <si>
    <t>Alisa</t>
  </si>
  <si>
    <t>Goler Perrin</t>
  </si>
  <si>
    <t>ahg50@psu.edu</t>
  </si>
  <si>
    <t>DIII5391</t>
  </si>
  <si>
    <t>Destinee</t>
  </si>
  <si>
    <t>Meeker</t>
  </si>
  <si>
    <t>meekerd@elms.edu</t>
  </si>
  <si>
    <t>(413) 265-2212</t>
  </si>
  <si>
    <t>DII12254</t>
  </si>
  <si>
    <t>Bellarmine University</t>
  </si>
  <si>
    <t>Foley</t>
  </si>
  <si>
    <t>mfoley@bellarmine.edu</t>
  </si>
  <si>
    <t>502-272-8041</t>
  </si>
  <si>
    <t>Bellarmine</t>
  </si>
  <si>
    <t>DI7034</t>
  </si>
  <si>
    <t>Haefeli</t>
  </si>
  <si>
    <t>smh520@psu.edu</t>
  </si>
  <si>
    <t>DIII5392</t>
  </si>
  <si>
    <t>Colson</t>
  </si>
  <si>
    <t>colsonj@elms.edu</t>
  </si>
  <si>
    <t>DII12255</t>
  </si>
  <si>
    <t>DI7035</t>
  </si>
  <si>
    <t>DIII5393</t>
  </si>
  <si>
    <t>Diaz</t>
  </si>
  <si>
    <t>Digiovanni</t>
  </si>
  <si>
    <t>cmd39@psu.edu</t>
  </si>
  <si>
    <t>digiovannig@elms.edu</t>
  </si>
  <si>
    <t>DII3929</t>
  </si>
  <si>
    <t>Kleis</t>
  </si>
  <si>
    <t>ekleis@bellarmine.edu</t>
  </si>
  <si>
    <t>DIII5394</t>
  </si>
  <si>
    <t>Bouvier</t>
  </si>
  <si>
    <t>bouvierj@elms.edu</t>
  </si>
  <si>
    <t>DI7145</t>
  </si>
  <si>
    <t>Purdue University</t>
  </si>
  <si>
    <t>Boo</t>
  </si>
  <si>
    <t>De Oliveira</t>
  </si>
  <si>
    <t>coachbd@purdue.edu</t>
  </si>
  <si>
    <t>765-494.6914</t>
  </si>
  <si>
    <t>DIII5418</t>
  </si>
  <si>
    <t>Emerson College</t>
  </si>
  <si>
    <t>McElroy</t>
  </si>
  <si>
    <t>philip_mcelroy@emerson.edu</t>
  </si>
  <si>
    <t>617-824-8981</t>
  </si>
  <si>
    <t>DII3930</t>
  </si>
  <si>
    <t>Purdue</t>
  </si>
  <si>
    <t>West Lafayette</t>
  </si>
  <si>
    <t>Emerson (MA)</t>
  </si>
  <si>
    <t>$23,032/$41,834</t>
  </si>
  <si>
    <t>540-650</t>
  </si>
  <si>
    <t>DII3931</t>
  </si>
  <si>
    <t>Hicks</t>
  </si>
  <si>
    <t>rhicks@bellarmine.edu</t>
  </si>
  <si>
    <t>DI7146</t>
  </si>
  <si>
    <t>Adrienne</t>
  </si>
  <si>
    <t>aclark@purdue.edu</t>
  </si>
  <si>
    <t>DIII5450</t>
  </si>
  <si>
    <t>765-494.6869</t>
  </si>
  <si>
    <t>Emmanuel College - Massachusetts</t>
  </si>
  <si>
    <t>berryo@emmanuel.edu</t>
  </si>
  <si>
    <t>617-735-9864</t>
  </si>
  <si>
    <t>Emmanuel (MA)</t>
  </si>
  <si>
    <t>DII3932</t>
  </si>
  <si>
    <t>510-600</t>
  </si>
  <si>
    <t>DI7147</t>
  </si>
  <si>
    <t>Dorian</t>
  </si>
  <si>
    <t>Shaw</t>
  </si>
  <si>
    <t>CoachShaw@purdue.edu</t>
  </si>
  <si>
    <t>765-496.3429</t>
  </si>
  <si>
    <t>DIII5451</t>
  </si>
  <si>
    <t>Cat</t>
  </si>
  <si>
    <t>davisc2@emmanuel.edu</t>
  </si>
  <si>
    <t>DIII21678</t>
  </si>
  <si>
    <t>Leann</t>
  </si>
  <si>
    <t>Kerr</t>
  </si>
  <si>
    <t>lkerr@bellamrine.edu</t>
  </si>
  <si>
    <t>(502) 272-8252</t>
  </si>
  <si>
    <t>DI21803</t>
  </si>
  <si>
    <t>DIII5452</t>
  </si>
  <si>
    <t>Trista</t>
  </si>
  <si>
    <t>Needham</t>
  </si>
  <si>
    <t>Sunderland</t>
  </si>
  <si>
    <t>needhamp@emmanuel.edu</t>
  </si>
  <si>
    <t>tesunder@purdue.edu</t>
  </si>
  <si>
    <t>496.4825 496.4825</t>
  </si>
  <si>
    <t>DIII21679</t>
  </si>
  <si>
    <t>DIII5505</t>
  </si>
  <si>
    <t>Endicott College</t>
  </si>
  <si>
    <t>Bettencourt</t>
  </si>
  <si>
    <t>DI7230</t>
  </si>
  <si>
    <t>kabetten@endicott.edu</t>
  </si>
  <si>
    <t>978-232-2306</t>
  </si>
  <si>
    <t>Rutgers University</t>
  </si>
  <si>
    <t>kristenbutler1@yahoo.com</t>
  </si>
  <si>
    <t>732-445-7849 732-445-7849</t>
  </si>
  <si>
    <t>Endicott</t>
  </si>
  <si>
    <t>Beverly</t>
  </si>
  <si>
    <t>DII4033</t>
  </si>
  <si>
    <t>Rutgers</t>
  </si>
  <si>
    <t>New Brunswick</t>
  </si>
  <si>
    <t>Kentucky State University</t>
  </si>
  <si>
    <t>Alysha</t>
  </si>
  <si>
    <t>Sakamura</t>
  </si>
  <si>
    <t>510-580</t>
  </si>
  <si>
    <t>alysha.sakamura@kysu.edu</t>
  </si>
  <si>
    <t>502-597-6923 502-597-6923</t>
  </si>
  <si>
    <t>580-700</t>
  </si>
  <si>
    <t>$30,995/$46,646</t>
  </si>
  <si>
    <t>Rutgers Softball</t>
  </si>
  <si>
    <t>DIII5506</t>
  </si>
  <si>
    <t>rusoftball@scarletknights.com</t>
  </si>
  <si>
    <t>Kentucky State</t>
  </si>
  <si>
    <t>Frankfort</t>
  </si>
  <si>
    <t>Della Vecchia</t>
  </si>
  <si>
    <t>405-480</t>
  </si>
  <si>
    <t>345-465</t>
  </si>
  <si>
    <t>$18,660/$28,962</t>
  </si>
  <si>
    <t>DI7231</t>
  </si>
  <si>
    <t>Rod</t>
  </si>
  <si>
    <t>Radcliffe</t>
  </si>
  <si>
    <t>rod.radcliffe@rutgers.edu</t>
  </si>
  <si>
    <t>732-445-8346 732-445-8346</t>
  </si>
  <si>
    <t>DIII5507</t>
  </si>
  <si>
    <t>DII4034</t>
  </si>
  <si>
    <t>Morton</t>
  </si>
  <si>
    <t>david.morton@kysu.edu</t>
  </si>
  <si>
    <t>DI7232</t>
  </si>
  <si>
    <t>Duncan</t>
  </si>
  <si>
    <t>bduncan@scarletknights.com</t>
  </si>
  <si>
    <t>DIII5508</t>
  </si>
  <si>
    <t>732-445-7850 732-445-7850</t>
  </si>
  <si>
    <t>GMAC</t>
  </si>
  <si>
    <t>DII4060</t>
  </si>
  <si>
    <t>Kentucky Wesleyan College</t>
  </si>
  <si>
    <t>AC Bill has been removed.</t>
  </si>
  <si>
    <t>WI</t>
  </si>
  <si>
    <t>University of Wisconsin</t>
  </si>
  <si>
    <t>Yvette</t>
  </si>
  <si>
    <t>Healy</t>
  </si>
  <si>
    <t>DIII5549</t>
  </si>
  <si>
    <t>yth@athletics.wisc.edu</t>
  </si>
  <si>
    <t>Fitchburg State University</t>
  </si>
  <si>
    <t>Merry</t>
  </si>
  <si>
    <t>MacDonald</t>
  </si>
  <si>
    <t>mmacdo22@fitchburgstate.edu</t>
  </si>
  <si>
    <t>978-665-4681</t>
  </si>
  <si>
    <t>Kentucky Wesleyan</t>
  </si>
  <si>
    <t>Owensboro</t>
  </si>
  <si>
    <t>Fitchburg State</t>
  </si>
  <si>
    <t>Fitchburg</t>
  </si>
  <si>
    <t>Wisconsin</t>
  </si>
  <si>
    <t>$23,429/$29,509</t>
  </si>
  <si>
    <t>DII4061</t>
  </si>
  <si>
    <t>Miles</t>
  </si>
  <si>
    <t>Mallette</t>
  </si>
  <si>
    <t>$25,230/$47,480</t>
  </si>
  <si>
    <t>mmallette@kwc.edu</t>
  </si>
  <si>
    <t>270-852-3250 270-852-3250</t>
  </si>
  <si>
    <t>DIII5550</t>
  </si>
  <si>
    <t>McCann</t>
  </si>
  <si>
    <t>kmccann1@fitchburgstate.edu</t>
  </si>
  <si>
    <t>Verdun</t>
  </si>
  <si>
    <t>knv@athletics.wisc.edu</t>
  </si>
  <si>
    <t>CIAA</t>
  </si>
  <si>
    <t>DII4098</t>
  </si>
  <si>
    <t>Bowie State University</t>
  </si>
  <si>
    <t>Powell</t>
  </si>
  <si>
    <t>DIII5551</t>
  </si>
  <si>
    <t>epowell@bowiestate.edu</t>
  </si>
  <si>
    <t>Alysia</t>
  </si>
  <si>
    <t>(301) 860-3572</t>
  </si>
  <si>
    <t>Morrissette</t>
  </si>
  <si>
    <t>Amorri24@fitchburgstate.edu</t>
  </si>
  <si>
    <t>Zymkowitz</t>
  </si>
  <si>
    <t>Bowie State</t>
  </si>
  <si>
    <t>dmz@athletics.wisc.edu</t>
  </si>
  <si>
    <t>Bowie</t>
  </si>
  <si>
    <t>DIII5552</t>
  </si>
  <si>
    <t>Sylvester</t>
  </si>
  <si>
    <t>AC (C)</t>
  </si>
  <si>
    <t>nsylves2@fitchburgstate.edu</t>
  </si>
  <si>
    <t>380-460</t>
  </si>
  <si>
    <t>$21,880/$32,416</t>
  </si>
  <si>
    <t>Big West</t>
  </si>
  <si>
    <t>DIII5589</t>
  </si>
  <si>
    <t>DI21116</t>
  </si>
  <si>
    <t>Framingham State University</t>
  </si>
  <si>
    <t>California Polytechnic State University - San Luis Obispo</t>
  </si>
  <si>
    <t>Granger</t>
  </si>
  <si>
    <t>Lmiller9@framingham.edu</t>
  </si>
  <si>
    <t>508-626-4717</t>
  </si>
  <si>
    <t>granger@calpoly.edu</t>
  </si>
  <si>
    <t>Powell.dee85@gmail.com</t>
  </si>
  <si>
    <t>Cal Poly</t>
  </si>
  <si>
    <t>San Luis Obispo</t>
  </si>
  <si>
    <t>590-700</t>
  </si>
  <si>
    <t>$26,076/$37,236</t>
  </si>
  <si>
    <t>Framingham State</t>
  </si>
  <si>
    <t>Framingham</t>
  </si>
  <si>
    <t>$24,880/$30,960</t>
  </si>
  <si>
    <t>Ja'Seph</t>
  </si>
  <si>
    <t>DI21121</t>
  </si>
  <si>
    <t>Sierra</t>
  </si>
  <si>
    <t>Hyland</t>
  </si>
  <si>
    <t>sdhyland@calpoly.edu</t>
  </si>
  <si>
    <t>805-756-1539</t>
  </si>
  <si>
    <t>DIII5590</t>
  </si>
  <si>
    <t>DI7319</t>
  </si>
  <si>
    <t>Desrochers</t>
  </si>
  <si>
    <t>Jenny</t>
  </si>
  <si>
    <t>jacondon@calpoly.edu</t>
  </si>
  <si>
    <t>DII12262</t>
  </si>
  <si>
    <t>American International College</t>
  </si>
  <si>
    <t>Ball</t>
  </si>
  <si>
    <t>rachel.ball@aic.edu</t>
  </si>
  <si>
    <t>DIII5591</t>
  </si>
  <si>
    <t>American International</t>
  </si>
  <si>
    <t>Strom</t>
  </si>
  <si>
    <t>LStrom@framingham.edu</t>
  </si>
  <si>
    <t>380-490</t>
  </si>
  <si>
    <t>382-500</t>
  </si>
  <si>
    <t>DI7320</t>
  </si>
  <si>
    <t>Vecchione</t>
  </si>
  <si>
    <t>gvecchio@calpoly.edu</t>
  </si>
  <si>
    <t>805-756-6365</t>
  </si>
  <si>
    <t>DIII5592</t>
  </si>
  <si>
    <t>ASmith24@framingham.edu</t>
  </si>
  <si>
    <t>DI7377</t>
  </si>
  <si>
    <t>California State University - Fullerton</t>
  </si>
  <si>
    <t>softball@fullerton.edu</t>
  </si>
  <si>
    <t>(657) 278-7094</t>
  </si>
  <si>
    <t>DII4127</t>
  </si>
  <si>
    <t>Shalise</t>
  </si>
  <si>
    <t>Tolentino</t>
  </si>
  <si>
    <t>shalise.tolentino@aic.edu</t>
  </si>
  <si>
    <t>DIII5620</t>
  </si>
  <si>
    <t>413-205-3919</t>
  </si>
  <si>
    <t>Gordon College</t>
  </si>
  <si>
    <t>Cal State-Fullerton</t>
  </si>
  <si>
    <t>Woolf-Connell</t>
  </si>
  <si>
    <t>Fullerton</t>
  </si>
  <si>
    <t>Katie.Woolf@gordon.edu</t>
  </si>
  <si>
    <t>978.867.4459</t>
  </si>
  <si>
    <t>$26,654-$37,814</t>
  </si>
  <si>
    <t>DII4128</t>
  </si>
  <si>
    <t>Gordon (MA)</t>
  </si>
  <si>
    <t>Wenham</t>
  </si>
  <si>
    <t>Milana</t>
  </si>
  <si>
    <t>Gilaga</t>
  </si>
  <si>
    <t>440-610</t>
  </si>
  <si>
    <t>kellyford@fullerton.edu</t>
  </si>
  <si>
    <t>DIII5621</t>
  </si>
  <si>
    <t>DIII21683</t>
  </si>
  <si>
    <t>Woolf</t>
  </si>
  <si>
    <t>Annie.Woolf@gordon.edu</t>
  </si>
  <si>
    <t>978.867.4835</t>
  </si>
  <si>
    <t>Kempf</t>
  </si>
  <si>
    <t>DI7378</t>
  </si>
  <si>
    <t>Jorge</t>
  </si>
  <si>
    <t>Araujo</t>
  </si>
  <si>
    <t>joaraujo@fullerton.edu</t>
  </si>
  <si>
    <t>(657) 278-5357</t>
  </si>
  <si>
    <t>DII12266</t>
  </si>
  <si>
    <t>Assumption College</t>
  </si>
  <si>
    <t>DIII5622</t>
  </si>
  <si>
    <t>Leach</t>
  </si>
  <si>
    <t>Burkhart</t>
  </si>
  <si>
    <t>Assumption</t>
  </si>
  <si>
    <t>23-26</t>
  </si>
  <si>
    <t>DI7379</t>
  </si>
  <si>
    <t>cgrimes@fullerton.edu</t>
  </si>
  <si>
    <t>DIII5623</t>
  </si>
  <si>
    <t>Northgraves</t>
  </si>
  <si>
    <t>DII4179</t>
  </si>
  <si>
    <t>grace.northgraves@gordon.edu</t>
  </si>
  <si>
    <t>DiPilato</t>
  </si>
  <si>
    <t>jessica.dipilato@assumption.edu</t>
  </si>
  <si>
    <t>DI7380</t>
  </si>
  <si>
    <t>DIII5624</t>
  </si>
  <si>
    <t>Jenkerson</t>
  </si>
  <si>
    <t>Megan.Jenkerson@gordon.edu</t>
  </si>
  <si>
    <t>DI7381</t>
  </si>
  <si>
    <t>cobrown@fullerton.edu</t>
  </si>
  <si>
    <t>DIII5672</t>
  </si>
  <si>
    <t>(657) 278-2176</t>
  </si>
  <si>
    <t>Lasell College</t>
  </si>
  <si>
    <t>Woodside</t>
  </si>
  <si>
    <t>swoodside@lasell.edu</t>
  </si>
  <si>
    <t>(617) 243-2434</t>
  </si>
  <si>
    <t>DII4181</t>
  </si>
  <si>
    <t>Ladino</t>
  </si>
  <si>
    <t>jm.ladino@assumption.edu</t>
  </si>
  <si>
    <t>(508) 767-7298</t>
  </si>
  <si>
    <t>DI7427</t>
  </si>
  <si>
    <t>California State University - Northridge</t>
  </si>
  <si>
    <t>Tairia</t>
  </si>
  <si>
    <t>Flowers</t>
  </si>
  <si>
    <t>tflowers@csun.edu</t>
  </si>
  <si>
    <t>Lasell</t>
  </si>
  <si>
    <t>Auburndale</t>
  </si>
  <si>
    <t>DII4227</t>
  </si>
  <si>
    <t>Bentley University</t>
  </si>
  <si>
    <t>19-22</t>
  </si>
  <si>
    <t>Robillard</t>
  </si>
  <si>
    <t>jrobillard@bentley.edu</t>
  </si>
  <si>
    <t>781-891-2449</t>
  </si>
  <si>
    <t>Cal State-Northridge</t>
  </si>
  <si>
    <t>Bentley</t>
  </si>
  <si>
    <t>Northridge</t>
  </si>
  <si>
    <t>400-520</t>
  </si>
  <si>
    <t>16-23</t>
  </si>
  <si>
    <t>$20,489/$31,649</t>
  </si>
  <si>
    <t>DIII5708</t>
  </si>
  <si>
    <t>Lesley University</t>
  </si>
  <si>
    <t>Ross</t>
  </si>
  <si>
    <t>hross7@lesley.edu</t>
  </si>
  <si>
    <t>c: 781-738-3458; o: 617.349.8627</t>
  </si>
  <si>
    <t>DII4228</t>
  </si>
  <si>
    <t>SHAW_MADI@bentley.edu</t>
  </si>
  <si>
    <t>DI7428</t>
  </si>
  <si>
    <t>Mysha</t>
  </si>
  <si>
    <t>Sataraka</t>
  </si>
  <si>
    <t>mysha.sataraka@csun.edu</t>
  </si>
  <si>
    <t>818-677-3230</t>
  </si>
  <si>
    <t>Lesley (MA)</t>
  </si>
  <si>
    <t>Cambridge</t>
  </si>
  <si>
    <t>DII4229</t>
  </si>
  <si>
    <t>McDonough</t>
  </si>
  <si>
    <t>tmcdonough@bentley.edu</t>
  </si>
  <si>
    <t>DI7429</t>
  </si>
  <si>
    <t>Cheridan</t>
  </si>
  <si>
    <t>cheridan.hawkins@csun.edu</t>
  </si>
  <si>
    <t>818-677-3854</t>
  </si>
  <si>
    <t>DII4282</t>
  </si>
  <si>
    <t>Merrimack College</t>
  </si>
  <si>
    <t>Rob</t>
  </si>
  <si>
    <t>Andersen</t>
  </si>
  <si>
    <t>andersenr@merrimack.edu</t>
  </si>
  <si>
    <t>DIII5709</t>
  </si>
  <si>
    <t>Krista</t>
  </si>
  <si>
    <t>kmacken5@lesley.edu</t>
  </si>
  <si>
    <t>617.349.8627</t>
  </si>
  <si>
    <t>DI7430</t>
  </si>
  <si>
    <t>Carissa</t>
  </si>
  <si>
    <t>Sherman</t>
  </si>
  <si>
    <t>Merrimack</t>
  </si>
  <si>
    <t>North Andover</t>
  </si>
  <si>
    <t>DIII5710</t>
  </si>
  <si>
    <t>Ari</t>
  </si>
  <si>
    <t>Darcy</t>
  </si>
  <si>
    <t>DI7497</t>
  </si>
  <si>
    <t>University of California - Davis</t>
  </si>
  <si>
    <t>Thorpe</t>
  </si>
  <si>
    <t>DII4283</t>
  </si>
  <si>
    <t>softball@ucdavis.edu</t>
  </si>
  <si>
    <t>Sachs</t>
  </si>
  <si>
    <t>DIII5711</t>
  </si>
  <si>
    <t>Fantasia</t>
  </si>
  <si>
    <t>afantasi@lesley.edu.</t>
  </si>
  <si>
    <t>DII4284</t>
  </si>
  <si>
    <t>California-Davis</t>
  </si>
  <si>
    <t>Elaine</t>
  </si>
  <si>
    <t>Schwager</t>
  </si>
  <si>
    <t>schwagere@merrimack.edu</t>
  </si>
  <si>
    <t>978-837-5148 978-837-5148</t>
  </si>
  <si>
    <t>540-700</t>
  </si>
  <si>
    <t>$34,967/$61,649</t>
  </si>
  <si>
    <t>Massachusetts College of Liberal Arts</t>
  </si>
  <si>
    <t>Adriane</t>
  </si>
  <si>
    <t>Baird</t>
  </si>
  <si>
    <t>adriane.baird@mcla.edu</t>
  </si>
  <si>
    <t>413-662-5351</t>
  </si>
  <si>
    <t>DII4285</t>
  </si>
  <si>
    <t>Mass. College of Liberal Arts (MCLA)</t>
  </si>
  <si>
    <t>Currie</t>
  </si>
  <si>
    <t>North Adams</t>
  </si>
  <si>
    <t>DI7498</t>
  </si>
  <si>
    <t>Klyse</t>
  </si>
  <si>
    <t>anklyse@ucdavis.edu</t>
  </si>
  <si>
    <t>$28,900/$49,500</t>
  </si>
  <si>
    <t>530-752-1950</t>
  </si>
  <si>
    <t>DII4347</t>
  </si>
  <si>
    <t>Stonehill College</t>
  </si>
  <si>
    <t>LeGrice</t>
  </si>
  <si>
    <t>klegrice@stonehill.edu</t>
  </si>
  <si>
    <t>(508) 565-1558</t>
  </si>
  <si>
    <t>Skipper</t>
  </si>
  <si>
    <t>douglas.skipper_jr@mcla.edu</t>
  </si>
  <si>
    <t>Stonehill</t>
  </si>
  <si>
    <t>North Easton</t>
  </si>
  <si>
    <t>DI7499</t>
  </si>
  <si>
    <t>Gomez</t>
  </si>
  <si>
    <t>ajgomez@ucdavis.edu</t>
  </si>
  <si>
    <t>DIII5740</t>
  </si>
  <si>
    <t>DII12275</t>
  </si>
  <si>
    <t>Davenport University</t>
  </si>
  <si>
    <t>Gwizdala</t>
  </si>
  <si>
    <t>DI7602</t>
  </si>
  <si>
    <t>jgwizdala2@davenport.edu</t>
  </si>
  <si>
    <t>University of California - Riverside</t>
  </si>
  <si>
    <t>Davenport (MI)</t>
  </si>
  <si>
    <t>Grand Rapids</t>
  </si>
  <si>
    <t>nikki.palmer@ucr.edu</t>
  </si>
  <si>
    <t>951-827-2218 951-827-2218</t>
  </si>
  <si>
    <t>DIII5770</t>
  </si>
  <si>
    <t>Massachusetts Maritime Academy</t>
  </si>
  <si>
    <t>Willis</t>
  </si>
  <si>
    <t>Griffiths</t>
  </si>
  <si>
    <t>wgriffiths@maritime.edu</t>
  </si>
  <si>
    <t>508-830-5404</t>
  </si>
  <si>
    <t>DII12276</t>
  </si>
  <si>
    <t>Volunteer AC Madison has been removed.</t>
  </si>
  <si>
    <t>Massachusetts Maritime</t>
  </si>
  <si>
    <t>California-Riverside</t>
  </si>
  <si>
    <t>Buzzards Bay</t>
  </si>
  <si>
    <t>Riverside</t>
  </si>
  <si>
    <t>$34,391/$61,073</t>
  </si>
  <si>
    <t>$23,932/$40,528</t>
  </si>
  <si>
    <t>DII4406</t>
  </si>
  <si>
    <t>Eads</t>
  </si>
  <si>
    <t>ceads2@davenport.edu</t>
  </si>
  <si>
    <t>DIII5771</t>
  </si>
  <si>
    <t>DI7603</t>
  </si>
  <si>
    <t>Kaylene</t>
  </si>
  <si>
    <t>kmurphy2@maritime.edu</t>
  </si>
  <si>
    <t>Schweikert</t>
  </si>
  <si>
    <t>theresa.schweikert@ucr.edu</t>
  </si>
  <si>
    <t>951-827-7708 951-827-7708</t>
  </si>
  <si>
    <t>DII4407</t>
  </si>
  <si>
    <t>Payne</t>
  </si>
  <si>
    <t>npayne4@davenport.edu</t>
  </si>
  <si>
    <t>DIII21144</t>
  </si>
  <si>
    <t>St. Don</t>
  </si>
  <si>
    <t>sstdon@maritime.edu</t>
  </si>
  <si>
    <t>508-830-5000</t>
  </si>
  <si>
    <t>DI7604</t>
  </si>
  <si>
    <t>Bristow</t>
  </si>
  <si>
    <t>DII4408</t>
  </si>
  <si>
    <t>Bowman</t>
  </si>
  <si>
    <t>abowman12@davenport.edu</t>
  </si>
  <si>
    <t>616-871-6185 616-871-6185</t>
  </si>
  <si>
    <t>amberb06</t>
  </si>
  <si>
    <t>DIII5809</t>
  </si>
  <si>
    <t>University of Massachusetts - Boston</t>
  </si>
  <si>
    <t>Natalia</t>
  </si>
  <si>
    <t>Ardagna</t>
  </si>
  <si>
    <t>natalia.ardagna@umb.edu</t>
  </si>
  <si>
    <t>617-287-7260</t>
  </si>
  <si>
    <t>DI7605</t>
  </si>
  <si>
    <t>DII4478</t>
  </si>
  <si>
    <t>Ferris State University</t>
  </si>
  <si>
    <t>Kenton</t>
  </si>
  <si>
    <t>kentond@ferris.edu</t>
  </si>
  <si>
    <t>c: (620) 253-6186</t>
  </si>
  <si>
    <t>DI21165</t>
  </si>
  <si>
    <t>University of California - Santa Barbara</t>
  </si>
  <si>
    <t>Massachusetts-Boston</t>
  </si>
  <si>
    <t>Tamai</t>
  </si>
  <si>
    <t>Ferris State</t>
  </si>
  <si>
    <t>Julia.Tamai@athletics.ucsb.edu</t>
  </si>
  <si>
    <t>Big Rapids</t>
  </si>
  <si>
    <t>California-Santa Barbara (UCSB)</t>
  </si>
  <si>
    <t>Santa Barbara</t>
  </si>
  <si>
    <t>$26,391/$44,979</t>
  </si>
  <si>
    <t>440-590</t>
  </si>
  <si>
    <t>570-730</t>
  </si>
  <si>
    <t>$22,976/$29,734</t>
  </si>
  <si>
    <t>$35,172/$61,854</t>
  </si>
  <si>
    <t>DIII5810</t>
  </si>
  <si>
    <t>Bartley</t>
  </si>
  <si>
    <t>DII4479</t>
  </si>
  <si>
    <t>josh.bartley@umb.edu</t>
  </si>
  <si>
    <t>c: 573-220-3007</t>
  </si>
  <si>
    <t>DI7650</t>
  </si>
  <si>
    <t>Janes</t>
  </si>
  <si>
    <t>janesk@ferris.edu</t>
  </si>
  <si>
    <t>c: (740) 739-0125</t>
  </si>
  <si>
    <t>Galicinao</t>
  </si>
  <si>
    <t>Brie.Galicinao@athletics.ucsb.edu</t>
  </si>
  <si>
    <t>805-893-3335</t>
  </si>
  <si>
    <t>DII4480</t>
  </si>
  <si>
    <t>DIII5811</t>
  </si>
  <si>
    <t>IanJanes@ferris.edu</t>
  </si>
  <si>
    <t>Killilea</t>
  </si>
  <si>
    <t>c: (913) 626-1855</t>
  </si>
  <si>
    <t>DI7651</t>
  </si>
  <si>
    <t>Hendricks</t>
  </si>
  <si>
    <t>DII4519</t>
  </si>
  <si>
    <t>DIII5861</t>
  </si>
  <si>
    <t>Alysia.Hendricks@ucsb.edu</t>
  </si>
  <si>
    <t>Grand Valley State University</t>
  </si>
  <si>
    <t>805-893-7760</t>
  </si>
  <si>
    <t>University of Massachusetts - Dartmouth</t>
  </si>
  <si>
    <t>Sasin</t>
  </si>
  <si>
    <t>riverjen@gvsu.edu</t>
  </si>
  <si>
    <t>asasin@umassd.edu</t>
  </si>
  <si>
    <t>(616) 331-3135 (616) 331-3135</t>
  </si>
  <si>
    <t>508-999-8733</t>
  </si>
  <si>
    <t>Grand Valley State</t>
  </si>
  <si>
    <t>Allendale</t>
  </si>
  <si>
    <t>DI7701</t>
  </si>
  <si>
    <t>460-585</t>
  </si>
  <si>
    <t>University of Hawaii at Manoa</t>
  </si>
  <si>
    <t>$23,066/$27,938</t>
  </si>
  <si>
    <t>Coolen</t>
  </si>
  <si>
    <t>coolen@hawaii.edu</t>
  </si>
  <si>
    <t>Massachusetts-Dartmouth</t>
  </si>
  <si>
    <t>(808) 956-4506 (808) 956-4506</t>
  </si>
  <si>
    <t>North Dartmouth</t>
  </si>
  <si>
    <t>$28,430/$42,715</t>
  </si>
  <si>
    <t>DII4520</t>
  </si>
  <si>
    <t>Aaron</t>
  </si>
  <si>
    <t>Daldos</t>
  </si>
  <si>
    <t>DIII5862</t>
  </si>
  <si>
    <t>$28,613/$50,645</t>
  </si>
  <si>
    <t>Orton</t>
  </si>
  <si>
    <t>shannon.orton08@gmail.com</t>
  </si>
  <si>
    <t>DII4521</t>
  </si>
  <si>
    <t>Jessi</t>
  </si>
  <si>
    <t>Ramos</t>
  </si>
  <si>
    <t>DI7702</t>
  </si>
  <si>
    <t>Deirdre</t>
  </si>
  <si>
    <t>Wisneski</t>
  </si>
  <si>
    <t>uhsb@hawaii.edu</t>
  </si>
  <si>
    <t>(808) 956-9227 (808) 956-9227</t>
  </si>
  <si>
    <t>DIII5863</t>
  </si>
  <si>
    <t>Huckabee</t>
  </si>
  <si>
    <t>DII4522</t>
  </si>
  <si>
    <t>rhuckabee@umassd.edu</t>
  </si>
  <si>
    <t>Callihan</t>
  </si>
  <si>
    <t>callihad@gvsu.edu</t>
  </si>
  <si>
    <t>(616) 331-3541 (616) 331-3541</t>
  </si>
  <si>
    <t>DI7703</t>
  </si>
  <si>
    <t>Kaulana</t>
  </si>
  <si>
    <t>Gould</t>
  </si>
  <si>
    <t>kgould@hawaii.edu</t>
  </si>
  <si>
    <t>(808) 956-2221 (808) 956-2221</t>
  </si>
  <si>
    <t>DIII5864</t>
  </si>
  <si>
    <t>DII4585</t>
  </si>
  <si>
    <t>Hillsdale College</t>
  </si>
  <si>
    <t>L'Argent</t>
  </si>
  <si>
    <t>dlargent@hillsdale.edu</t>
  </si>
  <si>
    <t>517-607-3173</t>
  </si>
  <si>
    <t>DI7704</t>
  </si>
  <si>
    <t>Hillsdale</t>
  </si>
  <si>
    <t>DIII5925</t>
  </si>
  <si>
    <t>Dickie</t>
  </si>
  <si>
    <t>Massachusetts Institute of Technology - MIT</t>
  </si>
  <si>
    <t>Titcomb</t>
  </si>
  <si>
    <t>Kalman</t>
  </si>
  <si>
    <t>bkalman@mit.edu</t>
  </si>
  <si>
    <t>28-32</t>
  </si>
  <si>
    <t>617-253-7304</t>
  </si>
  <si>
    <t>DI7761</t>
  </si>
  <si>
    <t>California State University - Long Beach</t>
  </si>
  <si>
    <t>DII4586</t>
  </si>
  <si>
    <t>Sowder</t>
  </si>
  <si>
    <t>kim.sowder@csulb.edu</t>
  </si>
  <si>
    <t>562-985-1506</t>
  </si>
  <si>
    <t>MIT (Mass. Institute of Technology)</t>
  </si>
  <si>
    <t>kgross1@hillsdale.edu</t>
  </si>
  <si>
    <t>700-790</t>
  </si>
  <si>
    <t>760-800</t>
  </si>
  <si>
    <t>33-35</t>
  </si>
  <si>
    <t>Long Beach State</t>
  </si>
  <si>
    <t>Long Beach</t>
  </si>
  <si>
    <t>DIII5926</t>
  </si>
  <si>
    <t>Constantin</t>
  </si>
  <si>
    <t>DII4587</t>
  </si>
  <si>
    <t>tconstan@mit.edu</t>
  </si>
  <si>
    <t>$23,610/$34,770</t>
  </si>
  <si>
    <t>kgross@hillsdale.edu</t>
  </si>
  <si>
    <t>(517) 607-3191</t>
  </si>
  <si>
    <t>DI7762</t>
  </si>
  <si>
    <t>Panita</t>
  </si>
  <si>
    <t>Thanatharn</t>
  </si>
  <si>
    <t>panita.thanatharn@csulb.edu</t>
  </si>
  <si>
    <t>562-985-2100</t>
  </si>
  <si>
    <t>DII4734</t>
  </si>
  <si>
    <t>Northwood University - Michigan</t>
  </si>
  <si>
    <t>Horan</t>
  </si>
  <si>
    <t>DIII5927</t>
  </si>
  <si>
    <t>horanb@northwood.edu</t>
  </si>
  <si>
    <t>Gennifer</t>
  </si>
  <si>
    <t>(989) 837-4385</t>
  </si>
  <si>
    <t>Northwood</t>
  </si>
  <si>
    <t>Midland</t>
  </si>
  <si>
    <t>DIII5928</t>
  </si>
  <si>
    <t>DI7763</t>
  </si>
  <si>
    <t>Kevin.Castillo@csulb.edu</t>
  </si>
  <si>
    <t>562-985-8565</t>
  </si>
  <si>
    <t>DII4735</t>
  </si>
  <si>
    <t>DIII5929</t>
  </si>
  <si>
    <t>Iannone</t>
  </si>
  <si>
    <t>DI7764</t>
  </si>
  <si>
    <t>Mariah</t>
  </si>
  <si>
    <t>Mariah.Ramirez@csulb.edu</t>
  </si>
  <si>
    <t>DII4736</t>
  </si>
  <si>
    <t>Mary Kate</t>
  </si>
  <si>
    <t>Hines</t>
  </si>
  <si>
    <t>DIII5930</t>
  </si>
  <si>
    <t>hinesm2@northwood.edu</t>
  </si>
  <si>
    <t>AC Chris has been removed.</t>
  </si>
  <si>
    <t>Colonial</t>
  </si>
  <si>
    <t>DI7830</t>
  </si>
  <si>
    <t>College of Charleston</t>
  </si>
  <si>
    <t>Kalafatis</t>
  </si>
  <si>
    <t>kalafatisl@cofc.edu</t>
  </si>
  <si>
    <t>(843) 953-6731 (843) 953-6731</t>
  </si>
  <si>
    <t>DIII21145</t>
  </si>
  <si>
    <t>Milaszewski</t>
  </si>
  <si>
    <t>DII4737</t>
  </si>
  <si>
    <t>College of Charleston (SC)</t>
  </si>
  <si>
    <t>DIII6029</t>
  </si>
  <si>
    <t>Nichols College</t>
  </si>
  <si>
    <t>Kristan</t>
  </si>
  <si>
    <t>Mallet</t>
  </si>
  <si>
    <t>$28,989/$47,147</t>
  </si>
  <si>
    <t>kristan.mallet@nichols.edu</t>
  </si>
  <si>
    <t>508-213-2369</t>
  </si>
  <si>
    <t>DII4738</t>
  </si>
  <si>
    <t>Gregg</t>
  </si>
  <si>
    <t>Sauve</t>
  </si>
  <si>
    <t>DI7831</t>
  </si>
  <si>
    <t>sauveg@northwood.edu</t>
  </si>
  <si>
    <t>(989) 837-4180</t>
  </si>
  <si>
    <t>Barb</t>
  </si>
  <si>
    <t>Sherwood</t>
  </si>
  <si>
    <t>Nichols (MA)</t>
  </si>
  <si>
    <t>sherwoodbl@cofc.edu</t>
  </si>
  <si>
    <t>Dudley</t>
  </si>
  <si>
    <t>(843) 953-6316 (843) 953-6316</t>
  </si>
  <si>
    <t>DII4739</t>
  </si>
  <si>
    <t>DI7832</t>
  </si>
  <si>
    <t>DIII6030</t>
  </si>
  <si>
    <t>Wade</t>
  </si>
  <si>
    <t>Gauthier</t>
  </si>
  <si>
    <t>wadee@cofc.edu</t>
  </si>
  <si>
    <t>(843) 953-3680 (843) 953-3680</t>
  </si>
  <si>
    <t>lindsay.gauthier@nichols.edu</t>
  </si>
  <si>
    <t>508-213-2018</t>
  </si>
  <si>
    <t>DII4810</t>
  </si>
  <si>
    <t>Saginaw Valley State University</t>
  </si>
  <si>
    <t>Jamey</t>
  </si>
  <si>
    <t>Lobdell</t>
  </si>
  <si>
    <t>jplobdel@svsu.edu</t>
  </si>
  <si>
    <t>DI7833</t>
  </si>
  <si>
    <t>Rachael</t>
  </si>
  <si>
    <t>reeveshr@cofc.edu</t>
  </si>
  <si>
    <t>DIII6031</t>
  </si>
  <si>
    <t>Sydnee</t>
  </si>
  <si>
    <t>Bessler</t>
  </si>
  <si>
    <t>sydnee.bessler@nichols.edu</t>
  </si>
  <si>
    <t>Saginaw Valley State</t>
  </si>
  <si>
    <t>University Center</t>
  </si>
  <si>
    <t>518-570</t>
  </si>
  <si>
    <t>383-530</t>
  </si>
  <si>
    <t>DI7896</t>
  </si>
  <si>
    <t>$21,000/$33,602</t>
  </si>
  <si>
    <t>University of Delaware</t>
  </si>
  <si>
    <t>Steele</t>
  </si>
  <si>
    <t>jsteele@udel.edu</t>
  </si>
  <si>
    <t>302-831-7207 302-831-7207</t>
  </si>
  <si>
    <t>DIII6064</t>
  </si>
  <si>
    <t>Pine Manor College</t>
  </si>
  <si>
    <t>Allie</t>
  </si>
  <si>
    <t>LeBlanc</t>
  </si>
  <si>
    <t>ALeBlanc@pmc.edu</t>
  </si>
  <si>
    <t>617-731-7612</t>
  </si>
  <si>
    <t>DII4811</t>
  </si>
  <si>
    <t>Buckingham</t>
  </si>
  <si>
    <t>tlbuckin@svsu.edu</t>
  </si>
  <si>
    <t>989.964.4968</t>
  </si>
  <si>
    <t>Pine Manor</t>
  </si>
  <si>
    <t>Newark</t>
  </si>
  <si>
    <t>Chestnut Hill</t>
  </si>
  <si>
    <t>340-430</t>
  </si>
  <si>
    <t>$27,198/$46,618</t>
  </si>
  <si>
    <t>340-440</t>
  </si>
  <si>
    <t>DII4812</t>
  </si>
  <si>
    <t>Volunteer AC Tony has been removed.</t>
  </si>
  <si>
    <t>DI7897</t>
  </si>
  <si>
    <t>Bellisari</t>
  </si>
  <si>
    <t>abelli@udel.edu</t>
  </si>
  <si>
    <t>302-831-8608 302-831-8608</t>
  </si>
  <si>
    <t>DIII6079</t>
  </si>
  <si>
    <t>Regis College</t>
  </si>
  <si>
    <t>Petrocelli-McGloin</t>
  </si>
  <si>
    <t>tara.petrocelli-mcgloin@regiscollege.edu</t>
  </si>
  <si>
    <t>781-768-7329</t>
  </si>
  <si>
    <t>DIII21698</t>
  </si>
  <si>
    <t>Krenz</t>
  </si>
  <si>
    <t>Regis (MA)</t>
  </si>
  <si>
    <t>Weston</t>
  </si>
  <si>
    <t>DI7898</t>
  </si>
  <si>
    <t>Andrade</t>
  </si>
  <si>
    <t>nandrade@udel.edu</t>
  </si>
  <si>
    <t>302-831-1071 302-831-1071</t>
  </si>
  <si>
    <t>DIII6080</t>
  </si>
  <si>
    <t>tara.petrocelli17@gmail.com</t>
  </si>
  <si>
    <t>DIII21699</t>
  </si>
  <si>
    <t>Werth</t>
  </si>
  <si>
    <t>DI7959</t>
  </si>
  <si>
    <t>Drexel University</t>
  </si>
  <si>
    <t>Carl</t>
  </si>
  <si>
    <t>carl.c.taylor@drexel.edu</t>
  </si>
  <si>
    <t>215-895-1976 215-895-1976</t>
  </si>
  <si>
    <t>DIII6081</t>
  </si>
  <si>
    <t>Cook</t>
  </si>
  <si>
    <t>megan.cook@regiscollege.edu</t>
  </si>
  <si>
    <t>781-768-7561</t>
  </si>
  <si>
    <t>DII4868</t>
  </si>
  <si>
    <t>Wayne State University</t>
  </si>
  <si>
    <t>Drexel</t>
  </si>
  <si>
    <t>kentpa02@gmail.com</t>
  </si>
  <si>
    <t>(313) 577-7513</t>
  </si>
  <si>
    <t>DIII6125</t>
  </si>
  <si>
    <t>Salem State University</t>
  </si>
  <si>
    <t>Campione</t>
  </si>
  <si>
    <t>acampione@salemstate.edu</t>
  </si>
  <si>
    <t>978 542-7260</t>
  </si>
  <si>
    <t>Wayne State (MI)</t>
  </si>
  <si>
    <t>Detroit</t>
  </si>
  <si>
    <t>$17,464/$22,264</t>
  </si>
  <si>
    <t>Salem State</t>
  </si>
  <si>
    <t>Salem</t>
  </si>
  <si>
    <t>$25,482/$31,894</t>
  </si>
  <si>
    <t>DII4869</t>
  </si>
  <si>
    <t>Tines</t>
  </si>
  <si>
    <t>ba6176@wayne.edu</t>
  </si>
  <si>
    <t>DIII6126</t>
  </si>
  <si>
    <t>AC Katelynn has been removed.</t>
  </si>
  <si>
    <t>DI7960</t>
  </si>
  <si>
    <t>Schlichtig-Hastings</t>
  </si>
  <si>
    <t>mph86@drexel.edu</t>
  </si>
  <si>
    <t>DII4870</t>
  </si>
  <si>
    <t>DIII21146</t>
  </si>
  <si>
    <t>Bryce</t>
  </si>
  <si>
    <t>Buscetto</t>
  </si>
  <si>
    <t>ab6905@wayne.edu</t>
  </si>
  <si>
    <t>DI7961</t>
  </si>
  <si>
    <t>Hastings</t>
  </si>
  <si>
    <t>rph57@drexel.edu</t>
  </si>
  <si>
    <t>DIII21147</t>
  </si>
  <si>
    <t>Bemidji State University</t>
  </si>
  <si>
    <t>DI8020</t>
  </si>
  <si>
    <t>Brittany.Gomez@bemidjistate.edu</t>
  </si>
  <si>
    <t>(218) 755-2740</t>
  </si>
  <si>
    <t>Elon University</t>
  </si>
  <si>
    <t>Bocock</t>
  </si>
  <si>
    <t>336-278-6766 336-278-6766</t>
  </si>
  <si>
    <t>Bemidji State</t>
  </si>
  <si>
    <t>Bemidji</t>
  </si>
  <si>
    <t>DIII21148</t>
  </si>
  <si>
    <t>Nolan</t>
  </si>
  <si>
    <t>Elon</t>
  </si>
  <si>
    <t>Rhode</t>
  </si>
  <si>
    <t>DIII21149</t>
  </si>
  <si>
    <t>rachel.rhode@bemidjistate.edu</t>
  </si>
  <si>
    <t>(218) 755-2072</t>
  </si>
  <si>
    <t>Gia</t>
  </si>
  <si>
    <t>Raczkowski</t>
  </si>
  <si>
    <t>DI8021</t>
  </si>
  <si>
    <t>Borden</t>
  </si>
  <si>
    <t>mborden2@elon.edu</t>
  </si>
  <si>
    <t>336-278-6798 336-278-6798</t>
  </si>
  <si>
    <t>DIII6149</t>
  </si>
  <si>
    <t>Simmons University</t>
  </si>
  <si>
    <t>Rochelle</t>
  </si>
  <si>
    <t>Brook</t>
  </si>
  <si>
    <t>Capello</t>
  </si>
  <si>
    <t>Koshalek</t>
  </si>
  <si>
    <t>brook.capello@simmons.edu</t>
  </si>
  <si>
    <t>617-521-1031</t>
  </si>
  <si>
    <t>DI8022</t>
  </si>
  <si>
    <t>Vondrak</t>
  </si>
  <si>
    <t>cvondrak@elon.edu</t>
  </si>
  <si>
    <t>DII4930</t>
  </si>
  <si>
    <t>Simmons (MA)</t>
  </si>
  <si>
    <t>Concordia College - Minnesota</t>
  </si>
  <si>
    <t>Mauer</t>
  </si>
  <si>
    <t>mauer@csp.edu</t>
  </si>
  <si>
    <t>651-641-8855 651-641-8855</t>
  </si>
  <si>
    <t>DI8065</t>
  </si>
  <si>
    <t>Hofstra University</t>
  </si>
  <si>
    <t>jay.miller@hofstra.edu</t>
  </si>
  <si>
    <t>(516) 463-7573 (516) 463-7573</t>
  </si>
  <si>
    <t>Concordia-St. Paul</t>
  </si>
  <si>
    <t>St. Paul</t>
  </si>
  <si>
    <t>DIII6150</t>
  </si>
  <si>
    <t>Ally</t>
  </si>
  <si>
    <t>Galati</t>
  </si>
  <si>
    <t>alexandra.galati@simmons.edu</t>
  </si>
  <si>
    <t>Hofstra</t>
  </si>
  <si>
    <t>Hempstead</t>
  </si>
  <si>
    <t>NEWMAC</t>
  </si>
  <si>
    <t>DIII6166</t>
  </si>
  <si>
    <t>Smith College</t>
  </si>
  <si>
    <t>Lopez</t>
  </si>
  <si>
    <t>elopez@smith.edu</t>
  </si>
  <si>
    <t>413-585-2723</t>
  </si>
  <si>
    <t>DII4931</t>
  </si>
  <si>
    <t>DI8066</t>
  </si>
  <si>
    <t>julia.a.meyer@hofstra.edu</t>
  </si>
  <si>
    <t>(516) 463-5572 (516) 463-5572</t>
  </si>
  <si>
    <t>Smith (MA)</t>
  </si>
  <si>
    <t>Northampton</t>
  </si>
  <si>
    <t>600-740</t>
  </si>
  <si>
    <t>DI21021</t>
  </si>
  <si>
    <t>Assad</t>
  </si>
  <si>
    <t>DI8067</t>
  </si>
  <si>
    <t>Mayer</t>
  </si>
  <si>
    <t>DII4932</t>
  </si>
  <si>
    <t>lindsay.mayer@hofstra.edu</t>
  </si>
  <si>
    <t>(516) 463-7574 (516) 463-7574</t>
  </si>
  <si>
    <t>Yurek</t>
  </si>
  <si>
    <t>DIII6190</t>
  </si>
  <si>
    <t>Springfield College</t>
  </si>
  <si>
    <t>Bowen</t>
  </si>
  <si>
    <t>kbowen2@springfieldcollege.edu</t>
  </si>
  <si>
    <t>413-748-3127</t>
  </si>
  <si>
    <t>DI8068</t>
  </si>
  <si>
    <t>Diego</t>
  </si>
  <si>
    <t>Ibarra</t>
  </si>
  <si>
    <t>diego.a.ibarra@hofstra.edu</t>
  </si>
  <si>
    <t>DII4933</t>
  </si>
  <si>
    <t>Springfield (MA)</t>
  </si>
  <si>
    <t>DI8133</t>
  </si>
  <si>
    <t>DII4934</t>
  </si>
  <si>
    <t>James Madison University</t>
  </si>
  <si>
    <t>DIII6191</t>
  </si>
  <si>
    <t>Loren</t>
  </si>
  <si>
    <t>LaPorte</t>
  </si>
  <si>
    <t>Springfield softball</t>
  </si>
  <si>
    <t>messiclr@jmu.edu</t>
  </si>
  <si>
    <t>Fagely</t>
  </si>
  <si>
    <t>540-568-7979 540-568-7979</t>
  </si>
  <si>
    <t>softball@springfieldcollege.edu</t>
  </si>
  <si>
    <t>James Madison</t>
  </si>
  <si>
    <t>DIII6233</t>
  </si>
  <si>
    <t>$24,864/$40,638</t>
  </si>
  <si>
    <t>Suffolk University</t>
  </si>
  <si>
    <t>DII4935</t>
  </si>
  <si>
    <t>Jaclyn</t>
  </si>
  <si>
    <t>jmdavis@suffolk.edu</t>
  </si>
  <si>
    <t>Pickett</t>
  </si>
  <si>
    <t>c: 617-994-6457</t>
  </si>
  <si>
    <t>Suffolk (MA)</t>
  </si>
  <si>
    <t>DI8134</t>
  </si>
  <si>
    <t>Herzig</t>
  </si>
  <si>
    <t>herzigjl@jmu.edu</t>
  </si>
  <si>
    <t>540-568-2378 540-568-2378</t>
  </si>
  <si>
    <t>DII4936</t>
  </si>
  <si>
    <t>Bartel</t>
  </si>
  <si>
    <t>bartel@csp.edu</t>
  </si>
  <si>
    <t>651-641-8886 651-641-8886</t>
  </si>
  <si>
    <t>DIII6234</t>
  </si>
  <si>
    <t>Lester</t>
  </si>
  <si>
    <t>tlester@suffolk.edu</t>
  </si>
  <si>
    <t>617-573-8379</t>
  </si>
  <si>
    <t>DI8135</t>
  </si>
  <si>
    <t>Libby</t>
  </si>
  <si>
    <t>morri2ec@jmu.edu</t>
  </si>
  <si>
    <t>540-568-2967 540-568-2967</t>
  </si>
  <si>
    <t>DIII6235</t>
  </si>
  <si>
    <t>Williamson</t>
  </si>
  <si>
    <t>awilliamson2@su.suffolk.edu</t>
  </si>
  <si>
    <t>DII4995</t>
  </si>
  <si>
    <t>Minnesota State University - Mankato</t>
  </si>
  <si>
    <t>Kristle</t>
  </si>
  <si>
    <t>Wolcott</t>
  </si>
  <si>
    <t>kristle.wolcott@mnsu.edu</t>
  </si>
  <si>
    <t>507.389.5675 507.389.5675</t>
  </si>
  <si>
    <t>DI8175</t>
  </si>
  <si>
    <t>University of North Carolina - Wilmington</t>
  </si>
  <si>
    <t>Kristy</t>
  </si>
  <si>
    <t>Norton</t>
  </si>
  <si>
    <t>nortonk@uncw.edu</t>
  </si>
  <si>
    <t>Minnesota State-Mankato</t>
  </si>
  <si>
    <t>Mankato</t>
  </si>
  <si>
    <t>DIII6286</t>
  </si>
  <si>
    <t>408-513</t>
  </si>
  <si>
    <t>478-593</t>
  </si>
  <si>
    <t>Tufts University</t>
  </si>
  <si>
    <t>Ebstein</t>
  </si>
  <si>
    <t>$19,420/$27,164</t>
  </si>
  <si>
    <t>softball@tufts.edu</t>
  </si>
  <si>
    <t>617-627-5241</t>
  </si>
  <si>
    <t>North Carolina-Wilmington</t>
  </si>
  <si>
    <t>DII4996</t>
  </si>
  <si>
    <t>560-630</t>
  </si>
  <si>
    <t>570-630</t>
  </si>
  <si>
    <t>Coley</t>
  </si>
  <si>
    <t>$23,113/$37,082</t>
  </si>
  <si>
    <t>nicole.ries@mnsu.edu</t>
  </si>
  <si>
    <t>507.389.2619 507.389.2619</t>
  </si>
  <si>
    <t>Tufts</t>
  </si>
  <si>
    <t>Medford</t>
  </si>
  <si>
    <t>680-750</t>
  </si>
  <si>
    <t>690-770</t>
  </si>
  <si>
    <t>DI8176</t>
  </si>
  <si>
    <t>Kama</t>
  </si>
  <si>
    <t>tuckerk@uncw.edu</t>
  </si>
  <si>
    <t>DIII6287</t>
  </si>
  <si>
    <t>Mimi</t>
  </si>
  <si>
    <t>Mahon</t>
  </si>
  <si>
    <t>DII4997</t>
  </si>
  <si>
    <t>lori.meyer@mnsu.edu</t>
  </si>
  <si>
    <t>507.389.1520 507.389.1520</t>
  </si>
  <si>
    <t>DI8177</t>
  </si>
  <si>
    <t>AC Evan has been removed.</t>
  </si>
  <si>
    <t>DIII6288</t>
  </si>
  <si>
    <t>Marly</t>
  </si>
  <si>
    <t>Becker</t>
  </si>
  <si>
    <t>DIII6346</t>
  </si>
  <si>
    <t>DI8178</t>
  </si>
  <si>
    <t>Wellesley College</t>
  </si>
  <si>
    <t>O'Meara</t>
  </si>
  <si>
    <t>DII5053</t>
  </si>
  <si>
    <t>komeara@wellesley.edu</t>
  </si>
  <si>
    <t>781-283-2126</t>
  </si>
  <si>
    <t>Minnesota State University - Moorhead</t>
  </si>
  <si>
    <t>Ruechel</t>
  </si>
  <si>
    <t>ruecheln@uncw.edu</t>
  </si>
  <si>
    <t>Petersen</t>
  </si>
  <si>
    <t>660-750</t>
  </si>
  <si>
    <t>DI8285</t>
  </si>
  <si>
    <t>Towson University</t>
  </si>
  <si>
    <t>Costello</t>
  </si>
  <si>
    <t>lcostello@towson.edu</t>
  </si>
  <si>
    <t>Minnesota State-Moorhead</t>
  </si>
  <si>
    <t>410-704-3164</t>
  </si>
  <si>
    <t>Moorhead</t>
  </si>
  <si>
    <t>DIII6347</t>
  </si>
  <si>
    <t>$20,460/$27,596</t>
  </si>
  <si>
    <t>Maloof</t>
  </si>
  <si>
    <t>am100@wellesley.edu</t>
  </si>
  <si>
    <t>Towson</t>
  </si>
  <si>
    <t>$25,336/$37,004</t>
  </si>
  <si>
    <t>DII5054</t>
  </si>
  <si>
    <t>Reckamp</t>
  </si>
  <si>
    <t>amanda.reckamp@mnstate.edu</t>
  </si>
  <si>
    <t>218-477-5052</t>
  </si>
  <si>
    <t>DIII6348</t>
  </si>
  <si>
    <t>DI8286</t>
  </si>
  <si>
    <t>Rufo</t>
  </si>
  <si>
    <t>Hutchens</t>
  </si>
  <si>
    <t>kr100@wellesley.edu</t>
  </si>
  <si>
    <t>jhutchens@towson.edu</t>
  </si>
  <si>
    <t>410-704-3870</t>
  </si>
  <si>
    <t>DII5103</t>
  </si>
  <si>
    <t>University of Minnesota - Crookston</t>
  </si>
  <si>
    <t>DI8287</t>
  </si>
  <si>
    <t>DIII6381</t>
  </si>
  <si>
    <t>cdickson@towson.edu</t>
  </si>
  <si>
    <t>Wentworth Institute of Technology</t>
  </si>
  <si>
    <t>410-704-2467</t>
  </si>
  <si>
    <t>Minnesota-Crookston</t>
  </si>
  <si>
    <t>Crookston</t>
  </si>
  <si>
    <t>Castro</t>
  </si>
  <si>
    <t>castroe@wit.edu</t>
  </si>
  <si>
    <t>(617) 989-4529</t>
  </si>
  <si>
    <t>370-510</t>
  </si>
  <si>
    <t>430-590</t>
  </si>
  <si>
    <t>DI8288</t>
  </si>
  <si>
    <t>Spears</t>
  </si>
  <si>
    <t>DII5104</t>
  </si>
  <si>
    <t>mspears@towson.edu</t>
  </si>
  <si>
    <t>Wentworth Tech</t>
  </si>
  <si>
    <t>towen@crk.umn.edu</t>
  </si>
  <si>
    <t>c: 218-281-8435</t>
  </si>
  <si>
    <t>DII5105</t>
  </si>
  <si>
    <t>DI8289</t>
  </si>
  <si>
    <t>DIII6382</t>
  </si>
  <si>
    <t>Anthony</t>
  </si>
  <si>
    <t>Cacciatore</t>
  </si>
  <si>
    <t>Downs</t>
  </si>
  <si>
    <t>j_johnce49@Yahoo.com</t>
  </si>
  <si>
    <t>218-289-9123 218-289-9123</t>
  </si>
  <si>
    <t>DIII21150</t>
  </si>
  <si>
    <t>Flower</t>
  </si>
  <si>
    <t>DII5135</t>
  </si>
  <si>
    <t>Conference USA</t>
  </si>
  <si>
    <t>DI8423</t>
  </si>
  <si>
    <t>University of Minnesota - Duluth</t>
  </si>
  <si>
    <t>Stan</t>
  </si>
  <si>
    <t>University of Alabama - Birmingham</t>
  </si>
  <si>
    <t>Karich</t>
  </si>
  <si>
    <t>Jimmy</t>
  </si>
  <si>
    <t>Kolaitis</t>
  </si>
  <si>
    <t>srkarich@charter.net</t>
  </si>
  <si>
    <t>Kolaitis@uab.edu</t>
  </si>
  <si>
    <t>205-975-7800</t>
  </si>
  <si>
    <t>@Jkolaitis3</t>
  </si>
  <si>
    <t>Minnesota-Duluth</t>
  </si>
  <si>
    <t>Duluth</t>
  </si>
  <si>
    <t>DIII21151</t>
  </si>
  <si>
    <t>Alabama-Birmingham (UAB)</t>
  </si>
  <si>
    <t>Hughes</t>
  </si>
  <si>
    <t>$24,103/$28,449</t>
  </si>
  <si>
    <t>490-660</t>
  </si>
  <si>
    <t>$25,808/$36,136</t>
  </si>
  <si>
    <t>DII5136</t>
  </si>
  <si>
    <t>DIII21152</t>
  </si>
  <si>
    <t>Liz</t>
  </si>
  <si>
    <t>Anttila</t>
  </si>
  <si>
    <t>Puleri</t>
  </si>
  <si>
    <t>aanttila@d.umn.edu</t>
  </si>
  <si>
    <t>DI8424</t>
  </si>
  <si>
    <t>218-726-6716 218-726-6716</t>
  </si>
  <si>
    <t>Courtnay</t>
  </si>
  <si>
    <t>courtnay@uab.edu</t>
  </si>
  <si>
    <t>@uab_sb</t>
  </si>
  <si>
    <t>DII5137</t>
  </si>
  <si>
    <t>Walter</t>
  </si>
  <si>
    <t>jwalter1@d.umn.edu</t>
  </si>
  <si>
    <t>218-726-7859 218-726-7859</t>
  </si>
  <si>
    <t>DIII6428</t>
  </si>
  <si>
    <t>@jwalter09</t>
  </si>
  <si>
    <t>Western New England University</t>
  </si>
  <si>
    <t>DI8425</t>
  </si>
  <si>
    <t>Novak</t>
  </si>
  <si>
    <t>amanda.novak@wne.edu</t>
  </si>
  <si>
    <t>413-796-2290</t>
  </si>
  <si>
    <t>guthrie9@uab.edu</t>
  </si>
  <si>
    <t>@JoeGuth08812179</t>
  </si>
  <si>
    <t>DII5138</t>
  </si>
  <si>
    <t>Western New England</t>
  </si>
  <si>
    <t>DI8426</t>
  </si>
  <si>
    <t>Fox</t>
  </si>
  <si>
    <t>fox00179@d.umn.edu</t>
  </si>
  <si>
    <t>kmclark9@uab.edu</t>
  </si>
  <si>
    <t>@Kristen_Clark10</t>
  </si>
  <si>
    <t>DIII6429</t>
  </si>
  <si>
    <t>Wlosek</t>
  </si>
  <si>
    <t>DI8427</t>
  </si>
  <si>
    <t>Sims</t>
  </si>
  <si>
    <t>DII5177</t>
  </si>
  <si>
    <t>Southwest Minnesota State University</t>
  </si>
  <si>
    <t>Jordin</t>
  </si>
  <si>
    <t>jordin.novak@my.smsu.edu</t>
  </si>
  <si>
    <t>507-537-6557 507-537-6557</t>
  </si>
  <si>
    <t>DIII6474</t>
  </si>
  <si>
    <t>Westfield State University</t>
  </si>
  <si>
    <t>Bannister</t>
  </si>
  <si>
    <t>DI8493</t>
  </si>
  <si>
    <t>cbannister@westfield.ma.edu</t>
  </si>
  <si>
    <t>Florida Atlantic University</t>
  </si>
  <si>
    <t>413-572-5405</t>
  </si>
  <si>
    <t>Joan</t>
  </si>
  <si>
    <t>Joyce</t>
  </si>
  <si>
    <t>jjoyce@fau.edu</t>
  </si>
  <si>
    <t>561-271-1810</t>
  </si>
  <si>
    <t>Southwest Minnesota State</t>
  </si>
  <si>
    <t>Westfield State</t>
  </si>
  <si>
    <t>Florida Atlantic</t>
  </si>
  <si>
    <t>Westfield</t>
  </si>
  <si>
    <t>345-475</t>
  </si>
  <si>
    <t>420-600</t>
  </si>
  <si>
    <t>$23,111/$29,191</t>
  </si>
  <si>
    <t>$22,645/$35,090</t>
  </si>
  <si>
    <t>DIII6475</t>
  </si>
  <si>
    <t>AC Kristin has been removed.</t>
  </si>
  <si>
    <t>DII5178</t>
  </si>
  <si>
    <t>Larson</t>
  </si>
  <si>
    <t>kristi.larson.3@my.smsu.edu</t>
  </si>
  <si>
    <t>DI8494</t>
  </si>
  <si>
    <t>Chan</t>
  </si>
  <si>
    <t>cwalke18@fau.edu</t>
  </si>
  <si>
    <t>561-251-5000</t>
  </si>
  <si>
    <t>DIII6476</t>
  </si>
  <si>
    <t>AC Angelica has been removed.</t>
  </si>
  <si>
    <t>DII5179</t>
  </si>
  <si>
    <t>Bouman</t>
  </si>
  <si>
    <t>Bailey.Bouman@smsu.edu</t>
  </si>
  <si>
    <t>507-537-7096 507-537-7096</t>
  </si>
  <si>
    <t>DI8495</t>
  </si>
  <si>
    <t>DIII6510</t>
  </si>
  <si>
    <t>Wheaton College - Massachusetts</t>
  </si>
  <si>
    <t>Powers</t>
  </si>
  <si>
    <t>powers_rachael@wheatoncollege.edu</t>
  </si>
  <si>
    <t>Whitt</t>
  </si>
  <si>
    <t>508-286-3360</t>
  </si>
  <si>
    <t>whittt@fau.edu</t>
  </si>
  <si>
    <t>c: 352-804-6996</t>
  </si>
  <si>
    <t>Wheaton (MA)</t>
  </si>
  <si>
    <t>DII5218</t>
  </si>
  <si>
    <t>520-640</t>
  </si>
  <si>
    <t>St. Cloud State University</t>
  </si>
  <si>
    <t>Covais</t>
  </si>
  <si>
    <t>hcovais@stcloudstate.edu</t>
  </si>
  <si>
    <t>320-308-2303 320-308-2303</t>
  </si>
  <si>
    <t>DI8496</t>
  </si>
  <si>
    <t>micaelabell2013@fau.edu</t>
  </si>
  <si>
    <t>DIII6511</t>
  </si>
  <si>
    <t>Noelle</t>
  </si>
  <si>
    <t>Christmas</t>
  </si>
  <si>
    <t>christmas_noelle@wheatoncollege.edu</t>
  </si>
  <si>
    <t>St. Cloud State</t>
  </si>
  <si>
    <t>St. Cloud</t>
  </si>
  <si>
    <t>DIII6512</t>
  </si>
  <si>
    <t>smith_shawn@wheatoncollege.edu</t>
  </si>
  <si>
    <t>DI8567</t>
  </si>
  <si>
    <t>Florida International University</t>
  </si>
  <si>
    <t>$20,040/$27,958</t>
  </si>
  <si>
    <t>Steiner-Wilcoxson</t>
  </si>
  <si>
    <t>cwilcoxs@fiu.edu</t>
  </si>
  <si>
    <t>305.348.6155</t>
  </si>
  <si>
    <t>Williams College</t>
  </si>
  <si>
    <t>Herman</t>
  </si>
  <si>
    <t>kherman@williams.edu</t>
  </si>
  <si>
    <t>413-597-3323</t>
  </si>
  <si>
    <t>DII5219</t>
  </si>
  <si>
    <t>Paula</t>
  </si>
  <si>
    <t>U'Ren</t>
  </si>
  <si>
    <t>pjuren@stcloudstate.edu</t>
  </si>
  <si>
    <t>320-308-2900 320-308-2900</t>
  </si>
  <si>
    <t>Florida International</t>
  </si>
  <si>
    <t>Miami</t>
  </si>
  <si>
    <t>Williams (MA)</t>
  </si>
  <si>
    <t>Williamstown</t>
  </si>
  <si>
    <t>$23,512/$35,910</t>
  </si>
  <si>
    <t>DII5220</t>
  </si>
  <si>
    <t>Hillary</t>
  </si>
  <si>
    <t>DI8568</t>
  </si>
  <si>
    <t>Keyes</t>
  </si>
  <si>
    <t>msk4@williams.edu</t>
  </si>
  <si>
    <t>hecastil@fiu.edu</t>
  </si>
  <si>
    <t>413-597-4887</t>
  </si>
  <si>
    <t>305.348.1551</t>
  </si>
  <si>
    <t>DII5261</t>
  </si>
  <si>
    <t>Winona State University</t>
  </si>
  <si>
    <t>Chad</t>
  </si>
  <si>
    <t>Tuescher</t>
  </si>
  <si>
    <t>ctuescher@winona.edu</t>
  </si>
  <si>
    <t>507-457-2922 507-457-2922</t>
  </si>
  <si>
    <t>DIII6571</t>
  </si>
  <si>
    <t>Winona State</t>
  </si>
  <si>
    <t>DI8569</t>
  </si>
  <si>
    <t>Winona</t>
  </si>
  <si>
    <t>390-560</t>
  </si>
  <si>
    <t>Jeremy</t>
  </si>
  <si>
    <t>Leak</t>
  </si>
  <si>
    <t>$21,795/$27,492</t>
  </si>
  <si>
    <t>jleak@fiu.edu</t>
  </si>
  <si>
    <t>DIII6572</t>
  </si>
  <si>
    <t>DII5262</t>
  </si>
  <si>
    <t>Cyndy</t>
  </si>
  <si>
    <t>cjones@winona.edu</t>
  </si>
  <si>
    <t>507-457-5132 507-457-5132</t>
  </si>
  <si>
    <t>DI8570</t>
  </si>
  <si>
    <t>Hunter</t>
  </si>
  <si>
    <t>DIII6625</t>
  </si>
  <si>
    <t>Worcester Polytechnic Institute</t>
  </si>
  <si>
    <t>huallen@fiu.edu</t>
  </si>
  <si>
    <t>Goldstein</t>
  </si>
  <si>
    <t>wgoldstein@wpi.edu</t>
  </si>
  <si>
    <t>508-831-5729</t>
  </si>
  <si>
    <t>DII5263</t>
  </si>
  <si>
    <t>Lawren</t>
  </si>
  <si>
    <t>McKinney</t>
  </si>
  <si>
    <t>Lawren.McKinney@go.winona.edu</t>
  </si>
  <si>
    <t>Worcester Poly</t>
  </si>
  <si>
    <t>570-680</t>
  </si>
  <si>
    <t>DI8571</t>
  </si>
  <si>
    <t>Devin</t>
  </si>
  <si>
    <t>630-720</t>
  </si>
  <si>
    <t>Higginbotham</t>
  </si>
  <si>
    <t>DII5264</t>
  </si>
  <si>
    <t>gjones@winona.edu</t>
  </si>
  <si>
    <t>507-457-5284 507-457-5284</t>
  </si>
  <si>
    <t>DIII6626</t>
  </si>
  <si>
    <t>Beaulac</t>
  </si>
  <si>
    <t>rcb@wpi.edu</t>
  </si>
  <si>
    <t>DI8638</t>
  </si>
  <si>
    <t>Louisiana Tech University</t>
  </si>
  <si>
    <t>Mississippi</t>
  </si>
  <si>
    <t>Maria</t>
  </si>
  <si>
    <t>Winn-Ratliff</t>
  </si>
  <si>
    <t>mwinn@latech.edu</t>
  </si>
  <si>
    <t>318-257-3016 318-257-3016</t>
  </si>
  <si>
    <t>DII5299</t>
  </si>
  <si>
    <t>Delta State University</t>
  </si>
  <si>
    <t>Gipson</t>
  </si>
  <si>
    <t>sgipson@deltastate.edu</t>
  </si>
  <si>
    <t>662-846-4300 662-846-4300</t>
  </si>
  <si>
    <t>DIII6627</t>
  </si>
  <si>
    <t>Wall</t>
  </si>
  <si>
    <t>cwall@wpi.edu</t>
  </si>
  <si>
    <t>Delta State</t>
  </si>
  <si>
    <t>MS</t>
  </si>
  <si>
    <t>Cleveland</t>
  </si>
  <si>
    <t>Louisiana Tech</t>
  </si>
  <si>
    <t>Ruston</t>
  </si>
  <si>
    <t>DIII6628</t>
  </si>
  <si>
    <t>Webb</t>
  </si>
  <si>
    <t>$19,338/$36,072</t>
  </si>
  <si>
    <t>DII5300</t>
  </si>
  <si>
    <t>tmjohnson@deltastate.edu</t>
  </si>
  <si>
    <t>846-4300 846-4300</t>
  </si>
  <si>
    <t>DIII6629</t>
  </si>
  <si>
    <t>Saucier</t>
  </si>
  <si>
    <t>DI8639</t>
  </si>
  <si>
    <t>Bianca</t>
  </si>
  <si>
    <t>bduran@latech.edu</t>
  </si>
  <si>
    <t>DII5301</t>
  </si>
  <si>
    <t>(318) 257-5327 (318) 257-5327</t>
  </si>
  <si>
    <t>Carah</t>
  </si>
  <si>
    <t>Nunez</t>
  </si>
  <si>
    <t>clnunez@deltastate.edu</t>
  </si>
  <si>
    <t>DIII6691</t>
  </si>
  <si>
    <t>Worcester State University</t>
  </si>
  <si>
    <t>Bianchini</t>
  </si>
  <si>
    <t>kbianchini1@worcester.edu</t>
  </si>
  <si>
    <t>(508) 929-8216</t>
  </si>
  <si>
    <t>DII5302</t>
  </si>
  <si>
    <t>Bourgoyne-Charles</t>
  </si>
  <si>
    <t>cbourgoyne@deltastate.edu</t>
  </si>
  <si>
    <t>662-846-4288 662-846-4288</t>
  </si>
  <si>
    <t>DI8640</t>
  </si>
  <si>
    <t>Worcester State</t>
  </si>
  <si>
    <t>sshelton@latech.edu</t>
  </si>
  <si>
    <t>318-257-5325 318-257-5325</t>
  </si>
  <si>
    <t>$25,046/$31,126</t>
  </si>
  <si>
    <t>DII5343</t>
  </si>
  <si>
    <t>Mississippi College</t>
  </si>
  <si>
    <t>Streetman</t>
  </si>
  <si>
    <t>lstreetman@mc.edu</t>
  </si>
  <si>
    <t>601.925.7886 601.925.7886</t>
  </si>
  <si>
    <t>DIII6692</t>
  </si>
  <si>
    <t>Scola</t>
  </si>
  <si>
    <t>ascola2@worcester.edu</t>
  </si>
  <si>
    <t>DI8641</t>
  </si>
  <si>
    <t>bam040@latech.edu</t>
  </si>
  <si>
    <t>DIII6693</t>
  </si>
  <si>
    <t>Hatfield</t>
  </si>
  <si>
    <t>lhatfield@worcester.edu</t>
  </si>
  <si>
    <t>460-603</t>
  </si>
  <si>
    <t>WV</t>
  </si>
  <si>
    <t>DI8690</t>
  </si>
  <si>
    <t>Marshall University</t>
  </si>
  <si>
    <t>smithmeg@marshall.edu</t>
  </si>
  <si>
    <t>304-696-4370</t>
  </si>
  <si>
    <t>DII5344</t>
  </si>
  <si>
    <t>Roland</t>
  </si>
  <si>
    <t>DIII6743</t>
  </si>
  <si>
    <t>Adrian College</t>
  </si>
  <si>
    <t>Marinacci</t>
  </si>
  <si>
    <t>Huntington</t>
  </si>
  <si>
    <t>amarinacci@adrian.edu</t>
  </si>
  <si>
    <t>517-265-5161, x3998</t>
  </si>
  <si>
    <t>450-575</t>
  </si>
  <si>
    <t>rrodriguez@mc.edu</t>
  </si>
  <si>
    <t>601.925.7887 601.925.7887</t>
  </si>
  <si>
    <t>$20,726/$29,954</t>
  </si>
  <si>
    <t>DI8691</t>
  </si>
  <si>
    <t>DII5345</t>
  </si>
  <si>
    <t>420-505</t>
  </si>
  <si>
    <t>Corey</t>
  </si>
  <si>
    <t>Cox</t>
  </si>
  <si>
    <t>Lyon</t>
  </si>
  <si>
    <t>kacox1@mc.edu</t>
  </si>
  <si>
    <t>lyonc@marshall.edu</t>
  </si>
  <si>
    <t>304-696-3279</t>
  </si>
  <si>
    <t>DIII6744</t>
  </si>
  <si>
    <t>BB</t>
  </si>
  <si>
    <t>Bates</t>
  </si>
  <si>
    <t>517-265-5161, x5002</t>
  </si>
  <si>
    <t>DI8692</t>
  </si>
  <si>
    <t>DII5346</t>
  </si>
  <si>
    <t>Holub</t>
  </si>
  <si>
    <t>holubm@marshall.edu</t>
  </si>
  <si>
    <t>304-696-3979</t>
  </si>
  <si>
    <t>O'Hair</t>
  </si>
  <si>
    <t>ohair@mc.edu</t>
  </si>
  <si>
    <t>601.925.3361 601.925.3361</t>
  </si>
  <si>
    <t>DI8693</t>
  </si>
  <si>
    <t>DIII6745</t>
  </si>
  <si>
    <t>Missouri</t>
  </si>
  <si>
    <t>DII5396</t>
  </si>
  <si>
    <t>304-696-3218</t>
  </si>
  <si>
    <t>VanGoss</t>
  </si>
  <si>
    <t>University of Central Missouri</t>
  </si>
  <si>
    <t>Curtis</t>
  </si>
  <si>
    <t>sigwing@ucmo.edu</t>
  </si>
  <si>
    <t>660-543-4679 660-543-4679</t>
  </si>
  <si>
    <t>Central Missouri</t>
  </si>
  <si>
    <t>Warrensburg</t>
  </si>
  <si>
    <t>DIII6793</t>
  </si>
  <si>
    <t>Albion College</t>
  </si>
  <si>
    <t>DI8755</t>
  </si>
  <si>
    <t>Leigh Ann</t>
  </si>
  <si>
    <t>$19,072/$25,517</t>
  </si>
  <si>
    <t>Middle Tennessee State University</t>
  </si>
  <si>
    <t>Breeden</t>
  </si>
  <si>
    <t>jeff.breeden@mtsu.edu</t>
  </si>
  <si>
    <t>615-898-5018</t>
  </si>
  <si>
    <t>@JBMTSUSoftball</t>
  </si>
  <si>
    <t>Middle Tennessee State</t>
  </si>
  <si>
    <t>Murfreesboro</t>
  </si>
  <si>
    <t>DII5397</t>
  </si>
  <si>
    <t>slhughes@ucmo.edu</t>
  </si>
  <si>
    <t>$22,228/$39,364</t>
  </si>
  <si>
    <t>DII5398</t>
  </si>
  <si>
    <t>LaFave</t>
  </si>
  <si>
    <t>llafave@albion.edu</t>
  </si>
  <si>
    <t>DI8756</t>
  </si>
  <si>
    <t>Susan</t>
  </si>
  <si>
    <t>517/629-0515</t>
  </si>
  <si>
    <t>sanderson@ucmo.edu</t>
  </si>
  <si>
    <t>660-543-4139 660-543-4139</t>
  </si>
  <si>
    <t>Foti</t>
  </si>
  <si>
    <t>tony.foti@mtsu.edu</t>
  </si>
  <si>
    <t>615-904-8010</t>
  </si>
  <si>
    <t>@CoachFoti</t>
  </si>
  <si>
    <t>DII5433</t>
  </si>
  <si>
    <t>Albion</t>
  </si>
  <si>
    <t>DI8757</t>
  </si>
  <si>
    <t>Drury University</t>
  </si>
  <si>
    <t>Kennedy</t>
  </si>
  <si>
    <t>kkennedy003@drury.edu</t>
  </si>
  <si>
    <t>417-873-7623 417-873-7623</t>
  </si>
  <si>
    <t>chelsea.hawkins@mtsu.edu</t>
  </si>
  <si>
    <t>450-620</t>
  </si>
  <si>
    <t>@CHawksss10</t>
  </si>
  <si>
    <t>DI8813</t>
  </si>
  <si>
    <t>Drury (MO)</t>
  </si>
  <si>
    <t>University of North Carolina at Charlotte</t>
  </si>
  <si>
    <t>DIII6794</t>
  </si>
  <si>
    <t>Chastain</t>
  </si>
  <si>
    <t>achastain@uncc.edu</t>
  </si>
  <si>
    <t>704-687-0729</t>
  </si>
  <si>
    <t>Schneider</t>
  </si>
  <si>
    <t>DII5434</t>
  </si>
  <si>
    <t>North Carolina-Charlotte</t>
  </si>
  <si>
    <t>Hailee</t>
  </si>
  <si>
    <t>Charlotte</t>
  </si>
  <si>
    <t>Vigneaux</t>
  </si>
  <si>
    <t>DIII6844</t>
  </si>
  <si>
    <t>510-590</t>
  </si>
  <si>
    <t>Alma College</t>
  </si>
  <si>
    <t>Denny</t>
  </si>
  <si>
    <t>griffin@alma.edu</t>
  </si>
  <si>
    <t>$23,110/$36,281</t>
  </si>
  <si>
    <t>989-463-7988</t>
  </si>
  <si>
    <t>DII5435</t>
  </si>
  <si>
    <t>Jerry</t>
  </si>
  <si>
    <t>Breaux</t>
  </si>
  <si>
    <t>jbreaux@drury.edu</t>
  </si>
  <si>
    <t>417-873-6364 417-873-6364</t>
  </si>
  <si>
    <t>Alma</t>
  </si>
  <si>
    <t>420-590</t>
  </si>
  <si>
    <t>460-593</t>
  </si>
  <si>
    <t>DI8814</t>
  </si>
  <si>
    <t>Aresco</t>
  </si>
  <si>
    <t>anthony.aresco@uncc.edu</t>
  </si>
  <si>
    <t>704-687-0730</t>
  </si>
  <si>
    <t>DII5436</t>
  </si>
  <si>
    <t>DIII6845</t>
  </si>
  <si>
    <t>Charissa</t>
  </si>
  <si>
    <t>Fuhr</t>
  </si>
  <si>
    <t>hansen@alma.edu</t>
  </si>
  <si>
    <t>DI8815</t>
  </si>
  <si>
    <t>Wike</t>
  </si>
  <si>
    <t>twike2@uncc.edu</t>
  </si>
  <si>
    <t>704-687-0731</t>
  </si>
  <si>
    <t>DII5490</t>
  </si>
  <si>
    <t>Lincoln University - Missouri</t>
  </si>
  <si>
    <t>Cheyenne</t>
  </si>
  <si>
    <t>Lincoln (MO)</t>
  </si>
  <si>
    <t>Jefferson City</t>
  </si>
  <si>
    <t>DI8816</t>
  </si>
  <si>
    <t>Jody</t>
  </si>
  <si>
    <t>370-465</t>
  </si>
  <si>
    <t>Davidson</t>
  </si>
  <si>
    <t>jdavid50@uncc.edu</t>
  </si>
  <si>
    <t>$26,226/$31,857</t>
  </si>
  <si>
    <t>DIII6846</t>
  </si>
  <si>
    <t>Brandee</t>
  </si>
  <si>
    <t>West</t>
  </si>
  <si>
    <t>brandee.west@gmail.com</t>
  </si>
  <si>
    <t>DII5491</t>
  </si>
  <si>
    <t>DI8886</t>
  </si>
  <si>
    <t>Core</t>
  </si>
  <si>
    <t>University of North Texas</t>
  </si>
  <si>
    <t>corec@lincolnu.edu</t>
  </si>
  <si>
    <t>Rodney</t>
  </si>
  <si>
    <t>(573) 681-5325 (573) 681-5325</t>
  </si>
  <si>
    <t>DeLong</t>
  </si>
  <si>
    <t>rodney.delong@unt.edu</t>
  </si>
  <si>
    <t>940-369-7822 940-369-7822</t>
  </si>
  <si>
    <t>@RodneyDeLong</t>
  </si>
  <si>
    <t>DIII6847</t>
  </si>
  <si>
    <t>Doran</t>
  </si>
  <si>
    <t>mdoran@alma.edu</t>
  </si>
  <si>
    <t>North Texas</t>
  </si>
  <si>
    <t>Denton</t>
  </si>
  <si>
    <t>DII5530</t>
  </si>
  <si>
    <t>Lindenwood University</t>
  </si>
  <si>
    <t>Donny</t>
  </si>
  <si>
    <t>dgriffin@lindenwood.edu</t>
  </si>
  <si>
    <t>$22,951/$32,743</t>
  </si>
  <si>
    <t>636-627-2514 636-627-2514</t>
  </si>
  <si>
    <t>DIII6848</t>
  </si>
  <si>
    <t>schneiderae@alma.edu</t>
  </si>
  <si>
    <t>DI8887</t>
  </si>
  <si>
    <t>Allred</t>
  </si>
  <si>
    <t>Lindenwood (MO)</t>
  </si>
  <si>
    <t>Jamie.Allred@unt.edu</t>
  </si>
  <si>
    <t>940-369-7958 940-369-7958</t>
  </si>
  <si>
    <t>St. Charles</t>
  </si>
  <si>
    <t>DIII6904</t>
  </si>
  <si>
    <t>Calvin College</t>
  </si>
  <si>
    <t>Hilgert</t>
  </si>
  <si>
    <t>rah29@calvin.edu</t>
  </si>
  <si>
    <t>(616) 526-7635</t>
  </si>
  <si>
    <t>Calvin (MI)</t>
  </si>
  <si>
    <t>DII5531</t>
  </si>
  <si>
    <t>y (Christian Reformed Church)</t>
  </si>
  <si>
    <t>520-635</t>
  </si>
  <si>
    <t>Ashli</t>
  </si>
  <si>
    <t>DI8888</t>
  </si>
  <si>
    <t>Dillon</t>
  </si>
  <si>
    <t>dillon.bryant@unt.edu</t>
  </si>
  <si>
    <t>DIII6905</t>
  </si>
  <si>
    <t>Ganzevoort</t>
  </si>
  <si>
    <t>rwg6@calvin.edu</t>
  </si>
  <si>
    <t>DII5532</t>
  </si>
  <si>
    <t>sdean@lindenwood.edu</t>
  </si>
  <si>
    <t>DI8889</t>
  </si>
  <si>
    <t>DIII6906</t>
  </si>
  <si>
    <t>Viramontez</t>
  </si>
  <si>
    <t>Vander Meer</t>
  </si>
  <si>
    <t>@CoachMiguel27</t>
  </si>
  <si>
    <t>DII5533</t>
  </si>
  <si>
    <t>DIII6970</t>
  </si>
  <si>
    <t>Finlandia University</t>
  </si>
  <si>
    <t>Farrell</t>
  </si>
  <si>
    <t>matthew.farrell@finlandia.edu</t>
  </si>
  <si>
    <t>ekelly@lindenwood.edu</t>
  </si>
  <si>
    <t>DI21860</t>
  </si>
  <si>
    <t>636-949-4995 636-949-4995</t>
  </si>
  <si>
    <t>906-487-7536</t>
  </si>
  <si>
    <t>Koby</t>
  </si>
  <si>
    <t>Finlandia</t>
  </si>
  <si>
    <t>Hancock</t>
  </si>
  <si>
    <t>2.5 minimum</t>
  </si>
  <si>
    <t>DII5589</t>
  </si>
  <si>
    <t>350-490</t>
  </si>
  <si>
    <t>340-490</t>
  </si>
  <si>
    <t>Maryville University</t>
  </si>
  <si>
    <t>Crane</t>
  </si>
  <si>
    <t>ecrane@maryville.edu</t>
  </si>
  <si>
    <t>DI9070</t>
  </si>
  <si>
    <t>University of Southern Mississippi</t>
  </si>
  <si>
    <t>Levin</t>
  </si>
  <si>
    <t>brian.levin@usm.edu</t>
  </si>
  <si>
    <t>601-266-6750</t>
  </si>
  <si>
    <t>DIII6971</t>
  </si>
  <si>
    <t>Maryville (MO)</t>
  </si>
  <si>
    <t>Hallahan</t>
  </si>
  <si>
    <t>pat.hallahan@finlandia.edu</t>
  </si>
  <si>
    <t>320-583-8509 320-583-8509</t>
  </si>
  <si>
    <t>DIII6972</t>
  </si>
  <si>
    <t>DII5590</t>
  </si>
  <si>
    <t>Connors</t>
  </si>
  <si>
    <t>Southern Mississippi</t>
  </si>
  <si>
    <t>Conley</t>
  </si>
  <si>
    <t>Hattiesburg</t>
  </si>
  <si>
    <t>cconley@maryville.edu</t>
  </si>
  <si>
    <t>314-529-6833 314-529-6833</t>
  </si>
  <si>
    <t>$21,441/$30,311</t>
  </si>
  <si>
    <t>DIII7005</t>
  </si>
  <si>
    <t>Hope College</t>
  </si>
  <si>
    <t>VandeHoef</t>
  </si>
  <si>
    <t>DII5647</t>
  </si>
  <si>
    <t>vandehoef@hope.edu</t>
  </si>
  <si>
    <t>616-395-7956</t>
  </si>
  <si>
    <t>Missouri University of Science &amp; Technology</t>
  </si>
  <si>
    <t>Cathy</t>
  </si>
  <si>
    <t>Monroe</t>
  </si>
  <si>
    <t>monroeca@mst.edu</t>
  </si>
  <si>
    <t>573-341-4968 573-341-4968</t>
  </si>
  <si>
    <t>DI9071</t>
  </si>
  <si>
    <t>Mulvany</t>
  </si>
  <si>
    <t>mark.mulvany@usm.edu</t>
  </si>
  <si>
    <t>601-266-5017</t>
  </si>
  <si>
    <t>Hope (MI)</t>
  </si>
  <si>
    <t>Holland</t>
  </si>
  <si>
    <t>Missouri S&amp;T</t>
  </si>
  <si>
    <t>Rolla</t>
  </si>
  <si>
    <t>583-678</t>
  </si>
  <si>
    <t>603-698</t>
  </si>
  <si>
    <t>$22,045/$38,161</t>
  </si>
  <si>
    <t>DI9072</t>
  </si>
  <si>
    <t>Lowe</t>
  </si>
  <si>
    <t>Devin.Lowe@usm.edu</t>
  </si>
  <si>
    <t>DIII7006</t>
  </si>
  <si>
    <t>Jeanette</t>
  </si>
  <si>
    <t>OLINGER</t>
  </si>
  <si>
    <t>DII5680</t>
  </si>
  <si>
    <t>OLINGER@HOPE.EDU</t>
  </si>
  <si>
    <t>616-395-7070</t>
  </si>
  <si>
    <t>Missouri Southern State University</t>
  </si>
  <si>
    <t>Jakki</t>
  </si>
  <si>
    <t>Schneider-Jaclyn@mssu.edu</t>
  </si>
  <si>
    <t>DI9073</t>
  </si>
  <si>
    <t>Izzy</t>
  </si>
  <si>
    <t>Werdann</t>
  </si>
  <si>
    <t>Elizabeth.Werdann@usm.edu</t>
  </si>
  <si>
    <t>DIII7007</t>
  </si>
  <si>
    <t>Tjepkema</t>
  </si>
  <si>
    <t>Missouri Southern State</t>
  </si>
  <si>
    <t>Joplin</t>
  </si>
  <si>
    <t>$16,248/$21,293</t>
  </si>
  <si>
    <t>DIII7008</t>
  </si>
  <si>
    <t>DI21234</t>
  </si>
  <si>
    <t>University of Texas - El Paso</t>
  </si>
  <si>
    <t>Schoonveld</t>
  </si>
  <si>
    <t>T.J.</t>
  </si>
  <si>
    <t>Hubbard</t>
  </si>
  <si>
    <t>UTEPSoftball@utep.edu</t>
  </si>
  <si>
    <t>DII5681</t>
  </si>
  <si>
    <t>915-747-7150 915-747-7150</t>
  </si>
  <si>
    <t>Texas-El Paso (UTEP)</t>
  </si>
  <si>
    <t>Blackney</t>
  </si>
  <si>
    <t>El Paso</t>
  </si>
  <si>
    <t>blackney-h@mssu.edu</t>
  </si>
  <si>
    <t>417-625-9308</t>
  </si>
  <si>
    <t>$22,552/$35,527</t>
  </si>
  <si>
    <t>DIII7009</t>
  </si>
  <si>
    <t>Lindeman</t>
  </si>
  <si>
    <t>DII5724</t>
  </si>
  <si>
    <t>Missouri Western State University</t>
  </si>
  <si>
    <t>DI9129</t>
  </si>
  <si>
    <t>Schilling</t>
  </si>
  <si>
    <t>aschilling@missouriwestern.edu</t>
  </si>
  <si>
    <t>Tobin</t>
  </si>
  <si>
    <t>Echo-Hawk</t>
  </si>
  <si>
    <t>trechohawk@utep.edu</t>
  </si>
  <si>
    <t>915-747-7150</t>
  </si>
  <si>
    <t>DIII7072</t>
  </si>
  <si>
    <t>Missouri Western State</t>
  </si>
  <si>
    <t>Kalamazoo College</t>
  </si>
  <si>
    <t>St. Joseph</t>
  </si>
  <si>
    <t>Duimstra</t>
  </si>
  <si>
    <t>duimstra@kzoo.edu</t>
  </si>
  <si>
    <t>(269) 337-5758</t>
  </si>
  <si>
    <t>$19,495/$25,235</t>
  </si>
  <si>
    <t>DII5725</t>
  </si>
  <si>
    <t>Bagley Trotter</t>
  </si>
  <si>
    <t>Kalamazoo</t>
  </si>
  <si>
    <t>bagley@missouriwestern.edu</t>
  </si>
  <si>
    <t>816-271-4480 816-271-4480</t>
  </si>
  <si>
    <t>DI9130</t>
  </si>
  <si>
    <t>Camilla</t>
  </si>
  <si>
    <t>Carrera</t>
  </si>
  <si>
    <t>cjcarrera@utep.edu</t>
  </si>
  <si>
    <t>915-747-7158</t>
  </si>
  <si>
    <t>DIII7073</t>
  </si>
  <si>
    <t>Ables</t>
  </si>
  <si>
    <t>DII5754</t>
  </si>
  <si>
    <t>University of Missouri - St. Louis</t>
  </si>
  <si>
    <t>Lappin</t>
  </si>
  <si>
    <t>lappinl@umsl.edu</t>
  </si>
  <si>
    <t>314-516-5678 314-516-5678</t>
  </si>
  <si>
    <t>DI9131</t>
  </si>
  <si>
    <t>Kaitlin</t>
  </si>
  <si>
    <t>Fifield</t>
  </si>
  <si>
    <t>krfifield@miners.utep.edu</t>
  </si>
  <si>
    <t>DIII7074</t>
  </si>
  <si>
    <t>Hall-Curnutte</t>
  </si>
  <si>
    <t>Missouri-St. Louis</t>
  </si>
  <si>
    <t>470-520</t>
  </si>
  <si>
    <t>$23,464/$38,595</t>
  </si>
  <si>
    <t>DI9132</t>
  </si>
  <si>
    <t>Celena</t>
  </si>
  <si>
    <t>Carrisosa</t>
  </si>
  <si>
    <t>DIII7124</t>
  </si>
  <si>
    <t>ccarrisosa@miners.utep.edu</t>
  </si>
  <si>
    <t>Olivet College</t>
  </si>
  <si>
    <t>Darrick</t>
  </si>
  <si>
    <t>DII5755</t>
  </si>
  <si>
    <t>dabrown@olivetcollege.edu</t>
  </si>
  <si>
    <t>(269) 749-4165</t>
  </si>
  <si>
    <t>scottam@umsl.edu</t>
  </si>
  <si>
    <t>314-516-5685 314-516-5685</t>
  </si>
  <si>
    <t>DI9133</t>
  </si>
  <si>
    <t>Graduate Asst Erika has been removed.</t>
  </si>
  <si>
    <t>Olivet</t>
  </si>
  <si>
    <t>DII5798</t>
  </si>
  <si>
    <t>400-590</t>
  </si>
  <si>
    <t>Northwest Missouri State University</t>
  </si>
  <si>
    <t>DI9134</t>
  </si>
  <si>
    <t>Graduate Asst Linda has been removed.</t>
  </si>
  <si>
    <t>DIII7125</t>
  </si>
  <si>
    <t>Northwest Missouri State</t>
  </si>
  <si>
    <t>Maryville</t>
  </si>
  <si>
    <t>$18,876/$24,046</t>
  </si>
  <si>
    <t>DI9197</t>
  </si>
  <si>
    <t>University of Texas - San Antonio</t>
  </si>
  <si>
    <t>Cheatham</t>
  </si>
  <si>
    <t>michelle.cheatham@utsa.edu</t>
  </si>
  <si>
    <t>(210) 458-4804</t>
  </si>
  <si>
    <t>DIII7126</t>
  </si>
  <si>
    <t>DII5799</t>
  </si>
  <si>
    <t>Billie</t>
  </si>
  <si>
    <t>DIII7127</t>
  </si>
  <si>
    <t>Texas-San Antonio (UTSA)</t>
  </si>
  <si>
    <t>San Antonio</t>
  </si>
  <si>
    <t>$22,372/$32,969</t>
  </si>
  <si>
    <t>DII5800</t>
  </si>
  <si>
    <t>DI9198</t>
  </si>
  <si>
    <t>DIII7128</t>
  </si>
  <si>
    <t>nwsball@nwmissouri.edu</t>
  </si>
  <si>
    <t>jordan.wallace@utsa.edu</t>
  </si>
  <si>
    <t>(660) 562-1783</t>
  </si>
  <si>
    <t>(210) 322-7156</t>
  </si>
  <si>
    <t>Staci</t>
  </si>
  <si>
    <t>Minix</t>
  </si>
  <si>
    <t>DIII7185</t>
  </si>
  <si>
    <t>Augsburg University</t>
  </si>
  <si>
    <t>DI9199</t>
  </si>
  <si>
    <t>leem3@augsburg.edu</t>
  </si>
  <si>
    <t>Carlton</t>
  </si>
  <si>
    <t>612-330-1654</t>
  </si>
  <si>
    <t>Salters</t>
  </si>
  <si>
    <t>carlton.salters@utsa.edu</t>
  </si>
  <si>
    <t>DII5834</t>
  </si>
  <si>
    <t>Rockhurst University</t>
  </si>
  <si>
    <t>Goodwin</t>
  </si>
  <si>
    <t>goodwinkl@hawks.rockhurst.edu</t>
  </si>
  <si>
    <t>Augsburg</t>
  </si>
  <si>
    <t>Rockhurst</t>
  </si>
  <si>
    <t>DI9200</t>
  </si>
  <si>
    <t>Kansas City</t>
  </si>
  <si>
    <t>Aleimalee</t>
  </si>
  <si>
    <t>450-610</t>
  </si>
  <si>
    <t>518-593</t>
  </si>
  <si>
    <t>468-573</t>
  </si>
  <si>
    <t>DII5835</t>
  </si>
  <si>
    <t>DIII7186</t>
  </si>
  <si>
    <t>DI9261</t>
  </si>
  <si>
    <t>Wittenauer</t>
  </si>
  <si>
    <t>Western Kentucky University</t>
  </si>
  <si>
    <t>Heise</t>
  </si>
  <si>
    <t>Tudor</t>
  </si>
  <si>
    <t>bailey.wittenauer@rockhurst.edu</t>
  </si>
  <si>
    <t>heisel@augsburg.edu</t>
  </si>
  <si>
    <t>wkusoftball@wku.edu</t>
  </si>
  <si>
    <t>612-330-1511</t>
  </si>
  <si>
    <t>(270) 745-6269 (270) 745-6269</t>
  </si>
  <si>
    <t>816-501-3472 816-501-3472</t>
  </si>
  <si>
    <t>Western Kentucky</t>
  </si>
  <si>
    <t>Bowling Green</t>
  </si>
  <si>
    <t>DIII7187</t>
  </si>
  <si>
    <t>DII5882</t>
  </si>
  <si>
    <t>Schiek</t>
  </si>
  <si>
    <t>Southwest Baptist University</t>
  </si>
  <si>
    <t>$20,522/$35,402</t>
  </si>
  <si>
    <t>Tanya</t>
  </si>
  <si>
    <t>Hatton</t>
  </si>
  <si>
    <t>Southwest Baptist</t>
  </si>
  <si>
    <t>Bolivar</t>
  </si>
  <si>
    <t>DI9262</t>
  </si>
  <si>
    <t>Bixel</t>
  </si>
  <si>
    <t>kayla.bixel@wku.edu</t>
  </si>
  <si>
    <t>(270) 745-3211 (270) 745-3211</t>
  </si>
  <si>
    <t>DIII7247</t>
  </si>
  <si>
    <t>Bethany Lutheran College</t>
  </si>
  <si>
    <t>Nessler</t>
  </si>
  <si>
    <t>Dan.Nessler@blc.edu</t>
  </si>
  <si>
    <t>507-344-7792</t>
  </si>
  <si>
    <t>DII5883</t>
  </si>
  <si>
    <t>Dalton</t>
  </si>
  <si>
    <t>Kelley</t>
  </si>
  <si>
    <t>dkelley@sbuniv.edu</t>
  </si>
  <si>
    <t>(417) 328-1738</t>
  </si>
  <si>
    <t>Bethany Lutheran</t>
  </si>
  <si>
    <t>y (Lutheran)</t>
  </si>
  <si>
    <t>DI9263</t>
  </si>
  <si>
    <t>Pugh</t>
  </si>
  <si>
    <t>DII5926</t>
  </si>
  <si>
    <t>danielle.pugh@wku.edu</t>
  </si>
  <si>
    <t>Truman State University</t>
  </si>
  <si>
    <t>DIII7248</t>
  </si>
  <si>
    <t>Brems</t>
  </si>
  <si>
    <t>AC (second email)</t>
  </si>
  <si>
    <t>Meshke</t>
  </si>
  <si>
    <t>softball@truman.edu</t>
  </si>
  <si>
    <t>Brent.Meshke@blc.edu</t>
  </si>
  <si>
    <t>660-785-4343 660-785-4343</t>
  </si>
  <si>
    <t>DIII7249</t>
  </si>
  <si>
    <t>Horizon</t>
  </si>
  <si>
    <t>Lunz</t>
  </si>
  <si>
    <t>Truman State</t>
  </si>
  <si>
    <t>DI9291</t>
  </si>
  <si>
    <t>Kirksville</t>
  </si>
  <si>
    <t>Cleveland State University</t>
  </si>
  <si>
    <t>Kyler</t>
  </si>
  <si>
    <t>550-680</t>
  </si>
  <si>
    <t>a.kyler@csuohio.edu</t>
  </si>
  <si>
    <t>216-687-5110</t>
  </si>
  <si>
    <t>$20,814/$27,298</t>
  </si>
  <si>
    <t>DIII7250</t>
  </si>
  <si>
    <t>Wiest</t>
  </si>
  <si>
    <t>abrems@truman.edu</t>
  </si>
  <si>
    <t>Cleveland State</t>
  </si>
  <si>
    <t>$26,038/$30,089</t>
  </si>
  <si>
    <t>DIII7251</t>
  </si>
  <si>
    <t>Svir</t>
  </si>
  <si>
    <t>DII5927</t>
  </si>
  <si>
    <t>DI9292</t>
  </si>
  <si>
    <t>Bradberry</t>
  </si>
  <si>
    <t>Rice</t>
  </si>
  <si>
    <t>abradberry@truman.edu</t>
  </si>
  <si>
    <t>c.r.rice41@csuohio.edu</t>
  </si>
  <si>
    <t>216-687-5095</t>
  </si>
  <si>
    <t>DIII7252</t>
  </si>
  <si>
    <t>Oothoudt</t>
  </si>
  <si>
    <t>DIII7253</t>
  </si>
  <si>
    <t>DI21883</t>
  </si>
  <si>
    <t>DII5965</t>
  </si>
  <si>
    <t>William Jewell College</t>
  </si>
  <si>
    <t>Joclyn</t>
  </si>
  <si>
    <t>Fada</t>
  </si>
  <si>
    <t>j.f.fada@csuohio.edu</t>
  </si>
  <si>
    <t>jacksonm@william.jewell.edu</t>
  </si>
  <si>
    <t>618-453-7970 618-453-7970</t>
  </si>
  <si>
    <t>816-415-5948 816-415-5948</t>
  </si>
  <si>
    <t>DIII7305</t>
  </si>
  <si>
    <t>Bethel University - Minnesota</t>
  </si>
  <si>
    <t>Foore</t>
  </si>
  <si>
    <t>penny-foore@bethel.edu</t>
  </si>
  <si>
    <t>763-638-6565</t>
  </si>
  <si>
    <t>William Jewell</t>
  </si>
  <si>
    <t>Bethel (MN)</t>
  </si>
  <si>
    <t>Saint Paul</t>
  </si>
  <si>
    <t>DI9339</t>
  </si>
  <si>
    <t>480-665</t>
  </si>
  <si>
    <t>530-655</t>
  </si>
  <si>
    <t>University of Detroit Mercy</t>
  </si>
  <si>
    <t>460-608</t>
  </si>
  <si>
    <t>Marc</t>
  </si>
  <si>
    <t>gillisma@udmercy.edu</t>
  </si>
  <si>
    <t>313-993-1700, x7314</t>
  </si>
  <si>
    <t>DIII7306</t>
  </si>
  <si>
    <t>DII5966</t>
  </si>
  <si>
    <t>Roman-foore@bethel.edu</t>
  </si>
  <si>
    <t>Dustin</t>
  </si>
  <si>
    <t>combsd@william.jewell.edu</t>
  </si>
  <si>
    <t>DIII7307</t>
  </si>
  <si>
    <t>Jesse</t>
  </si>
  <si>
    <t>Delorit</t>
  </si>
  <si>
    <t>460-620</t>
  </si>
  <si>
    <t>500-660</t>
  </si>
  <si>
    <t>DII6005</t>
  </si>
  <si>
    <t>Montana State University - Billings</t>
  </si>
  <si>
    <t>Olsen</t>
  </si>
  <si>
    <t>taylor.olsen1@msubillings.edu.</t>
  </si>
  <si>
    <t>406-657-2398 406-657-2398</t>
  </si>
  <si>
    <t>DIII7308</t>
  </si>
  <si>
    <t>Craig</t>
  </si>
  <si>
    <t>DI9340</t>
  </si>
  <si>
    <t>Montana State-Billings</t>
  </si>
  <si>
    <t>AC Michelle has been removed.</t>
  </si>
  <si>
    <t>Billings</t>
  </si>
  <si>
    <t>$19,096/$31,486</t>
  </si>
  <si>
    <t>DIII7309</t>
  </si>
  <si>
    <t>DII6006</t>
  </si>
  <si>
    <t>Madeline</t>
  </si>
  <si>
    <t>madeline.richard1@msubillings.edu</t>
  </si>
  <si>
    <t>DI9341</t>
  </si>
  <si>
    <t>DIII7362</t>
  </si>
  <si>
    <t>Carleton College</t>
  </si>
  <si>
    <t>Erickson</t>
  </si>
  <si>
    <t>hendersg@udmercy.edu</t>
  </si>
  <si>
    <t>aerickson@carleton.edu</t>
  </si>
  <si>
    <t>507-222-5898</t>
  </si>
  <si>
    <t>DII6007</t>
  </si>
  <si>
    <t>softball@msubillings.edu</t>
  </si>
  <si>
    <t>Carleton (MN)</t>
  </si>
  <si>
    <t>Northfield</t>
  </si>
  <si>
    <t>DI9342</t>
  </si>
  <si>
    <t>lisa.mckinney1@msubillings.edu</t>
  </si>
  <si>
    <t>DIII7363</t>
  </si>
  <si>
    <t>Karen</t>
  </si>
  <si>
    <t>DI9383</t>
  </si>
  <si>
    <t>University of Illinois at Chicago</t>
  </si>
  <si>
    <t>DII6046</t>
  </si>
  <si>
    <t>Curylo</t>
  </si>
  <si>
    <t>Chadron State College</t>
  </si>
  <si>
    <t>lcuryl1@uic.edu</t>
  </si>
  <si>
    <t>312-355-2775 312-355-2775</t>
  </si>
  <si>
    <t>Ness</t>
  </si>
  <si>
    <t>DIII7364</t>
  </si>
  <si>
    <t>kness@csc.edu</t>
  </si>
  <si>
    <t>308-432-6341 308-432-6341</t>
  </si>
  <si>
    <t>Rhemi</t>
  </si>
  <si>
    <t>Abrams-Fuller</t>
  </si>
  <si>
    <t>rfuller@carleton.edu</t>
  </si>
  <si>
    <t>507-222-4516</t>
  </si>
  <si>
    <t>DIII7417</t>
  </si>
  <si>
    <t>Illinois-Chicago (UIC)</t>
  </si>
  <si>
    <t>Slyter</t>
  </si>
  <si>
    <t>Chadron State</t>
  </si>
  <si>
    <t>cslyter@cord.edu</t>
  </si>
  <si>
    <t>218-299-4446</t>
  </si>
  <si>
    <t>Chadron</t>
  </si>
  <si>
    <t>510-655</t>
  </si>
  <si>
    <t>$30,034/$42,890</t>
  </si>
  <si>
    <t>Concordia-Moorhead</t>
  </si>
  <si>
    <t>DI9384</t>
  </si>
  <si>
    <t>DII6047</t>
  </si>
  <si>
    <t>Buksa</t>
  </si>
  <si>
    <t>jbuksa@uic.edu</t>
  </si>
  <si>
    <t>Campuzano</t>
  </si>
  <si>
    <t>312-355-2391 312-355-2391</t>
  </si>
  <si>
    <t>kayla.michel@eagles.csc.edu</t>
  </si>
  <si>
    <t>DIII7418</t>
  </si>
  <si>
    <t>Carrete</t>
  </si>
  <si>
    <t>DI9385</t>
  </si>
  <si>
    <t>Heflin</t>
  </si>
  <si>
    <t>DII6048</t>
  </si>
  <si>
    <t>ehefli2@uic.edu</t>
  </si>
  <si>
    <t>Newton</t>
  </si>
  <si>
    <t>cnewton@csc.edu</t>
  </si>
  <si>
    <t>DIII7419</t>
  </si>
  <si>
    <t>AJ</t>
  </si>
  <si>
    <t>Westby</t>
  </si>
  <si>
    <t>DI9423</t>
  </si>
  <si>
    <t>Indiana University-Purdue University - Indianapolis (IUPUI)</t>
  </si>
  <si>
    <t>DII6071</t>
  </si>
  <si>
    <t>Elisabeth</t>
  </si>
  <si>
    <t>Beirne</t>
  </si>
  <si>
    <t>University of Nebraska at Kearney</t>
  </si>
  <si>
    <t>ebeirne@iupui.edu</t>
  </si>
  <si>
    <t>Ackermann</t>
  </si>
  <si>
    <t>317-274-2340 317-274-2340</t>
  </si>
  <si>
    <t>ackermannk@unk.edu</t>
  </si>
  <si>
    <t>(308) 865-8010 - office; (308) 627-3618 (308)</t>
  </si>
  <si>
    <t>DIII7420</t>
  </si>
  <si>
    <t>Logan</t>
  </si>
  <si>
    <t>Herbert</t>
  </si>
  <si>
    <t>Indiana-Purdue-Indianapolis (IUPUI)</t>
  </si>
  <si>
    <t>$22,257/$42,843</t>
  </si>
  <si>
    <t>DIII7458</t>
  </si>
  <si>
    <t>Crown College</t>
  </si>
  <si>
    <t>rossj@crown.edu</t>
  </si>
  <si>
    <t>952-446-4106</t>
  </si>
  <si>
    <t>DI9424</t>
  </si>
  <si>
    <t>Nebraska-Kearney</t>
  </si>
  <si>
    <t>Gorman</t>
  </si>
  <si>
    <t>Kearney</t>
  </si>
  <si>
    <t>gormanjl@iu.edu</t>
  </si>
  <si>
    <t>400-490</t>
  </si>
  <si>
    <t>Crown (MN)</t>
  </si>
  <si>
    <t>St. Bonifacius</t>
  </si>
  <si>
    <t>$21,778/$27,202</t>
  </si>
  <si>
    <t>370-490</t>
  </si>
  <si>
    <t>380-530</t>
  </si>
  <si>
    <t>DI9470</t>
  </si>
  <si>
    <t>DII12575</t>
  </si>
  <si>
    <t>Northern Kentucky University</t>
  </si>
  <si>
    <t>DIII21153</t>
  </si>
  <si>
    <t>Gleason</t>
  </si>
  <si>
    <t>Honeycutt</t>
  </si>
  <si>
    <t>gleasonk1@nku.edu</t>
  </si>
  <si>
    <t>(859) 572-5939 (859) 572-5939</t>
  </si>
  <si>
    <t>Knickerbocker</t>
  </si>
  <si>
    <t>DII6115</t>
  </si>
  <si>
    <t>Wayne State College</t>
  </si>
  <si>
    <t>Northern Kentucky</t>
  </si>
  <si>
    <t>shmanso1@wsc.edu</t>
  </si>
  <si>
    <t>402-375-7522 402-375-7522</t>
  </si>
  <si>
    <t>Highland Heights</t>
  </si>
  <si>
    <t>DIII21154</t>
  </si>
  <si>
    <t>Adam</t>
  </si>
  <si>
    <t>Seaman</t>
  </si>
  <si>
    <t>$22,210/$31,210</t>
  </si>
  <si>
    <t>Wayne State (NE)</t>
  </si>
  <si>
    <t>Wayne</t>
  </si>
  <si>
    <t>DI9471</t>
  </si>
  <si>
    <t>DIII7494</t>
  </si>
  <si>
    <t>Gustavus Adolphus College</t>
  </si>
  <si>
    <t>503-640</t>
  </si>
  <si>
    <t>Britt</t>
  </si>
  <si>
    <t>duncanb7@nku.edu</t>
  </si>
  <si>
    <t>859-572-7959 859-572-7959</t>
  </si>
  <si>
    <t>$25,357/$39,308</t>
  </si>
  <si>
    <t>bstewar5@gustavus.edu</t>
  </si>
  <si>
    <t>c: (952) 334-0116; o: (507) 933-6417</t>
  </si>
  <si>
    <t>DII6116</t>
  </si>
  <si>
    <t>Krissi</t>
  </si>
  <si>
    <t>krolive1@wsc.edu</t>
  </si>
  <si>
    <t>402-375-7227 402-375-7227</t>
  </si>
  <si>
    <t>DI9472</t>
  </si>
  <si>
    <t>Valerie</t>
  </si>
  <si>
    <t>Gustavus Adolphus</t>
  </si>
  <si>
    <t>Kaff</t>
  </si>
  <si>
    <t>St. Peter</t>
  </si>
  <si>
    <t>kaffv1@mymail.nku.edu</t>
  </si>
  <si>
    <t>(859) 572-7959 (859) 572-7959</t>
  </si>
  <si>
    <t>DI9513</t>
  </si>
  <si>
    <t>DII6117</t>
  </si>
  <si>
    <t>DIII7529</t>
  </si>
  <si>
    <t>Oakland University</t>
  </si>
  <si>
    <t>Hamline University</t>
  </si>
  <si>
    <t>Karn</t>
  </si>
  <si>
    <t>lkarn@oakland.edu</t>
  </si>
  <si>
    <t>(248) 370-3103 (248) 370-3103</t>
  </si>
  <si>
    <t>daturne1@wsc.edu</t>
  </si>
  <si>
    <t>@CoachLaurenKarn</t>
  </si>
  <si>
    <t>Oakland (MI)</t>
  </si>
  <si>
    <t>New Hampshire</t>
  </si>
  <si>
    <t>Rubbelke</t>
  </si>
  <si>
    <t>Rochester</t>
  </si>
  <si>
    <t>DII6151</t>
  </si>
  <si>
    <t>jrubbelke01@hamline.edu</t>
  </si>
  <si>
    <t>651-523-2304</t>
  </si>
  <si>
    <t>Franklin Pierce University</t>
  </si>
  <si>
    <t>335-500</t>
  </si>
  <si>
    <t>Klaus</t>
  </si>
  <si>
    <t>klausa@franklinpierce.edu</t>
  </si>
  <si>
    <t>$24,482/$36,958</t>
  </si>
  <si>
    <t>(603) 899-4088</t>
  </si>
  <si>
    <t>Hamline</t>
  </si>
  <si>
    <t>DI9514</t>
  </si>
  <si>
    <t>Blythers</t>
  </si>
  <si>
    <t>jmodic@oakland.edu</t>
  </si>
  <si>
    <t>Franklin Pierce</t>
  </si>
  <si>
    <t>NH</t>
  </si>
  <si>
    <t>Rindge</t>
  </si>
  <si>
    <t>DIII7530</t>
  </si>
  <si>
    <t>Borowitz</t>
  </si>
  <si>
    <t>DI9515</t>
  </si>
  <si>
    <t>DIII7531</t>
  </si>
  <si>
    <t>Privette</t>
  </si>
  <si>
    <t>DII12579</t>
  </si>
  <si>
    <t>Carkhuff</t>
  </si>
  <si>
    <t>carkhuffr19@live.franklinpierce.edu</t>
  </si>
  <si>
    <t>DI9516</t>
  </si>
  <si>
    <t>Kelsie</t>
  </si>
  <si>
    <t>DIII7532</t>
  </si>
  <si>
    <t>Paitich</t>
  </si>
  <si>
    <t>DII6198</t>
  </si>
  <si>
    <t>Southern New Hampshire University</t>
  </si>
  <si>
    <t>Hebert</t>
  </si>
  <si>
    <t>r.hebert@snhu.edu</t>
  </si>
  <si>
    <t>DI9579</t>
  </si>
  <si>
    <t>(603) 645-9776</t>
  </si>
  <si>
    <t>University of Wisconsin - Green Bay</t>
  </si>
  <si>
    <t>Kubuske</t>
  </si>
  <si>
    <t>DIII7533</t>
  </si>
  <si>
    <t>kubuskes@uwgb.edu</t>
  </si>
  <si>
    <t>920-465-5083</t>
  </si>
  <si>
    <t>AC Joel has been removed.</t>
  </si>
  <si>
    <t>Southern New Hampshire</t>
  </si>
  <si>
    <t>Hooksett</t>
  </si>
  <si>
    <t>Wisconsin-Green Bay</t>
  </si>
  <si>
    <t>DIII7534</t>
  </si>
  <si>
    <t>Green Bay</t>
  </si>
  <si>
    <t>O'Connell</t>
  </si>
  <si>
    <t>$19,084/$26,657</t>
  </si>
  <si>
    <t>DII6199</t>
  </si>
  <si>
    <t>Caruso</t>
  </si>
  <si>
    <t>katharyn.caruso@snhu.edu</t>
  </si>
  <si>
    <t>DIII7535</t>
  </si>
  <si>
    <t>DI9580</t>
  </si>
  <si>
    <t>Alaynie</t>
  </si>
  <si>
    <t>Woollard</t>
  </si>
  <si>
    <t>woollara@uwgb.edu</t>
  </si>
  <si>
    <t>DII6200</t>
  </si>
  <si>
    <t>DIII21155</t>
  </si>
  <si>
    <t>DI9659</t>
  </si>
  <si>
    <t>Lavallee</t>
  </si>
  <si>
    <t>Wright State University</t>
  </si>
  <si>
    <t>sarah.lavallee@snhu.edu</t>
  </si>
  <si>
    <t>Matthews</t>
  </si>
  <si>
    <t>DIII7577</t>
  </si>
  <si>
    <t>laura.matthews@wright.edu</t>
  </si>
  <si>
    <t>937-775-2771 937-775-2771</t>
  </si>
  <si>
    <t>Macalester College</t>
  </si>
  <si>
    <t>Gabriel</t>
  </si>
  <si>
    <t>jgabriel@macalester.edu</t>
  </si>
  <si>
    <t>651.696.6157</t>
  </si>
  <si>
    <t>DII6201</t>
  </si>
  <si>
    <t>Wright State</t>
  </si>
  <si>
    <t>Deb</t>
  </si>
  <si>
    <t>Robitaille</t>
  </si>
  <si>
    <t>Fairborn</t>
  </si>
  <si>
    <t>d.robitaille@snhu.edu</t>
  </si>
  <si>
    <t>Macalester</t>
  </si>
  <si>
    <t>413-458</t>
  </si>
  <si>
    <t>438-533</t>
  </si>
  <si>
    <t>630-750</t>
  </si>
  <si>
    <t>$19,408/$28,028</t>
  </si>
  <si>
    <t>DII6254</t>
  </si>
  <si>
    <t>Saint Anselm College</t>
  </si>
  <si>
    <t>Gagnon</t>
  </si>
  <si>
    <t>jgagnon@anselm.edu</t>
  </si>
  <si>
    <t>603-641-7247</t>
  </si>
  <si>
    <t>DIII7578</t>
  </si>
  <si>
    <t>DI9660</t>
  </si>
  <si>
    <t>Latterell</t>
  </si>
  <si>
    <t>plattere@macalester.edu</t>
  </si>
  <si>
    <t>651.696.6771</t>
  </si>
  <si>
    <t>Haynes</t>
  </si>
  <si>
    <t>kennedy.haynes@wright.edu</t>
  </si>
  <si>
    <t>937-775-2865 937-775-2865</t>
  </si>
  <si>
    <t>St. Anselm</t>
  </si>
  <si>
    <t>DIII7616</t>
  </si>
  <si>
    <t>Martin Luther College</t>
  </si>
  <si>
    <t>DI9661</t>
  </si>
  <si>
    <t>pearsms@mlc-wels.edu</t>
  </si>
  <si>
    <t>507.354.8221, x305</t>
  </si>
  <si>
    <t>Martin Luther</t>
  </si>
  <si>
    <t>New Ulm</t>
  </si>
  <si>
    <t>dave.brittingham@wright.edu</t>
  </si>
  <si>
    <t>y (Wisconsin Evangelical Lutheran Synod)</t>
  </si>
  <si>
    <t>530-700</t>
  </si>
  <si>
    <t>DII6255</t>
  </si>
  <si>
    <t>Douillette</t>
  </si>
  <si>
    <t>DIII7617</t>
  </si>
  <si>
    <t>Edmison</t>
  </si>
  <si>
    <t>DII6256</t>
  </si>
  <si>
    <t>Steph</t>
  </si>
  <si>
    <t>Mayne</t>
  </si>
  <si>
    <t>DIII7618</t>
  </si>
  <si>
    <t>Kamm</t>
  </si>
  <si>
    <t>DII6257</t>
  </si>
  <si>
    <t>Tayla</t>
  </si>
  <si>
    <t>Trask</t>
  </si>
  <si>
    <t>ttrask@anselm.edu</t>
  </si>
  <si>
    <t>DIII7658</t>
  </si>
  <si>
    <t>Youngstown State University</t>
  </si>
  <si>
    <t>University of Minnesota - Morris</t>
  </si>
  <si>
    <t>Pennie-Roy</t>
  </si>
  <si>
    <t>bcampbell@ysu.edu</t>
  </si>
  <si>
    <t>New Jersey</t>
  </si>
  <si>
    <t>penniehl@morris.umn.edu</t>
  </si>
  <si>
    <t>DII6284</t>
  </si>
  <si>
    <t>320-589-6429</t>
  </si>
  <si>
    <t>Bloomfield College</t>
  </si>
  <si>
    <t>Cosme</t>
  </si>
  <si>
    <t>Bloomfield (NJ)</t>
  </si>
  <si>
    <t>Bloomfield</t>
  </si>
  <si>
    <t>Minnesota-Morris</t>
  </si>
  <si>
    <t>Youngstown State</t>
  </si>
  <si>
    <t>Youngstown</t>
  </si>
  <si>
    <t>530-690</t>
  </si>
  <si>
    <t>$23,460/$25,460</t>
  </si>
  <si>
    <t>$22,042/$22,282</t>
  </si>
  <si>
    <t>DII6285</t>
  </si>
  <si>
    <t>Juan</t>
  </si>
  <si>
    <t>juan_reina@bloomfield.edu</t>
  </si>
  <si>
    <t>DIII7659</t>
  </si>
  <si>
    <t>Brendan</t>
  </si>
  <si>
    <t>Goler</t>
  </si>
  <si>
    <t>bgoler@morris.umn.edu</t>
  </si>
  <si>
    <t>320-589-6410</t>
  </si>
  <si>
    <t>DII6286</t>
  </si>
  <si>
    <t>Cassidy</t>
  </si>
  <si>
    <t>Trause</t>
  </si>
  <si>
    <t>Zilles</t>
  </si>
  <si>
    <t>smzilles@ysu.edu</t>
  </si>
  <si>
    <t>DIII7694</t>
  </si>
  <si>
    <t>North Central University</t>
  </si>
  <si>
    <t>Waalk</t>
  </si>
  <si>
    <t>DII6287</t>
  </si>
  <si>
    <t>jmwaalk@northcentral.edu</t>
  </si>
  <si>
    <t>612-343-3543</t>
  </si>
  <si>
    <t>AC Tiffany has been removed.</t>
  </si>
  <si>
    <t>North Central (MN)</t>
  </si>
  <si>
    <t>Nuzum</t>
  </si>
  <si>
    <t>y (Assemblies of God)</t>
  </si>
  <si>
    <t>dbnuzum@ysu.edu</t>
  </si>
  <si>
    <t>465/580</t>
  </si>
  <si>
    <t>440-558</t>
  </si>
  <si>
    <t>DII6288</t>
  </si>
  <si>
    <t>Delgado</t>
  </si>
  <si>
    <t>phil_delgado@bloomfield.edu</t>
  </si>
  <si>
    <t>973-748-9000, x1756</t>
  </si>
  <si>
    <t>DIII7695</t>
  </si>
  <si>
    <t>Hauge</t>
  </si>
  <si>
    <t>DII6320</t>
  </si>
  <si>
    <t>Caldwell University</t>
  </si>
  <si>
    <t>djohnson@caldwell.edu</t>
  </si>
  <si>
    <t>Volunteer AC Stevie has been removed.</t>
  </si>
  <si>
    <t>973-618-3321 973-618-3321</t>
  </si>
  <si>
    <t>DIII7745</t>
  </si>
  <si>
    <t>University of Northwestern - St. Paul</t>
  </si>
  <si>
    <t>Caldwell (NJ)</t>
  </si>
  <si>
    <t>du'Monceaux</t>
  </si>
  <si>
    <t>Caldwell</t>
  </si>
  <si>
    <t>amdumonceaux@unwsp.edu</t>
  </si>
  <si>
    <t>651-631-5224</t>
  </si>
  <si>
    <t>Ivy League</t>
  </si>
  <si>
    <t>DI9778</t>
  </si>
  <si>
    <t>Brown University</t>
  </si>
  <si>
    <t>Refsnyder</t>
  </si>
  <si>
    <t>katrina_refsnyder@brown.edu</t>
  </si>
  <si>
    <t>401/863-3934</t>
  </si>
  <si>
    <t>Northwestern (MN)</t>
  </si>
  <si>
    <t>DII6321</t>
  </si>
  <si>
    <t>Velardi</t>
  </si>
  <si>
    <t>y (Churches of Christ)</t>
  </si>
  <si>
    <t>DIII7746</t>
  </si>
  <si>
    <t>Stoltman</t>
  </si>
  <si>
    <t>690-790</t>
  </si>
  <si>
    <t>DII6322</t>
  </si>
  <si>
    <t>kelseystoltman@gmail.com</t>
  </si>
  <si>
    <t>c: 651-792-5919</t>
  </si>
  <si>
    <t>Peslak</t>
  </si>
  <si>
    <t>DI9779</t>
  </si>
  <si>
    <t>DI12517</t>
  </si>
  <si>
    <t>Crowell</t>
  </si>
  <si>
    <t>DIII7747</t>
  </si>
  <si>
    <t>Felician University</t>
  </si>
  <si>
    <t>sean_crowell@brown.edu</t>
  </si>
  <si>
    <t>Nieves</t>
  </si>
  <si>
    <t>401/863-5390</t>
  </si>
  <si>
    <t>Bekah</t>
  </si>
  <si>
    <t>Schmidt</t>
  </si>
  <si>
    <t>NievesA@felician.edu</t>
  </si>
  <si>
    <t>Felician</t>
  </si>
  <si>
    <t>Rutherford</t>
  </si>
  <si>
    <t>DI9780</t>
  </si>
  <si>
    <t>DIII21156</t>
  </si>
  <si>
    <t>Karavin</t>
  </si>
  <si>
    <t>Dew</t>
  </si>
  <si>
    <t>Larkin</t>
  </si>
  <si>
    <t>DI12518</t>
  </si>
  <si>
    <t>karavin_dew@brown.edu</t>
  </si>
  <si>
    <t>OwensA@students.felician.edu</t>
  </si>
  <si>
    <t>DIII7780</t>
  </si>
  <si>
    <t>DII6346</t>
  </si>
  <si>
    <t>College of Saint Benedict</t>
  </si>
  <si>
    <t>Herb</t>
  </si>
  <si>
    <t>Click</t>
  </si>
  <si>
    <t>DI9854</t>
  </si>
  <si>
    <t>Melendez</t>
  </si>
  <si>
    <t>rclick@csbsju.edu</t>
  </si>
  <si>
    <t>MelendezH@felician.edu</t>
  </si>
  <si>
    <t>320-363-5724</t>
  </si>
  <si>
    <t>Columbia University</t>
  </si>
  <si>
    <t>201-559-3238</t>
  </si>
  <si>
    <t>Teague</t>
  </si>
  <si>
    <t>jt2839@columbia.edu</t>
  </si>
  <si>
    <t>212-854-2805 212-854-2805</t>
  </si>
  <si>
    <t>St. Benedict (MN)</t>
  </si>
  <si>
    <t>Collegeville</t>
  </si>
  <si>
    <t>DII6347</t>
  </si>
  <si>
    <t>Columbia (NY)</t>
  </si>
  <si>
    <t>Parker</t>
  </si>
  <si>
    <t>ParkerT@felician.edu</t>
  </si>
  <si>
    <t>201-355-1455</t>
  </si>
  <si>
    <t>DIII7781</t>
  </si>
  <si>
    <t>Eveslage</t>
  </si>
  <si>
    <t>DII6372</t>
  </si>
  <si>
    <t>Georgian Court University</t>
  </si>
  <si>
    <t>Degenhardt</t>
  </si>
  <si>
    <t>ndegenhardt@georgian.edu</t>
  </si>
  <si>
    <t>732-987-2697 732-987-2697</t>
  </si>
  <si>
    <t>DI9855</t>
  </si>
  <si>
    <t>Tarah</t>
  </si>
  <si>
    <t>McShane</t>
  </si>
  <si>
    <t>tm3018@columbia.edu</t>
  </si>
  <si>
    <t>212-854-4890 212-854-4890</t>
  </si>
  <si>
    <t>Georgian Court</t>
  </si>
  <si>
    <t>DIII7782</t>
  </si>
  <si>
    <t>Tyler</t>
  </si>
  <si>
    <t>Thomes</t>
  </si>
  <si>
    <t>DI9856</t>
  </si>
  <si>
    <t>Krysiak</t>
  </si>
  <si>
    <t>ek3155@columbia.edu</t>
  </si>
  <si>
    <t>212-851-0106 212-851-0106</t>
  </si>
  <si>
    <t>DIII7783</t>
  </si>
  <si>
    <t>Thell</t>
  </si>
  <si>
    <t>DI9929</t>
  </si>
  <si>
    <t>Cornell University</t>
  </si>
  <si>
    <t>Farlow</t>
  </si>
  <si>
    <t>jcp5@cornell.edu</t>
  </si>
  <si>
    <t>607-255-7334</t>
  </si>
  <si>
    <t>DIII7784</t>
  </si>
  <si>
    <t>Callie</t>
  </si>
  <si>
    <t>DII6373</t>
  </si>
  <si>
    <t>Nelsen</t>
  </si>
  <si>
    <t>Congilose</t>
  </si>
  <si>
    <t>kcongilose@georgian.edu</t>
  </si>
  <si>
    <t>Cornell (NY)</t>
  </si>
  <si>
    <t>Ithaca</t>
  </si>
  <si>
    <t>DIII7810</t>
  </si>
  <si>
    <t>St. Catherine University</t>
  </si>
  <si>
    <t>DII6374</t>
  </si>
  <si>
    <t>cfpowers@stkate.edu</t>
  </si>
  <si>
    <t>651-690-6843</t>
  </si>
  <si>
    <t>DI9930</t>
  </si>
  <si>
    <t>Reilly</t>
  </si>
  <si>
    <t>Cukrov</t>
  </si>
  <si>
    <t>sreilly@georgian.edu</t>
  </si>
  <si>
    <t>anc85@cornell.edu</t>
  </si>
  <si>
    <t>607-255-8500</t>
  </si>
  <si>
    <t>St. Catherine (MN)</t>
  </si>
  <si>
    <t>495-595</t>
  </si>
  <si>
    <t>480-585</t>
  </si>
  <si>
    <t>DII6375</t>
  </si>
  <si>
    <t>DI9931</t>
  </si>
  <si>
    <t>Reno</t>
  </si>
  <si>
    <t>Tembey</t>
  </si>
  <si>
    <t>tt546@cornell.edu</t>
  </si>
  <si>
    <t>DII6376</t>
  </si>
  <si>
    <t>Sasko</t>
  </si>
  <si>
    <t>DIII7811</t>
  </si>
  <si>
    <t>Acketz</t>
  </si>
  <si>
    <t>DI9932</t>
  </si>
  <si>
    <t>Doane</t>
  </si>
  <si>
    <t>DII6377</t>
  </si>
  <si>
    <t>doaneb@tc3.edu</t>
  </si>
  <si>
    <t>Soricelli</t>
  </si>
  <si>
    <t>DIII7812</t>
  </si>
  <si>
    <t>Minder</t>
  </si>
  <si>
    <t>Lone Star</t>
  </si>
  <si>
    <t>New Mexico</t>
  </si>
  <si>
    <t>DI10004</t>
  </si>
  <si>
    <t>DII6424</t>
  </si>
  <si>
    <t>Dartmouth College</t>
  </si>
  <si>
    <t>Eastern New Mexico University</t>
  </si>
  <si>
    <t>Kira</t>
  </si>
  <si>
    <t>Zeiter</t>
  </si>
  <si>
    <t>Jennifer.L.Williams@dartmouth.edu</t>
  </si>
  <si>
    <t>Kira.Zeiter@enmu.edu</t>
  </si>
  <si>
    <t>603-646-1471</t>
  </si>
  <si>
    <t>(575) 562-4349 (575) 562-4349</t>
  </si>
  <si>
    <t>DIII7813</t>
  </si>
  <si>
    <t>Kallie</t>
  </si>
  <si>
    <t>Rezny</t>
  </si>
  <si>
    <t>Eastern New Mexico</t>
  </si>
  <si>
    <t>Dartmouth</t>
  </si>
  <si>
    <t>NM</t>
  </si>
  <si>
    <t>Portales</t>
  </si>
  <si>
    <t>410-530</t>
  </si>
  <si>
    <t>670-780</t>
  </si>
  <si>
    <t>$14,828 (in-district)/$14,972/$17,804</t>
  </si>
  <si>
    <t>DIII7864</t>
  </si>
  <si>
    <t>Saint Mary's University of Minnesota</t>
  </si>
  <si>
    <t>jmmiller@smumn.edu</t>
  </si>
  <si>
    <t>507-457-6923</t>
  </si>
  <si>
    <t>DII6425</t>
  </si>
  <si>
    <t>DI10005</t>
  </si>
  <si>
    <t>Rushing</t>
  </si>
  <si>
    <t>tayler.rushing@enmu.edu</t>
  </si>
  <si>
    <t>amy.r.meyer@dartmouth.edu</t>
  </si>
  <si>
    <t>575-562-2792 575-562-2792</t>
  </si>
  <si>
    <t>603-646-0180</t>
  </si>
  <si>
    <t>St. Mary's (MN)</t>
  </si>
  <si>
    <t>DII6426</t>
  </si>
  <si>
    <t>DI10006</t>
  </si>
  <si>
    <t>Erikka</t>
  </si>
  <si>
    <t>Burke</t>
  </si>
  <si>
    <t>Homan</t>
  </si>
  <si>
    <t>timothy.r.homan@dartmouth.edu</t>
  </si>
  <si>
    <t>603-646-3111</t>
  </si>
  <si>
    <t>DIII7865</t>
  </si>
  <si>
    <t>Borawski</t>
  </si>
  <si>
    <t>sborawsk@smumn.edu</t>
  </si>
  <si>
    <t>507-457-6679</t>
  </si>
  <si>
    <t>DII6427</t>
  </si>
  <si>
    <t>DI21905</t>
  </si>
  <si>
    <t>Graduate Asst Ashley has been removed.</t>
  </si>
  <si>
    <t>646-1471 646-1471</t>
  </si>
  <si>
    <t>DIII7866</t>
  </si>
  <si>
    <t>DII6454</t>
  </si>
  <si>
    <t>New Mexico Highlands University</t>
  </si>
  <si>
    <t>Randi</t>
  </si>
  <si>
    <t>Berg</t>
  </si>
  <si>
    <t>DI10074</t>
  </si>
  <si>
    <t>Harvard University</t>
  </si>
  <si>
    <t>randiberg@nmhu.edu</t>
  </si>
  <si>
    <t>Allard</t>
  </si>
  <si>
    <t>(505) 454-3487 (505) 454-3487</t>
  </si>
  <si>
    <t>allard@fas.harvard.edu</t>
  </si>
  <si>
    <t>(617) 496-2405</t>
  </si>
  <si>
    <t>DIII7924</t>
  </si>
  <si>
    <t>St. Olaf College</t>
  </si>
  <si>
    <t>Hatting</t>
  </si>
  <si>
    <t>hatting@stolaf.edu</t>
  </si>
  <si>
    <t>New Mexico Highlands</t>
  </si>
  <si>
    <t>507-786-3975</t>
  </si>
  <si>
    <t>Las Vegas</t>
  </si>
  <si>
    <t>$17,797/$20,897</t>
  </si>
  <si>
    <t>Harvard</t>
  </si>
  <si>
    <t>DII6455</t>
  </si>
  <si>
    <t>Kouns</t>
  </si>
  <si>
    <t>St. Olaf</t>
  </si>
  <si>
    <t>DI10075</t>
  </si>
  <si>
    <t>Lacy</t>
  </si>
  <si>
    <t>Wood</t>
  </si>
  <si>
    <t>Lwood@fas.harvard.edu</t>
  </si>
  <si>
    <t>617-495-7613</t>
  </si>
  <si>
    <t>DII6477</t>
  </si>
  <si>
    <t>Western New Mexico University</t>
  </si>
  <si>
    <t>Elsa</t>
  </si>
  <si>
    <t>Cocker</t>
  </si>
  <si>
    <t>cockere@wnmu.edu</t>
  </si>
  <si>
    <t>(575) 538-6091</t>
  </si>
  <si>
    <t>DIII7925</t>
  </si>
  <si>
    <t>Hoskins</t>
  </si>
  <si>
    <t>hoskin3@stolaf.edu</t>
  </si>
  <si>
    <t>DI10076</t>
  </si>
  <si>
    <t>Rohn</t>
  </si>
  <si>
    <t>jrohn@fas.harvard.edu</t>
  </si>
  <si>
    <t>Western New Mexico</t>
  </si>
  <si>
    <t>Silver City</t>
  </si>
  <si>
    <t>DIII7983</t>
  </si>
  <si>
    <t>The College of St. Scholastica</t>
  </si>
  <si>
    <t>Rilee</t>
  </si>
  <si>
    <t>Dawson</t>
  </si>
  <si>
    <t>rdawson@css.edu</t>
  </si>
  <si>
    <t>218-723-6422</t>
  </si>
  <si>
    <t>DI21907</t>
  </si>
  <si>
    <t>Lwin</t>
  </si>
  <si>
    <t>amylwin90@gmail.com</t>
  </si>
  <si>
    <t>$21,388/$29,288</t>
  </si>
  <si>
    <t>St. Scholastica</t>
  </si>
  <si>
    <t>DI10164</t>
  </si>
  <si>
    <t>University of Pennsylvania - Penn</t>
  </si>
  <si>
    <t>DII6478</t>
  </si>
  <si>
    <t>lcking@upenn.edu</t>
  </si>
  <si>
    <t>215-898-3442</t>
  </si>
  <si>
    <t>Shyenne</t>
  </si>
  <si>
    <t>Hussey</t>
  </si>
  <si>
    <t>Shyenne.Hussey@wnmu.edu</t>
  </si>
  <si>
    <t>DIII7984</t>
  </si>
  <si>
    <t>Chas</t>
  </si>
  <si>
    <t>cjohnson26@css.edu</t>
  </si>
  <si>
    <t>DII6479</t>
  </si>
  <si>
    <t>Annely</t>
  </si>
  <si>
    <t>Heinze</t>
  </si>
  <si>
    <t>Pennsylvania</t>
  </si>
  <si>
    <t>heinzealvaradoa@wnmu.edu</t>
  </si>
  <si>
    <t>680-760</t>
  </si>
  <si>
    <t>DIII7985</t>
  </si>
  <si>
    <t>Turcotte</t>
  </si>
  <si>
    <t>New York</t>
  </si>
  <si>
    <t>sturcotte@css.edu</t>
  </si>
  <si>
    <t>DII6501</t>
  </si>
  <si>
    <t>218-723-7056</t>
  </si>
  <si>
    <t>Adelphi University</t>
  </si>
  <si>
    <t>Campagna</t>
  </si>
  <si>
    <t>DI10165</t>
  </si>
  <si>
    <t>ccampagna@adelphi.edu</t>
  </si>
  <si>
    <t>(516) 877-3959 (516) 877-3959</t>
  </si>
  <si>
    <t>godani@upenn.edu</t>
  </si>
  <si>
    <t>215-898-6832</t>
  </si>
  <si>
    <t>Adelphi (NY)</t>
  </si>
  <si>
    <t>DIII7986</t>
  </si>
  <si>
    <t>Garden City</t>
  </si>
  <si>
    <t>AC Emily has been removed.</t>
  </si>
  <si>
    <t>DI10240</t>
  </si>
  <si>
    <t>Princeton University</t>
  </si>
  <si>
    <t>Van Ackeren</t>
  </si>
  <si>
    <t>lsweeney@princeton.edu</t>
  </si>
  <si>
    <t>609-258-2289</t>
  </si>
  <si>
    <t>DII6502</t>
  </si>
  <si>
    <t>Brenna</t>
  </si>
  <si>
    <t>Martini</t>
  </si>
  <si>
    <t>bmartini@adelphi.edu</t>
  </si>
  <si>
    <t>(516) 237-8542 (516) 237-8542</t>
  </si>
  <si>
    <t>Princeton</t>
  </si>
  <si>
    <t>DII6503</t>
  </si>
  <si>
    <t>Maniscalco</t>
  </si>
  <si>
    <t>DIII7987</t>
  </si>
  <si>
    <t>DI10241</t>
  </si>
  <si>
    <t>AC Hannah has been removed.</t>
  </si>
  <si>
    <t>Murray</t>
  </si>
  <si>
    <t>mem10@princeton.edu</t>
  </si>
  <si>
    <t>609-258-4669</t>
  </si>
  <si>
    <t>DII6504</t>
  </si>
  <si>
    <t>Lou</t>
  </si>
  <si>
    <t>Vanacore</t>
  </si>
  <si>
    <t>lvanacore@adelphi.edu</t>
  </si>
  <si>
    <t>DI10242</t>
  </si>
  <si>
    <t>alyssad@princeton.edu</t>
  </si>
  <si>
    <t>DIII7988</t>
  </si>
  <si>
    <t>DII6567</t>
  </si>
  <si>
    <t>Concordia College - New York</t>
  </si>
  <si>
    <t>Lorenzo</t>
  </si>
  <si>
    <t>DI10243</t>
  </si>
  <si>
    <t>jaime.lorenzo@concordia-ny.edu</t>
  </si>
  <si>
    <t>(914) 337-9300, x2457</t>
  </si>
  <si>
    <t>Arias</t>
  </si>
  <si>
    <t>narias@princeton.edu</t>
  </si>
  <si>
    <t>Concordia (NY)</t>
  </si>
  <si>
    <t>Bronxville</t>
  </si>
  <si>
    <t>17-25</t>
  </si>
  <si>
    <t>DI10318</t>
  </si>
  <si>
    <t>DIII7989</t>
  </si>
  <si>
    <t>Yale University</t>
  </si>
  <si>
    <t>Jeanette.goodwin@yale.edu</t>
  </si>
  <si>
    <t>203-432-1407</t>
  </si>
  <si>
    <t>DII6568</t>
  </si>
  <si>
    <t>Mertens</t>
  </si>
  <si>
    <t>Carly.Mertens@concordia-ny.edu</t>
  </si>
  <si>
    <t>Yale</t>
  </si>
  <si>
    <t>DIII8053</t>
  </si>
  <si>
    <t>University of St. Thomas - Minnesota</t>
  </si>
  <si>
    <t>Tschida</t>
  </si>
  <si>
    <t>DII6641</t>
  </si>
  <si>
    <t>Dominican College</t>
  </si>
  <si>
    <t>jbtschida@stthomas.edu</t>
  </si>
  <si>
    <t>Burbridge</t>
  </si>
  <si>
    <t>651-962-5922</t>
  </si>
  <si>
    <t>joseph.burbridge@dc.edu</t>
  </si>
  <si>
    <t>845-848-7718</t>
  </si>
  <si>
    <t>DI10319</t>
  </si>
  <si>
    <t>Ricciardone</t>
  </si>
  <si>
    <t>laura.ricciardone@yale.edu</t>
  </si>
  <si>
    <t>203-432-1723</t>
  </si>
  <si>
    <t>Dominican (NY)</t>
  </si>
  <si>
    <t>Orangeburg</t>
  </si>
  <si>
    <t>St. Thomas (MN)</t>
  </si>
  <si>
    <t>DII6642</t>
  </si>
  <si>
    <t>DI10320</t>
  </si>
  <si>
    <t>Oliva</t>
  </si>
  <si>
    <t>alyssa.oliva@dc.edu</t>
  </si>
  <si>
    <t>Mandy</t>
  </si>
  <si>
    <t>490-585</t>
  </si>
  <si>
    <t>McCarthy</t>
  </si>
  <si>
    <t>DII6643</t>
  </si>
  <si>
    <t>DI21915</t>
  </si>
  <si>
    <t>Carlson</t>
  </si>
  <si>
    <t>rachel.carlson@yale.edu</t>
  </si>
  <si>
    <t>DIII8054</t>
  </si>
  <si>
    <t>DI12478</t>
  </si>
  <si>
    <t>Le Moyne College</t>
  </si>
  <si>
    <t>Harrison</t>
  </si>
  <si>
    <t>harrisse@lemoyne.edu</t>
  </si>
  <si>
    <t>(315) 445-5477 (315) 445-5477</t>
  </si>
  <si>
    <t>MAC (Mid-American)</t>
  </si>
  <si>
    <t>Le Moyne (NY)</t>
  </si>
  <si>
    <t>DI10411</t>
  </si>
  <si>
    <t>University of Akron</t>
  </si>
  <si>
    <t>Meaggan</t>
  </si>
  <si>
    <t>Pettipiece</t>
  </si>
  <si>
    <t>mpettipiece@uakron.edu</t>
  </si>
  <si>
    <t>330-972-5056 330-972-5056</t>
  </si>
  <si>
    <t>DIII8055</t>
  </si>
  <si>
    <t>Horstman</t>
  </si>
  <si>
    <t>DII6684</t>
  </si>
  <si>
    <t>romantr@lemoyne.edu</t>
  </si>
  <si>
    <t>Akron</t>
  </si>
  <si>
    <t>DIII8056</t>
  </si>
  <si>
    <t>$24,876/$33,407</t>
  </si>
  <si>
    <t>Gormley</t>
  </si>
  <si>
    <t>DII6685</t>
  </si>
  <si>
    <t>DI10412</t>
  </si>
  <si>
    <t>Janel</t>
  </si>
  <si>
    <t>Hayes</t>
  </si>
  <si>
    <t>jhayes1@uakron.edu</t>
  </si>
  <si>
    <t>DII6686</t>
  </si>
  <si>
    <t>DIII8057</t>
  </si>
  <si>
    <t>Aliyah</t>
  </si>
  <si>
    <t>wadeap@lemoyne.edu</t>
  </si>
  <si>
    <t>DI10413</t>
  </si>
  <si>
    <t>DII6749</t>
  </si>
  <si>
    <t>Long Island University</t>
  </si>
  <si>
    <t>bgraham@uakron.edu</t>
  </si>
  <si>
    <t>Apicella</t>
  </si>
  <si>
    <t>jamie.apicella@liu.edu</t>
  </si>
  <si>
    <t>(516) 299-3857</t>
  </si>
  <si>
    <t>DIII8058</t>
  </si>
  <si>
    <t>DuPuis</t>
  </si>
  <si>
    <t>LIU Post</t>
  </si>
  <si>
    <t>Brookville</t>
  </si>
  <si>
    <t>DI10414</t>
  </si>
  <si>
    <t>Brancifort</t>
  </si>
  <si>
    <t>hbrancifort@zips.uakron.edu</t>
  </si>
  <si>
    <t>DII6750</t>
  </si>
  <si>
    <t>DI10492</t>
  </si>
  <si>
    <t>Butterworth</t>
  </si>
  <si>
    <t>Ball State University</t>
  </si>
  <si>
    <t>Ciolli Bartlett</t>
  </si>
  <si>
    <t>mcbartlett@bsu.edu</t>
  </si>
  <si>
    <t>765-285-5137 765-285-5137</t>
  </si>
  <si>
    <t>@coachcbartlett</t>
  </si>
  <si>
    <t>DIII21157</t>
  </si>
  <si>
    <t>Beeso</t>
  </si>
  <si>
    <t>Ball State</t>
  </si>
  <si>
    <t>Muncie</t>
  </si>
  <si>
    <t>DII6797</t>
  </si>
  <si>
    <t>Mercy College</t>
  </si>
  <si>
    <t>Fazio</t>
  </si>
  <si>
    <t>mfazio@mercy.edu</t>
  </si>
  <si>
    <t>914-674-7322 914-674-7322</t>
  </si>
  <si>
    <t>$23,940/$39,714</t>
  </si>
  <si>
    <t>Mercy (NY)</t>
  </si>
  <si>
    <t>DI10493</t>
  </si>
  <si>
    <t>DIII8109</t>
  </si>
  <si>
    <t>Belhaven University</t>
  </si>
  <si>
    <t>rfmueller@bsu.edu</t>
  </si>
  <si>
    <t>765-285-3720 765-285-3720</t>
  </si>
  <si>
    <t>@Becca_Mueller01</t>
  </si>
  <si>
    <t>kgriffin@belhaven.edu</t>
  </si>
  <si>
    <t>601.968.8768</t>
  </si>
  <si>
    <t>DII6798</t>
  </si>
  <si>
    <t>DI10494</t>
  </si>
  <si>
    <t>Skania</t>
  </si>
  <si>
    <t>Belhaven</t>
  </si>
  <si>
    <t>Lemus</t>
  </si>
  <si>
    <t>slemus@mercy.edu</t>
  </si>
  <si>
    <t>Manley</t>
  </si>
  <si>
    <t>jrmanley@bsu.edu</t>
  </si>
  <si>
    <t>765-285-3703 765-285-3703</t>
  </si>
  <si>
    <t>510-570</t>
  </si>
  <si>
    <t>DII6799</t>
  </si>
  <si>
    <t>DI21282</t>
  </si>
  <si>
    <t>Baylee</t>
  </si>
  <si>
    <t>McCormick</t>
  </si>
  <si>
    <t>Bobby</t>
  </si>
  <si>
    <t>bmccormick1@mercy.edu</t>
  </si>
  <si>
    <t>Verdugo</t>
  </si>
  <si>
    <t>rverdugo2@bsu.edu</t>
  </si>
  <si>
    <t>DIII8110</t>
  </si>
  <si>
    <t>Fairley</t>
  </si>
  <si>
    <t>cfairley@belhaven.edu</t>
  </si>
  <si>
    <t>601.968.8785</t>
  </si>
  <si>
    <t>DI10567</t>
  </si>
  <si>
    <t>DII12600</t>
  </si>
  <si>
    <t>Bowling Green State University</t>
  </si>
  <si>
    <t>williss@bgsu.edu</t>
  </si>
  <si>
    <t>419-372-7159</t>
  </si>
  <si>
    <t>Wootten</t>
  </si>
  <si>
    <t>cwootten@mercy.edu</t>
  </si>
  <si>
    <t>DIII8137</t>
  </si>
  <si>
    <t>Millsaps College</t>
  </si>
  <si>
    <t>DeLoach</t>
  </si>
  <si>
    <t>deloact@millsaps.edu</t>
  </si>
  <si>
    <t>601-974-1177</t>
  </si>
  <si>
    <t>DII6833</t>
  </si>
  <si>
    <t>Bowling Green State</t>
  </si>
  <si>
    <t>Molloy College</t>
  </si>
  <si>
    <t>Cassidy-Lyke</t>
  </si>
  <si>
    <t>scassidy@molloy.edu</t>
  </si>
  <si>
    <t>516-323-3608 516-323-3608</t>
  </si>
  <si>
    <t>$24,361/$31,897</t>
  </si>
  <si>
    <t>Millsaps</t>
  </si>
  <si>
    <t>523-610</t>
  </si>
  <si>
    <t>523-630</t>
  </si>
  <si>
    <t>DI10568</t>
  </si>
  <si>
    <t>Teresa</t>
  </si>
  <si>
    <t>Molloy</t>
  </si>
  <si>
    <t>Rockville Centre</t>
  </si>
  <si>
    <t>DIII8138</t>
  </si>
  <si>
    <t>Savala</t>
  </si>
  <si>
    <t>savalmb@millsaps.edu</t>
  </si>
  <si>
    <t>601-974-1295</t>
  </si>
  <si>
    <t>DI21924</t>
  </si>
  <si>
    <t>DII6834</t>
  </si>
  <si>
    <t>Bauer</t>
  </si>
  <si>
    <t>bauermr@bgsu.edu</t>
  </si>
  <si>
    <t>Dayna</t>
  </si>
  <si>
    <t>DIII8139</t>
  </si>
  <si>
    <t>Reel</t>
  </si>
  <si>
    <t>DI21925</t>
  </si>
  <si>
    <t>carlynt@bgsu.edu</t>
  </si>
  <si>
    <t>DII6835</t>
  </si>
  <si>
    <t>Chrissy</t>
  </si>
  <si>
    <t>Freaney</t>
  </si>
  <si>
    <t>DIII8175</t>
  </si>
  <si>
    <t>Fontbonne University</t>
  </si>
  <si>
    <t>Cromwell</t>
  </si>
  <si>
    <t>ccromwell@fontbonne.edu</t>
  </si>
  <si>
    <t>DI10628</t>
  </si>
  <si>
    <t>314-719-8086</t>
  </si>
  <si>
    <t>SUNY University at Buffalo</t>
  </si>
  <si>
    <t>DII12603</t>
  </si>
  <si>
    <t>mruechel@buffalo.edu</t>
  </si>
  <si>
    <t>716-645-5436 716-645-5436</t>
  </si>
  <si>
    <t>Fontbonne</t>
  </si>
  <si>
    <t>Buffalo</t>
  </si>
  <si>
    <t>DI12455</t>
  </si>
  <si>
    <t>New York Institute of Technology</t>
  </si>
  <si>
    <t>Jena</t>
  </si>
  <si>
    <t>Cozza</t>
  </si>
  <si>
    <t>$25,489/$42,729</t>
  </si>
  <si>
    <t>jcozza@nyit.edu</t>
  </si>
  <si>
    <t>DIII8176</t>
  </si>
  <si>
    <t>Darrian</t>
  </si>
  <si>
    <t>Chrzanoski</t>
  </si>
  <si>
    <t>dchrzanoski@fontbonne.edu</t>
  </si>
  <si>
    <t>New York Institute of Tech (NYIT)</t>
  </si>
  <si>
    <t>DI10629</t>
  </si>
  <si>
    <t>Hennigar</t>
  </si>
  <si>
    <t>PC/Rec Coor</t>
  </si>
  <si>
    <t>jodyhenn@buffalo.edu</t>
  </si>
  <si>
    <t>716-645-6517 716-645-6517</t>
  </si>
  <si>
    <t>DIII8177</t>
  </si>
  <si>
    <t>DII6887</t>
  </si>
  <si>
    <t>Apostolopoulos</t>
  </si>
  <si>
    <t>kapost01@nyit.edu</t>
  </si>
  <si>
    <t>516.686.7626 516.686.7626</t>
  </si>
  <si>
    <t>DI10630</t>
  </si>
  <si>
    <t>mjmeyer4@buffalo.edu</t>
  </si>
  <si>
    <t>716-645-8616 716-645-8616</t>
  </si>
  <si>
    <t>DIII21160</t>
  </si>
  <si>
    <t>Westminster College - Missouri</t>
  </si>
  <si>
    <t>DII6888</t>
  </si>
  <si>
    <t>Aarin</t>
  </si>
  <si>
    <t>DI10631</t>
  </si>
  <si>
    <t>Hartenstein</t>
  </si>
  <si>
    <t>ahartens@nyit.edu</t>
  </si>
  <si>
    <t>rj45@buffalo.edu</t>
  </si>
  <si>
    <t>716-645-6976 716-645-6976</t>
  </si>
  <si>
    <t>Brisley</t>
  </si>
  <si>
    <t>(417) 894-4455</t>
  </si>
  <si>
    <t>DI12446</t>
  </si>
  <si>
    <t>DI21927</t>
  </si>
  <si>
    <t>Nyack College</t>
  </si>
  <si>
    <t>Brugnoli</t>
  </si>
  <si>
    <t>Nyack</t>
  </si>
  <si>
    <t>Westminster (MO)</t>
  </si>
  <si>
    <t>Fulton</t>
  </si>
  <si>
    <t>390-513</t>
  </si>
  <si>
    <t>380-513</t>
  </si>
  <si>
    <t>410-600</t>
  </si>
  <si>
    <t>DII6922</t>
  </si>
  <si>
    <t>Aumend</t>
  </si>
  <si>
    <t>DIII8224</t>
  </si>
  <si>
    <t>jeff.aumend@nyack.edu</t>
  </si>
  <si>
    <t>845-675-4782</t>
  </si>
  <si>
    <t>Washington University in St. Louis</t>
  </si>
  <si>
    <t>Venturella</t>
  </si>
  <si>
    <t>mventurella@wustl.edu</t>
  </si>
  <si>
    <t>DI10693</t>
  </si>
  <si>
    <t>(314) 935-8549</t>
  </si>
  <si>
    <t>Central Michigan University</t>
  </si>
  <si>
    <t>McCall</t>
  </si>
  <si>
    <t>Salmon</t>
  </si>
  <si>
    <t>mccall.salmon@cmich.edu</t>
  </si>
  <si>
    <t>(989) 774-6688 (989) 774-6688</t>
  </si>
  <si>
    <t>Washington (MO)</t>
  </si>
  <si>
    <t>DII6923</t>
  </si>
  <si>
    <t>Central Michigan</t>
  </si>
  <si>
    <t>Aferdita</t>
  </si>
  <si>
    <t>Mount Pleasant</t>
  </si>
  <si>
    <t>Sinanaj</t>
  </si>
  <si>
    <t>$23,494/$35,014</t>
  </si>
  <si>
    <t>DIII8225</t>
  </si>
  <si>
    <t>WashU-Softball@email.wustl.edu</t>
  </si>
  <si>
    <t>DII6960</t>
  </si>
  <si>
    <t>Pace University</t>
  </si>
  <si>
    <t>Claudia</t>
  </si>
  <si>
    <t>Stabile</t>
  </si>
  <si>
    <t>DI10694</t>
  </si>
  <si>
    <t>cstabile@pace.edu</t>
  </si>
  <si>
    <t>914-773-3684</t>
  </si>
  <si>
    <t>Brittini</t>
  </si>
  <si>
    <t>Merchant</t>
  </si>
  <si>
    <t>merch1bk@cmich.edu</t>
  </si>
  <si>
    <t>(989) 774-3263 (989) 774-3263</t>
  </si>
  <si>
    <t>DIII8226</t>
  </si>
  <si>
    <t>Roya</t>
  </si>
  <si>
    <t>Pace (NY)</t>
  </si>
  <si>
    <t>St. Clair</t>
  </si>
  <si>
    <t>royas@wustl.edu</t>
  </si>
  <si>
    <t>(314) 935-3319</t>
  </si>
  <si>
    <t>DI10695</t>
  </si>
  <si>
    <t>Driesenga</t>
  </si>
  <si>
    <t>dries1s@cmich.edu</t>
  </si>
  <si>
    <t>(989) 774-6793 (989) 774-6793</t>
  </si>
  <si>
    <t>DII6961</t>
  </si>
  <si>
    <t>Brealand</t>
  </si>
  <si>
    <t>DIII8227</t>
  </si>
  <si>
    <t>bedwards@pace.edu</t>
  </si>
  <si>
    <t>914-773-3297</t>
  </si>
  <si>
    <t>DI10807</t>
  </si>
  <si>
    <t>Kent State University</t>
  </si>
  <si>
    <t>Oakley</t>
  </si>
  <si>
    <t>eoakley@kent.edu</t>
  </si>
  <si>
    <t>330-672-8431 330-672-8431</t>
  </si>
  <si>
    <t>DII6988</t>
  </si>
  <si>
    <t>Queens College</t>
  </si>
  <si>
    <t>DIII8228</t>
  </si>
  <si>
    <t>Delmore</t>
  </si>
  <si>
    <t>amy.delmore@qc.cuny.edu</t>
  </si>
  <si>
    <t>Laurel</t>
  </si>
  <si>
    <t>Sagartz</t>
  </si>
  <si>
    <t>(718) 997-2761 (718) 997-2761</t>
  </si>
  <si>
    <t>Kent State</t>
  </si>
  <si>
    <t>$25,514/$33,878</t>
  </si>
  <si>
    <t>DIII8229</t>
  </si>
  <si>
    <t>Queens (NY)</t>
  </si>
  <si>
    <t>Coffman</t>
  </si>
  <si>
    <t>$27,624/$34,734</t>
  </si>
  <si>
    <t>DI10808</t>
  </si>
  <si>
    <t>ejohns54@kent.edu</t>
  </si>
  <si>
    <t>330-672-8463 330-672-8463</t>
  </si>
  <si>
    <t>DII6989</t>
  </si>
  <si>
    <t>DIII8280</t>
  </si>
  <si>
    <t>Kenneth</t>
  </si>
  <si>
    <t>Webster University</t>
  </si>
  <si>
    <t>Passante</t>
  </si>
  <si>
    <t>katiegriffith62@webster.edu</t>
  </si>
  <si>
    <t>314-246-8157</t>
  </si>
  <si>
    <t>DI10809</t>
  </si>
  <si>
    <t>Arika</t>
  </si>
  <si>
    <t>Webster (MO)</t>
  </si>
  <si>
    <t>Roush</t>
  </si>
  <si>
    <t>Webster Groves</t>
  </si>
  <si>
    <t>aroush5@kent.edu</t>
  </si>
  <si>
    <t>530-625</t>
  </si>
  <si>
    <t>545-610</t>
  </si>
  <si>
    <t>DII7075</t>
  </si>
  <si>
    <t>The College of Saint Rose</t>
  </si>
  <si>
    <t>Abby</t>
  </si>
  <si>
    <t>Arceneaux</t>
  </si>
  <si>
    <t>arceneaa@strose.edu</t>
  </si>
  <si>
    <t>(518) 454-2062 (518) 454-2062</t>
  </si>
  <si>
    <t>DI21931</t>
  </si>
  <si>
    <t>DIII8281</t>
  </si>
  <si>
    <t>Brownfield</t>
  </si>
  <si>
    <t>McGinnis</t>
  </si>
  <si>
    <t>St. Rose (NY)</t>
  </si>
  <si>
    <t>bbrownf2@kent.edu</t>
  </si>
  <si>
    <t>465-570</t>
  </si>
  <si>
    <t>DIII21158</t>
  </si>
  <si>
    <t>DI10865</t>
  </si>
  <si>
    <t>Miami University</t>
  </si>
  <si>
    <t>Clarisa</t>
  </si>
  <si>
    <t>DII7101</t>
  </si>
  <si>
    <t>crowelck@miamioh.edu</t>
  </si>
  <si>
    <t>St. Thomas Aquinas College</t>
  </si>
  <si>
    <t>513-529-3999 513-529-3999</t>
  </si>
  <si>
    <t>ksulliva@stac.edu</t>
  </si>
  <si>
    <t>845-398-4065</t>
  </si>
  <si>
    <t>Miami (OH)</t>
  </si>
  <si>
    <t>DIII21159</t>
  </si>
  <si>
    <t>Oxford</t>
  </si>
  <si>
    <t>Robin</t>
  </si>
  <si>
    <t>St. Thomas Aquinas</t>
  </si>
  <si>
    <t>Sparkill</t>
  </si>
  <si>
    <t>420-527</t>
  </si>
  <si>
    <t>$30,420/$48,239</t>
  </si>
  <si>
    <t>412-530</t>
  </si>
  <si>
    <t>DIII8330</t>
  </si>
  <si>
    <t>Stafford</t>
  </si>
  <si>
    <t>Sara.Stafford@westminster-mo.edu</t>
  </si>
  <si>
    <t>573-592-5981</t>
  </si>
  <si>
    <t>DI10866</t>
  </si>
  <si>
    <t>Sanders</t>
  </si>
  <si>
    <t>DII7102</t>
  </si>
  <si>
    <t>sanders@miamioh.edu</t>
  </si>
  <si>
    <t>Traina</t>
  </si>
  <si>
    <t>ntraina@stac.edu</t>
  </si>
  <si>
    <t>DI10867</t>
  </si>
  <si>
    <t>Zerkle</t>
  </si>
  <si>
    <t>zerkleml@miamioh.edu</t>
  </si>
  <si>
    <t>DII7104</t>
  </si>
  <si>
    <t>Madden</t>
  </si>
  <si>
    <t>wmadden@stac.edu</t>
  </si>
  <si>
    <t>DIII8331</t>
  </si>
  <si>
    <t>DI10930</t>
  </si>
  <si>
    <t>Northern Illinois University</t>
  </si>
  <si>
    <t>Rush</t>
  </si>
  <si>
    <t>Sutcliffe</t>
  </si>
  <si>
    <t>Katelyn.Rush@westminster-mo.edu</t>
  </si>
  <si>
    <t>(573) 301-7103</t>
  </si>
  <si>
    <t>csutcliffe@niu.edu</t>
  </si>
  <si>
    <t>(815) 753-1497 (815) 753-1497</t>
  </si>
  <si>
    <t>Sosnicki</t>
  </si>
  <si>
    <t>jsosnick@stac.edu</t>
  </si>
  <si>
    <t>Northern Illinois</t>
  </si>
  <si>
    <t>DeKalb</t>
  </si>
  <si>
    <t>DIII8332</t>
  </si>
  <si>
    <t>DII7154</t>
  </si>
  <si>
    <t>Allabaugh</t>
  </si>
  <si>
    <t>c: (417) 812-9305</t>
  </si>
  <si>
    <t>$28,964/$38,430</t>
  </si>
  <si>
    <t>Barton College</t>
  </si>
  <si>
    <t>Junior</t>
  </si>
  <si>
    <t>wbailey@barton.edu</t>
  </si>
  <si>
    <t>252-991-6679</t>
  </si>
  <si>
    <t>Barton (NC)</t>
  </si>
  <si>
    <t>DIII8333</t>
  </si>
  <si>
    <t>Turnbull</t>
  </si>
  <si>
    <t>DI10931</t>
  </si>
  <si>
    <t>awade@niu.edu</t>
  </si>
  <si>
    <t>(815) 753-2245 (815) 753-2245</t>
  </si>
  <si>
    <t>DII7155</t>
  </si>
  <si>
    <t>Van Horn</t>
  </si>
  <si>
    <t>jmvanhorn@barton.edu</t>
  </si>
  <si>
    <t>DIII21056</t>
  </si>
  <si>
    <t>Nebraska Wesleyan University</t>
  </si>
  <si>
    <t>DI10990</t>
  </si>
  <si>
    <t>DII7156</t>
  </si>
  <si>
    <t>Ohio University</t>
  </si>
  <si>
    <t>Roark</t>
  </si>
  <si>
    <t>roark@ohio.edu</t>
  </si>
  <si>
    <t>AC Brittney has been removed.</t>
  </si>
  <si>
    <t>740-593-1175</t>
  </si>
  <si>
    <t>Burrack</t>
  </si>
  <si>
    <t>DII12614</t>
  </si>
  <si>
    <t>Athens</t>
  </si>
  <si>
    <t>Meeks</t>
  </si>
  <si>
    <t>Nebraska Wesleyan</t>
  </si>
  <si>
    <t>$26,656/$36,120</t>
  </si>
  <si>
    <t>DI12566</t>
  </si>
  <si>
    <t>Belmont Abbey College</t>
  </si>
  <si>
    <t>Ashton</t>
  </si>
  <si>
    <t>Whitaker</t>
  </si>
  <si>
    <t>ashtonwhitaker@bac.edu</t>
  </si>
  <si>
    <t>336-339-2426</t>
  </si>
  <si>
    <t>DI10991</t>
  </si>
  <si>
    <t>taylora2@ohio.edu</t>
  </si>
  <si>
    <t>DIII21108</t>
  </si>
  <si>
    <t>Jennie</t>
  </si>
  <si>
    <t>Harp</t>
  </si>
  <si>
    <t>Belmont Abbey</t>
  </si>
  <si>
    <t>DI10992</t>
  </si>
  <si>
    <t>Garrett</t>
  </si>
  <si>
    <t>Furnal</t>
  </si>
  <si>
    <t>gfurnal@ohio.edu</t>
  </si>
  <si>
    <t>LeighAnn</t>
  </si>
  <si>
    <t>Novotny</t>
  </si>
  <si>
    <t>DI11041</t>
  </si>
  <si>
    <t>University of Toledo</t>
  </si>
  <si>
    <t>DII7192</t>
  </si>
  <si>
    <t>Abraham</t>
  </si>
  <si>
    <t>joseph.abraham@utoledo.edu</t>
  </si>
  <si>
    <t>DIII8373</t>
  </si>
  <si>
    <t>419-530-6258 419-530-6258</t>
  </si>
  <si>
    <t>Mele</t>
  </si>
  <si>
    <t>Yori</t>
  </si>
  <si>
    <t>tonymele@bac.edu</t>
  </si>
  <si>
    <t>myori@nebrwesleyan.edu</t>
  </si>
  <si>
    <t>704-461-6221</t>
  </si>
  <si>
    <t>402-465-2381</t>
  </si>
  <si>
    <t>Toledo</t>
  </si>
  <si>
    <t>DIII8374</t>
  </si>
  <si>
    <t>DII7193</t>
  </si>
  <si>
    <t>Roth</t>
  </si>
  <si>
    <t>470-620</t>
  </si>
  <si>
    <t>mroth2@nebrwesleyan.edu</t>
  </si>
  <si>
    <t>$24,791/$34,129</t>
  </si>
  <si>
    <t>Vanzant</t>
  </si>
  <si>
    <t>sierravanzant@bac.edu</t>
  </si>
  <si>
    <t>336-309-2920</t>
  </si>
  <si>
    <t>DI11042</t>
  </si>
  <si>
    <t>Schalk</t>
  </si>
  <si>
    <t>ryan.schalk@utoledo.edu</t>
  </si>
  <si>
    <t>419-530-6261 419-530-6261</t>
  </si>
  <si>
    <t>DIII8375</t>
  </si>
  <si>
    <t>Piera</t>
  </si>
  <si>
    <t>Rezza</t>
  </si>
  <si>
    <t>preeza@nebrwesleyan.edu</t>
  </si>
  <si>
    <t>DII12616</t>
  </si>
  <si>
    <t>Derek</t>
  </si>
  <si>
    <t>dereksullivan@bac.edu</t>
  </si>
  <si>
    <t>DIII8470</t>
  </si>
  <si>
    <t>Keene State College</t>
  </si>
  <si>
    <t>DI11043</t>
  </si>
  <si>
    <t>Carrah</t>
  </si>
  <si>
    <t>Fisk Hennessey</t>
  </si>
  <si>
    <t>carrah.fisk.hennessey@keene.edu</t>
  </si>
  <si>
    <t>McMenemy</t>
  </si>
  <si>
    <t>603-358-2820</t>
  </si>
  <si>
    <t>paige.mcmenemy@utoledo.edu</t>
  </si>
  <si>
    <t>419-530-6257 419-530-6257</t>
  </si>
  <si>
    <t>South Atlantic</t>
  </si>
  <si>
    <t>DII7247</t>
  </si>
  <si>
    <t>Catawba College</t>
  </si>
  <si>
    <t>Harris-Morgan</t>
  </si>
  <si>
    <t>akmorgan18@catawba.edu</t>
  </si>
  <si>
    <t>(704) 637-4359</t>
  </si>
  <si>
    <t>DI11044</t>
  </si>
  <si>
    <t>Zoltowski</t>
  </si>
  <si>
    <t>Keene State</t>
  </si>
  <si>
    <t>james.zoltowski@utoledo.edu</t>
  </si>
  <si>
    <t>Keene</t>
  </si>
  <si>
    <t>$26,753/$35,137</t>
  </si>
  <si>
    <t>Catawba</t>
  </si>
  <si>
    <t>DIII8471</t>
  </si>
  <si>
    <t>DI11102</t>
  </si>
  <si>
    <t>Katje</t>
  </si>
  <si>
    <t>Mickola</t>
  </si>
  <si>
    <t>Western Michigan University</t>
  </si>
  <si>
    <t>Leitke</t>
  </si>
  <si>
    <t>kathy.leitke@wmich.edu</t>
  </si>
  <si>
    <t>(269) 276-3288 (269) 276-3288</t>
  </si>
  <si>
    <t>DII7248</t>
  </si>
  <si>
    <t>Prescott</t>
  </si>
  <si>
    <t>sprescot@catawba.edu</t>
  </si>
  <si>
    <t>DIII8472</t>
  </si>
  <si>
    <t>Britney</t>
  </si>
  <si>
    <t>Hinckley</t>
  </si>
  <si>
    <t>Western Michigan</t>
  </si>
  <si>
    <t>455-560</t>
  </si>
  <si>
    <t>445-555</t>
  </si>
  <si>
    <t>DII7249</t>
  </si>
  <si>
    <t>$24,368/$39,726</t>
  </si>
  <si>
    <t>ehuneycu@catawba.edu</t>
  </si>
  <si>
    <t>(704) 637-4395</t>
  </si>
  <si>
    <t>DIII8473</t>
  </si>
  <si>
    <t>DI11103</t>
  </si>
  <si>
    <t>Marie</t>
  </si>
  <si>
    <t>marie.foster@wmich.edu</t>
  </si>
  <si>
    <t>(269) 276-3289 (269) 276-3289</t>
  </si>
  <si>
    <t>DII7295</t>
  </si>
  <si>
    <t>Chowan University</t>
  </si>
  <si>
    <t>aagustafson@chowan.edu</t>
  </si>
  <si>
    <t>(252) 398-1693 (252) 398-1693</t>
  </si>
  <si>
    <t>DIII8507</t>
  </si>
  <si>
    <t>New England College</t>
  </si>
  <si>
    <t>Master</t>
  </si>
  <si>
    <t>bmaster@nec.edu</t>
  </si>
  <si>
    <t>DI11104</t>
  </si>
  <si>
    <t>603-428-2213</t>
  </si>
  <si>
    <t>Chowan</t>
  </si>
  <si>
    <t>AC Lydia has been removed.</t>
  </si>
  <si>
    <t>360-445</t>
  </si>
  <si>
    <t>360-450</t>
  </si>
  <si>
    <t>DII7296</t>
  </si>
  <si>
    <t>arcollins@chowan.edu</t>
  </si>
  <si>
    <t>(252) 398-6397 (252) 398-6397</t>
  </si>
  <si>
    <t>Henniker</t>
  </si>
  <si>
    <t>DI11105</t>
  </si>
  <si>
    <t>VandenBerg</t>
  </si>
  <si>
    <t>DII7329</t>
  </si>
  <si>
    <t>Elizabeth City State University</t>
  </si>
  <si>
    <t>Forbes</t>
  </si>
  <si>
    <t>etforbes@ecsu.edu</t>
  </si>
  <si>
    <t>252-335-3818 252-335-3818</t>
  </si>
  <si>
    <t>DIII8508</t>
  </si>
  <si>
    <t>skraytenberg@nec.edu</t>
  </si>
  <si>
    <t>DI21947</t>
  </si>
  <si>
    <t>Elizabeth City State</t>
  </si>
  <si>
    <t>Elizabeth City</t>
  </si>
  <si>
    <t>DI20445</t>
  </si>
  <si>
    <t>Plymouth State University</t>
  </si>
  <si>
    <t>$13,730/$26,701</t>
  </si>
  <si>
    <t>Bernier</t>
  </si>
  <si>
    <t>Plymouth State</t>
  </si>
  <si>
    <t>Plymouth</t>
  </si>
  <si>
    <t>$28,062/$36,322</t>
  </si>
  <si>
    <t>Metro Atlantic (MAAC)</t>
  </si>
  <si>
    <t>DI11142</t>
  </si>
  <si>
    <t>Canisius College</t>
  </si>
  <si>
    <t>griffi10@canisius.edu</t>
  </si>
  <si>
    <t>(716) 888-8487 (716) 888-8487</t>
  </si>
  <si>
    <t>DIII8543</t>
  </si>
  <si>
    <t>DII7330</t>
  </si>
  <si>
    <t>Addison</t>
  </si>
  <si>
    <t>AC Shawn has been removed.</t>
  </si>
  <si>
    <t>beaddison@plymouth.edu</t>
  </si>
  <si>
    <t>603-535-3016</t>
  </si>
  <si>
    <t>DII7347</t>
  </si>
  <si>
    <t>Canisius</t>
  </si>
  <si>
    <t>Fayetteville State University</t>
  </si>
  <si>
    <t>apearson@uncfsu.edu</t>
  </si>
  <si>
    <t>910-672-1314 910-672-1314</t>
  </si>
  <si>
    <t>DIII8544</t>
  </si>
  <si>
    <t>Fayetteville State</t>
  </si>
  <si>
    <t>Makris</t>
  </si>
  <si>
    <t>Fayetteville</t>
  </si>
  <si>
    <t>390-480</t>
  </si>
  <si>
    <t>400-470</t>
  </si>
  <si>
    <t>$15,981/$27,589</t>
  </si>
  <si>
    <t>DI11143</t>
  </si>
  <si>
    <t>Attfield</t>
  </si>
  <si>
    <t>DIII8545</t>
  </si>
  <si>
    <t>attfielc@canisius.edu</t>
  </si>
  <si>
    <t>(716) 888-3163 (716) 888-3163</t>
  </si>
  <si>
    <t>Zaffini</t>
  </si>
  <si>
    <t>DII12625</t>
  </si>
  <si>
    <t>Nicollette</t>
  </si>
  <si>
    <t>DIII8586</t>
  </si>
  <si>
    <t>Rivier University</t>
  </si>
  <si>
    <t>Holloran</t>
  </si>
  <si>
    <t>mholloran@rivier.edu</t>
  </si>
  <si>
    <t>(603) 493-3394</t>
  </si>
  <si>
    <t>DII7377</t>
  </si>
  <si>
    <t>DI11144</t>
  </si>
  <si>
    <t>Johnson C. Smith University</t>
  </si>
  <si>
    <t>Raley</t>
  </si>
  <si>
    <t>mraley@jcsu.edu</t>
  </si>
  <si>
    <t>Hennessy</t>
  </si>
  <si>
    <t>704-378-1027 704-378-1027</t>
  </si>
  <si>
    <t>hennessr@canisius.edu</t>
  </si>
  <si>
    <t>Rivier</t>
  </si>
  <si>
    <t>Johnson C. Smith</t>
  </si>
  <si>
    <t>Nashua</t>
  </si>
  <si>
    <t>360-455</t>
  </si>
  <si>
    <t>DI11195</t>
  </si>
  <si>
    <t>Fairfield University</t>
  </si>
  <si>
    <t>DIII8587</t>
  </si>
  <si>
    <t>Brzezinski</t>
  </si>
  <si>
    <t>Gerry</t>
  </si>
  <si>
    <t>DII7378</t>
  </si>
  <si>
    <t>jbrzezinski@fairfield.edu</t>
  </si>
  <si>
    <t>203-254-4000 ext. 2368 203-254-4000 ext. 2368</t>
  </si>
  <si>
    <t>Eria</t>
  </si>
  <si>
    <t>DII7397</t>
  </si>
  <si>
    <t>DIII8588</t>
  </si>
  <si>
    <t>Lees-McRae College</t>
  </si>
  <si>
    <t>Jaclin</t>
  </si>
  <si>
    <t>Yarbrody</t>
  </si>
  <si>
    <t>poolej@lmc.edu</t>
  </si>
  <si>
    <t>(828) 898-8904</t>
  </si>
  <si>
    <t>550-630</t>
  </si>
  <si>
    <t>25-28</t>
  </si>
  <si>
    <t>Lees-McRae</t>
  </si>
  <si>
    <t>Banner Elk</t>
  </si>
  <si>
    <t>DIII8619</t>
  </si>
  <si>
    <t>Centenary University - New Jersey</t>
  </si>
  <si>
    <t>Broking</t>
  </si>
  <si>
    <t>kim.broking@centenaryuniversity.edu</t>
  </si>
  <si>
    <t xml:space="preserve"> 908-852-1400, x2906</t>
  </si>
  <si>
    <t>DI11196</t>
  </si>
  <si>
    <t>Laine</t>
  </si>
  <si>
    <t>laine.simmons@fairfield.edu</t>
  </si>
  <si>
    <t>203-254-4000 ex. 3148 203-254-4000 ex. 3148</t>
  </si>
  <si>
    <t>Centenary (NJ)</t>
  </si>
  <si>
    <t>Hackettstown</t>
  </si>
  <si>
    <t>15-21</t>
  </si>
  <si>
    <t>DII7398</t>
  </si>
  <si>
    <t>DIII8620</t>
  </si>
  <si>
    <t>rossr@lmc.edu</t>
  </si>
  <si>
    <t>Len</t>
  </si>
  <si>
    <t>Kunz</t>
  </si>
  <si>
    <t>DI11197</t>
  </si>
  <si>
    <t>DIII8621</t>
  </si>
  <si>
    <t>DII7444</t>
  </si>
  <si>
    <t>Lenoir-Rhyne University</t>
  </si>
  <si>
    <t>Shannon.Cox@centenaryuniversity.edu</t>
  </si>
  <si>
    <t>Shena</t>
  </si>
  <si>
    <t>Hollar</t>
  </si>
  <si>
    <t>shena.hollar@lr.edu</t>
  </si>
  <si>
    <t>(828) 328-7133 (828) 328-7133</t>
  </si>
  <si>
    <t>DI11198</t>
  </si>
  <si>
    <t>DIII21133</t>
  </si>
  <si>
    <t>Houle</t>
  </si>
  <si>
    <t>The College of New Jersey</t>
  </si>
  <si>
    <t>Jess</t>
  </si>
  <si>
    <t>McGuire</t>
  </si>
  <si>
    <t>(203) 254-4000 ext. 2368 (203) 254-4000 ext. 2368</t>
  </si>
  <si>
    <t>Lenoir-Rhyne</t>
  </si>
  <si>
    <t>Hickory</t>
  </si>
  <si>
    <t>College of New Jersey</t>
  </si>
  <si>
    <t>Ewing Township</t>
  </si>
  <si>
    <t>DII7445</t>
  </si>
  <si>
    <t>Hansley</t>
  </si>
  <si>
    <t>DI11252</t>
  </si>
  <si>
    <t>sarah.kenley2@lr.edu</t>
  </si>
  <si>
    <t>$33,577/$44,754</t>
  </si>
  <si>
    <t>c: (704) 618-1640</t>
  </si>
  <si>
    <t>Iona College</t>
  </si>
  <si>
    <t>Jansson</t>
  </si>
  <si>
    <t>kjansson@iona.edu</t>
  </si>
  <si>
    <t>(914) 637-7756 (914) 637-7756</t>
  </si>
  <si>
    <t>DIII8657</t>
  </si>
  <si>
    <t>Sally</t>
  </si>
  <si>
    <t>millers@tcnj.edu</t>
  </si>
  <si>
    <t>609-771-2365</t>
  </si>
  <si>
    <t>DII12634</t>
  </si>
  <si>
    <t>DIII8658</t>
  </si>
  <si>
    <t>Iona</t>
  </si>
  <si>
    <t>Ragazzo</t>
  </si>
  <si>
    <t>New Rochelle</t>
  </si>
  <si>
    <t>DII7496</t>
  </si>
  <si>
    <t>Livingstone College</t>
  </si>
  <si>
    <t>sallen@livingstone.edu</t>
  </si>
  <si>
    <t>704-216-6179 704-216-6179</t>
  </si>
  <si>
    <t>Livingstone</t>
  </si>
  <si>
    <t>y (African Methodist Episcopal Zion Church)</t>
  </si>
  <si>
    <t>DIII8659</t>
  </si>
  <si>
    <t>320-410</t>
  </si>
  <si>
    <t>320-400</t>
  </si>
  <si>
    <t>AC Val has been removed.</t>
  </si>
  <si>
    <t>13-17</t>
  </si>
  <si>
    <t>DI11253</t>
  </si>
  <si>
    <t>Darren</t>
  </si>
  <si>
    <t>Rea</t>
  </si>
  <si>
    <t>drea@iona.edu</t>
  </si>
  <si>
    <t>914-637-7756 914-637-7756</t>
  </si>
  <si>
    <t>DII7529</t>
  </si>
  <si>
    <t>Mars Hill University</t>
  </si>
  <si>
    <t>Roser</t>
  </si>
  <si>
    <t>christine_roser@mhu.edu</t>
  </si>
  <si>
    <t>DIII8660</t>
  </si>
  <si>
    <t>Massaro</t>
  </si>
  <si>
    <t>Mars Hill</t>
  </si>
  <si>
    <t>DI11254</t>
  </si>
  <si>
    <t>DIII8725</t>
  </si>
  <si>
    <t>Drew University</t>
  </si>
  <si>
    <t>Hankins</t>
  </si>
  <si>
    <t>Mehalick</t>
  </si>
  <si>
    <t>emehalick@drew.edu</t>
  </si>
  <si>
    <t>chankins1@gaels.iona.edu</t>
  </si>
  <si>
    <t>973-408-3017</t>
  </si>
  <si>
    <t>DII7530</t>
  </si>
  <si>
    <t>kenneth_long@mhu.edu</t>
  </si>
  <si>
    <t>Drew</t>
  </si>
  <si>
    <t>DII7565</t>
  </si>
  <si>
    <t>University of Mount Olive</t>
  </si>
  <si>
    <t>Sansbury</t>
  </si>
  <si>
    <t>DI11293</t>
  </si>
  <si>
    <t>asansbury@umo.edu</t>
  </si>
  <si>
    <t>919-658 7808</t>
  </si>
  <si>
    <t>Manhattan College</t>
  </si>
  <si>
    <t>Pardalis</t>
  </si>
  <si>
    <t>thomas.pardalis@manhattan.edu</t>
  </si>
  <si>
    <t>718-862-7835 718-862-7835</t>
  </si>
  <si>
    <t>Mount Olive</t>
  </si>
  <si>
    <t>Mt. Olive</t>
  </si>
  <si>
    <t>500-560</t>
  </si>
  <si>
    <t>520-590</t>
  </si>
  <si>
    <t>DIII8726</t>
  </si>
  <si>
    <t>Scanlon</t>
  </si>
  <si>
    <t>nscanlon@drew.edu</t>
  </si>
  <si>
    <t>DII7566</t>
  </si>
  <si>
    <t>Holley</t>
  </si>
  <si>
    <t>hgarcia@umo.edu</t>
  </si>
  <si>
    <t>919-658-7873</t>
  </si>
  <si>
    <t>Manhattan</t>
  </si>
  <si>
    <t>DIII8727</t>
  </si>
  <si>
    <t>DII7616</t>
  </si>
  <si>
    <t>Jeramie</t>
  </si>
  <si>
    <t>Barletta</t>
  </si>
  <si>
    <t>University of North Carolina at Pembroke</t>
  </si>
  <si>
    <t>jbarletta@drew.edu</t>
  </si>
  <si>
    <t>Bennett</t>
  </si>
  <si>
    <t>brittany.bennett@uncp.edu</t>
  </si>
  <si>
    <t>521-6308 521-6308</t>
  </si>
  <si>
    <t>DIII8728</t>
  </si>
  <si>
    <t>North Carolina-Pembroke</t>
  </si>
  <si>
    <t>Pembroke</t>
  </si>
  <si>
    <t>DI11294</t>
  </si>
  <si>
    <t>$19,486/$30,430</t>
  </si>
  <si>
    <t>Clifford</t>
  </si>
  <si>
    <t>cclifford01@manhattan.edu</t>
  </si>
  <si>
    <t>DIII8780</t>
  </si>
  <si>
    <t>DII7617</t>
  </si>
  <si>
    <t>Fairleigh Dickinson University - College at Florham</t>
  </si>
  <si>
    <t>Dante</t>
  </si>
  <si>
    <t>Fedeli</t>
  </si>
  <si>
    <t>Graziani</t>
  </si>
  <si>
    <t>dfedeli@fdu.edu</t>
  </si>
  <si>
    <t>973-443-8961</t>
  </si>
  <si>
    <t>stephanie.graziani@uncp.edu</t>
  </si>
  <si>
    <t>521-6348 521-6348</t>
  </si>
  <si>
    <t>DI11295</t>
  </si>
  <si>
    <t>Rahey</t>
  </si>
  <si>
    <t>Fairleigh Dickinson-Florham</t>
  </si>
  <si>
    <t>DII7647</t>
  </si>
  <si>
    <t>Queens University of Charlotte</t>
  </si>
  <si>
    <t>Schramm</t>
  </si>
  <si>
    <t>schramms@queens.edu</t>
  </si>
  <si>
    <t>704-337-2254</t>
  </si>
  <si>
    <t>DIII8782</t>
  </si>
  <si>
    <t>Stacevicz</t>
  </si>
  <si>
    <t>estacevicz@student.fdu.edu</t>
  </si>
  <si>
    <t>Queens (NC)</t>
  </si>
  <si>
    <t>DI11353</t>
  </si>
  <si>
    <t>Marist College</t>
  </si>
  <si>
    <t>Ausanio</t>
  </si>
  <si>
    <t>JoeHVR@aol.com</t>
  </si>
  <si>
    <t>DIII21113</t>
  </si>
  <si>
    <t>845-575-3000, x2326</t>
  </si>
  <si>
    <t>Kean University</t>
  </si>
  <si>
    <t>Hollyfield</t>
  </si>
  <si>
    <t>DII7648</t>
  </si>
  <si>
    <t>Cheek</t>
  </si>
  <si>
    <t>CheekK@queens.edu</t>
  </si>
  <si>
    <t>Marist</t>
  </si>
  <si>
    <t>Poughkeepsie</t>
  </si>
  <si>
    <t>Kean (NJ)</t>
  </si>
  <si>
    <t>Union</t>
  </si>
  <si>
    <t>DII7710</t>
  </si>
  <si>
    <t>410-500</t>
  </si>
  <si>
    <t>Shaw University</t>
  </si>
  <si>
    <t>Nadia</t>
  </si>
  <si>
    <t>Jefferies</t>
  </si>
  <si>
    <t>$28,937/$35,704</t>
  </si>
  <si>
    <t>nadia.jefferies@shawu.edu</t>
  </si>
  <si>
    <t>(919) 546-8520</t>
  </si>
  <si>
    <t>Shaw (NC)</t>
  </si>
  <si>
    <t>DIII21210</t>
  </si>
  <si>
    <t>DI11354</t>
  </si>
  <si>
    <t>Zengel</t>
  </si>
  <si>
    <t>13-16</t>
  </si>
  <si>
    <t>Earling</t>
  </si>
  <si>
    <t>Morgan.Earling@Marist.edu</t>
  </si>
  <si>
    <t>DIII8839</t>
  </si>
  <si>
    <t>Acker</t>
  </si>
  <si>
    <t>DI11422</t>
  </si>
  <si>
    <t>macker@kean.edu</t>
  </si>
  <si>
    <t>908-737-0616</t>
  </si>
  <si>
    <t>Monmouth University</t>
  </si>
  <si>
    <t>Salsburg</t>
  </si>
  <si>
    <t>DII12649</t>
  </si>
  <si>
    <t>ssalsbur@monmouth.edu</t>
  </si>
  <si>
    <t>732-571-3648</t>
  </si>
  <si>
    <t>Overdiep</t>
  </si>
  <si>
    <t>alexis.overdiep@shawu.edu</t>
  </si>
  <si>
    <t>DIII8840</t>
  </si>
  <si>
    <t>Yard</t>
  </si>
  <si>
    <t>cyard@kean.edu</t>
  </si>
  <si>
    <t>DII7738</t>
  </si>
  <si>
    <t>Saint Augustine's University</t>
  </si>
  <si>
    <t>Neal</t>
  </si>
  <si>
    <t>dmneal@st-aug.edu</t>
  </si>
  <si>
    <t>(919) 516-5160</t>
  </si>
  <si>
    <t>Monmouth (NJ)</t>
  </si>
  <si>
    <t>West Long Branch</t>
  </si>
  <si>
    <t>St. Augustine's (NC)</t>
  </si>
  <si>
    <t>460-550</t>
  </si>
  <si>
    <t>y (Episcopal Church)</t>
  </si>
  <si>
    <t>DIII8841</t>
  </si>
  <si>
    <t>310-420</t>
  </si>
  <si>
    <t>Sabo</t>
  </si>
  <si>
    <t>DI11423</t>
  </si>
  <si>
    <t>DeStasio</t>
  </si>
  <si>
    <t>mdestasi@monmouth.edu</t>
  </si>
  <si>
    <t>732-571-5841</t>
  </si>
  <si>
    <t>DII12650</t>
  </si>
  <si>
    <t>DIII21183</t>
  </si>
  <si>
    <t>Montclair State University</t>
  </si>
  <si>
    <t>Reginald</t>
  </si>
  <si>
    <t>Smithlin</t>
  </si>
  <si>
    <t>DI11424</t>
  </si>
  <si>
    <t>AC Wendi has been removed.</t>
  </si>
  <si>
    <t xml:space="preserve">Montclair State </t>
  </si>
  <si>
    <t>Montclair</t>
  </si>
  <si>
    <t>DII7773</t>
  </si>
  <si>
    <t>$29,820/$37,711</t>
  </si>
  <si>
    <t>Wingate University</t>
  </si>
  <si>
    <t>Stanclift</t>
  </si>
  <si>
    <t>j.stanclift@wingate.edu</t>
  </si>
  <si>
    <t>704-233-8394 704-233-8394</t>
  </si>
  <si>
    <t>DI11486</t>
  </si>
  <si>
    <t>Niagara University</t>
  </si>
  <si>
    <t>DIII8893</t>
  </si>
  <si>
    <t>Puzan</t>
  </si>
  <si>
    <t>Anita</t>
  </si>
  <si>
    <t>lpuzan@niagara.edu</t>
  </si>
  <si>
    <t>Kubicka</t>
  </si>
  <si>
    <t>716-286-8662</t>
  </si>
  <si>
    <t>kubickaa@montclair.edu</t>
  </si>
  <si>
    <t>973-655-6790</t>
  </si>
  <si>
    <t>Wingate (NC)</t>
  </si>
  <si>
    <t>Wingate</t>
  </si>
  <si>
    <t>DIII8894</t>
  </si>
  <si>
    <t>Niagara</t>
  </si>
  <si>
    <t>powersb@montclair.edu</t>
  </si>
  <si>
    <t>DIII8895</t>
  </si>
  <si>
    <t>DII7774</t>
  </si>
  <si>
    <t>AC Ryan has been removed.</t>
  </si>
  <si>
    <t>Chaley</t>
  </si>
  <si>
    <t>Brickey</t>
  </si>
  <si>
    <t>ch.brickey304@wingate.edu</t>
  </si>
  <si>
    <t>DI11487</t>
  </si>
  <si>
    <t>Joel</t>
  </si>
  <si>
    <t>jpatterson@niagara.edu</t>
  </si>
  <si>
    <t>DIII8896</t>
  </si>
  <si>
    <t>AC Jorge has been removed.</t>
  </si>
  <si>
    <t>DII7775</t>
  </si>
  <si>
    <t>DI11488</t>
  </si>
  <si>
    <t>Graduate Asst Kayleigh has been removed.</t>
  </si>
  <si>
    <t>DIII8944</t>
  </si>
  <si>
    <t>New Jersey City University</t>
  </si>
  <si>
    <t>softballcoach@njcu.edu</t>
  </si>
  <si>
    <t>201-200-3034</t>
  </si>
  <si>
    <t>DI11489</t>
  </si>
  <si>
    <t>New Jersey City</t>
  </si>
  <si>
    <t>DII7776</t>
  </si>
  <si>
    <t>Jersey City</t>
  </si>
  <si>
    <t>Bielec</t>
  </si>
  <si>
    <t>370-480</t>
  </si>
  <si>
    <t>390-510</t>
  </si>
  <si>
    <t>g.hines@wingate.edu</t>
  </si>
  <si>
    <t>$29,576/$38,604</t>
  </si>
  <si>
    <t>DIII8945</t>
  </si>
  <si>
    <t>ashleynicolemartinez1@gmail.com</t>
  </si>
  <si>
    <t>DI11490</t>
  </si>
  <si>
    <t>DII7823</t>
  </si>
  <si>
    <t>Winston-Salem State University</t>
  </si>
  <si>
    <t>LaTaya</t>
  </si>
  <si>
    <t>Hilliard-Gray</t>
  </si>
  <si>
    <t>hilliardl@wssu.edu</t>
  </si>
  <si>
    <t>(336) 750-2598</t>
  </si>
  <si>
    <t>DIII8946</t>
  </si>
  <si>
    <t>Winston-Salem State</t>
  </si>
  <si>
    <t>Winston-Salem</t>
  </si>
  <si>
    <t>DI11535</t>
  </si>
  <si>
    <t>Quinnipiac University</t>
  </si>
  <si>
    <t>DIII8991</t>
  </si>
  <si>
    <t>17-19</t>
  </si>
  <si>
    <t>Ramapo College of New Jersey</t>
  </si>
  <si>
    <t>Barrow</t>
  </si>
  <si>
    <t>Bridgette</t>
  </si>
  <si>
    <t>$19,203/$29,314</t>
  </si>
  <si>
    <t>Quimpo</t>
  </si>
  <si>
    <t>bquimpo@ramapo.edu</t>
  </si>
  <si>
    <t>hillary.barrow@qu.edu</t>
  </si>
  <si>
    <t>201-684-7680</t>
  </si>
  <si>
    <t>(203) 582-5316 (203) 582-5316</t>
  </si>
  <si>
    <t>DII7824</t>
  </si>
  <si>
    <t>Ramapo (NJ)</t>
  </si>
  <si>
    <t>Mahwah</t>
  </si>
  <si>
    <t>Massey</t>
  </si>
  <si>
    <t>masseytm@wssu.edu</t>
  </si>
  <si>
    <t>(336) 750-8738</t>
  </si>
  <si>
    <t>$30,479/$39,479</t>
  </si>
  <si>
    <t>Quinnipiac</t>
  </si>
  <si>
    <t>DIII8992</t>
  </si>
  <si>
    <t>Hamden</t>
  </si>
  <si>
    <t>O'Beirne-Stever</t>
  </si>
  <si>
    <t>DIII8993</t>
  </si>
  <si>
    <t>Crews</t>
  </si>
  <si>
    <t>DII7855</t>
  </si>
  <si>
    <t>DI11536</t>
  </si>
  <si>
    <t>University of Mary</t>
  </si>
  <si>
    <t>Roan</t>
  </si>
  <si>
    <t>saroan@umary.edu</t>
  </si>
  <si>
    <t>c: 630.687.3463; o: 701.355.8270</t>
  </si>
  <si>
    <t>Brooke.Scott2@qu.edu</t>
  </si>
  <si>
    <t>(203) 582-7782 (203) 582-7782</t>
  </si>
  <si>
    <t>DIII8994</t>
  </si>
  <si>
    <t>Susie</t>
  </si>
  <si>
    <t>Matsutani</t>
  </si>
  <si>
    <t>Bismarck</t>
  </si>
  <si>
    <t>475-590</t>
  </si>
  <si>
    <t>455-580</t>
  </si>
  <si>
    <t>DI11580</t>
  </si>
  <si>
    <t>Rider University</t>
  </si>
  <si>
    <t>Davon</t>
  </si>
  <si>
    <t>DI20462</t>
  </si>
  <si>
    <t>Rowan University</t>
  </si>
  <si>
    <t>dortega@rider.edu</t>
  </si>
  <si>
    <t>Carillo</t>
  </si>
  <si>
    <t>609-896-5396 609-896-5396</t>
  </si>
  <si>
    <t>Carillo@rowan.edu</t>
  </si>
  <si>
    <t>Rowan (NJ)</t>
  </si>
  <si>
    <t>Glassboro</t>
  </si>
  <si>
    <t>DII7856</t>
  </si>
  <si>
    <t>$30,337/$38,607</t>
  </si>
  <si>
    <t>Mendez</t>
  </si>
  <si>
    <t>tjmendez@umary.edu</t>
  </si>
  <si>
    <t>Rider</t>
  </si>
  <si>
    <t>Lawrenceville</t>
  </si>
  <si>
    <t>456-550</t>
  </si>
  <si>
    <t>DIII9054</t>
  </si>
  <si>
    <t>wilson@rowan.edu</t>
  </si>
  <si>
    <t>856-256-4688</t>
  </si>
  <si>
    <t>DII7857</t>
  </si>
  <si>
    <t>Osborne</t>
  </si>
  <si>
    <t>jlosborne1@umary.edu</t>
  </si>
  <si>
    <t>701.355.8205 701.355.8205</t>
  </si>
  <si>
    <t>DI11581</t>
  </si>
  <si>
    <t>Shana</t>
  </si>
  <si>
    <t>Treon</t>
  </si>
  <si>
    <t>streon@rider.edu</t>
  </si>
  <si>
    <t>DII7911</t>
  </si>
  <si>
    <t>Minot State University</t>
  </si>
  <si>
    <t>Nat</t>
  </si>
  <si>
    <t>DIII9055</t>
  </si>
  <si>
    <t>nathaniel.wagner@minotstateu.edu</t>
  </si>
  <si>
    <t>Ann</t>
  </si>
  <si>
    <t>701-858-4452 701-858-4452</t>
  </si>
  <si>
    <t>Dailey</t>
  </si>
  <si>
    <t>dailey@rowan.edu</t>
  </si>
  <si>
    <t>DI11582</t>
  </si>
  <si>
    <t>softballcoach@rider.edu</t>
  </si>
  <si>
    <t>Minot State</t>
  </si>
  <si>
    <t>Minot</t>
  </si>
  <si>
    <t>DIII9056</t>
  </si>
  <si>
    <t>Medrick</t>
  </si>
  <si>
    <t>medrick@rowan.edu</t>
  </si>
  <si>
    <t>DIII21082</t>
  </si>
  <si>
    <t>DI11643</t>
  </si>
  <si>
    <t>Rutgers University - Camden</t>
  </si>
  <si>
    <t>Siena College</t>
  </si>
  <si>
    <t>Dannie</t>
  </si>
  <si>
    <t>Dinsfriend</t>
  </si>
  <si>
    <t>Lajeunesse</t>
  </si>
  <si>
    <t>wlajeunesse@siena.edu</t>
  </si>
  <si>
    <t>(518) 783-2916 (518) 783-2916</t>
  </si>
  <si>
    <t>DII7913</t>
  </si>
  <si>
    <t>Cowden</t>
  </si>
  <si>
    <t>lauren.cowden@minotstateu.edu</t>
  </si>
  <si>
    <t>Rutgers-Camden</t>
  </si>
  <si>
    <t>$30,509/$45,652</t>
  </si>
  <si>
    <t>DII12669</t>
  </si>
  <si>
    <t>Siena</t>
  </si>
  <si>
    <t>Ponder</t>
  </si>
  <si>
    <t>Grant.Ponder@minotstateu.edu</t>
  </si>
  <si>
    <t>DIII9099</t>
  </si>
  <si>
    <t>Meredith</t>
  </si>
  <si>
    <t>meredith.mccarthy@rutgers.edu</t>
  </si>
  <si>
    <t>Ohio</t>
  </si>
  <si>
    <t>(856) 225-2741</t>
  </si>
  <si>
    <t>DII7951</t>
  </si>
  <si>
    <t>Ashland University</t>
  </si>
  <si>
    <t>Emlyn</t>
  </si>
  <si>
    <t>Knerem</t>
  </si>
  <si>
    <t>eknerem@ashland.edu</t>
  </si>
  <si>
    <t>DI11644</t>
  </si>
  <si>
    <t>419-289-5453</t>
  </si>
  <si>
    <t>Halloran-Bump</t>
  </si>
  <si>
    <t>challoran-bump@siena.edu</t>
  </si>
  <si>
    <t>(518) 783-2415 (518) 783-2415</t>
  </si>
  <si>
    <t>DIII9100</t>
  </si>
  <si>
    <t>Phillips</t>
  </si>
  <si>
    <t>Ashland (OH)</t>
  </si>
  <si>
    <t>Ashland</t>
  </si>
  <si>
    <t>y (Brethren Church)</t>
  </si>
  <si>
    <t>488-593</t>
  </si>
  <si>
    <t>DI11645</t>
  </si>
  <si>
    <t>DIII9101</t>
  </si>
  <si>
    <t>Ferro</t>
  </si>
  <si>
    <t>Raines</t>
  </si>
  <si>
    <t>am12ferr@alum.siena.edu</t>
  </si>
  <si>
    <t>DII7952</t>
  </si>
  <si>
    <t>DIII21173</t>
  </si>
  <si>
    <t>Rutgers University - Newark</t>
  </si>
  <si>
    <t>Seamster</t>
  </si>
  <si>
    <t>caitlyn.seamster@rutgers.edu</t>
  </si>
  <si>
    <t>(973) 353-1484 (973) 353-1484</t>
  </si>
  <si>
    <t>DII7992</t>
  </si>
  <si>
    <t>Cedarville University</t>
  </si>
  <si>
    <t>DI11692</t>
  </si>
  <si>
    <t>Wes</t>
  </si>
  <si>
    <t>Rowe</t>
  </si>
  <si>
    <t>wrowe@cedarville.edu</t>
  </si>
  <si>
    <t>Saint Peter's University</t>
  </si>
  <si>
    <t>937-766-4973 937-766-4973</t>
  </si>
  <si>
    <t>Stelma</t>
  </si>
  <si>
    <t>cstelma@saintpeters.edu</t>
  </si>
  <si>
    <t>c: 201-761-7329</t>
  </si>
  <si>
    <t>Rutgers-Newark</t>
  </si>
  <si>
    <t>$31,251/$46,902</t>
  </si>
  <si>
    <t>Cedarville</t>
  </si>
  <si>
    <t>St. Peter's (NJ)</t>
  </si>
  <si>
    <t>DIII9146</t>
  </si>
  <si>
    <t>kristen.hunt@rutgers.edu</t>
  </si>
  <si>
    <t>(973) 353-1484</t>
  </si>
  <si>
    <t>DII7993</t>
  </si>
  <si>
    <t>Chapman</t>
  </si>
  <si>
    <t>klchapman@cedarville.edu</t>
  </si>
  <si>
    <t>937-766-4445 937-766-4445</t>
  </si>
  <si>
    <t>DIII9147</t>
  </si>
  <si>
    <t>DI11693</t>
  </si>
  <si>
    <t>Schraer</t>
  </si>
  <si>
    <t>Suzanne</t>
  </si>
  <si>
    <t>Ruffo</t>
  </si>
  <si>
    <t>sruffo@saintpeters.edu</t>
  </si>
  <si>
    <t>DII8049</t>
  </si>
  <si>
    <t>University of Findlay</t>
  </si>
  <si>
    <t>lowed@findlay.edu</t>
  </si>
  <si>
    <t>419-434-6544</t>
  </si>
  <si>
    <t>DIII9148</t>
  </si>
  <si>
    <t>Sergio</t>
  </si>
  <si>
    <t>DI11694</t>
  </si>
  <si>
    <t>aruiz3@saintpeters.edu</t>
  </si>
  <si>
    <t>DIII9149</t>
  </si>
  <si>
    <t>Damariz</t>
  </si>
  <si>
    <t>Mercado</t>
  </si>
  <si>
    <t>Findlay</t>
  </si>
  <si>
    <t>470-480</t>
  </si>
  <si>
    <t>Mid-Eastern (MEAC)</t>
  </si>
  <si>
    <t>DIII9150</t>
  </si>
  <si>
    <t>DI11747</t>
  </si>
  <si>
    <t>Yusko</t>
  </si>
  <si>
    <t>Bethune-Cookman University</t>
  </si>
  <si>
    <t>Watten</t>
  </si>
  <si>
    <t>DII8050</t>
  </si>
  <si>
    <t>wattenl@cookman.edu</t>
  </si>
  <si>
    <t>386-481-2245 386-481-2245</t>
  </si>
  <si>
    <t>@lwattenbcusb</t>
  </si>
  <si>
    <t>Leedy</t>
  </si>
  <si>
    <t>lane.leedy@findlay.edu</t>
  </si>
  <si>
    <t>419-434-4197</t>
  </si>
  <si>
    <t>DIII9183</t>
  </si>
  <si>
    <t>College of Saint Elizabeth</t>
  </si>
  <si>
    <t>Bethune-Cookman</t>
  </si>
  <si>
    <t>DellaVolpe</t>
  </si>
  <si>
    <t>mdellavolpe@cse.edu</t>
  </si>
  <si>
    <t>973-495-1493</t>
  </si>
  <si>
    <t>DII8051</t>
  </si>
  <si>
    <t>880 total composite</t>
  </si>
  <si>
    <t>15-18</t>
  </si>
  <si>
    <t>Babcock</t>
  </si>
  <si>
    <t>St. Elizabeth (NJ)</t>
  </si>
  <si>
    <t>babcockt@findlay.edu</t>
  </si>
  <si>
    <t>Morristown</t>
  </si>
  <si>
    <t>366-458</t>
  </si>
  <si>
    <t>350-470</t>
  </si>
  <si>
    <t>DI11748</t>
  </si>
  <si>
    <t>DIII9208</t>
  </si>
  <si>
    <t>Stevens Institute of Technology</t>
  </si>
  <si>
    <t>Montalvo</t>
  </si>
  <si>
    <t>DI12464</t>
  </si>
  <si>
    <t>Kaczmarek</t>
  </si>
  <si>
    <t>ekaczmar@stevens.edu</t>
  </si>
  <si>
    <t>montalvok@cookman.edu</t>
  </si>
  <si>
    <t>Lake Erie College</t>
  </si>
  <si>
    <t>201-216-5078</t>
  </si>
  <si>
    <t>Rebecca</t>
  </si>
  <si>
    <t>Dyer</t>
  </si>
  <si>
    <t>rdyer@lec.edu</t>
  </si>
  <si>
    <t>440.375.7377</t>
  </si>
  <si>
    <t>Stevens Institute of Technology (NJ)</t>
  </si>
  <si>
    <t>Hoboken</t>
  </si>
  <si>
    <t>Lake Erie</t>
  </si>
  <si>
    <t>Painesville</t>
  </si>
  <si>
    <t>DI11749</t>
  </si>
  <si>
    <t>Bryanna</t>
  </si>
  <si>
    <t>Campos</t>
  </si>
  <si>
    <t>DIII9209</t>
  </si>
  <si>
    <t>bryanna.a.campos@students.cookman,edu.</t>
  </si>
  <si>
    <t>386-481-2558 386-481-2558</t>
  </si>
  <si>
    <t>Prizer</t>
  </si>
  <si>
    <t>kprizer@stevens.edu</t>
  </si>
  <si>
    <t>DI12475</t>
  </si>
  <si>
    <t>Hajnosz</t>
  </si>
  <si>
    <t>ahajnosz@lec.edu</t>
  </si>
  <si>
    <t>DIII9210</t>
  </si>
  <si>
    <t>DI11750</t>
  </si>
  <si>
    <t>Vander May</t>
  </si>
  <si>
    <t>ryan.vandermay@stevens.edu</t>
  </si>
  <si>
    <t>201-216-8533</t>
  </si>
  <si>
    <t>Camise</t>
  </si>
  <si>
    <t>pattersonc@cookman.edu</t>
  </si>
  <si>
    <t>DII8111</t>
  </si>
  <si>
    <t>Malone University</t>
  </si>
  <si>
    <t>Bzdafka</t>
  </si>
  <si>
    <t>DIII9211</t>
  </si>
  <si>
    <t>kbzdafka@malone.edu</t>
  </si>
  <si>
    <t>330-471-8294</t>
  </si>
  <si>
    <t>Eskin</t>
  </si>
  <si>
    <t>DI11782</t>
  </si>
  <si>
    <t>Coppin State University</t>
  </si>
  <si>
    <t>ascook@coppin.edu</t>
  </si>
  <si>
    <t>410-951-3797</t>
  </si>
  <si>
    <t>DIII21076</t>
  </si>
  <si>
    <t>Stockton University</t>
  </si>
  <si>
    <t>D'Ornellas</t>
  </si>
  <si>
    <t>Malone (OH)</t>
  </si>
  <si>
    <t>Canton</t>
  </si>
  <si>
    <t>400-530</t>
  </si>
  <si>
    <t>Stockton (NJ)</t>
  </si>
  <si>
    <t>Galloway</t>
  </si>
  <si>
    <t>DII8112</t>
  </si>
  <si>
    <t>$29,776/$36,560</t>
  </si>
  <si>
    <t>Barley</t>
  </si>
  <si>
    <t>Coppin State</t>
  </si>
  <si>
    <t>380-450</t>
  </si>
  <si>
    <t>DIII9280</t>
  </si>
  <si>
    <t>Mavreen</t>
  </si>
  <si>
    <t>Hering</t>
  </si>
  <si>
    <t>heringm1@stockton.edu</t>
  </si>
  <si>
    <t>609-626-3552</t>
  </si>
  <si>
    <t>DII8113</t>
  </si>
  <si>
    <t>Horner</t>
  </si>
  <si>
    <t>DI11816</t>
  </si>
  <si>
    <t>Delaware State University</t>
  </si>
  <si>
    <t>DIII9281</t>
  </si>
  <si>
    <t>Franquet,</t>
  </si>
  <si>
    <t>Sandy</t>
  </si>
  <si>
    <t>jfranquet@desu.edu</t>
  </si>
  <si>
    <t>morris97@stockton.edu</t>
  </si>
  <si>
    <t>DII8114</t>
  </si>
  <si>
    <t>Mar'Quan</t>
  </si>
  <si>
    <t>DIII21091</t>
  </si>
  <si>
    <t>William Paterson University of New Jersey</t>
  </si>
  <si>
    <t>Fiore</t>
  </si>
  <si>
    <t>Delaware State</t>
  </si>
  <si>
    <t>410-480</t>
  </si>
  <si>
    <t>410-490</t>
  </si>
  <si>
    <t>$22,058/$30,664</t>
  </si>
  <si>
    <t>Mountain East</t>
  </si>
  <si>
    <t>DII8170</t>
  </si>
  <si>
    <t>Stopp</t>
  </si>
  <si>
    <t>kstopp@ndc.edu</t>
  </si>
  <si>
    <t>William Paterson (NJ)</t>
  </si>
  <si>
    <t>216-373-5408 216-373-5408</t>
  </si>
  <si>
    <t>$28,417/$36,309</t>
  </si>
  <si>
    <t>DI11817</t>
  </si>
  <si>
    <t>Notre Dame (OH)</t>
  </si>
  <si>
    <t>Lena</t>
  </si>
  <si>
    <t>Springer,</t>
  </si>
  <si>
    <t>South Euclid</t>
  </si>
  <si>
    <t>302-857-7733</t>
  </si>
  <si>
    <t>410-495</t>
  </si>
  <si>
    <t>DIII21200</t>
  </si>
  <si>
    <t>Troast</t>
  </si>
  <si>
    <t>DII8171</t>
  </si>
  <si>
    <t>McKenna</t>
  </si>
  <si>
    <t>Garlock</t>
  </si>
  <si>
    <t>mgarlock@ndc.edu</t>
  </si>
  <si>
    <t>DI11853</t>
  </si>
  <si>
    <t>Florida A&amp;M University</t>
  </si>
  <si>
    <t>Veronica</t>
  </si>
  <si>
    <t>DIII21206</t>
  </si>
  <si>
    <t>Wiggins,</t>
  </si>
  <si>
    <t>veronica.dotterywigg@famu.edu</t>
  </si>
  <si>
    <t>(850) 599-8075</t>
  </si>
  <si>
    <t>DII12681</t>
  </si>
  <si>
    <t>Micaela</t>
  </si>
  <si>
    <t>McSpadden</t>
  </si>
  <si>
    <t>DIII9340</t>
  </si>
  <si>
    <t>HC Hallie has been removed.</t>
  </si>
  <si>
    <t>Florida A&amp;M</t>
  </si>
  <si>
    <t>$22,420/$34,360</t>
  </si>
  <si>
    <t>DII8218</t>
  </si>
  <si>
    <t>Ohio Dominican University</t>
  </si>
  <si>
    <t>Marcella</t>
  </si>
  <si>
    <t>Vanlandingham</t>
  </si>
  <si>
    <t>vanlandm@ohiodominican.edu</t>
  </si>
  <si>
    <t>614-251-4532</t>
  </si>
  <si>
    <t>DI11854</t>
  </si>
  <si>
    <t>Ohio Dominican</t>
  </si>
  <si>
    <t>Buckner</t>
  </si>
  <si>
    <t>james.buckner@famu.edu</t>
  </si>
  <si>
    <t>450-520</t>
  </si>
  <si>
    <t>DIII9341</t>
  </si>
  <si>
    <t>AC Eleni has been removed.</t>
  </si>
  <si>
    <t>DII8219</t>
  </si>
  <si>
    <t>Gambone</t>
  </si>
  <si>
    <t>gambonec@ohiodominican.edu</t>
  </si>
  <si>
    <t>614-251-4393</t>
  </si>
  <si>
    <t>Constance</t>
  </si>
  <si>
    <t>Orr,</t>
  </si>
  <si>
    <t>DIII9342</t>
  </si>
  <si>
    <t>constance.orr@famu.edu</t>
  </si>
  <si>
    <t>(850) 599-3239</t>
  </si>
  <si>
    <t>McClain</t>
  </si>
  <si>
    <t>mcclainj4@wpunj.edu</t>
  </si>
  <si>
    <t>973.720.3016</t>
  </si>
  <si>
    <t>DII8254</t>
  </si>
  <si>
    <t>Tiffin University</t>
  </si>
  <si>
    <t>Nickerson</t>
  </si>
  <si>
    <t>nickersonjp@tiffin.edu</t>
  </si>
  <si>
    <t>419-448-3337</t>
  </si>
  <si>
    <t>DIII9343</t>
  </si>
  <si>
    <t>AC Bob has been removed.</t>
  </si>
  <si>
    <t>Tiffin (OH)</t>
  </si>
  <si>
    <t>Tiffin</t>
  </si>
  <si>
    <t>DI11855</t>
  </si>
  <si>
    <t>jessica.nathan@famu.edu</t>
  </si>
  <si>
    <t>850.599.8075</t>
  </si>
  <si>
    <t>DII8255</t>
  </si>
  <si>
    <t>Coleman</t>
  </si>
  <si>
    <t>colemanb@tiffin.edu</t>
  </si>
  <si>
    <t>419-448-3378</t>
  </si>
  <si>
    <t>DIII21089</t>
  </si>
  <si>
    <t>DI11888</t>
  </si>
  <si>
    <t>Alfred State College</t>
  </si>
  <si>
    <t>Hampton University</t>
  </si>
  <si>
    <t>Fair</t>
  </si>
  <si>
    <t>Angela</t>
  </si>
  <si>
    <t>Nicholson</t>
  </si>
  <si>
    <t>FairR@alfredstate.edu</t>
  </si>
  <si>
    <t>DII8256</t>
  </si>
  <si>
    <t>607-587-4324</t>
  </si>
  <si>
    <t>angela.nicholson@hamptonu.edu</t>
  </si>
  <si>
    <t>757-728-6747 757-728-6747</t>
  </si>
  <si>
    <t>Snell</t>
  </si>
  <si>
    <t>Alfred State</t>
  </si>
  <si>
    <t>Alfred</t>
  </si>
  <si>
    <t>$24,177/$30,737</t>
  </si>
  <si>
    <t>DII8319</t>
  </si>
  <si>
    <t>Urbana University</t>
  </si>
  <si>
    <t>McCartney</t>
  </si>
  <si>
    <t>brooke.mccartney@urbana.edu</t>
  </si>
  <si>
    <t>937-772-9260</t>
  </si>
  <si>
    <t>DIII9383</t>
  </si>
  <si>
    <t>Urbana (OH)</t>
  </si>
  <si>
    <t>Urbana</t>
  </si>
  <si>
    <t>DIII9384</t>
  </si>
  <si>
    <t>Interim HC Leanne has been removed.</t>
  </si>
  <si>
    <t>DI11889</t>
  </si>
  <si>
    <t>richard.nicholson@hamptonu.edu</t>
  </si>
  <si>
    <t>757-728-6994 757-728-6994</t>
  </si>
  <si>
    <t>DIII9430</t>
  </si>
  <si>
    <t>Alfred University</t>
  </si>
  <si>
    <t>Luke</t>
  </si>
  <si>
    <t>Wesneski</t>
  </si>
  <si>
    <t>DII8320</t>
  </si>
  <si>
    <t>wesneski@alfred.edu</t>
  </si>
  <si>
    <t>(607) 871-3018</t>
  </si>
  <si>
    <t>danielle.norton@urbana.edu</t>
  </si>
  <si>
    <t>937-772-9329</t>
  </si>
  <si>
    <t>DI11890</t>
  </si>
  <si>
    <t>lauren.kramer@hamptonu.edu</t>
  </si>
  <si>
    <t>DIII9432</t>
  </si>
  <si>
    <t>Caressa</t>
  </si>
  <si>
    <t>DeRossett</t>
  </si>
  <si>
    <t>DII12694</t>
  </si>
  <si>
    <t>CRD2@alfred.edu</t>
  </si>
  <si>
    <t>Basil</t>
  </si>
  <si>
    <t>DI21286</t>
  </si>
  <si>
    <t>taylor.white2@howard.edu</t>
  </si>
  <si>
    <t>DIII9433</t>
  </si>
  <si>
    <t>Kohler</t>
  </si>
  <si>
    <t>BEK2@alfred.edu</t>
  </si>
  <si>
    <t>DII8336</t>
  </si>
  <si>
    <t>Ursuline College</t>
  </si>
  <si>
    <t>Woodford</t>
  </si>
  <si>
    <t>swoodford@ursuline.edu</t>
  </si>
  <si>
    <t>440-646-8388 440-646-8388</t>
  </si>
  <si>
    <t>@UCSoftball1</t>
  </si>
  <si>
    <t>DI11928</t>
  </si>
  <si>
    <t>Howard University</t>
  </si>
  <si>
    <t>Tyson</t>
  </si>
  <si>
    <t>DIII21050</t>
  </si>
  <si>
    <t>victoria.tyson@howard.edu</t>
  </si>
  <si>
    <t>Baruch College</t>
  </si>
  <si>
    <t>Ursuline</t>
  </si>
  <si>
    <t>202-806-7141 202-806-7141</t>
  </si>
  <si>
    <t>Bellini</t>
  </si>
  <si>
    <t>Pepper Pike</t>
  </si>
  <si>
    <t>646-312-5061 646-312-5061</t>
  </si>
  <si>
    <t>470-540</t>
  </si>
  <si>
    <t>420-570</t>
  </si>
  <si>
    <t>Baruch</t>
  </si>
  <si>
    <t>$30,571/$37,681</t>
  </si>
  <si>
    <t>DII8337</t>
  </si>
  <si>
    <t>AC Hawley has been removed.</t>
  </si>
  <si>
    <t>Howard (DC)</t>
  </si>
  <si>
    <t>DII8338</t>
  </si>
  <si>
    <t>DIII9516</t>
  </si>
  <si>
    <t>Burbrink</t>
  </si>
  <si>
    <t>Braun</t>
  </si>
  <si>
    <t>kathleen.burbrink@Ursuline.edu</t>
  </si>
  <si>
    <t>Joseph.Braun@baruch.cuny.edu</t>
  </si>
  <si>
    <t>DI11929</t>
  </si>
  <si>
    <t>Jazmyn</t>
  </si>
  <si>
    <t>DIII9553</t>
  </si>
  <si>
    <t>DII12695</t>
  </si>
  <si>
    <t>Brooklyn College</t>
  </si>
  <si>
    <t>Leskovec</t>
  </si>
  <si>
    <t>gmoore1072@gmail.com</t>
  </si>
  <si>
    <t>718-951-5000, x5366</t>
  </si>
  <si>
    <t>DII8384</t>
  </si>
  <si>
    <t>$27,217/$34,327</t>
  </si>
  <si>
    <t>Walsh University</t>
  </si>
  <si>
    <t>Anna</t>
  </si>
  <si>
    <t>DI11963</t>
  </si>
  <si>
    <t>aball@walsh.edu</t>
  </si>
  <si>
    <t>330.490.7517</t>
  </si>
  <si>
    <t>University of Maryland Eastern Shore</t>
  </si>
  <si>
    <t>Karla</t>
  </si>
  <si>
    <t>knpowell@umes.edu</t>
  </si>
  <si>
    <t>DIII9554</t>
  </si>
  <si>
    <t>Antoinette</t>
  </si>
  <si>
    <t>antoinettebrown19@gmail.com</t>
  </si>
  <si>
    <t>Maryland-Eastern Shore</t>
  </si>
  <si>
    <t>Walsh (OH)</t>
  </si>
  <si>
    <t>Princess Anne</t>
  </si>
  <si>
    <t>North Canton</t>
  </si>
  <si>
    <t>$22,192/$31,576</t>
  </si>
  <si>
    <t>DIII9555</t>
  </si>
  <si>
    <t>McNiff</t>
  </si>
  <si>
    <t>DII8385</t>
  </si>
  <si>
    <t>Erika</t>
  </si>
  <si>
    <t>DI11964</t>
  </si>
  <si>
    <t>Bradley</t>
  </si>
  <si>
    <t>DIII9583</t>
  </si>
  <si>
    <t>Cazenovia College</t>
  </si>
  <si>
    <t>Comino</t>
  </si>
  <si>
    <t>ccomino@cazenovia.edu</t>
  </si>
  <si>
    <t>315-655-7184</t>
  </si>
  <si>
    <t>DII8386</t>
  </si>
  <si>
    <t>Cazenovia</t>
  </si>
  <si>
    <t>Cozy</t>
  </si>
  <si>
    <t>413-540</t>
  </si>
  <si>
    <t>DI11995</t>
  </si>
  <si>
    <t>Morgan State University</t>
  </si>
  <si>
    <t>Hineline</t>
  </si>
  <si>
    <t>lawrence.hineline@morgan.edu</t>
  </si>
  <si>
    <t>443-885-3654</t>
  </si>
  <si>
    <t>DIII9584</t>
  </si>
  <si>
    <t>DII8387</t>
  </si>
  <si>
    <t>Ward</t>
  </si>
  <si>
    <t>Hochstedler</t>
  </si>
  <si>
    <t>ahochstedler@walsh.edu</t>
  </si>
  <si>
    <t>DIII9585</t>
  </si>
  <si>
    <t>Alanna</t>
  </si>
  <si>
    <t>Woody</t>
  </si>
  <si>
    <t>DII8440</t>
  </si>
  <si>
    <t>Cameron University</t>
  </si>
  <si>
    <t>kadams@cameron.edu</t>
  </si>
  <si>
    <t>Morgan State</t>
  </si>
  <si>
    <t>581-581-2528 581-581-2528</t>
  </si>
  <si>
    <t>$24,321/$34,189</t>
  </si>
  <si>
    <t>DIII21072</t>
  </si>
  <si>
    <t>The City College of New York</t>
  </si>
  <si>
    <t>Ricardo</t>
  </si>
  <si>
    <t>Colon</t>
  </si>
  <si>
    <t>Cameron (OK)</t>
  </si>
  <si>
    <t>Lawton</t>
  </si>
  <si>
    <t>City College of New York</t>
  </si>
  <si>
    <t>DI11996</t>
  </si>
  <si>
    <t>$28,544/$35,654</t>
  </si>
  <si>
    <t>Myron</t>
  </si>
  <si>
    <t>$15,331/$24,571</t>
  </si>
  <si>
    <t>Vanterpool</t>
  </si>
  <si>
    <t>myron.vanterpool@morgan.edu</t>
  </si>
  <si>
    <t>DIII9614</t>
  </si>
  <si>
    <t>Jacquelyn</t>
  </si>
  <si>
    <t>Furch</t>
  </si>
  <si>
    <t>Jacquelyn.Furch@baruch.cuny.edu</t>
  </si>
  <si>
    <t>646-312-5053</t>
  </si>
  <si>
    <t>DII8441</t>
  </si>
  <si>
    <t>Abbey</t>
  </si>
  <si>
    <t>DI11997</t>
  </si>
  <si>
    <t>Ullman</t>
  </si>
  <si>
    <t>DIII9615</t>
  </si>
  <si>
    <t>Phelan</t>
  </si>
  <si>
    <t>Melissa.Phelan@baruch.cuny.edu</t>
  </si>
  <si>
    <t>DII8473</t>
  </si>
  <si>
    <t>University of Central Oklahoma</t>
  </si>
  <si>
    <t>DI12037</t>
  </si>
  <si>
    <t>cwhite35@uco.edu</t>
  </si>
  <si>
    <t>Norfolk State University</t>
  </si>
  <si>
    <t>405-974-2144 405-974-2144</t>
  </si>
  <si>
    <t>Inzana</t>
  </si>
  <si>
    <t>jrinzana@nsu.edu</t>
  </si>
  <si>
    <t>c: (757) 515-3609; o: (757) 823-0022</t>
  </si>
  <si>
    <t>DIII9653</t>
  </si>
  <si>
    <t>Clarkson University</t>
  </si>
  <si>
    <t>McGaughey</t>
  </si>
  <si>
    <t>kmcgaugh@clarkson.edu</t>
  </si>
  <si>
    <t>315-268-2057</t>
  </si>
  <si>
    <t>Central Oklahoma</t>
  </si>
  <si>
    <t>Edmond</t>
  </si>
  <si>
    <t>Norfolk State</t>
  </si>
  <si>
    <t>Norfolk</t>
  </si>
  <si>
    <t>$22,095/$32,666</t>
  </si>
  <si>
    <t>320-430</t>
  </si>
  <si>
    <t>300-430</t>
  </si>
  <si>
    <t>Clarkson (NY)</t>
  </si>
  <si>
    <t>Potsdam</t>
  </si>
  <si>
    <t>$24,801/$36,403</t>
  </si>
  <si>
    <t>DII8474</t>
  </si>
  <si>
    <t>560-663</t>
  </si>
  <si>
    <t>jhunter9@uco.edu</t>
  </si>
  <si>
    <t>DI12038</t>
  </si>
  <si>
    <t>Scata</t>
  </si>
  <si>
    <t>mascata@nsu.edu</t>
  </si>
  <si>
    <t>(757) 823-0022 (757) 823-0022</t>
  </si>
  <si>
    <t>DIII9654</t>
  </si>
  <si>
    <t>Raeanna</t>
  </si>
  <si>
    <t>Dunn</t>
  </si>
  <si>
    <t>dunnrl@clarkson.edu</t>
  </si>
  <si>
    <t>315-268-4073</t>
  </si>
  <si>
    <t>DII8475</t>
  </si>
  <si>
    <t>DIII9686</t>
  </si>
  <si>
    <t>Hunter College</t>
  </si>
  <si>
    <t>DI12039</t>
  </si>
  <si>
    <t>Ralph</t>
  </si>
  <si>
    <t>Moroni</t>
  </si>
  <si>
    <t>Rmoroni@hunter.cuny.edu</t>
  </si>
  <si>
    <t>212-650-3124</t>
  </si>
  <si>
    <t>CUNY-Hunter (NY)</t>
  </si>
  <si>
    <t>coachmike750@yahoo.com</t>
  </si>
  <si>
    <t>DI12432</t>
  </si>
  <si>
    <t>$21,632/$28,742</t>
  </si>
  <si>
    <t>East Central University</t>
  </si>
  <si>
    <t>Ellanee</t>
  </si>
  <si>
    <t>ellall@email.ecok.edu</t>
  </si>
  <si>
    <t>580-559-5363 580-559-5363</t>
  </si>
  <si>
    <t>East Central (OK)</t>
  </si>
  <si>
    <t>Ada</t>
  </si>
  <si>
    <t>DIII9687</t>
  </si>
  <si>
    <t>Liav</t>
  </si>
  <si>
    <t>370-430</t>
  </si>
  <si>
    <t>getbethliav@gmail.com</t>
  </si>
  <si>
    <t>$16,239/$25,359</t>
  </si>
  <si>
    <t>DI12077</t>
  </si>
  <si>
    <t>North Carolina A&amp;T State University</t>
  </si>
  <si>
    <t>Raduenz</t>
  </si>
  <si>
    <t>pmraduenz@ncat.edu</t>
  </si>
  <si>
    <t>DIII9726</t>
  </si>
  <si>
    <t>John Jay College of Criminial Justice</t>
  </si>
  <si>
    <t>Layton</t>
  </si>
  <si>
    <t>elayton@jjay.cuny.edu</t>
  </si>
  <si>
    <t>(212) 237-8367 (212) 237-8367</t>
  </si>
  <si>
    <t>DII8514</t>
  </si>
  <si>
    <t>Destini</t>
  </si>
  <si>
    <t>North Carolina A&amp;T State</t>
  </si>
  <si>
    <t>dfanderson@ecok.edu</t>
  </si>
  <si>
    <t>(580) 559-5363 (580) 559-5363</t>
  </si>
  <si>
    <t>Greensboro</t>
  </si>
  <si>
    <t>CUNY-John Jay</t>
  </si>
  <si>
    <t>$19,447/$32,207</t>
  </si>
  <si>
    <t>$33,153/$40,263</t>
  </si>
  <si>
    <t>DIII9727</t>
  </si>
  <si>
    <t>DI12078</t>
  </si>
  <si>
    <t>Theresa</t>
  </si>
  <si>
    <t>tdstephens@ncat.edu</t>
  </si>
  <si>
    <t>DII8515</t>
  </si>
  <si>
    <t>kbwilson@ecok.edu</t>
  </si>
  <si>
    <t>DI21985</t>
  </si>
  <si>
    <t>DIII9728</t>
  </si>
  <si>
    <t>Jelani</t>
  </si>
  <si>
    <t>Pace</t>
  </si>
  <si>
    <t>Smalls</t>
  </si>
  <si>
    <t>jdsmalls@aggies.ncat.edu</t>
  </si>
  <si>
    <t>DII8540</t>
  </si>
  <si>
    <t>Northeastern State University</t>
  </si>
  <si>
    <t>Clay</t>
  </si>
  <si>
    <t>davis128@nsuok.edu</t>
  </si>
  <si>
    <t>918.444.3979 918.444.3979</t>
  </si>
  <si>
    <t>DI21986</t>
  </si>
  <si>
    <t>DIII9763</t>
  </si>
  <si>
    <t>Lehman College</t>
  </si>
  <si>
    <t>melissa.torres5@lehman.cuny.edu</t>
  </si>
  <si>
    <t>718-960-8101</t>
  </si>
  <si>
    <t>Northeastern State (OK)</t>
  </si>
  <si>
    <t>Tahlequah</t>
  </si>
  <si>
    <t>CUNY-Lehman (NY)</t>
  </si>
  <si>
    <t>443-505</t>
  </si>
  <si>
    <t>DI12127</t>
  </si>
  <si>
    <t>$16,833/$24,333</t>
  </si>
  <si>
    <t>North Carolina Central University</t>
  </si>
  <si>
    <t>Vashion</t>
  </si>
  <si>
    <t>vjohns23@nccu.edu</t>
  </si>
  <si>
    <t>(919) 530-6869 (919) 530-6869</t>
  </si>
  <si>
    <t>DII8541</t>
  </si>
  <si>
    <t>Rains</t>
  </si>
  <si>
    <t>ryan.rains74@gmail.com</t>
  </si>
  <si>
    <t>North Carolina Central</t>
  </si>
  <si>
    <t>410-470</t>
  </si>
  <si>
    <t>$21,535/$33,993</t>
  </si>
  <si>
    <t>$26,520/$33,630</t>
  </si>
  <si>
    <t>DI12128</t>
  </si>
  <si>
    <t>Tarvin</t>
  </si>
  <si>
    <t>DIII9764</t>
  </si>
  <si>
    <t>ctarvin@nccu.edu</t>
  </si>
  <si>
    <t>Lore</t>
  </si>
  <si>
    <t>DII8542</t>
  </si>
  <si>
    <t>Boone</t>
  </si>
  <si>
    <t>boone03@nsuok.edu</t>
  </si>
  <si>
    <t>DI12129</t>
  </si>
  <si>
    <t>Nate</t>
  </si>
  <si>
    <t>DIII9825</t>
  </si>
  <si>
    <t>College of Staten Island</t>
  </si>
  <si>
    <t>Kraut</t>
  </si>
  <si>
    <t>eric.kraut@csi.cuny.edu</t>
  </si>
  <si>
    <t>(718) 982-3165 (718) 982-3165</t>
  </si>
  <si>
    <t>DII8543</t>
  </si>
  <si>
    <t>DuBose</t>
  </si>
  <si>
    <t>dubosec@nsuok.edu</t>
  </si>
  <si>
    <t>DI12130</t>
  </si>
  <si>
    <t>CUNY-Staten Island</t>
  </si>
  <si>
    <t>aramire9@eagles.nccu.edu</t>
  </si>
  <si>
    <t>$30,783/$37,893</t>
  </si>
  <si>
    <t>DII8577</t>
  </si>
  <si>
    <t>Northwestern Oklahoma State University</t>
  </si>
  <si>
    <t>jnwebb@nwosu.edu</t>
  </si>
  <si>
    <t>580-327-8102</t>
  </si>
  <si>
    <t>DI12168</t>
  </si>
  <si>
    <t>Savannah State University</t>
  </si>
  <si>
    <t>DIII9859</t>
  </si>
  <si>
    <t>Gonzalez</t>
  </si>
  <si>
    <t>D'Youville College</t>
  </si>
  <si>
    <t>Ona</t>
  </si>
  <si>
    <t>gonzalez@savannahstate.edu</t>
  </si>
  <si>
    <t>Halladay</t>
  </si>
  <si>
    <t>(912) 358-3450; (912) 358-3951</t>
  </si>
  <si>
    <t>halladay@dyc.edu</t>
  </si>
  <si>
    <t>(716) 829-8304</t>
  </si>
  <si>
    <t>Northwestern Oklahoma State</t>
  </si>
  <si>
    <t>Alva</t>
  </si>
  <si>
    <t>D'Youville</t>
  </si>
  <si>
    <t>Savannah State</t>
  </si>
  <si>
    <t>370-450</t>
  </si>
  <si>
    <t>Savannah</t>
  </si>
  <si>
    <t>$15,970/$22,818</t>
  </si>
  <si>
    <t>380-440</t>
  </si>
  <si>
    <t>16-18</t>
  </si>
  <si>
    <t>$16,872/$27,128</t>
  </si>
  <si>
    <t>DII8578</t>
  </si>
  <si>
    <t>Allora</t>
  </si>
  <si>
    <t>almiller@nwosu.edu</t>
  </si>
  <si>
    <t>580-327-8403</t>
  </si>
  <si>
    <t>DI12169</t>
  </si>
  <si>
    <t>Antonette</t>
  </si>
  <si>
    <t>DIII9860</t>
  </si>
  <si>
    <t>Evans</t>
  </si>
  <si>
    <t>DII8615</t>
  </si>
  <si>
    <t>Oklahoma Baptist University</t>
  </si>
  <si>
    <t>Maples</t>
  </si>
  <si>
    <t>samantha.maples@okbu.edu</t>
  </si>
  <si>
    <t>405.585.5335</t>
  </si>
  <si>
    <t>DI12197</t>
  </si>
  <si>
    <t>South Carolina State University</t>
  </si>
  <si>
    <t>DIII9861</t>
  </si>
  <si>
    <t>Marino</t>
  </si>
  <si>
    <t>marins15@dyc.edu</t>
  </si>
  <si>
    <t>South Carolina State</t>
  </si>
  <si>
    <t>350-440</t>
  </si>
  <si>
    <t>330-443</t>
  </si>
  <si>
    <t>Oklahoma Baptist</t>
  </si>
  <si>
    <t>$29,420/$39,500</t>
  </si>
  <si>
    <t>Oklahoma City</t>
  </si>
  <si>
    <t>460-565</t>
  </si>
  <si>
    <t>DIII9862</t>
  </si>
  <si>
    <t>Kalie</t>
  </si>
  <si>
    <t>McHenry</t>
  </si>
  <si>
    <t>DI21250</t>
  </si>
  <si>
    <t>mchenk29@dyc.edu</t>
  </si>
  <si>
    <t>Tatjana</t>
  </si>
  <si>
    <t>tmatthe6@scsu.edu</t>
  </si>
  <si>
    <t>803-516-4838</t>
  </si>
  <si>
    <t>DII8616</t>
  </si>
  <si>
    <t>kyle.webb@okbu.edu</t>
  </si>
  <si>
    <t>DI21292</t>
  </si>
  <si>
    <t>405.408.1908</t>
  </si>
  <si>
    <t>DIII9863</t>
  </si>
  <si>
    <t>Asham</t>
  </si>
  <si>
    <t>ashamm20@dyc.edu</t>
  </si>
  <si>
    <t>DI21992</t>
  </si>
  <si>
    <t>DIII9894</t>
  </si>
  <si>
    <t>Elmira College</t>
  </si>
  <si>
    <t>Faunce</t>
  </si>
  <si>
    <t>DII8617</t>
  </si>
  <si>
    <t>rfaunce@elmira.edu</t>
  </si>
  <si>
    <t>(607) 735-1732 (607) 735-1732</t>
  </si>
  <si>
    <t>Sisemore</t>
  </si>
  <si>
    <t>oakley.sisemore@okbu.edu</t>
  </si>
  <si>
    <t>Missouri Valley</t>
  </si>
  <si>
    <t>DI12222</t>
  </si>
  <si>
    <t>Bradley University</t>
  </si>
  <si>
    <t>amhayes@bradley.edu</t>
  </si>
  <si>
    <t>309-677-2692</t>
  </si>
  <si>
    <t>@gobravesSB</t>
  </si>
  <si>
    <t>Elmira</t>
  </si>
  <si>
    <t>DII8618</t>
  </si>
  <si>
    <t>Peoria</t>
  </si>
  <si>
    <t>amy.reynolds@okbu.edu</t>
  </si>
  <si>
    <t>DI12223</t>
  </si>
  <si>
    <t>DIII9895</t>
  </si>
  <si>
    <t>Huggins</t>
  </si>
  <si>
    <t>DII8666</t>
  </si>
  <si>
    <t>rhuggins@bradley.edu</t>
  </si>
  <si>
    <t>Karlee</t>
  </si>
  <si>
    <t>309-677-2557</t>
  </si>
  <si>
    <t>Oklahoma Christian University</t>
  </si>
  <si>
    <t>Kerchersky</t>
  </si>
  <si>
    <t>Shanon</t>
  </si>
  <si>
    <t>kkerchersky@elmira.edu</t>
  </si>
  <si>
    <t>(607) 735-1971 (607) 735-1971</t>
  </si>
  <si>
    <t>shanon.hays@oc.edu</t>
  </si>
  <si>
    <t>405-425-5357</t>
  </si>
  <si>
    <t>Oklahoma Christian</t>
  </si>
  <si>
    <t>DIII11299</t>
  </si>
  <si>
    <t>SUNY Farmingdale State College</t>
  </si>
  <si>
    <t>Pennino</t>
  </si>
  <si>
    <t>DI12224</t>
  </si>
  <si>
    <t>penninla@farmingdale.edu</t>
  </si>
  <si>
    <t>c: 631-794-6287</t>
  </si>
  <si>
    <t>Desiree</t>
  </si>
  <si>
    <t>Ybarra</t>
  </si>
  <si>
    <t>dybarra@bradley.edu</t>
  </si>
  <si>
    <t>309-677-2565</t>
  </si>
  <si>
    <t>DII8667</t>
  </si>
  <si>
    <t>SUNY-Farmingdale State</t>
  </si>
  <si>
    <t>Shalee</t>
  </si>
  <si>
    <t>Cordell</t>
  </si>
  <si>
    <t>Farmingdale</t>
  </si>
  <si>
    <t>shalee.cordell@oc.edu</t>
  </si>
  <si>
    <t>405-425-5356</t>
  </si>
  <si>
    <t>$23,824/$33,674</t>
  </si>
  <si>
    <t>Farmingdale State</t>
  </si>
  <si>
    <t>DI12262</t>
  </si>
  <si>
    <t>Drake University</t>
  </si>
  <si>
    <t>Calvert</t>
  </si>
  <si>
    <t>rich.calvert@drake.edu</t>
  </si>
  <si>
    <t>515-271-3282</t>
  </si>
  <si>
    <t>DIII11300</t>
  </si>
  <si>
    <t>Drake</t>
  </si>
  <si>
    <t>DII8668</t>
  </si>
  <si>
    <t>Des Moines</t>
  </si>
  <si>
    <t>katelyn.brown@oc.edu</t>
  </si>
  <si>
    <t>540-690</t>
  </si>
  <si>
    <t>DI12263</t>
  </si>
  <si>
    <t>Montelione</t>
  </si>
  <si>
    <t>DII8669</t>
  </si>
  <si>
    <t>DeAngelo</t>
  </si>
  <si>
    <t>Nordyke</t>
  </si>
  <si>
    <t>DI12264</t>
  </si>
  <si>
    <t>DII8737</t>
  </si>
  <si>
    <t>DIII21187</t>
  </si>
  <si>
    <t>Rogers State University</t>
  </si>
  <si>
    <t>Vaughan</t>
  </si>
  <si>
    <t>Stanya</t>
  </si>
  <si>
    <t>kasey.griffith@drake.edu</t>
  </si>
  <si>
    <t>515-271-2046</t>
  </si>
  <si>
    <t>avaughan@rsu.edu</t>
  </si>
  <si>
    <t>918-343-7562 918-343-7562</t>
  </si>
  <si>
    <t>Rogers State (OK)</t>
  </si>
  <si>
    <t>Claremore</t>
  </si>
  <si>
    <t>DI12310</t>
  </si>
  <si>
    <t>University of Evansville</t>
  </si>
  <si>
    <t>$20,179/$28,099</t>
  </si>
  <si>
    <t>DIII11388</t>
  </si>
  <si>
    <t>Mat</t>
  </si>
  <si>
    <t>SUNY Geneseo Community College</t>
  </si>
  <si>
    <t>Mundell</t>
  </si>
  <si>
    <t>mm660@evansville.edu</t>
  </si>
  <si>
    <t>(812) 488-2620 (812) 488-2620</t>
  </si>
  <si>
    <t>sylvester@geneseo.edu</t>
  </si>
  <si>
    <t>585-245-5183</t>
  </si>
  <si>
    <t>DII8738</t>
  </si>
  <si>
    <t>Malori</t>
  </si>
  <si>
    <t>mmoss@rsu.edu</t>
  </si>
  <si>
    <t>918-343-6813 918-343-6813</t>
  </si>
  <si>
    <t>SUNY-Geneseo</t>
  </si>
  <si>
    <t>Geneseo</t>
  </si>
  <si>
    <t>DII8739</t>
  </si>
  <si>
    <t>$23,940/$33,790</t>
  </si>
  <si>
    <t>DI12311</t>
  </si>
  <si>
    <t>Tarter</t>
  </si>
  <si>
    <t>ht73@evansville.edu</t>
  </si>
  <si>
    <t>(812) 488-2123 (812) 488-2123</t>
  </si>
  <si>
    <t>DIII11389</t>
  </si>
  <si>
    <t>Martha</t>
  </si>
  <si>
    <t>DI12312</t>
  </si>
  <si>
    <t>Alfaro</t>
  </si>
  <si>
    <t>DII8771</t>
  </si>
  <si>
    <t>aa551@evansville.edu</t>
  </si>
  <si>
    <t>Southeastern Oklahoma State University</t>
  </si>
  <si>
    <t>(812) 488-2919 (812) 488-2919</t>
  </si>
  <si>
    <t>Faubion</t>
  </si>
  <si>
    <t>rfaubion@se.edu</t>
  </si>
  <si>
    <t>580-745-2474 580-745-2474</t>
  </si>
  <si>
    <t>DIII9929</t>
  </si>
  <si>
    <t>Hamilton College</t>
  </si>
  <si>
    <t>Southeastern Oklahoma State</t>
  </si>
  <si>
    <t>Hartquist</t>
  </si>
  <si>
    <t>Durant</t>
  </si>
  <si>
    <t>shartqui@hamilton.edu</t>
  </si>
  <si>
    <t>315-859-4387</t>
  </si>
  <si>
    <t>DI12364</t>
  </si>
  <si>
    <t>Illinois State University</t>
  </si>
  <si>
    <t>Melinda</t>
  </si>
  <si>
    <t>Fischer</t>
  </si>
  <si>
    <t>$16,882/$26,152</t>
  </si>
  <si>
    <t>msfisch@ilstu.edu</t>
  </si>
  <si>
    <t>309-438-5807</t>
  </si>
  <si>
    <t>DII8772</t>
  </si>
  <si>
    <t>Hamilton (NY)</t>
  </si>
  <si>
    <t>Rogers</t>
  </si>
  <si>
    <t>clrogers@se.edu</t>
  </si>
  <si>
    <t>580-745-2943 580-745-2943</t>
  </si>
  <si>
    <t>Illinois State</t>
  </si>
  <si>
    <t>Normal</t>
  </si>
  <si>
    <t>$28,197/$39,304</t>
  </si>
  <si>
    <t>DII8773</t>
  </si>
  <si>
    <t>Destiny</t>
  </si>
  <si>
    <t>DIII9930</t>
  </si>
  <si>
    <t>Riddle</t>
  </si>
  <si>
    <t>driddle@se.edu</t>
  </si>
  <si>
    <t>Seidel</t>
  </si>
  <si>
    <t>DI12365</t>
  </si>
  <si>
    <t>eseidel@hamilton.edu</t>
  </si>
  <si>
    <t>315-859-4769</t>
  </si>
  <si>
    <t>Kramos</t>
  </si>
  <si>
    <t>klkramo@ilstu.edu</t>
  </si>
  <si>
    <t>309-438-5209</t>
  </si>
  <si>
    <t>DII8806</t>
  </si>
  <si>
    <t>Southern Nazarene University</t>
  </si>
  <si>
    <t>Tere</t>
  </si>
  <si>
    <t>DIII10017</t>
  </si>
  <si>
    <t>twebber@snu.edu</t>
  </si>
  <si>
    <t>(405) 812-6291 (405) 812-6291</t>
  </si>
  <si>
    <t>Hilbert College</t>
  </si>
  <si>
    <t>DI12366</t>
  </si>
  <si>
    <t>jhall13@hilbert.edu</t>
  </si>
  <si>
    <t>Armitage</t>
  </si>
  <si>
    <t>716-926-8915 716-926-8915</t>
  </si>
  <si>
    <t>mcarmit@ilstu.edu</t>
  </si>
  <si>
    <t>309-438-3278</t>
  </si>
  <si>
    <t>Southern Nazarene</t>
  </si>
  <si>
    <t>Hilbert</t>
  </si>
  <si>
    <t>Hamburg</t>
  </si>
  <si>
    <t>DI22000</t>
  </si>
  <si>
    <t>Wright</t>
  </si>
  <si>
    <t>DII8807</t>
  </si>
  <si>
    <t>DIII10018</t>
  </si>
  <si>
    <t>DI12443</t>
  </si>
  <si>
    <t>Indiana State University</t>
  </si>
  <si>
    <t>McFeely</t>
  </si>
  <si>
    <t>Perniciaro</t>
  </si>
  <si>
    <t>bmadden@snu.edu</t>
  </si>
  <si>
    <t>(405) 206-1433 (405) 206-1433</t>
  </si>
  <si>
    <t>CoachPooch@indstate.edu</t>
  </si>
  <si>
    <t>812-237-4166</t>
  </si>
  <si>
    <t>Indiana State</t>
  </si>
  <si>
    <t>DII8808</t>
  </si>
  <si>
    <t>Gault</t>
  </si>
  <si>
    <t>$21,920/$32,250</t>
  </si>
  <si>
    <t>DIII10019</t>
  </si>
  <si>
    <t>Castricone</t>
  </si>
  <si>
    <t>jcastricone@hilbert.edu</t>
  </si>
  <si>
    <t>716-926-8802 716-926-8802</t>
  </si>
  <si>
    <t>DI12444</t>
  </si>
  <si>
    <t>Arevalo</t>
  </si>
  <si>
    <t>Erin.Arevalo@indstate.edu</t>
  </si>
  <si>
    <t>812-237-4088</t>
  </si>
  <si>
    <t>DII8843</t>
  </si>
  <si>
    <t>Southwestern Oklahoma State University</t>
  </si>
  <si>
    <t>Maher</t>
  </si>
  <si>
    <t>kim.maher@swosu.edu</t>
  </si>
  <si>
    <t>580-774-7178 580-774-7178</t>
  </si>
  <si>
    <t>DIII10090</t>
  </si>
  <si>
    <t>DI12445</t>
  </si>
  <si>
    <t>Houghton College</t>
  </si>
  <si>
    <t>Sinclair</t>
  </si>
  <si>
    <t>Magner</t>
  </si>
  <si>
    <t>katie.sinclair@houghton.edu</t>
  </si>
  <si>
    <t>Tori.Magner@indstate.edu</t>
  </si>
  <si>
    <t>585-567-9528 585-567-9528</t>
  </si>
  <si>
    <t>812-237-4385</t>
  </si>
  <si>
    <t>Southwestern Oklahoma State</t>
  </si>
  <si>
    <t>Weatherford</t>
  </si>
  <si>
    <t>DI12487</t>
  </si>
  <si>
    <t>Loyola University Chicago</t>
  </si>
  <si>
    <t>Abbott</t>
  </si>
  <si>
    <t>aabbott1@luc.edu</t>
  </si>
  <si>
    <t>773-508-2580</t>
  </si>
  <si>
    <t>$19,518/$26,268</t>
  </si>
  <si>
    <t>Houghton</t>
  </si>
  <si>
    <t>y (Wesleyan Church)</t>
  </si>
  <si>
    <t>483-610</t>
  </si>
  <si>
    <t>Loyola (IL)</t>
  </si>
  <si>
    <t>y (Roman Catholic -- Jesuit)</t>
  </si>
  <si>
    <t>DII8844</t>
  </si>
  <si>
    <t>Cheyene</t>
  </si>
  <si>
    <t>DIII10091</t>
  </si>
  <si>
    <t>hannah.simmons@houghton.edu</t>
  </si>
  <si>
    <t>DI12488</t>
  </si>
  <si>
    <t>Manrique</t>
  </si>
  <si>
    <t>jmanrique@luc.edu</t>
  </si>
  <si>
    <t>773-508-2581</t>
  </si>
  <si>
    <t>DII12713</t>
  </si>
  <si>
    <t>DIII10092</t>
  </si>
  <si>
    <t>Sable</t>
  </si>
  <si>
    <t>Trowbridge</t>
  </si>
  <si>
    <t>taylor.sile19@houghton.edu</t>
  </si>
  <si>
    <t>hankinss@student.swosu.edu</t>
  </si>
  <si>
    <t>DI12489</t>
  </si>
  <si>
    <t>egolitko@luc.edu</t>
  </si>
  <si>
    <t>DIII10144</t>
  </si>
  <si>
    <t>Ithaca College</t>
  </si>
  <si>
    <t>Oregon</t>
  </si>
  <si>
    <t>Quintana</t>
  </si>
  <si>
    <t>Hquintana@ithaca.edu</t>
  </si>
  <si>
    <t>DII8872</t>
  </si>
  <si>
    <t>607/274-1270 607/274-1270</t>
  </si>
  <si>
    <t>Concordia University - Oregon</t>
  </si>
  <si>
    <t>Shelley</t>
  </si>
  <si>
    <t>swhitaker@cu-portland.edu</t>
  </si>
  <si>
    <t>503-280-8616</t>
  </si>
  <si>
    <t>DI12542</t>
  </si>
  <si>
    <t>Missouri State University</t>
  </si>
  <si>
    <t>Hesse</t>
  </si>
  <si>
    <t>(417) 836-6912 (417) 836-6912</t>
  </si>
  <si>
    <t>Concordia (OR)</t>
  </si>
  <si>
    <t>Missouri State</t>
  </si>
  <si>
    <t>465-615</t>
  </si>
  <si>
    <t>490-613</t>
  </si>
  <si>
    <t>$20,482/$27,532</t>
  </si>
  <si>
    <t>DI12543</t>
  </si>
  <si>
    <t>DIII10145</t>
  </si>
  <si>
    <t>SueFrederick@missouristate.edu</t>
  </si>
  <si>
    <t>(417) 836-8385 (417) 836-8385</t>
  </si>
  <si>
    <t>Robichaud</t>
  </si>
  <si>
    <t>DII8873</t>
  </si>
  <si>
    <t>krobich1@ithaca.edu</t>
  </si>
  <si>
    <t>607/274-5173 607/274-5173</t>
  </si>
  <si>
    <t>Angelena</t>
  </si>
  <si>
    <t>Mexicano</t>
  </si>
  <si>
    <t>DI12544</t>
  </si>
  <si>
    <t>DIII10199</t>
  </si>
  <si>
    <t>Perine</t>
  </si>
  <si>
    <t>Keuka College</t>
  </si>
  <si>
    <t>bethperine@missouristate.edu</t>
  </si>
  <si>
    <t>(417) 836-6892 (417) 836-6892</t>
  </si>
  <si>
    <t>DII8874</t>
  </si>
  <si>
    <t>jeburke@keuka.edu</t>
  </si>
  <si>
    <t>315.279.5619</t>
  </si>
  <si>
    <t>Ysais</t>
  </si>
  <si>
    <t>Dysias@cu-Portland.edu</t>
  </si>
  <si>
    <t>DI12545</t>
  </si>
  <si>
    <t>Toni</t>
  </si>
  <si>
    <t>Rieke</t>
  </si>
  <si>
    <t>ToniRieke@MissouriState.edu</t>
  </si>
  <si>
    <t>(417) 836-4357 (417) 836-4357</t>
  </si>
  <si>
    <t>Keuka</t>
  </si>
  <si>
    <t>Keuka Park</t>
  </si>
  <si>
    <t>DII8931</t>
  </si>
  <si>
    <t>Western Oregon University</t>
  </si>
  <si>
    <t>Lonny</t>
  </si>
  <si>
    <t>Sargent</t>
  </si>
  <si>
    <t>sargentl@wou.edu</t>
  </si>
  <si>
    <t>503-838-8438 503-838-8438</t>
  </si>
  <si>
    <t>DI12546</t>
  </si>
  <si>
    <t>Beason</t>
  </si>
  <si>
    <t>Beason222@live.missouristate.edu</t>
  </si>
  <si>
    <t>(417) 836-5246 (417) 836-5246</t>
  </si>
  <si>
    <t>DIII10200</t>
  </si>
  <si>
    <t>Western Oregon</t>
  </si>
  <si>
    <t>$23,415/$37,575</t>
  </si>
  <si>
    <t>DI12547</t>
  </si>
  <si>
    <t>DII8932</t>
  </si>
  <si>
    <t>Doty</t>
  </si>
  <si>
    <t>Alyson</t>
  </si>
  <si>
    <t>Boytz</t>
  </si>
  <si>
    <t>kristendoty@missouristate.edu</t>
  </si>
  <si>
    <t>boytza@mail.wou.edu</t>
  </si>
  <si>
    <t>DIII10228</t>
  </si>
  <si>
    <t>Manhattanville College</t>
  </si>
  <si>
    <t>Dale</t>
  </si>
  <si>
    <t>dale.martin@mville.edu</t>
  </si>
  <si>
    <t>914-323-7283 914-323-7283</t>
  </si>
  <si>
    <t>DII8933</t>
  </si>
  <si>
    <t>Zoe</t>
  </si>
  <si>
    <t>clarkz@wou.edu</t>
  </si>
  <si>
    <t>DI12595</t>
  </si>
  <si>
    <t>University of Northern Iowa</t>
  </si>
  <si>
    <t>ryan.jacobs@uni.edu</t>
  </si>
  <si>
    <t>319-273-2520</t>
  </si>
  <si>
    <t>Manhattanville</t>
  </si>
  <si>
    <t>PSAC</t>
  </si>
  <si>
    <t>Northern Iowa</t>
  </si>
  <si>
    <t>Purchase</t>
  </si>
  <si>
    <t>DII8966</t>
  </si>
  <si>
    <t>Cedar Falls</t>
  </si>
  <si>
    <t>Bloomsburg University of Pennsylvania</t>
  </si>
  <si>
    <t>Kocher</t>
  </si>
  <si>
    <t>skocher@bloomu.edu</t>
  </si>
  <si>
    <t>425-600</t>
  </si>
  <si>
    <t>570-389-4871 570-389-4871</t>
  </si>
  <si>
    <t>$20,788/$31,330</t>
  </si>
  <si>
    <t>Bloomsburg (PA)</t>
  </si>
  <si>
    <t>DIII10229</t>
  </si>
  <si>
    <t>Bloomsburg</t>
  </si>
  <si>
    <t>Sky</t>
  </si>
  <si>
    <t>Ellazar</t>
  </si>
  <si>
    <t>DI12596</t>
  </si>
  <si>
    <t>skylynne.ellazar@mville.edu</t>
  </si>
  <si>
    <t>Reimer</t>
  </si>
  <si>
    <t>$23,406/$34,498</t>
  </si>
  <si>
    <t>jj.reimer@uni.edu</t>
  </si>
  <si>
    <t>319-273-4747</t>
  </si>
  <si>
    <t>DII8967</t>
  </si>
  <si>
    <t>Wolfe</t>
  </si>
  <si>
    <t>DIII10230</t>
  </si>
  <si>
    <t>dwolfe@bloomu.edu</t>
  </si>
  <si>
    <t>570-389-5354 570-389-5354</t>
  </si>
  <si>
    <t>Chappas</t>
  </si>
  <si>
    <t>DI12597</t>
  </si>
  <si>
    <t>micaela.whitney@uni.edu</t>
  </si>
  <si>
    <t>319-273-4487</t>
  </si>
  <si>
    <t>DII9012</t>
  </si>
  <si>
    <t>California University of Pennsylvania</t>
  </si>
  <si>
    <t>Bertagnolli</t>
  </si>
  <si>
    <t>softball@calu.edu</t>
  </si>
  <si>
    <t>724.938.5794 724.938.5794</t>
  </si>
  <si>
    <t>DIII10231</t>
  </si>
  <si>
    <t>Maire</t>
  </si>
  <si>
    <t>Shaughnessy</t>
  </si>
  <si>
    <t>DI12663</t>
  </si>
  <si>
    <t>Southern Illinois University Carbondale</t>
  </si>
  <si>
    <t>Kerri</t>
  </si>
  <si>
    <t>Blaylock</t>
  </si>
  <si>
    <t>mook@siu.edu</t>
  </si>
  <si>
    <t>618-453-5466</t>
  </si>
  <si>
    <t>DIII10270</t>
  </si>
  <si>
    <t>California (PA)</t>
  </si>
  <si>
    <t>Medaille College</t>
  </si>
  <si>
    <t>Opera</t>
  </si>
  <si>
    <t>Daniel.J.Opera@medaille.edu</t>
  </si>
  <si>
    <t>716.208.2130 716.208.2130</t>
  </si>
  <si>
    <t>$25,775/$30,109</t>
  </si>
  <si>
    <t>Medaille</t>
  </si>
  <si>
    <t>DII9013</t>
  </si>
  <si>
    <t>Southern Illinois</t>
  </si>
  <si>
    <t>Natalya</t>
  </si>
  <si>
    <t>Carbondale</t>
  </si>
  <si>
    <t>Smarra</t>
  </si>
  <si>
    <t>smarra@calu.edu</t>
  </si>
  <si>
    <t>724.938.4479 724.938.4479</t>
  </si>
  <si>
    <t>$27,708/$41,357</t>
  </si>
  <si>
    <t>DIII10271</t>
  </si>
  <si>
    <t>Yates</t>
  </si>
  <si>
    <t>Jenna.A.Yates@medaille.edu</t>
  </si>
  <si>
    <t>716.997.0403 716.997.0403</t>
  </si>
  <si>
    <t>DII12304</t>
  </si>
  <si>
    <t>Chestnut Hill College</t>
  </si>
  <si>
    <t>Francine</t>
  </si>
  <si>
    <t>Roseman</t>
  </si>
  <si>
    <t>DIII10272</t>
  </si>
  <si>
    <t>rosemanf@chc.edu</t>
  </si>
  <si>
    <t>610-299-8441 610-299-8441</t>
  </si>
  <si>
    <t>DI12664</t>
  </si>
  <si>
    <t>Sewell</t>
  </si>
  <si>
    <t>jsewell@siu.edu</t>
  </si>
  <si>
    <t>618-453-5455</t>
  </si>
  <si>
    <t>DIII10273</t>
  </si>
  <si>
    <t>DII9079</t>
  </si>
  <si>
    <t>Clarion University of Pennsylvania</t>
  </si>
  <si>
    <t>Lis</t>
  </si>
  <si>
    <t>Fee</t>
  </si>
  <si>
    <t>efee@clarion.edu</t>
  </si>
  <si>
    <t>814-393-2118 814-393-2118</t>
  </si>
  <si>
    <t>DI12665</t>
  </si>
  <si>
    <t>Kenzi</t>
  </si>
  <si>
    <t>Tate</t>
  </si>
  <si>
    <t>kenzi.tate@siu.edu</t>
  </si>
  <si>
    <t>618-453-5156</t>
  </si>
  <si>
    <t>DIII10314</t>
  </si>
  <si>
    <t>Mount St. Mary's University</t>
  </si>
  <si>
    <t>Howe</t>
  </si>
  <si>
    <t>samantha.howe@msmc.edu</t>
  </si>
  <si>
    <t>(845) 569-3188 (845) 569-3188</t>
  </si>
  <si>
    <t>Clarion (PA)</t>
  </si>
  <si>
    <t>Clarion</t>
  </si>
  <si>
    <t>Valparaiso University</t>
  </si>
  <si>
    <t>Stake</t>
  </si>
  <si>
    <t>Kate.Stake@valpo.edu</t>
  </si>
  <si>
    <t>(219) 464-6014</t>
  </si>
  <si>
    <t>Valparaiso</t>
  </si>
  <si>
    <t>$26,029/$30,506</t>
  </si>
  <si>
    <t>y (Evangelical Lutheran Church in America)</t>
  </si>
  <si>
    <t>Mount St. Mary (NY)</t>
  </si>
  <si>
    <t>Newburgh</t>
  </si>
  <si>
    <t>DII9120</t>
  </si>
  <si>
    <t>East Stroudsburg University</t>
  </si>
  <si>
    <t>Wohlbach</t>
  </si>
  <si>
    <t>jwohlbach1@esu.edu</t>
  </si>
  <si>
    <t>Monica.Wright@valpo.edu</t>
  </si>
  <si>
    <t>(570) 422-3122 (570) 422-3122</t>
  </si>
  <si>
    <t>(219) 464-6179</t>
  </si>
  <si>
    <t>DIII10315</t>
  </si>
  <si>
    <t>Elliott</t>
  </si>
  <si>
    <t>john.elliott@msmc.edu</t>
  </si>
  <si>
    <t>(845) 569-3684 (845) 569-3684</t>
  </si>
  <si>
    <t>East Stroudsburg (PA)</t>
  </si>
  <si>
    <t>East Stroudsburg</t>
  </si>
  <si>
    <t>$22,356/$33,498</t>
  </si>
  <si>
    <t>Kayti</t>
  </si>
  <si>
    <t>Grable</t>
  </si>
  <si>
    <t>Kayti.Grable@valpo.edu</t>
  </si>
  <si>
    <t>(219) 464-5047</t>
  </si>
  <si>
    <t>DIII10356</t>
  </si>
  <si>
    <t>Mount Saint Vincent University</t>
  </si>
  <si>
    <t>Vaccaro</t>
  </si>
  <si>
    <t>richard.vaccaro@mountsaintvincent.edu</t>
  </si>
  <si>
    <t>718 405 3790</t>
  </si>
  <si>
    <t>DII9121</t>
  </si>
  <si>
    <t>Holweger</t>
  </si>
  <si>
    <t>mholweger@esu.edu</t>
  </si>
  <si>
    <t>570-422-3007 570-422-3007</t>
  </si>
  <si>
    <t>Mount St. Vincent</t>
  </si>
  <si>
    <t>DII9122</t>
  </si>
  <si>
    <t>Vicendese</t>
  </si>
  <si>
    <t>mvicendese@live.esu.edu</t>
  </si>
  <si>
    <t>Eryn</t>
  </si>
  <si>
    <t>McCarver</t>
  </si>
  <si>
    <t>Eryn.McCarver@valpo.edu</t>
  </si>
  <si>
    <t>DIII10357</t>
  </si>
  <si>
    <t>Rama</t>
  </si>
  <si>
    <t>DII12721</t>
  </si>
  <si>
    <t>Jorgi</t>
  </si>
  <si>
    <t>Edinboro University</t>
  </si>
  <si>
    <t>DIII10379</t>
  </si>
  <si>
    <t>Nazareth College</t>
  </si>
  <si>
    <t>Welch</t>
  </si>
  <si>
    <t>Carpenter</t>
  </si>
  <si>
    <t>jcarpen9@naz.edu</t>
  </si>
  <si>
    <t>585-389-2936 585-389-2936</t>
  </si>
  <si>
    <t>Calombaris</t>
  </si>
  <si>
    <t>Jorgianna.Calombaris@valpo.edu</t>
  </si>
  <si>
    <t>Nazareth (NY)</t>
  </si>
  <si>
    <t>Mountain West</t>
  </si>
  <si>
    <t>DI12814</t>
  </si>
  <si>
    <t>Boise State University</t>
  </si>
  <si>
    <t>Huffaker</t>
  </si>
  <si>
    <t>softball@boisestate.edu</t>
  </si>
  <si>
    <t>208-426-5999</t>
  </si>
  <si>
    <t>Edinboro (PA)</t>
  </si>
  <si>
    <t>DIII10380</t>
  </si>
  <si>
    <t>Polly</t>
  </si>
  <si>
    <t>pmuehle5@naz.edu</t>
  </si>
  <si>
    <t>DIII10381</t>
  </si>
  <si>
    <t>Edinboro</t>
  </si>
  <si>
    <t>Boise State</t>
  </si>
  <si>
    <t>Boise</t>
  </si>
  <si>
    <t>455-570</t>
  </si>
  <si>
    <t>$19,424/$33,874</t>
  </si>
  <si>
    <t>DIII10448</t>
  </si>
  <si>
    <t>New York University</t>
  </si>
  <si>
    <t>Now-Allah</t>
  </si>
  <si>
    <t>njames@nyu.edu</t>
  </si>
  <si>
    <t>212-992-8509</t>
  </si>
  <si>
    <t>$24,753 (in-district)/$24,843/$25,409</t>
  </si>
  <si>
    <t>DI12815</t>
  </si>
  <si>
    <t>andrewrich489@boisestate.edu</t>
  </si>
  <si>
    <t>208-426-4899</t>
  </si>
  <si>
    <t>DII9164</t>
  </si>
  <si>
    <t>Gierlak</t>
  </si>
  <si>
    <t>dgierlak@edinboro.edu</t>
  </si>
  <si>
    <t>814-732-1829 814-732-1829</t>
  </si>
  <si>
    <t>630-760</t>
  </si>
  <si>
    <t>DI12816</t>
  </si>
  <si>
    <t>DIII10449</t>
  </si>
  <si>
    <t>Snow</t>
  </si>
  <si>
    <t>mattiesnow@boisestate.edu</t>
  </si>
  <si>
    <t>Ophir</t>
  </si>
  <si>
    <t>Sadeh</t>
  </si>
  <si>
    <t>ops1@nyu.edu</t>
  </si>
  <si>
    <t>DII9165</t>
  </si>
  <si>
    <t>Graduate Asst Abby has been removed.</t>
  </si>
  <si>
    <t>DI12878</t>
  </si>
  <si>
    <t>DIII10450</t>
  </si>
  <si>
    <t>Colorado State University</t>
  </si>
  <si>
    <t>Meagher</t>
  </si>
  <si>
    <t>amm43@nyu.edu</t>
  </si>
  <si>
    <t>DII9209</t>
  </si>
  <si>
    <t>jen.fisher@colostate.edu</t>
  </si>
  <si>
    <t>(970) 491-6000 (970) 491-6000</t>
  </si>
  <si>
    <t>@Coach_Fisher</t>
  </si>
  <si>
    <t>Gannon University</t>
  </si>
  <si>
    <t>Wiley</t>
  </si>
  <si>
    <t>wiley004@gannon.edu</t>
  </si>
  <si>
    <t>(814) 871-7311 (814) 871-7311</t>
  </si>
  <si>
    <t>Colorado State</t>
  </si>
  <si>
    <t>DIII10538</t>
  </si>
  <si>
    <t>Fort Collins</t>
  </si>
  <si>
    <t>Rensselaer Polytechnic Institute - RPI</t>
  </si>
  <si>
    <t>Maisonet</t>
  </si>
  <si>
    <t>maisoa2@rpi.edu</t>
  </si>
  <si>
    <t>518-276-8373 518-276-8373</t>
  </si>
  <si>
    <t>$24,722/$42,016</t>
  </si>
  <si>
    <t>Gannon (PA)</t>
  </si>
  <si>
    <t>Erie</t>
  </si>
  <si>
    <t>DI12879</t>
  </si>
  <si>
    <t>Rensselaer Poly (RPI)</t>
  </si>
  <si>
    <t>Dedeann</t>
  </si>
  <si>
    <t>Pendleton-Helm</t>
  </si>
  <si>
    <t>dedeann.pendleton@colostate.edu</t>
  </si>
  <si>
    <t>DII9210</t>
  </si>
  <si>
    <t>Dolak</t>
  </si>
  <si>
    <t>dolak005@gannon.edu</t>
  </si>
  <si>
    <t>DIII10539</t>
  </si>
  <si>
    <t>Wysocki</t>
  </si>
  <si>
    <t>DI12880</t>
  </si>
  <si>
    <t>Cloer</t>
  </si>
  <si>
    <t>whitney.cloer@colostate.edu</t>
  </si>
  <si>
    <t>@CoachCloer</t>
  </si>
  <si>
    <t>DII9211</t>
  </si>
  <si>
    <t>Jakubowski</t>
  </si>
  <si>
    <t>DIII10606</t>
  </si>
  <si>
    <t>Rochester College</t>
  </si>
  <si>
    <t>Margaret</t>
  </si>
  <si>
    <t>Yerdon-Grange</t>
  </si>
  <si>
    <t>myerdon@sports.rochester.edu</t>
  </si>
  <si>
    <t>(585) 275-9221 (585) 275-9221</t>
  </si>
  <si>
    <t>Rochester (NY)</t>
  </si>
  <si>
    <t>650-760</t>
  </si>
  <si>
    <t>DI12881</t>
  </si>
  <si>
    <t>Hutton</t>
  </si>
  <si>
    <t>DII9275</t>
  </si>
  <si>
    <t>Indiana University of Pennsylvania</t>
  </si>
  <si>
    <t>Shawna</t>
  </si>
  <si>
    <t>Bellaud</t>
  </si>
  <si>
    <t>shawna.bellaud@iup.edu</t>
  </si>
  <si>
    <t>724.357.7761 724.357.7761</t>
  </si>
  <si>
    <t>DIII10607</t>
  </si>
  <si>
    <t>Mary Karen</t>
  </si>
  <si>
    <t>Wheat</t>
  </si>
  <si>
    <t>mwheat@sports.rochester.edu</t>
  </si>
  <si>
    <t>(585) 276-5104 (585) 276-5104</t>
  </si>
  <si>
    <t>Indiana (PA)</t>
  </si>
  <si>
    <t>DI12952</t>
  </si>
  <si>
    <t>DIII10608</t>
  </si>
  <si>
    <t>California State University - Fresno</t>
  </si>
  <si>
    <t>Grage</t>
  </si>
  <si>
    <t>Lindagarza@csufresno.edu</t>
  </si>
  <si>
    <t>559-278-4453 559-278-4453</t>
  </si>
  <si>
    <t>$27,002/$38,011</t>
  </si>
  <si>
    <t>DIII10679</t>
  </si>
  <si>
    <t>Rochester Institute of Technology</t>
  </si>
  <si>
    <t>DII9276</t>
  </si>
  <si>
    <t>Stryker</t>
  </si>
  <si>
    <t>Christi</t>
  </si>
  <si>
    <t>rcmatl@rit.edu</t>
  </si>
  <si>
    <t>Mauk</t>
  </si>
  <si>
    <t>585-475-7770 585-475-7770</t>
  </si>
  <si>
    <t>cmauk@iup.edu</t>
  </si>
  <si>
    <t>Fresno State</t>
  </si>
  <si>
    <t>$19,745/$30,905</t>
  </si>
  <si>
    <t>Rochester Tech</t>
  </si>
  <si>
    <t>DII9277</t>
  </si>
  <si>
    <t>Mercer</t>
  </si>
  <si>
    <t>H.C.Mercer@iup.edu</t>
  </si>
  <si>
    <t>DI12953</t>
  </si>
  <si>
    <t>Jodie</t>
  </si>
  <si>
    <t>jodiec@csufresno.edu</t>
  </si>
  <si>
    <t>559-278-1781 559-278-1781</t>
  </si>
  <si>
    <t>DIII10680</t>
  </si>
  <si>
    <t>DII12729</t>
  </si>
  <si>
    <t>Jefferson College</t>
  </si>
  <si>
    <t>Mary Cate</t>
  </si>
  <si>
    <t>mary.catherine.scott@jefferson.edu</t>
  </si>
  <si>
    <t>DIII10723</t>
  </si>
  <si>
    <t>The Sage Colleges</t>
  </si>
  <si>
    <t>Li</t>
  </si>
  <si>
    <t>e.li@sage.edu</t>
  </si>
  <si>
    <t>(518) 244-2497</t>
  </si>
  <si>
    <t>Jefferson (PA)</t>
  </si>
  <si>
    <t>DI12954</t>
  </si>
  <si>
    <t>$10,530 (in-district)/$11,706/$12,858</t>
  </si>
  <si>
    <t>mlisle@csufresno.edu</t>
  </si>
  <si>
    <t>Sage Colleges</t>
  </si>
  <si>
    <t>DII9312</t>
  </si>
  <si>
    <t>Fegeley</t>
  </si>
  <si>
    <t>michael.fegeley@jefferson.edu</t>
  </si>
  <si>
    <t>215-951-2658</t>
  </si>
  <si>
    <t>DIII10724</t>
  </si>
  <si>
    <t>DI12955</t>
  </si>
  <si>
    <t>Alana</t>
  </si>
  <si>
    <t>VanDenburg</t>
  </si>
  <si>
    <t>Kellen</t>
  </si>
  <si>
    <t>Kubo</t>
  </si>
  <si>
    <t>DII9313</t>
  </si>
  <si>
    <t>Wacyk</t>
  </si>
  <si>
    <t>katherine.wacyk@jefferson.edu</t>
  </si>
  <si>
    <t>NV</t>
  </si>
  <si>
    <t>DIII10754</t>
  </si>
  <si>
    <t>DI13021</t>
  </si>
  <si>
    <t>Sarah Lawrence College</t>
  </si>
  <si>
    <t>University of Nevada - Las Vegas</t>
  </si>
  <si>
    <t>Carbon</t>
  </si>
  <si>
    <t>Kristie</t>
  </si>
  <si>
    <t>DII12314</t>
  </si>
  <si>
    <t>kcarbon@sarahlawrence.edu</t>
  </si>
  <si>
    <t>kristie.Jarvis@unlv.edu</t>
  </si>
  <si>
    <t>Kutztown University of Pennsylvania</t>
  </si>
  <si>
    <t>702-895-3916</t>
  </si>
  <si>
    <t>Tamara</t>
  </si>
  <si>
    <t>Jennings</t>
  </si>
  <si>
    <t>Kutztown (PA)</t>
  </si>
  <si>
    <t>Kutztown</t>
  </si>
  <si>
    <t>$24,614/$35,706</t>
  </si>
  <si>
    <t>Sarah Lawrence</t>
  </si>
  <si>
    <t>Nevada-Las Vegas (UNLV)</t>
  </si>
  <si>
    <t>DII12315</t>
  </si>
  <si>
    <t>Biz</t>
  </si>
  <si>
    <t>$22,799/$36,709</t>
  </si>
  <si>
    <t>DIII10776</t>
  </si>
  <si>
    <t>Skidmore College</t>
  </si>
  <si>
    <t>DI13022</t>
  </si>
  <si>
    <t>DII12316</t>
  </si>
  <si>
    <t>Rinae</t>
  </si>
  <si>
    <t>Reds</t>
  </si>
  <si>
    <t>rolsen@skidmore.edu</t>
  </si>
  <si>
    <t>Moser</t>
  </si>
  <si>
    <t>Jarvis</t>
  </si>
  <si>
    <t>518.580.5394 518.580.5394</t>
  </si>
  <si>
    <t>andrew.jarvis@unlv.edu</t>
  </si>
  <si>
    <t>702-895-4773</t>
  </si>
  <si>
    <t>DII12317</t>
  </si>
  <si>
    <t>Parkins</t>
  </si>
  <si>
    <t>parkins@kutztown.edu</t>
  </si>
  <si>
    <t>610-683-4850</t>
  </si>
  <si>
    <t>DI13023</t>
  </si>
  <si>
    <t>Skidmore</t>
  </si>
  <si>
    <t>Saratoga Springs</t>
  </si>
  <si>
    <t>Vincent</t>
  </si>
  <si>
    <t>emily.vincent@unlv.edu</t>
  </si>
  <si>
    <t>702-895-4018</t>
  </si>
  <si>
    <t>DII9358</t>
  </si>
  <si>
    <t>Judy</t>
  </si>
  <si>
    <t>Lawes</t>
  </si>
  <si>
    <t>lawes@kutztown.edu</t>
  </si>
  <si>
    <t>610-683-4665</t>
  </si>
  <si>
    <t>DI13099</t>
  </si>
  <si>
    <t>University of Nevada - Reno</t>
  </si>
  <si>
    <t>DIII10777</t>
  </si>
  <si>
    <t>Celia</t>
  </si>
  <si>
    <t>josht@unr.edu</t>
  </si>
  <si>
    <t>(775) 682-6925 (775) 682-6925</t>
  </si>
  <si>
    <t>Nevada-Reno</t>
  </si>
  <si>
    <t>$23,500/$37,410</t>
  </si>
  <si>
    <t>DII9360</t>
  </si>
  <si>
    <t>Bertoni</t>
  </si>
  <si>
    <t>DIII10778</t>
  </si>
  <si>
    <t>DI13100</t>
  </si>
  <si>
    <t>Cornelius Horn</t>
  </si>
  <si>
    <t>Brianne</t>
  </si>
  <si>
    <t>McGowan-Durfee</t>
  </si>
  <si>
    <t>bdurfee@unr.edu</t>
  </si>
  <si>
    <t>(775) 682-6927 (775) 682-6927</t>
  </si>
  <si>
    <t>DII9432</t>
  </si>
  <si>
    <t>Lock Haven University</t>
  </si>
  <si>
    <t>kshannon@lockhaven.edu</t>
  </si>
  <si>
    <t>570-484-2917 570-484-2917</t>
  </si>
  <si>
    <t>DIII10838</t>
  </si>
  <si>
    <t>DI13101</t>
  </si>
  <si>
    <t>St. John Fisher College</t>
  </si>
  <si>
    <t>Bari</t>
  </si>
  <si>
    <t>Mance</t>
  </si>
  <si>
    <t>Berkley</t>
  </si>
  <si>
    <t>Calapp</t>
  </si>
  <si>
    <t>bmance@sjfc.edu</t>
  </si>
  <si>
    <t>bcalapp@unr.edu</t>
  </si>
  <si>
    <t>585-385-5276</t>
  </si>
  <si>
    <t>St. John Fisher</t>
  </si>
  <si>
    <t>480-56</t>
  </si>
  <si>
    <t>Lock Haven</t>
  </si>
  <si>
    <t>DI13102</t>
  </si>
  <si>
    <t>Krobetzky</t>
  </si>
  <si>
    <t>$25,587/$34,679</t>
  </si>
  <si>
    <t>DIII10839</t>
  </si>
  <si>
    <t>DII9433</t>
  </si>
  <si>
    <t>Fraser</t>
  </si>
  <si>
    <t>DI13163</t>
  </si>
  <si>
    <t>dfraser@lockhaven.edu</t>
  </si>
  <si>
    <t>University of New Mexico</t>
  </si>
  <si>
    <t>570-484-2574 570-484-2574</t>
  </si>
  <si>
    <t>Congleton</t>
  </si>
  <si>
    <t>pcongleton@unm.edu</t>
  </si>
  <si>
    <t>DIII10840</t>
  </si>
  <si>
    <t>Hotel</t>
  </si>
  <si>
    <t>DII12734</t>
  </si>
  <si>
    <t>Albuquerque</t>
  </si>
  <si>
    <t>Mansfield University of Pennsylvania</t>
  </si>
  <si>
    <t>qlewis@mansfield.edu</t>
  </si>
  <si>
    <t>$21,750/$36,339</t>
  </si>
  <si>
    <t>570-662-4460 570-662-4460</t>
  </si>
  <si>
    <t>Mansfield (PA)</t>
  </si>
  <si>
    <t>DIII10899</t>
  </si>
  <si>
    <t>Mansfield</t>
  </si>
  <si>
    <t>St. Joseph's College - Brooklyn</t>
  </si>
  <si>
    <t>Fazzolare</t>
  </si>
  <si>
    <t>dfazzolare@sjcny.edu</t>
  </si>
  <si>
    <t>(718) 940-5340</t>
  </si>
  <si>
    <t>$28,200/$37,584</t>
  </si>
  <si>
    <t>DI13164</t>
  </si>
  <si>
    <t>Heil</t>
  </si>
  <si>
    <t>tylerheil@unm.edu</t>
  </si>
  <si>
    <t>DII9460</t>
  </si>
  <si>
    <t>St. Joseph's (Brooklyn)</t>
  </si>
  <si>
    <t>Edith</t>
  </si>
  <si>
    <t>Gallagher</t>
  </si>
  <si>
    <t>egallagh@mansfield.edu</t>
  </si>
  <si>
    <t>(570) 662-4633 (570) 662-4633</t>
  </si>
  <si>
    <t>425-515</t>
  </si>
  <si>
    <t>21-24</t>
  </si>
  <si>
    <t>DI13165</t>
  </si>
  <si>
    <t>Breanna</t>
  </si>
  <si>
    <t>breannamacha@unm.edu</t>
  </si>
  <si>
    <t>c: 505 277-2362</t>
  </si>
  <si>
    <t>DIII10900</t>
  </si>
  <si>
    <t>Mauro</t>
  </si>
  <si>
    <t>DI21264</t>
  </si>
  <si>
    <t>rmauro@sjcny.edu</t>
  </si>
  <si>
    <t>DII9461</t>
  </si>
  <si>
    <t>277-2362</t>
  </si>
  <si>
    <t>AC Angie has been removed.</t>
  </si>
  <si>
    <t>DI13243</t>
  </si>
  <si>
    <t>San Diego State University</t>
  </si>
  <si>
    <t>Van</t>
  </si>
  <si>
    <t>mlongfellow@sdsu.edu</t>
  </si>
  <si>
    <t>619-594-1952</t>
  </si>
  <si>
    <t>DIII10901</t>
  </si>
  <si>
    <t>Greene</t>
  </si>
  <si>
    <t>San Diego State</t>
  </si>
  <si>
    <t>jgreene3@sjcny.edu</t>
  </si>
  <si>
    <t>$26,594/$37,754</t>
  </si>
  <si>
    <t>DII12735</t>
  </si>
  <si>
    <t>Mercyhurst University</t>
  </si>
  <si>
    <t>Minihane</t>
  </si>
  <si>
    <t>DIII10902</t>
  </si>
  <si>
    <t>Korotki</t>
  </si>
  <si>
    <t>DI13244</t>
  </si>
  <si>
    <t>Mercyhurst (PA)</t>
  </si>
  <si>
    <t>Nuveman</t>
  </si>
  <si>
    <t>snuveman@sdsu.edu</t>
  </si>
  <si>
    <t>619-594-5853</t>
  </si>
  <si>
    <t>DIII10931</t>
  </si>
  <si>
    <t>St. Joseph's College - Long Island</t>
  </si>
  <si>
    <t>Jusino</t>
  </si>
  <si>
    <t>ljusino@sjcny.edu</t>
  </si>
  <si>
    <t>631-687-5116</t>
  </si>
  <si>
    <t>DII9489</t>
  </si>
  <si>
    <t>DI13245</t>
  </si>
  <si>
    <t>lbaker23@mercyhurst.edu</t>
  </si>
  <si>
    <t>Longfellow</t>
  </si>
  <si>
    <t>814-824-3613 814-824-3613</t>
  </si>
  <si>
    <t>619-594-2345</t>
  </si>
  <si>
    <t>St. Joseph's (Long Island)</t>
  </si>
  <si>
    <t>DII9490</t>
  </si>
  <si>
    <t>DIII10932</t>
  </si>
  <si>
    <t>Bretz</t>
  </si>
  <si>
    <t>Melyssa</t>
  </si>
  <si>
    <t>rbretz@mercyhurst.edu</t>
  </si>
  <si>
    <t>Cilmi</t>
  </si>
  <si>
    <t>mcilmi@sjcny.edu</t>
  </si>
  <si>
    <t>DI13246</t>
  </si>
  <si>
    <t>Lorena</t>
  </si>
  <si>
    <t>DII9491</t>
  </si>
  <si>
    <t>DIII10933</t>
  </si>
  <si>
    <t>AC Joey has been removed.</t>
  </si>
  <si>
    <t>Katiebeth</t>
  </si>
  <si>
    <t>Andrews</t>
  </si>
  <si>
    <t>kandrews@sjcny.edu</t>
  </si>
  <si>
    <t>DI13314</t>
  </si>
  <si>
    <t>San Jose State University</t>
  </si>
  <si>
    <t>DII9492</t>
  </si>
  <si>
    <t>Cassandra</t>
  </si>
  <si>
    <t>Egelston</t>
  </si>
  <si>
    <t>DIII10934</t>
  </si>
  <si>
    <t>peter.turner@sjsu.edu</t>
  </si>
  <si>
    <t>cegels94@lakers.mercyhurst.edu</t>
  </si>
  <si>
    <t>408-924-1253</t>
  </si>
  <si>
    <t>Sharon</t>
  </si>
  <si>
    <t>Hanley</t>
  </si>
  <si>
    <t>DIII10978</t>
  </si>
  <si>
    <t>DII9536</t>
  </si>
  <si>
    <t>St. Lawrence University</t>
  </si>
  <si>
    <t>Elisa</t>
  </si>
  <si>
    <t>VanKirk</t>
  </si>
  <si>
    <t>Millersville University of Pennsylvania</t>
  </si>
  <si>
    <t>evankirk@stlawu.edu</t>
  </si>
  <si>
    <t>Probst</t>
  </si>
  <si>
    <t>(315) 229-5038 (315) 229-5038</t>
  </si>
  <si>
    <t>jprobst@millersville.edu</t>
  </si>
  <si>
    <t>717-871-5503</t>
  </si>
  <si>
    <t>San Jose State</t>
  </si>
  <si>
    <t>San Jose</t>
  </si>
  <si>
    <t>$27,039/$38,199</t>
  </si>
  <si>
    <t>St. Lawrence (NY)</t>
  </si>
  <si>
    <t>Millersville</t>
  </si>
  <si>
    <t>DI13315</t>
  </si>
  <si>
    <t>Perales</t>
  </si>
  <si>
    <t>$28,332/$37,692</t>
  </si>
  <si>
    <t>bob.perales@sjsu.edu</t>
  </si>
  <si>
    <t>DIII10979</t>
  </si>
  <si>
    <t>Ferrante</t>
  </si>
  <si>
    <t>sferrante@stlawu.edu</t>
  </si>
  <si>
    <t>(315) 229-5738 (315) 229-5738</t>
  </si>
  <si>
    <t>DII9537</t>
  </si>
  <si>
    <t>Gimmestad</t>
  </si>
  <si>
    <t>anna.gimmestad@millersville.edu</t>
  </si>
  <si>
    <t>717-871-7671</t>
  </si>
  <si>
    <t>DI13316</t>
  </si>
  <si>
    <t>Chase</t>
  </si>
  <si>
    <t>chase.turner@sjsu.edu</t>
  </si>
  <si>
    <t>408-924-4991</t>
  </si>
  <si>
    <t>DIII11040</t>
  </si>
  <si>
    <t>SUNY College at Brockport</t>
  </si>
  <si>
    <t>Dumaw</t>
  </si>
  <si>
    <t>jdumaw@brockport.edu</t>
  </si>
  <si>
    <t>585-395-5955 585-395-5955</t>
  </si>
  <si>
    <t>DII9538</t>
  </si>
  <si>
    <t>Brennan</t>
  </si>
  <si>
    <t>labrenna@millersville.edu</t>
  </si>
  <si>
    <t>DI13317</t>
  </si>
  <si>
    <t>Watt</t>
  </si>
  <si>
    <t>casey.watt@sjsu.edu</t>
  </si>
  <si>
    <t>SUNY-Brockport</t>
  </si>
  <si>
    <t>DII9539</t>
  </si>
  <si>
    <t>Brockport</t>
  </si>
  <si>
    <t>Raeann</t>
  </si>
  <si>
    <t>Buskey</t>
  </si>
  <si>
    <t>$23,336/$33,186</t>
  </si>
  <si>
    <t>DI13383</t>
  </si>
  <si>
    <t>Utah State University</t>
  </si>
  <si>
    <t>DII9586</t>
  </si>
  <si>
    <t>steven.johnson@usu.edu</t>
  </si>
  <si>
    <t>DIII11041</t>
  </si>
  <si>
    <t>University of Pittsburgh - Johnstown</t>
  </si>
  <si>
    <t>Pecora</t>
  </si>
  <si>
    <t>Stahl</t>
  </si>
  <si>
    <t>cognigni@pitt.edu</t>
  </si>
  <si>
    <t>(814) 269-7028 (814) 269-7028</t>
  </si>
  <si>
    <t>gstahl@brockport.edu</t>
  </si>
  <si>
    <t>Utah State</t>
  </si>
  <si>
    <t>Pittsburgh-Johnstown</t>
  </si>
  <si>
    <t>Johnstown</t>
  </si>
  <si>
    <t>DIII11042</t>
  </si>
  <si>
    <t>Flamholtz</t>
  </si>
  <si>
    <t>$18,576/$31,642</t>
  </si>
  <si>
    <t>mflamholtz@brockport.edu</t>
  </si>
  <si>
    <t>$28,200/$39,222</t>
  </si>
  <si>
    <t>DII9587</t>
  </si>
  <si>
    <t>Aquila</t>
  </si>
  <si>
    <t>DI20548</t>
  </si>
  <si>
    <t>SUNY Buffalo State College</t>
  </si>
  <si>
    <t>SUNY-Buffalo State</t>
  </si>
  <si>
    <t>DI13384</t>
  </si>
  <si>
    <t>Heberling</t>
  </si>
  <si>
    <t>385-490</t>
  </si>
  <si>
    <t>laura.heberling@usu.edu</t>
  </si>
  <si>
    <t>$24,684/$34,534</t>
  </si>
  <si>
    <t>DII9588</t>
  </si>
  <si>
    <t>Cannin</t>
  </si>
  <si>
    <t>DIII11095</t>
  </si>
  <si>
    <t>brownjl@buffalostate.edu</t>
  </si>
  <si>
    <t>(716) 878-5425 (716) 878-5425</t>
  </si>
  <si>
    <t>DI21274</t>
  </si>
  <si>
    <t>DII9623</t>
  </si>
  <si>
    <t>Seton Hill University</t>
  </si>
  <si>
    <t>bailey.thomas@usu.edu</t>
  </si>
  <si>
    <t>Strong</t>
  </si>
  <si>
    <t>jstrong@setonhill.edu</t>
  </si>
  <si>
    <t>724-830-1170 724-830-1170</t>
  </si>
  <si>
    <t>Northeast</t>
  </si>
  <si>
    <t>DI13522</t>
  </si>
  <si>
    <t>Bryant University</t>
  </si>
  <si>
    <t>DIII11096</t>
  </si>
  <si>
    <t>French</t>
  </si>
  <si>
    <t>softball@bryant.edu</t>
  </si>
  <si>
    <t>401-232-6074 ext 1</t>
  </si>
  <si>
    <t>smithce@buffalostate.edu</t>
  </si>
  <si>
    <t>Seton Hill</t>
  </si>
  <si>
    <t>Greensburg</t>
  </si>
  <si>
    <t xml:space="preserve">Bryant </t>
  </si>
  <si>
    <t>Smithfield</t>
  </si>
  <si>
    <t>DIII11097</t>
  </si>
  <si>
    <t>DII9624</t>
  </si>
  <si>
    <t>Willats</t>
  </si>
  <si>
    <t>cpeterson@setonhill.edu</t>
  </si>
  <si>
    <t>555-645</t>
  </si>
  <si>
    <t>nfrench@bryant.edu</t>
  </si>
  <si>
    <t>DII9667</t>
  </si>
  <si>
    <t>Shippensburg University of Pennsylvania</t>
  </si>
  <si>
    <t>Van Scyoc</t>
  </si>
  <si>
    <t>AKVanScyoc@ship.edu</t>
  </si>
  <si>
    <t>717-477-1328 717-477-1328</t>
  </si>
  <si>
    <t>DIII11142</t>
  </si>
  <si>
    <t>SUNY Canton</t>
  </si>
  <si>
    <t>HC Quincy has been removed.</t>
  </si>
  <si>
    <t>DI13523</t>
  </si>
  <si>
    <t>Briana</t>
  </si>
  <si>
    <t>Chiusano</t>
  </si>
  <si>
    <t>bchiusano@bryant.edu</t>
  </si>
  <si>
    <t>Shippensburg</t>
  </si>
  <si>
    <t>$27,234/$35,324</t>
  </si>
  <si>
    <t>SUNY-Canton</t>
  </si>
  <si>
    <t>$23,261/$27,651</t>
  </si>
  <si>
    <t>DI13597</t>
  </si>
  <si>
    <t>DII9668</t>
  </si>
  <si>
    <t>Central Connecticut State University</t>
  </si>
  <si>
    <t>Breanne</t>
  </si>
  <si>
    <t>Thacker</t>
  </si>
  <si>
    <t>Bgleason@ccsu.edu</t>
  </si>
  <si>
    <t>DLThacker@ship.edu</t>
  </si>
  <si>
    <t>717-477-1327 717-477-1327</t>
  </si>
  <si>
    <t>(860) 832-2306</t>
  </si>
  <si>
    <t>DII9669</t>
  </si>
  <si>
    <t>Central Connecticut State</t>
  </si>
  <si>
    <t>Dina</t>
  </si>
  <si>
    <t>Chiappelli</t>
  </si>
  <si>
    <t>New Britain</t>
  </si>
  <si>
    <t>DMChiappelli@ship.edu</t>
  </si>
  <si>
    <t>DIII11143</t>
  </si>
  <si>
    <t>AC Jenna has been removed.</t>
  </si>
  <si>
    <t>$25,215/$38,076</t>
  </si>
  <si>
    <t>DII9726</t>
  </si>
  <si>
    <t>DI13598</t>
  </si>
  <si>
    <t>Slippery Rock University</t>
  </si>
  <si>
    <t>Holden</t>
  </si>
  <si>
    <t>stacey.rice@sru.edu</t>
  </si>
  <si>
    <t>holden@ccsu.edu</t>
  </si>
  <si>
    <t>724.738.4959 724.738.4959</t>
  </si>
  <si>
    <t>(860) 832-3050</t>
  </si>
  <si>
    <t>DIII11144</t>
  </si>
  <si>
    <t>Cavellier</t>
  </si>
  <si>
    <t>315-386-7032 315-386-7032</t>
  </si>
  <si>
    <t>DI13599</t>
  </si>
  <si>
    <t>Debrosse</t>
  </si>
  <si>
    <t>DIII11145</t>
  </si>
  <si>
    <t>Slippery Rock</t>
  </si>
  <si>
    <t>AC Tom has been removed.</t>
  </si>
  <si>
    <t>$23,806/$27,660</t>
  </si>
  <si>
    <t>DI13641</t>
  </si>
  <si>
    <t>Fairleigh Dickinson University</t>
  </si>
  <si>
    <t>Foye</t>
  </si>
  <si>
    <t>cfoye@fdu.edu</t>
  </si>
  <si>
    <t>201-692-2118 201-692-2118</t>
  </si>
  <si>
    <t>Nyman</t>
  </si>
  <si>
    <t>DII9727</t>
  </si>
  <si>
    <t>Herzog</t>
  </si>
  <si>
    <t>stacey.herzog@sru.edu</t>
  </si>
  <si>
    <t>724.738.4404 724.738.4404</t>
  </si>
  <si>
    <t>Fairleigh Dickinson</t>
  </si>
  <si>
    <t>Teaneck</t>
  </si>
  <si>
    <t>DIII21196</t>
  </si>
  <si>
    <t>Thayer</t>
  </si>
  <si>
    <t>thayerl@canton.edu</t>
  </si>
  <si>
    <t>DI13642</t>
  </si>
  <si>
    <t>Rafter</t>
  </si>
  <si>
    <t>rafter@fdu.edu</t>
  </si>
  <si>
    <t>DII9763</t>
  </si>
  <si>
    <t>University of the Sciences</t>
  </si>
  <si>
    <t>Padula</t>
  </si>
  <si>
    <t>s.padula@usciences.edu</t>
  </si>
  <si>
    <t>215-596-7393</t>
  </si>
  <si>
    <t>DI13643</t>
  </si>
  <si>
    <t>DIII21197</t>
  </si>
  <si>
    <t>DI13695</t>
  </si>
  <si>
    <t>Kortmann</t>
  </si>
  <si>
    <t>roy.kortmann@liu.edu</t>
  </si>
  <si>
    <t>(718) 488-1523 (718) 488-1523</t>
  </si>
  <si>
    <t>DIII11173</t>
  </si>
  <si>
    <t>SUNY College of Agriculture &amp; Technology at Cobleskill</t>
  </si>
  <si>
    <t>DII9764</t>
  </si>
  <si>
    <t>Slupinski</t>
  </si>
  <si>
    <t>SlupinER@cobleskill.edu</t>
  </si>
  <si>
    <t>518-255-5123</t>
  </si>
  <si>
    <t>ekirk7@usciences.edu</t>
  </si>
  <si>
    <t>LIU-Brooklyn</t>
  </si>
  <si>
    <t>18-26</t>
  </si>
  <si>
    <t>DII9765</t>
  </si>
  <si>
    <t>Chisholm</t>
  </si>
  <si>
    <t>SUNY-Cobleskill</t>
  </si>
  <si>
    <t>Cobleskill</t>
  </si>
  <si>
    <t>DI13696</t>
  </si>
  <si>
    <t>Gehrke</t>
  </si>
  <si>
    <t>$24,439/$34,289</t>
  </si>
  <si>
    <t>william.gehrke@liu.edu</t>
  </si>
  <si>
    <t>(718) 246-6435 (718) 246-6435</t>
  </si>
  <si>
    <t>DII9798</t>
  </si>
  <si>
    <t>West Chester University of Pennsylvania</t>
  </si>
  <si>
    <t>DI13697</t>
  </si>
  <si>
    <t>DIII21168</t>
  </si>
  <si>
    <t>Lokey</t>
  </si>
  <si>
    <t>laltenburger@wcupa.edu</t>
  </si>
  <si>
    <t>610-436-2170 610-436-2170</t>
  </si>
  <si>
    <t>Russo</t>
  </si>
  <si>
    <t>Rote</t>
  </si>
  <si>
    <t>andrew.russo@liu.edu</t>
  </si>
  <si>
    <t>(718) 780-4080 (718) 780-4080</t>
  </si>
  <si>
    <t>rotemj@cobleskill.edu</t>
  </si>
  <si>
    <t>(518) 255-6236</t>
  </si>
  <si>
    <t>DI13742</t>
  </si>
  <si>
    <t>Nagro</t>
  </si>
  <si>
    <t>West Chester</t>
  </si>
  <si>
    <t>nagro@msmary.edu</t>
  </si>
  <si>
    <t>301-447-3807</t>
  </si>
  <si>
    <t>DIII11206</t>
  </si>
  <si>
    <t>$26,300/$37,392</t>
  </si>
  <si>
    <t>SUNY Cortland</t>
  </si>
  <si>
    <t>molly.odonnell@cortland.edu</t>
  </si>
  <si>
    <t>607-753-5712</t>
  </si>
  <si>
    <t>Mount St. Mary's (MD)</t>
  </si>
  <si>
    <t>Emmitsburg</t>
  </si>
  <si>
    <t>y (Catholic)</t>
  </si>
  <si>
    <t>West Chester softball</t>
  </si>
  <si>
    <t>softball@wcupa.edu</t>
  </si>
  <si>
    <t>SUNY-Cortland</t>
  </si>
  <si>
    <t>Cortland</t>
  </si>
  <si>
    <t>22-25</t>
  </si>
  <si>
    <t>$24,366/$34,216</t>
  </si>
  <si>
    <t>DI13743</t>
  </si>
  <si>
    <t>Alisauckas</t>
  </si>
  <si>
    <t>m.alisauckas@msmary.edu</t>
  </si>
  <si>
    <t>DII9799</t>
  </si>
  <si>
    <t>Altenburger</t>
  </si>
  <si>
    <t>dlokey@wcupa.edu</t>
  </si>
  <si>
    <t>DIII11207</t>
  </si>
  <si>
    <t>Lachall</t>
  </si>
  <si>
    <t>jamie.lachall@cortland.edu</t>
  </si>
  <si>
    <t>DI13816</t>
  </si>
  <si>
    <t>Robert Morris University - Pennsylvania</t>
  </si>
  <si>
    <t>Jexx</t>
  </si>
  <si>
    <t>Varner</t>
  </si>
  <si>
    <t>varner@rmu.edu</t>
  </si>
  <si>
    <t>(412) 397-4932 (412) 397-4932</t>
  </si>
  <si>
    <t>South Carolina</t>
  </si>
  <si>
    <t>DII9842</t>
  </si>
  <si>
    <t>Anderson University - South Carolina</t>
  </si>
  <si>
    <t>DIII11208</t>
  </si>
  <si>
    <t>Hewitt</t>
  </si>
  <si>
    <t>Skyler</t>
  </si>
  <si>
    <t>thewitt@andersonuniversity.edu</t>
  </si>
  <si>
    <t>Hoyt</t>
  </si>
  <si>
    <t>(864) 231-2109</t>
  </si>
  <si>
    <t>skyler.hoyt@cortland.edu</t>
  </si>
  <si>
    <t>Anderson (SC)</t>
  </si>
  <si>
    <t>y (American Baptist)</t>
  </si>
  <si>
    <t>470-585</t>
  </si>
  <si>
    <t>Robert Morris (PA)</t>
  </si>
  <si>
    <t>DIII11252</t>
  </si>
  <si>
    <t>SUNY Delhi</t>
  </si>
  <si>
    <t>Hillard</t>
  </si>
  <si>
    <t>hillarme@delhi.edu</t>
  </si>
  <si>
    <t>(607) 746-4225</t>
  </si>
  <si>
    <t>DII9843</t>
  </si>
  <si>
    <t>DI13817</t>
  </si>
  <si>
    <t>achild@andersonuniversity.edu</t>
  </si>
  <si>
    <t>Pelegreen</t>
  </si>
  <si>
    <t>pelegreen@rmu.edu</t>
  </si>
  <si>
    <t>(412) 397-4931</t>
  </si>
  <si>
    <t>SUNY-Delhi</t>
  </si>
  <si>
    <t>Delhi</t>
  </si>
  <si>
    <t>$23,790/$28,160</t>
  </si>
  <si>
    <t>DI13859</t>
  </si>
  <si>
    <t>Sacred Heart University</t>
  </si>
  <si>
    <t>London</t>
  </si>
  <si>
    <t>DIII11253</t>
  </si>
  <si>
    <t>londonp@sacredheart.edu</t>
  </si>
  <si>
    <t>(203) 396-8121</t>
  </si>
  <si>
    <t>Keesler</t>
  </si>
  <si>
    <t>keeslega@delhi.edu</t>
  </si>
  <si>
    <t>DII9844</t>
  </si>
  <si>
    <t>Kendsey</t>
  </si>
  <si>
    <t>Chappelear</t>
  </si>
  <si>
    <t>kchappelear101@andersonuniversity.edu</t>
  </si>
  <si>
    <t>Sacred Heart (CT)</t>
  </si>
  <si>
    <t>1,180 composite average</t>
  </si>
  <si>
    <t>DIII11358</t>
  </si>
  <si>
    <t>SUNY Fredonia</t>
  </si>
  <si>
    <t>Ciccarello</t>
  </si>
  <si>
    <t>DII12742</t>
  </si>
  <si>
    <t>anthony.ciccarello@fredonia.edu</t>
  </si>
  <si>
    <t>(716) 673-3233 (716) 673-3233</t>
  </si>
  <si>
    <t>Benedict College</t>
  </si>
  <si>
    <t>Tandreanna</t>
  </si>
  <si>
    <t>Conyers</t>
  </si>
  <si>
    <t>DI13860</t>
  </si>
  <si>
    <t>Betsy</t>
  </si>
  <si>
    <t>harveyb@sacredheart.edu</t>
  </si>
  <si>
    <t>(203) 365-7696</t>
  </si>
  <si>
    <t>DI13861</t>
  </si>
  <si>
    <t>SUNY-Fredonia</t>
  </si>
  <si>
    <t>Benedict</t>
  </si>
  <si>
    <t>Fredonia</t>
  </si>
  <si>
    <t>Columbia</t>
  </si>
  <si>
    <t>russellj2098@sacredheart.edu</t>
  </si>
  <si>
    <t>750 composite minimum</t>
  </si>
  <si>
    <t>15 minimum</t>
  </si>
  <si>
    <t>$23,439/$33,289</t>
  </si>
  <si>
    <t>DI13862</t>
  </si>
  <si>
    <t>Luckie</t>
  </si>
  <si>
    <t>luckiee@sacredheart.edu</t>
  </si>
  <si>
    <t>(203) 371-7982</t>
  </si>
  <si>
    <t>DIII11359</t>
  </si>
  <si>
    <t>DII12743</t>
  </si>
  <si>
    <t>DI13922</t>
  </si>
  <si>
    <t>Dargan</t>
  </si>
  <si>
    <t>Saint Francis University</t>
  </si>
  <si>
    <t>jodonnell@francis.edu</t>
  </si>
  <si>
    <t>814-472-3384 814-472-3384</t>
  </si>
  <si>
    <t>DIII11360</t>
  </si>
  <si>
    <t>St. Francis (PA)</t>
  </si>
  <si>
    <t>Loretto</t>
  </si>
  <si>
    <t>DII9883</t>
  </si>
  <si>
    <t>Loraine</t>
  </si>
  <si>
    <t>Dunbar</t>
  </si>
  <si>
    <t>Loraine.Dunbar@benedict.edu</t>
  </si>
  <si>
    <t>803-705-4426 803-705-4426</t>
  </si>
  <si>
    <t>DIII11457</t>
  </si>
  <si>
    <t>Morrisville State College</t>
  </si>
  <si>
    <t>DI13923</t>
  </si>
  <si>
    <t>Assistant Coach</t>
  </si>
  <si>
    <t>marshajm@morrisville.edu</t>
  </si>
  <si>
    <t>DII12744</t>
  </si>
  <si>
    <t>Hailey</t>
  </si>
  <si>
    <t>Breakwell</t>
  </si>
  <si>
    <t>SUNY-Morrisville State</t>
  </si>
  <si>
    <t>Claflin University</t>
  </si>
  <si>
    <t>hbreakwell@francis.edu</t>
  </si>
  <si>
    <t>Morrisville</t>
  </si>
  <si>
    <t>Dora</t>
  </si>
  <si>
    <t>814-472-2817 814-472-2817</t>
  </si>
  <si>
    <t>Waymer</t>
  </si>
  <si>
    <t>dwaymer@claflin.edu</t>
  </si>
  <si>
    <t>803-535-5673 803-535-5673</t>
  </si>
  <si>
    <t>Claflin</t>
  </si>
  <si>
    <t>$26,853/$36,903</t>
  </si>
  <si>
    <t>430-470</t>
  </si>
  <si>
    <t>18-20</t>
  </si>
  <si>
    <t>DI13924</t>
  </si>
  <si>
    <t>AnnaMarie</t>
  </si>
  <si>
    <t>Gatti</t>
  </si>
  <si>
    <t>axg169@francis.edu</t>
  </si>
  <si>
    <t>814-472-3301 814-472-3301</t>
  </si>
  <si>
    <t>DII9896</t>
  </si>
  <si>
    <t>Kinard</t>
  </si>
  <si>
    <t>Stroop</t>
  </si>
  <si>
    <t>james.kinard@claflin.edu</t>
  </si>
  <si>
    <t>803-535-5030 803-535-5030</t>
  </si>
  <si>
    <t>Head Softball Coach &amp; Assistant Sports Information Director</t>
  </si>
  <si>
    <t>stroopb@morrisville.edu</t>
  </si>
  <si>
    <t>315-684-6905 315-684-6905</t>
  </si>
  <si>
    <t>DI22124</t>
  </si>
  <si>
    <t>Evanko</t>
  </si>
  <si>
    <t>aevanko@francis.edu</t>
  </si>
  <si>
    <t>814-472-2806 814-472-2806</t>
  </si>
  <si>
    <t>DII9910</t>
  </si>
  <si>
    <t>Coker College</t>
  </si>
  <si>
    <t>DIII11470</t>
  </si>
  <si>
    <t>SUNY New Paltz</t>
  </si>
  <si>
    <t>Krysti</t>
  </si>
  <si>
    <t>Maronski</t>
  </si>
  <si>
    <t>maronskk@newpaltz.edu</t>
  </si>
  <si>
    <t>tmccall@coker.edu</t>
  </si>
  <si>
    <t>845-257-3911 845-257-3911</t>
  </si>
  <si>
    <t>843-383-8164</t>
  </si>
  <si>
    <t>DI14027</t>
  </si>
  <si>
    <t>Wagner College</t>
  </si>
  <si>
    <t>Ubrun</t>
  </si>
  <si>
    <t>lindsey.ubrun@wagner.edu</t>
  </si>
  <si>
    <t>(718) 390-3201 (718) 390-3201</t>
  </si>
  <si>
    <t>Coker (SC)</t>
  </si>
  <si>
    <t>SUNY-New Paltz</t>
  </si>
  <si>
    <t>Hartsville</t>
  </si>
  <si>
    <t>New Paltz</t>
  </si>
  <si>
    <t>$23,354/$33,204</t>
  </si>
  <si>
    <t>DI14028</t>
  </si>
  <si>
    <t>DII9911</t>
  </si>
  <si>
    <t>Tebou</t>
  </si>
  <si>
    <t>sabrina.tebou@wagner.edu</t>
  </si>
  <si>
    <t>(718) 420-4266 (718) 420-4266</t>
  </si>
  <si>
    <t>Draine</t>
  </si>
  <si>
    <t>DIII11471</t>
  </si>
  <si>
    <t>mdraine@coker.edu</t>
  </si>
  <si>
    <t>843-857-4281</t>
  </si>
  <si>
    <t>Trishann</t>
  </si>
  <si>
    <t>Thay1089@gmail.com</t>
  </si>
  <si>
    <t>(845) 399-4648 (845) 399-4648</t>
  </si>
  <si>
    <t>DI14029</t>
  </si>
  <si>
    <t>Cone</t>
  </si>
  <si>
    <t>jayme.cone@wagner.edu</t>
  </si>
  <si>
    <t>DII9941</t>
  </si>
  <si>
    <t>Converse College</t>
  </si>
  <si>
    <t>jmgeorge@converse.edu</t>
  </si>
  <si>
    <t>864-596-9395</t>
  </si>
  <si>
    <t>DIII11472</t>
  </si>
  <si>
    <t>DeYoung</t>
  </si>
  <si>
    <t>adeyoung16@gmail.com</t>
  </si>
  <si>
    <t>Ohio Valley</t>
  </si>
  <si>
    <t>DI14089</t>
  </si>
  <si>
    <t>Austin Peay State University</t>
  </si>
  <si>
    <t>Kassie</t>
  </si>
  <si>
    <t>Stanfill</t>
  </si>
  <si>
    <t>stanfillk@apsu.edu</t>
  </si>
  <si>
    <t>931-221-6190</t>
  </si>
  <si>
    <t>Converse</t>
  </si>
  <si>
    <t>Austin Peay State</t>
  </si>
  <si>
    <t>DIII11506</t>
  </si>
  <si>
    <t>SUNY College at Old Westbury</t>
  </si>
  <si>
    <t>penninot@oldwestbury.edu</t>
  </si>
  <si>
    <t>470-561</t>
  </si>
  <si>
    <t>516.876.3465</t>
  </si>
  <si>
    <t>463-563</t>
  </si>
  <si>
    <t>$23,488/$38,728</t>
  </si>
  <si>
    <t>DII9942</t>
  </si>
  <si>
    <t>Kendyl</t>
  </si>
  <si>
    <t>kcscott001@converse.edu</t>
  </si>
  <si>
    <t>SUNY-Old Westbury</t>
  </si>
  <si>
    <t>Old Westbury</t>
  </si>
  <si>
    <t>DI14090</t>
  </si>
  <si>
    <t>Codee</t>
  </si>
  <si>
    <t>$23,163/$33,013</t>
  </si>
  <si>
    <t>Yeske</t>
  </si>
  <si>
    <t>yeskec@apsu.edu</t>
  </si>
  <si>
    <t>931-221-7904</t>
  </si>
  <si>
    <t>DII9969</t>
  </si>
  <si>
    <t>Erskine College</t>
  </si>
  <si>
    <t>Alleen</t>
  </si>
  <si>
    <t>hawkins@erskine.edu</t>
  </si>
  <si>
    <t>864-379-6685 864-379-6685</t>
  </si>
  <si>
    <t>DIII11507</t>
  </si>
  <si>
    <t>Erskine</t>
  </si>
  <si>
    <t>Due West</t>
  </si>
  <si>
    <t>y (Associate Reformed Presbyterian Church)</t>
  </si>
  <si>
    <t>DI14091</t>
  </si>
  <si>
    <t>Wonderly</t>
  </si>
  <si>
    <t>wonderlyb@apsu.edu</t>
  </si>
  <si>
    <t>931-221-6183</t>
  </si>
  <si>
    <t>DIII11537</t>
  </si>
  <si>
    <t>SUNY College at Oneonta</t>
  </si>
  <si>
    <t>DII9970</t>
  </si>
  <si>
    <t>Curran-Headley</t>
  </si>
  <si>
    <t>Majeski</t>
  </si>
  <si>
    <t>Sara.Headley@oneonta.edu</t>
  </si>
  <si>
    <t>607-436-3590 607-436-3590</t>
  </si>
  <si>
    <t>DI14132</t>
  </si>
  <si>
    <t>Belmont University</t>
  </si>
  <si>
    <t>Rhodes Smith</t>
  </si>
  <si>
    <t>megan.smith@belmont.edu</t>
  </si>
  <si>
    <t>615-460-5624</t>
  </si>
  <si>
    <t>DII9994</t>
  </si>
  <si>
    <t>Francis Marion University</t>
  </si>
  <si>
    <t>SUNY-Oneonta</t>
  </si>
  <si>
    <t>Vallee</t>
  </si>
  <si>
    <t>Oneonta</t>
  </si>
  <si>
    <t>svallee@fmarion.edu</t>
  </si>
  <si>
    <t>843-661-1238</t>
  </si>
  <si>
    <t>$23,502/$33,352</t>
  </si>
  <si>
    <t>DIII11538</t>
  </si>
  <si>
    <t>Speranzi</t>
  </si>
  <si>
    <t>John.Speranzi@oneonta.edu</t>
  </si>
  <si>
    <t>Francis Marion</t>
  </si>
  <si>
    <t>$22,691/$32,571</t>
  </si>
  <si>
    <t>DI14133</t>
  </si>
  <si>
    <t>Cartwright</t>
  </si>
  <si>
    <t>kelsey.cartwright@belmont.edu</t>
  </si>
  <si>
    <t>615-460-8080</t>
  </si>
  <si>
    <t>DIII11539</t>
  </si>
  <si>
    <t>Finch</t>
  </si>
  <si>
    <t>K.finch@hotmail.com</t>
  </si>
  <si>
    <t>DII9995</t>
  </si>
  <si>
    <t>Bagwell</t>
  </si>
  <si>
    <t>Stephanie.Bagwell@fmarion.edu</t>
  </si>
  <si>
    <t>843-661-4623</t>
  </si>
  <si>
    <t>DI14134</t>
  </si>
  <si>
    <t>Dukes</t>
  </si>
  <si>
    <t>laura.dukes@belmont.edu</t>
  </si>
  <si>
    <t>615-460-8033</t>
  </si>
  <si>
    <t>DIII21171</t>
  </si>
  <si>
    <t>Rupakus</t>
  </si>
  <si>
    <t>DI14194</t>
  </si>
  <si>
    <t>DII10018</t>
  </si>
  <si>
    <t>Eastern Illinois University</t>
  </si>
  <si>
    <t>Lander University</t>
  </si>
  <si>
    <t>Archibald</t>
  </si>
  <si>
    <t>Glen</t>
  </si>
  <si>
    <t>Crawford</t>
  </si>
  <si>
    <t>trarchibald@eiu.edu</t>
  </si>
  <si>
    <t>gcrawford@lander.edu</t>
  </si>
  <si>
    <t>864-388-8691</t>
  </si>
  <si>
    <t>Eastern Illinois</t>
  </si>
  <si>
    <t>DIII11580</t>
  </si>
  <si>
    <t>SUNY Oswego</t>
  </si>
  <si>
    <t>Gabrielle</t>
  </si>
  <si>
    <t>Rivers</t>
  </si>
  <si>
    <t>gabrielle.rivers@oswego.edu</t>
  </si>
  <si>
    <t>315-312-2828 315-312-2828</t>
  </si>
  <si>
    <t>$23,343/$25,503</t>
  </si>
  <si>
    <t>Lander</t>
  </si>
  <si>
    <t>Greenwood</t>
  </si>
  <si>
    <t>$23,483/$33,083</t>
  </si>
  <si>
    <t>DI14195</t>
  </si>
  <si>
    <t>Willert</t>
  </si>
  <si>
    <t>cawillert@eiu.edu</t>
  </si>
  <si>
    <t>SUNY-Oswego</t>
  </si>
  <si>
    <t>Oswego</t>
  </si>
  <si>
    <t>DII10019</t>
  </si>
  <si>
    <t>mshorter@lander.edu</t>
  </si>
  <si>
    <t>$23,551/$33,401</t>
  </si>
  <si>
    <t>864-388-8417</t>
  </si>
  <si>
    <t>DI14196</t>
  </si>
  <si>
    <t>Houck</t>
  </si>
  <si>
    <t>rnhouck@eiu.edu</t>
  </si>
  <si>
    <t>DIII11581</t>
  </si>
  <si>
    <t>Cork</t>
  </si>
  <si>
    <t>diane.cork@oswego.edu</t>
  </si>
  <si>
    <t>DII12337</t>
  </si>
  <si>
    <t>McCormack</t>
  </si>
  <si>
    <t>DI14256</t>
  </si>
  <si>
    <t>Eastern Kentucky University</t>
  </si>
  <si>
    <t>Jane</t>
  </si>
  <si>
    <t>Worthington</t>
  </si>
  <si>
    <t>jane.worthington@eku.edu</t>
  </si>
  <si>
    <t>859-622-1246 859-622-1246</t>
  </si>
  <si>
    <t>DIII11582</t>
  </si>
  <si>
    <t>Trovato</t>
  </si>
  <si>
    <t>vtrovato@oswego.edu</t>
  </si>
  <si>
    <t>DII10056</t>
  </si>
  <si>
    <t>Limestone College</t>
  </si>
  <si>
    <t>Ayates@limestone.edu</t>
  </si>
  <si>
    <t>(864) 488-8254 (864) 488-8254</t>
  </si>
  <si>
    <t>Eastern Kentucky</t>
  </si>
  <si>
    <t>Richmond</t>
  </si>
  <si>
    <t>$21,334/$30,646</t>
  </si>
  <si>
    <t>DIII11583</t>
  </si>
  <si>
    <t>DI14257</t>
  </si>
  <si>
    <t>Yule</t>
  </si>
  <si>
    <t>Arion</t>
  </si>
  <si>
    <t>Limestone</t>
  </si>
  <si>
    <t>whitney.arion@eku.edu</t>
  </si>
  <si>
    <t>859-622-2152 859-622-2152</t>
  </si>
  <si>
    <t>Gaffney</t>
  </si>
  <si>
    <t>DIII11624</t>
  </si>
  <si>
    <t>SUNY Plattsburgh</t>
  </si>
  <si>
    <t>Ferchen</t>
  </si>
  <si>
    <t>bferc001@plattsburgh.edu</t>
  </si>
  <si>
    <t>(518) 564-4144 (518) 564-4144</t>
  </si>
  <si>
    <t>DI14258</t>
  </si>
  <si>
    <t>DII10057</t>
  </si>
  <si>
    <t>May-Johnson</t>
  </si>
  <si>
    <t>stacy.johnson@eku.edu</t>
  </si>
  <si>
    <t>859-622-3502 859-622-3502</t>
  </si>
  <si>
    <t>ahayes@limestone.edu</t>
  </si>
  <si>
    <t>(864) 488-4018 (864) 488-4018</t>
  </si>
  <si>
    <t>SUNY-Plattsburgh</t>
  </si>
  <si>
    <t>Plattsburgh</t>
  </si>
  <si>
    <t>$23,956/$33,806</t>
  </si>
  <si>
    <t>DI14315</t>
  </si>
  <si>
    <t>DII10104</t>
  </si>
  <si>
    <t>Jacksonville State University</t>
  </si>
  <si>
    <t>Jana</t>
  </si>
  <si>
    <t>Newberry College</t>
  </si>
  <si>
    <t>Ciria</t>
  </si>
  <si>
    <t>Triplett</t>
  </si>
  <si>
    <t>mcginnis@jsu.edu</t>
  </si>
  <si>
    <t>ciria.triplett@newberry.edu</t>
  </si>
  <si>
    <t>256-782-5524 256-782-5524</t>
  </si>
  <si>
    <t>(803) 321-5164 (803) 321-5164</t>
  </si>
  <si>
    <t>DIII11625</t>
  </si>
  <si>
    <t>Flynn</t>
  </si>
  <si>
    <t>jflyn014@plattsburgh.edu</t>
  </si>
  <si>
    <t>(518) 564-4257 (518) 564-4257</t>
  </si>
  <si>
    <t>Jacksonville State</t>
  </si>
  <si>
    <t>430-570</t>
  </si>
  <si>
    <t>$21,132/$28,332</t>
  </si>
  <si>
    <t>Newberry (SC)</t>
  </si>
  <si>
    <t>Newberry</t>
  </si>
  <si>
    <t>DI14316</t>
  </si>
  <si>
    <t>Boland</t>
  </si>
  <si>
    <t>jboland@jsu.edu</t>
  </si>
  <si>
    <t>DIII11626</t>
  </si>
  <si>
    <t>256-782-8299 256-782-8299</t>
  </si>
  <si>
    <t>Agans</t>
  </si>
  <si>
    <t>DII10105</t>
  </si>
  <si>
    <t>mitch.smith@newberry.edu</t>
  </si>
  <si>
    <t>(803) 321-5135 (803) 321-5135</t>
  </si>
  <si>
    <t>DI14317</t>
  </si>
  <si>
    <t>Sallie Beth</t>
  </si>
  <si>
    <t>Burch</t>
  </si>
  <si>
    <t>sburch@jsu.edu</t>
  </si>
  <si>
    <t>256-782-8211 256-782-8211</t>
  </si>
  <si>
    <t>DIII21092</t>
  </si>
  <si>
    <t>North Greenville University</t>
  </si>
  <si>
    <t>Sarah.hall@ngu.edu</t>
  </si>
  <si>
    <t>DI14369</t>
  </si>
  <si>
    <t>(864) 569-8047</t>
  </si>
  <si>
    <t>Morehead State University</t>
  </si>
  <si>
    <t>smjones6@moreheadstate.edu</t>
  </si>
  <si>
    <t>606-783-5283 606-783-5283</t>
  </si>
  <si>
    <t>DIII21102</t>
  </si>
  <si>
    <t>Glashoff</t>
  </si>
  <si>
    <t>Morehead State</t>
  </si>
  <si>
    <t>Morehead</t>
  </si>
  <si>
    <t>North Greenville</t>
  </si>
  <si>
    <t>Tigerville</t>
  </si>
  <si>
    <t>$21,278/$25,526</t>
  </si>
  <si>
    <t>430-620</t>
  </si>
  <si>
    <t>480-690</t>
  </si>
  <si>
    <t>20-29</t>
  </si>
  <si>
    <t>DI14370</t>
  </si>
  <si>
    <t>O'Malley</t>
  </si>
  <si>
    <t>romalley@moreheadstate.edu</t>
  </si>
  <si>
    <t>606-783-9517 606-783-9517</t>
  </si>
  <si>
    <t>DIII21161</t>
  </si>
  <si>
    <t>Preiss</t>
  </si>
  <si>
    <t>Celsea</t>
  </si>
  <si>
    <t>celsear26@aol.com</t>
  </si>
  <si>
    <t>DI14371</t>
  </si>
  <si>
    <t>acheek2@moreheadstate.edu</t>
  </si>
  <si>
    <t>DII10140</t>
  </si>
  <si>
    <t>DIII21202</t>
  </si>
  <si>
    <t>University of South Carolina Aiken</t>
  </si>
  <si>
    <t>Snyder</t>
  </si>
  <si>
    <t>Van Dorn</t>
  </si>
  <si>
    <t>svand010@plattsburgh.edu</t>
  </si>
  <si>
    <t>jerrys@usca.edu</t>
  </si>
  <si>
    <t>803-641-3462 803-641-3462</t>
  </si>
  <si>
    <t>South Carolina-Aiken</t>
  </si>
  <si>
    <t>Aiken</t>
  </si>
  <si>
    <t>DI14414</t>
  </si>
  <si>
    <t>Murray State University</t>
  </si>
  <si>
    <t>Amundson</t>
  </si>
  <si>
    <t>kamundson@murraystate.edu</t>
  </si>
  <si>
    <t>(270) 809-3748 (270) 809-3748</t>
  </si>
  <si>
    <t>$24,557/$34,463</t>
  </si>
  <si>
    <t>DIII11660</t>
  </si>
  <si>
    <t>SUNY Polytechnic Institute</t>
  </si>
  <si>
    <t>Juleah</t>
  </si>
  <si>
    <t>Wanner</t>
  </si>
  <si>
    <t>Juleah.Wanner@sunypoly.edu</t>
  </si>
  <si>
    <t>(315) 792-7813</t>
  </si>
  <si>
    <t>Murray State (KY)</t>
  </si>
  <si>
    <t>480-595</t>
  </si>
  <si>
    <t>463-560</t>
  </si>
  <si>
    <t>$21,772/$36,052</t>
  </si>
  <si>
    <t>DII10161</t>
  </si>
  <si>
    <t>Southern Wesleyan University</t>
  </si>
  <si>
    <t>Coy</t>
  </si>
  <si>
    <t>Adkins</t>
  </si>
  <si>
    <t>cadkins@swu.edu</t>
  </si>
  <si>
    <t>864-644-5306</t>
  </si>
  <si>
    <t>SUNY-Poly</t>
  </si>
  <si>
    <t>Utica</t>
  </si>
  <si>
    <t>DI14415</t>
  </si>
  <si>
    <t>480-650</t>
  </si>
  <si>
    <t>Gilland</t>
  </si>
  <si>
    <t>510-680</t>
  </si>
  <si>
    <t>agilland@murraystate.edu</t>
  </si>
  <si>
    <t>(270) 809-6629 (270) 809-6629</t>
  </si>
  <si>
    <t>$23,795/$33,645</t>
  </si>
  <si>
    <t>Southern Wesleyan</t>
  </si>
  <si>
    <t>Central</t>
  </si>
  <si>
    <t>DI14416</t>
  </si>
  <si>
    <t>DIII11661</t>
  </si>
  <si>
    <t>ssanders18@murraystate.edu</t>
  </si>
  <si>
    <t>(270) 809-7018 (270) 809-7018</t>
  </si>
  <si>
    <t>Bartlett</t>
  </si>
  <si>
    <t>Angela.Bartlett@sunypoly.edu</t>
  </si>
  <si>
    <t>(315) 351-3571</t>
  </si>
  <si>
    <t>DII10162</t>
  </si>
  <si>
    <t>McManus</t>
  </si>
  <si>
    <t>DI14417</t>
  </si>
  <si>
    <t>DIII11662</t>
  </si>
  <si>
    <t>Culver</t>
  </si>
  <si>
    <t>AC Jessica has been removed.</t>
  </si>
  <si>
    <t>mculver@murraystate.edu</t>
  </si>
  <si>
    <t>DII10163</t>
  </si>
  <si>
    <t>DI14461</t>
  </si>
  <si>
    <t>Southeast Missouri State University</t>
  </si>
  <si>
    <t>DIII11681</t>
  </si>
  <si>
    <t>Redburn</t>
  </si>
  <si>
    <t>mredburn@semo.edu</t>
  </si>
  <si>
    <t>SUNY Potsdam</t>
  </si>
  <si>
    <t>573-651-2993</t>
  </si>
  <si>
    <t>Ott</t>
  </si>
  <si>
    <t>ottje@potsdam.edu</t>
  </si>
  <si>
    <t>315-267-3292 315-267-3292</t>
  </si>
  <si>
    <t>Southeast Missouri State</t>
  </si>
  <si>
    <t>Cape Girardeau</t>
  </si>
  <si>
    <t>DII10164</t>
  </si>
  <si>
    <t>SUNY-Potsdam</t>
  </si>
  <si>
    <t>$23,394/$33,244</t>
  </si>
  <si>
    <t>420-553</t>
  </si>
  <si>
    <t>458-583</t>
  </si>
  <si>
    <t>$20,482/$25,867</t>
  </si>
  <si>
    <t>South Dakota</t>
  </si>
  <si>
    <t>DII10216</t>
  </si>
  <si>
    <t>Augustana University - South Dakota</t>
  </si>
  <si>
    <t>Gretta</t>
  </si>
  <si>
    <t>DIII11682</t>
  </si>
  <si>
    <t>Melsted</t>
  </si>
  <si>
    <t>gretta.melsted@augie.edu</t>
  </si>
  <si>
    <t>605-274-5527 605-274-5527</t>
  </si>
  <si>
    <t>DI14462</t>
  </si>
  <si>
    <t>kajones@semo.edu</t>
  </si>
  <si>
    <t>Augustana (SD)</t>
  </si>
  <si>
    <t>SD</t>
  </si>
  <si>
    <t>Sioux Falls</t>
  </si>
  <si>
    <t>DIII11718</t>
  </si>
  <si>
    <t>SUNY Purchase College</t>
  </si>
  <si>
    <t>mark.sergio@purchase.edu</t>
  </si>
  <si>
    <t>(914) 251-7535</t>
  </si>
  <si>
    <t>DI14463</t>
  </si>
  <si>
    <t>Matthew</t>
  </si>
  <si>
    <t>Guemmer</t>
  </si>
  <si>
    <t>mguemmer@semo.edu</t>
  </si>
  <si>
    <t>DII10217</t>
  </si>
  <si>
    <t>SUNY-Purchase</t>
  </si>
  <si>
    <t>kthompson@augie.edu</t>
  </si>
  <si>
    <t>$25,763/$35,613</t>
  </si>
  <si>
    <t>DI14493</t>
  </si>
  <si>
    <t>Southern Illinois University Edwardsville</t>
  </si>
  <si>
    <t>jjoneaf@siue.edu</t>
  </si>
  <si>
    <t>DII10218</t>
  </si>
  <si>
    <t>DIII11719</t>
  </si>
  <si>
    <t>DeCosta</t>
  </si>
  <si>
    <t>Southern Illinois-Edwardsville</t>
  </si>
  <si>
    <t>Edwardsville</t>
  </si>
  <si>
    <t>458-505</t>
  </si>
  <si>
    <t>DII10265</t>
  </si>
  <si>
    <t>$23,827/$36,355</t>
  </si>
  <si>
    <t>Black Hills State University</t>
  </si>
  <si>
    <t>Marcelle</t>
  </si>
  <si>
    <t>marcelle.herman@bhsu.edu</t>
  </si>
  <si>
    <t>DIII11798</t>
  </si>
  <si>
    <t>Union College - New York</t>
  </si>
  <si>
    <t>connorsm@union.edu</t>
  </si>
  <si>
    <t>518-388-7120</t>
  </si>
  <si>
    <t>DI14494</t>
  </si>
  <si>
    <t>Liberatore</t>
  </si>
  <si>
    <t>daliber@siue.edu</t>
  </si>
  <si>
    <t>Black Hills State</t>
  </si>
  <si>
    <t>Spearfish</t>
  </si>
  <si>
    <t>$20,199/$23,115</t>
  </si>
  <si>
    <t>Union (NY)</t>
  </si>
  <si>
    <t>Schenectady</t>
  </si>
  <si>
    <t>DII10266</t>
  </si>
  <si>
    <t>Randall.Doran@bhsu.edu</t>
  </si>
  <si>
    <t>DI14495</t>
  </si>
  <si>
    <t>Charlie</t>
  </si>
  <si>
    <t>johkenn@siue.edu</t>
  </si>
  <si>
    <t>DII10296</t>
  </si>
  <si>
    <t>DIII11799</t>
  </si>
  <si>
    <t>Northern State University</t>
  </si>
  <si>
    <t>Kolonsky</t>
  </si>
  <si>
    <t>Jennifer.Fuller@northern.edu</t>
  </si>
  <si>
    <t>605-626-3336</t>
  </si>
  <si>
    <t>kolonskk@union.edu</t>
  </si>
  <si>
    <t>DI14496</t>
  </si>
  <si>
    <t>McCoy</t>
  </si>
  <si>
    <t>cougarsoftball@siue.edu</t>
  </si>
  <si>
    <t>Northern State (SD)</t>
  </si>
  <si>
    <t>Aberdeen</t>
  </si>
  <si>
    <t>$20,607/$23,520</t>
  </si>
  <si>
    <t>DIII11871</t>
  </si>
  <si>
    <t>Utica College</t>
  </si>
  <si>
    <t>Mineo</t>
  </si>
  <si>
    <t>Tennessee State University</t>
  </si>
  <si>
    <t>pmineo@utica.edu</t>
  </si>
  <si>
    <t>315-223-2508 315-223-2508</t>
  </si>
  <si>
    <t>Browning</t>
  </si>
  <si>
    <t>abrowni1@tnstate.edu</t>
  </si>
  <si>
    <t>(615) 963-1543</t>
  </si>
  <si>
    <t>Tennessee State</t>
  </si>
  <si>
    <t>DII10297</t>
  </si>
  <si>
    <t>$20,221/$32,941</t>
  </si>
  <si>
    <t>Utica (NY)</t>
  </si>
  <si>
    <t>DII10298</t>
  </si>
  <si>
    <t>Helgeson</t>
  </si>
  <si>
    <t>jenna.helgeson@wolves.northern.edu</t>
  </si>
  <si>
    <t>Genee</t>
  </si>
  <si>
    <t>McRath</t>
  </si>
  <si>
    <t>rmcrath@tnstate.edu</t>
  </si>
  <si>
    <t>DI14543</t>
  </si>
  <si>
    <t>DII10342</t>
  </si>
  <si>
    <t>Tennessee Technological University</t>
  </si>
  <si>
    <t>DIII11872</t>
  </si>
  <si>
    <t>University of Sioux Falls</t>
  </si>
  <si>
    <t>DePolo</t>
  </si>
  <si>
    <t>Pivovar</t>
  </si>
  <si>
    <t>mdepolo@tntech.edu</t>
  </si>
  <si>
    <t>Stransky</t>
  </si>
  <si>
    <t>931-372-6552</t>
  </si>
  <si>
    <t>shannon.pivovar@usiouxfalls.edu</t>
  </si>
  <si>
    <t>sestrans@utica.edu</t>
  </si>
  <si>
    <t>605-331-6893 605-331-6893</t>
  </si>
  <si>
    <t>Tennessee Tech</t>
  </si>
  <si>
    <t>Cookeville</t>
  </si>
  <si>
    <t>$25,253/$41,117</t>
  </si>
  <si>
    <t>DIII11873</t>
  </si>
  <si>
    <t>Kari</t>
  </si>
  <si>
    <t>Beane</t>
  </si>
  <si>
    <t>kabeane@utica.edu</t>
  </si>
  <si>
    <t>315-792-3209 315-792-3209</t>
  </si>
  <si>
    <t>DI14544</t>
  </si>
  <si>
    <t>cvanauken@tntech.edu</t>
  </si>
  <si>
    <t>DII10343</t>
  </si>
  <si>
    <t>Aggen</t>
  </si>
  <si>
    <t>Chris.Aggen@USiouxFalls.edu</t>
  </si>
  <si>
    <t>605-331-6806 605-331-6806</t>
  </si>
  <si>
    <t>DI14545</t>
  </si>
  <si>
    <t>DI20595</t>
  </si>
  <si>
    <t>Mihaliak</t>
  </si>
  <si>
    <t>mmihaliak@tntech.edu</t>
  </si>
  <si>
    <t>Wells College</t>
  </si>
  <si>
    <t>Tennessee</t>
  </si>
  <si>
    <t>Policay</t>
  </si>
  <si>
    <t>DII10420</t>
  </si>
  <si>
    <t>tpolicay@wells.edu</t>
  </si>
  <si>
    <t>Carson-Newman University</t>
  </si>
  <si>
    <t>Wells (NY)</t>
  </si>
  <si>
    <t>Graves</t>
  </si>
  <si>
    <t>mgraves@cn.edu</t>
  </si>
  <si>
    <t>865-471-3424</t>
  </si>
  <si>
    <t>DI14591</t>
  </si>
  <si>
    <t>University of Tennessee - Martin</t>
  </si>
  <si>
    <t>430-555</t>
  </si>
  <si>
    <t>bdunn9@utm.edu</t>
  </si>
  <si>
    <t>731-881-7162 731-881-7162</t>
  </si>
  <si>
    <t>Carson-Newman</t>
  </si>
  <si>
    <t>400-560</t>
  </si>
  <si>
    <t>DIII11953</t>
  </si>
  <si>
    <t>athletics@wells.edu</t>
  </si>
  <si>
    <t>315-364-3409</t>
  </si>
  <si>
    <t>Tennessee-Martin</t>
  </si>
  <si>
    <t>DII10421</t>
  </si>
  <si>
    <t>495-580</t>
  </si>
  <si>
    <t>Toppel</t>
  </si>
  <si>
    <t>ktoppel@cn.edu</t>
  </si>
  <si>
    <t>865-471-4289</t>
  </si>
  <si>
    <t>$20,446/$26,206</t>
  </si>
  <si>
    <t>DIII11979</t>
  </si>
  <si>
    <t>DI14592</t>
  </si>
  <si>
    <t>Yeshiva University</t>
  </si>
  <si>
    <t>DeStaso</t>
  </si>
  <si>
    <t>Farmer</t>
  </si>
  <si>
    <t>danielle.destaso@yu.edu</t>
  </si>
  <si>
    <t>cfarme21@utm.edu</t>
  </si>
  <si>
    <t>731-881-7608 731-881-7608</t>
  </si>
  <si>
    <t>DII10422</t>
  </si>
  <si>
    <t>Rager</t>
  </si>
  <si>
    <t>anrager@cn.edu</t>
  </si>
  <si>
    <t>Yeshiva</t>
  </si>
  <si>
    <t>DI14593</t>
  </si>
  <si>
    <t>23-30</t>
  </si>
  <si>
    <t>Marlee</t>
  </si>
  <si>
    <t>mwilson@utm.edu</t>
  </si>
  <si>
    <t>DII10471</t>
  </si>
  <si>
    <t>Christian Brothers University</t>
  </si>
  <si>
    <t>Bastain</t>
  </si>
  <si>
    <t>jbastian@cbu.edu</t>
  </si>
  <si>
    <t>901-321-3376</t>
  </si>
  <si>
    <t>DIII11980</t>
  </si>
  <si>
    <t>Serraro</t>
  </si>
  <si>
    <t>jillian.serraro@yu.edu</t>
  </si>
  <si>
    <t>Pac-12</t>
  </si>
  <si>
    <t>AZ</t>
  </si>
  <si>
    <t>Christian Brothers</t>
  </si>
  <si>
    <t>University of Arizona</t>
  </si>
  <si>
    <t>Candrea</t>
  </si>
  <si>
    <t>candrea@arizona.edu</t>
  </si>
  <si>
    <t>520-621-4920</t>
  </si>
  <si>
    <t>Arizona</t>
  </si>
  <si>
    <t>Tucson</t>
  </si>
  <si>
    <t>DIII11981</t>
  </si>
  <si>
    <t>Potasnick</t>
  </si>
  <si>
    <t>$27,169/$50,367</t>
  </si>
  <si>
    <t>DII10472</t>
  </si>
  <si>
    <t>jgonzale@cbu.edu</t>
  </si>
  <si>
    <t>DIII12012</t>
  </si>
  <si>
    <t>York College</t>
  </si>
  <si>
    <t>DII10473</t>
  </si>
  <si>
    <t>TMarshall@york.cuny.edu</t>
  </si>
  <si>
    <t>718.262.5207 718.262.5207</t>
  </si>
  <si>
    <t>Chambers</t>
  </si>
  <si>
    <t>flaca@arizona.edu</t>
  </si>
  <si>
    <t>achambe4@cbu.edu</t>
  </si>
  <si>
    <t>York (NY)</t>
  </si>
  <si>
    <t>$27,127/$34,237</t>
  </si>
  <si>
    <t>Taryne</t>
  </si>
  <si>
    <t>Mowatt</t>
  </si>
  <si>
    <t>tarynem@arizona.edu</t>
  </si>
  <si>
    <t>DIII12013</t>
  </si>
  <si>
    <t>DII10503</t>
  </si>
  <si>
    <t>AC Fabio has been removed.</t>
  </si>
  <si>
    <t>King University - Tennessee</t>
  </si>
  <si>
    <t>Cockerham</t>
  </si>
  <si>
    <t>Iveson</t>
  </si>
  <si>
    <t>ccockerham@king.edu</t>
  </si>
  <si>
    <t>Rec Coor/Dir SB Ops</t>
  </si>
  <si>
    <t>423-652-6343</t>
  </si>
  <si>
    <t>siveson@arizona.edu</t>
  </si>
  <si>
    <t>DIII12053</t>
  </si>
  <si>
    <t>Brevard College</t>
  </si>
  <si>
    <t>Robyn</t>
  </si>
  <si>
    <t>DI14649</t>
  </si>
  <si>
    <t>Rohr</t>
  </si>
  <si>
    <t>rohrroba@brevard.edu</t>
  </si>
  <si>
    <t>Arizona State University</t>
  </si>
  <si>
    <t>(828) 884-8346</t>
  </si>
  <si>
    <t>Trisha.Ford@asu.edu</t>
  </si>
  <si>
    <t>480-727-0915 480-727-0915</t>
  </si>
  <si>
    <t>King (TN)</t>
  </si>
  <si>
    <t>Bristol</t>
  </si>
  <si>
    <t>Brevard</t>
  </si>
  <si>
    <t>438-565</t>
  </si>
  <si>
    <t>DII10504</t>
  </si>
  <si>
    <t>DIII12054</t>
  </si>
  <si>
    <t>Charles</t>
  </si>
  <si>
    <t>Kielson</t>
  </si>
  <si>
    <t>hannahbsmith@king.edu</t>
  </si>
  <si>
    <t>423-652-4856</t>
  </si>
  <si>
    <t>kielson9@charter.net</t>
  </si>
  <si>
    <t>(828) 734-3407</t>
  </si>
  <si>
    <t>Arizona State</t>
  </si>
  <si>
    <t>Tempe</t>
  </si>
  <si>
    <t>$26,263/$42,363</t>
  </si>
  <si>
    <t>kielsocs@brevard.edu</t>
  </si>
  <si>
    <t>DII10548</t>
  </si>
  <si>
    <t>Lane College</t>
  </si>
  <si>
    <t>Ballard</t>
  </si>
  <si>
    <t>lballard@lanecollege.edu</t>
  </si>
  <si>
    <t>Arizona State Softball</t>
  </si>
  <si>
    <t>ASUSoftball@asu.edu</t>
  </si>
  <si>
    <t>DIII21098</t>
  </si>
  <si>
    <t>Lane (TN)</t>
  </si>
  <si>
    <t>georgejl@brevard.edu</t>
  </si>
  <si>
    <t>$15,663/$20,991</t>
  </si>
  <si>
    <t>Lane CC (OR)</t>
  </si>
  <si>
    <t>DI14650</t>
  </si>
  <si>
    <t>Wynn</t>
  </si>
  <si>
    <t>Carly.Wynn@asu.edu</t>
  </si>
  <si>
    <t>480-965-0208 480-965-0208</t>
  </si>
  <si>
    <t>DII10549</t>
  </si>
  <si>
    <t>DIII21165</t>
  </si>
  <si>
    <t>DIII12094</t>
  </si>
  <si>
    <t>Greensboro College</t>
  </si>
  <si>
    <t>DI14651</t>
  </si>
  <si>
    <t>Fister</t>
  </si>
  <si>
    <t>teresa.fister@greensboro.edu</t>
  </si>
  <si>
    <t>Harger</t>
  </si>
  <si>
    <t>(336)272-7102, ext.5691 (336)272-7102, ext.5691</t>
  </si>
  <si>
    <t>Jeff.Harger@asu.edu</t>
  </si>
  <si>
    <t>DII10568</t>
  </si>
  <si>
    <t>Lee University</t>
  </si>
  <si>
    <t>erussell@leeuniversity.edu</t>
  </si>
  <si>
    <t>(423) 614-8456 (423) 614-8456</t>
  </si>
  <si>
    <t>DI14652</t>
  </si>
  <si>
    <t>Soria</t>
  </si>
  <si>
    <t>Lee (TN)</t>
  </si>
  <si>
    <t>DIII12095</t>
  </si>
  <si>
    <t>DI14653</t>
  </si>
  <si>
    <t>Tuders</t>
  </si>
  <si>
    <t>steven.tuders@greensboro.edu</t>
  </si>
  <si>
    <t>taylorgreen@asu.edu</t>
  </si>
  <si>
    <t>480-727-7312 480-727-7312</t>
  </si>
  <si>
    <t>DII10569</t>
  </si>
  <si>
    <t>Yonan</t>
  </si>
  <si>
    <t>nyonan@leeuniversity.edu</t>
  </si>
  <si>
    <t>(423-614-8456 (423-614-8456</t>
  </si>
  <si>
    <t>DIII12096</t>
  </si>
  <si>
    <t>DI14654</t>
  </si>
  <si>
    <t>Maldonado</t>
  </si>
  <si>
    <t>Stankiewicz</t>
  </si>
  <si>
    <t>alyssa.maldonado@greensboro.edu</t>
  </si>
  <si>
    <t>DII10570</t>
  </si>
  <si>
    <t>DI14734</t>
  </si>
  <si>
    <t>jmcintyre@leeuniversity.edu</t>
  </si>
  <si>
    <t>DIII12139</t>
  </si>
  <si>
    <t>(423) 614-8640 (423) 614-8640</t>
  </si>
  <si>
    <t>University of California</t>
  </si>
  <si>
    <t>Guilford College</t>
  </si>
  <si>
    <t>Ninemire</t>
  </si>
  <si>
    <t>Shores</t>
  </si>
  <si>
    <t>ninemire@berkeley.edu</t>
  </si>
  <si>
    <t>510-643-9101</t>
  </si>
  <si>
    <t>shoresdw@guilford.edu</t>
  </si>
  <si>
    <t>336-316-2247</t>
  </si>
  <si>
    <t>Guilford</t>
  </si>
  <si>
    <t>California-Berkeley</t>
  </si>
  <si>
    <t>Berkeley</t>
  </si>
  <si>
    <t>DII10571</t>
  </si>
  <si>
    <t>Sermons</t>
  </si>
  <si>
    <t>650-790</t>
  </si>
  <si>
    <t>$36,369/$63,051</t>
  </si>
  <si>
    <t>DIII12140</t>
  </si>
  <si>
    <t>DI14735</t>
  </si>
  <si>
    <t>Andrews Peterson</t>
  </si>
  <si>
    <t>Lohmann</t>
  </si>
  <si>
    <t>andrewsmg@guilford.edu</t>
  </si>
  <si>
    <t>c: 919-478-4732</t>
  </si>
  <si>
    <t>tll@berkeley.edu</t>
  </si>
  <si>
    <t>DII10614</t>
  </si>
  <si>
    <t>LeMoyne-Owen College</t>
  </si>
  <si>
    <t>reginald_morris@loc.edu</t>
  </si>
  <si>
    <t>901 435-1230 901 435-1230</t>
  </si>
  <si>
    <t>LeMoyne-Owen</t>
  </si>
  <si>
    <t>DI14736</t>
  </si>
  <si>
    <t>y (United Methodist Church; United Church of Christ)</t>
  </si>
  <si>
    <t>mbrown5@berkeley.edu</t>
  </si>
  <si>
    <t>DIII12141</t>
  </si>
  <si>
    <t>lambrd@guilford.edu</t>
  </si>
  <si>
    <t>c: 336-577-2051</t>
  </si>
  <si>
    <t>DI14808</t>
  </si>
  <si>
    <t>University of California - Los Angeles - UCLA</t>
  </si>
  <si>
    <t>Inouye-Perez</t>
  </si>
  <si>
    <t>DII10633</t>
  </si>
  <si>
    <t>kinouye@athletics.ucla.edu</t>
  </si>
  <si>
    <t>Lincoln Memorial University</t>
  </si>
  <si>
    <t>310-206-6779</t>
  </si>
  <si>
    <t>Ritchie</t>
  </si>
  <si>
    <t>ritchie.richardson@lmunet.edu</t>
  </si>
  <si>
    <t>423.869.6476 423.869.6476</t>
  </si>
  <si>
    <t>DIII12142</t>
  </si>
  <si>
    <t>Barnette</t>
  </si>
  <si>
    <t>barnettece@guilford.edu</t>
  </si>
  <si>
    <t>California-Los Angeles (UCLA)</t>
  </si>
  <si>
    <t>Lincoln Memorial (TN)</t>
  </si>
  <si>
    <t>DIII12172</t>
  </si>
  <si>
    <t>Harrogate</t>
  </si>
  <si>
    <t>Meredith College</t>
  </si>
  <si>
    <t>570-710</t>
  </si>
  <si>
    <t>Scavone</t>
  </si>
  <si>
    <t>590-760</t>
  </si>
  <si>
    <t>scavonek@meredith.edu</t>
  </si>
  <si>
    <t>(919) 760-8734</t>
  </si>
  <si>
    <t>$34,056/$60,738</t>
  </si>
  <si>
    <t>Women-only</t>
  </si>
  <si>
    <t>460-563</t>
  </si>
  <si>
    <t>DII10634</t>
  </si>
  <si>
    <t>DI14809</t>
  </si>
  <si>
    <t>Fernandez</t>
  </si>
  <si>
    <t>travis.hill@lmunet.edu</t>
  </si>
  <si>
    <t>lfernandez@athletics.ucla.edu</t>
  </si>
  <si>
    <t>DIII12173</t>
  </si>
  <si>
    <t>sawatson@meredith.edu</t>
  </si>
  <si>
    <t>DI14810</t>
  </si>
  <si>
    <t>kwalker@athletics.ucla.edu</t>
  </si>
  <si>
    <t>DIII12174</t>
  </si>
  <si>
    <t>Renzi</t>
  </si>
  <si>
    <t>adrenzi@meredith.edu</t>
  </si>
  <si>
    <t>DII10635</t>
  </si>
  <si>
    <t>Kyleigh</t>
  </si>
  <si>
    <t>kyleigh.payne@lmunet.edu</t>
  </si>
  <si>
    <t>DI14811</t>
  </si>
  <si>
    <t>Donyanavard</t>
  </si>
  <si>
    <t>claired@athletics.ucla.edu</t>
  </si>
  <si>
    <t>DIII12205</t>
  </si>
  <si>
    <t>Methodist University</t>
  </si>
  <si>
    <t>Simpson</t>
  </si>
  <si>
    <t>rsimpson@methodist.edu</t>
  </si>
  <si>
    <t>910.630.7290 910.630.7290</t>
  </si>
  <si>
    <t>Trevecca Nazarene University</t>
  </si>
  <si>
    <t>Tyree</t>
  </si>
  <si>
    <t>DI14982</t>
  </si>
  <si>
    <t>btyree@trevecca.edu</t>
  </si>
  <si>
    <t>615.248.1277</t>
  </si>
  <si>
    <t>University of Oregon</t>
  </si>
  <si>
    <t>Lombardi</t>
  </si>
  <si>
    <t>softball@uoregon.edu</t>
  </si>
  <si>
    <t>Methodist (NC)</t>
  </si>
  <si>
    <t>Trevecca Nazarene</t>
  </si>
  <si>
    <t>Eugene</t>
  </si>
  <si>
    <t>$25,815/$48,495</t>
  </si>
  <si>
    <t>DIII12206</t>
  </si>
  <si>
    <t>Wickham</t>
  </si>
  <si>
    <t>awickham@methodist.edu</t>
  </si>
  <si>
    <t>DI14983</t>
  </si>
  <si>
    <t>Langenfeld</t>
  </si>
  <si>
    <t>Daws</t>
  </si>
  <si>
    <t>SEDaws@trevecca.edu</t>
  </si>
  <si>
    <t>DIII12207</t>
  </si>
  <si>
    <t>gomethodist@gmail.com</t>
  </si>
  <si>
    <t>DI14984</t>
  </si>
  <si>
    <t>Shults</t>
  </si>
  <si>
    <t>Alli</t>
  </si>
  <si>
    <t>Fulcher</t>
  </si>
  <si>
    <t>AMFulcher@trevecca.edu</t>
  </si>
  <si>
    <t>DIII12208</t>
  </si>
  <si>
    <t>Elmer</t>
  </si>
  <si>
    <t>Mason</t>
  </si>
  <si>
    <t>DI14986</t>
  </si>
  <si>
    <t>DII12135</t>
  </si>
  <si>
    <t>jklein11@uoregon.edu</t>
  </si>
  <si>
    <t>DIII21083</t>
  </si>
  <si>
    <t>Dombrowski</t>
  </si>
  <si>
    <t>DII12859</t>
  </si>
  <si>
    <t>DI21376</t>
  </si>
  <si>
    <t>DIII12250</t>
  </si>
  <si>
    <t>Jo</t>
  </si>
  <si>
    <t>North Carolina Wesleyan College</t>
  </si>
  <si>
    <t>Koons</t>
  </si>
  <si>
    <t>Brackett</t>
  </si>
  <si>
    <t>sedaws@trevecca.edu</t>
  </si>
  <si>
    <t>jbrackett@ncwc.edu</t>
  </si>
  <si>
    <t>252-985-5217</t>
  </si>
  <si>
    <t>North Carolina Wesleyan</t>
  </si>
  <si>
    <t>Rocky Mount</t>
  </si>
  <si>
    <t>390-530</t>
  </si>
  <si>
    <t>DII10692</t>
  </si>
  <si>
    <t>Tusculum University</t>
  </si>
  <si>
    <t>Huebner</t>
  </si>
  <si>
    <t>jhuebner@tusculum.edu</t>
  </si>
  <si>
    <t>(423) 636-7300 x-5131</t>
  </si>
  <si>
    <t>DI15060</t>
  </si>
  <si>
    <t>Oregon State University</t>
  </si>
  <si>
    <t>Laura.Berg@oregonstate.edu</t>
  </si>
  <si>
    <t>541-737-2789</t>
  </si>
  <si>
    <t>DIII12251</t>
  </si>
  <si>
    <t>Mills</t>
  </si>
  <si>
    <t>mmills@ncwc.edu</t>
  </si>
  <si>
    <t>252-985-5303</t>
  </si>
  <si>
    <t>Tusculum</t>
  </si>
  <si>
    <t>413-500</t>
  </si>
  <si>
    <t>DIII12252</t>
  </si>
  <si>
    <t>Fulford</t>
  </si>
  <si>
    <t>DII10693</t>
  </si>
  <si>
    <t>Neubauer</t>
  </si>
  <si>
    <t>Oregon State</t>
  </si>
  <si>
    <t>kneubauer@tusculum.edu</t>
  </si>
  <si>
    <t>Corvallis</t>
  </si>
  <si>
    <t>$26,341/$44,821</t>
  </si>
  <si>
    <t>DII10694</t>
  </si>
  <si>
    <t>Volunteer AC Erin has been removed.</t>
  </si>
  <si>
    <t>Pfeiffer University</t>
  </si>
  <si>
    <t>Monte</t>
  </si>
  <si>
    <t>Sherrill</t>
  </si>
  <si>
    <t>DI15061</t>
  </si>
  <si>
    <t>monte.sherrill@pfeiffer.edu</t>
  </si>
  <si>
    <t>828-446-6006</t>
  </si>
  <si>
    <t>Marcie.Green@oregonstate.edu</t>
  </si>
  <si>
    <t>DII12774</t>
  </si>
  <si>
    <t>Kuefler</t>
  </si>
  <si>
    <t>Pfeiffer (NC)</t>
  </si>
  <si>
    <t>Misenheimer</t>
  </si>
  <si>
    <t>DII10738</t>
  </si>
  <si>
    <t>DI15062</t>
  </si>
  <si>
    <t>Union University</t>
  </si>
  <si>
    <t>Sher</t>
  </si>
  <si>
    <t>msher@uu.edu</t>
  </si>
  <si>
    <t>Leyba</t>
  </si>
  <si>
    <t>731-661-5141 731-661-5141</t>
  </si>
  <si>
    <t>@Mackenzie_Sher</t>
  </si>
  <si>
    <t>eric.leyba@oregonstate.edu</t>
  </si>
  <si>
    <t>Vada</t>
  </si>
  <si>
    <t>Blue Sherrill</t>
  </si>
  <si>
    <t>vada.sherrill@pfeiffer.edu</t>
  </si>
  <si>
    <t>Union (TN)</t>
  </si>
  <si>
    <t>DI15063</t>
  </si>
  <si>
    <t>DII10739</t>
  </si>
  <si>
    <t>Orick</t>
  </si>
  <si>
    <t>rod.orick@pfeiffer.edu</t>
  </si>
  <si>
    <t>pmurray@uu.edu</t>
  </si>
  <si>
    <t>731-661- 731-661-</t>
  </si>
  <si>
    <t>Heather.Smith@oregonstate.edu</t>
  </si>
  <si>
    <t>DI15064</t>
  </si>
  <si>
    <t>DII10740</t>
  </si>
  <si>
    <t>Shelly</t>
  </si>
  <si>
    <t>Prochaska</t>
  </si>
  <si>
    <t>Brunet</t>
  </si>
  <si>
    <t>shelly.prochaska@oregonstate.edu</t>
  </si>
  <si>
    <t>mbrunet@uu.edu</t>
  </si>
  <si>
    <t>731-661-6515 731-661-6515</t>
  </si>
  <si>
    <t>DIII12271</t>
  </si>
  <si>
    <t>Salem College</t>
  </si>
  <si>
    <t>Octavia</t>
  </si>
  <si>
    <t>Saunders</t>
  </si>
  <si>
    <t>octavia.saunders@salem.edu</t>
  </si>
  <si>
    <t>336-721-2648</t>
  </si>
  <si>
    <t>DII10741</t>
  </si>
  <si>
    <t>Carlo</t>
  </si>
  <si>
    <t>Spencer</t>
  </si>
  <si>
    <t>DI15229</t>
  </si>
  <si>
    <t>Stanford University</t>
  </si>
  <si>
    <t>Allister</t>
  </si>
  <si>
    <t>allister@stanford.edu</t>
  </si>
  <si>
    <t>Salem (NC)</t>
  </si>
  <si>
    <t>650.725.0736 650.725.0736</t>
  </si>
  <si>
    <t>y (Moravian Church)</t>
  </si>
  <si>
    <t>DII10742</t>
  </si>
  <si>
    <t>Maddi</t>
  </si>
  <si>
    <t>DIII12272</t>
  </si>
  <si>
    <t>Barbour</t>
  </si>
  <si>
    <t>kaitlyn.barbour@salem.edu</t>
  </si>
  <si>
    <t>Stanford</t>
  </si>
  <si>
    <t>Palo Alto</t>
  </si>
  <si>
    <t>700-780</t>
  </si>
  <si>
    <t>DII10787</t>
  </si>
  <si>
    <t>31-35</t>
  </si>
  <si>
    <t>Angelo State University</t>
  </si>
  <si>
    <t>travis.scott@angelo.edu</t>
  </si>
  <si>
    <t>325-486-6065 325-486-6065</t>
  </si>
  <si>
    <t>DIII12292</t>
  </si>
  <si>
    <t>William Peace University</t>
  </si>
  <si>
    <t>cdobbins@peace.edu</t>
  </si>
  <si>
    <t>c: 919.422.3607</t>
  </si>
  <si>
    <t>DI15230</t>
  </si>
  <si>
    <t>Angelo State</t>
  </si>
  <si>
    <t>San Angelo</t>
  </si>
  <si>
    <t>William Peace</t>
  </si>
  <si>
    <t>jmerch@stanford.edu</t>
  </si>
  <si>
    <t>650.725.1410 650.725.1410</t>
  </si>
  <si>
    <t>403-518</t>
  </si>
  <si>
    <t>$19,943/$29,735</t>
  </si>
  <si>
    <t>390-498</t>
  </si>
  <si>
    <t>DIII12293</t>
  </si>
  <si>
    <t>DII10788</t>
  </si>
  <si>
    <t>DI15231</t>
  </si>
  <si>
    <t>hnreynolds@peace.edu</t>
  </si>
  <si>
    <t>Nyberg</t>
  </si>
  <si>
    <t>katie.scott@angelo.edu</t>
  </si>
  <si>
    <t>325-486-6061 325-486-6061</t>
  </si>
  <si>
    <t>tnyberg@stanford.edu</t>
  </si>
  <si>
    <t>650.725.2631 650.725.2631</t>
  </si>
  <si>
    <t>DIII12294</t>
  </si>
  <si>
    <t>Knussman</t>
  </si>
  <si>
    <t>rpknussman@peace.edu</t>
  </si>
  <si>
    <t>DII10789</t>
  </si>
  <si>
    <t>Mangold</t>
  </si>
  <si>
    <t>DI15232</t>
  </si>
  <si>
    <t>Karissa</t>
  </si>
  <si>
    <t>Hovinga</t>
  </si>
  <si>
    <t>stanfordsoftball@stanford.edu</t>
  </si>
  <si>
    <t>DII12372</t>
  </si>
  <si>
    <t>DIII12295</t>
  </si>
  <si>
    <t>Teagan</t>
  </si>
  <si>
    <t>Horn</t>
  </si>
  <si>
    <t>DI15233</t>
  </si>
  <si>
    <t>DII10844</t>
  </si>
  <si>
    <t>Branden</t>
  </si>
  <si>
    <t>Enstrom</t>
  </si>
  <si>
    <t>Lubbock Christian University</t>
  </si>
  <si>
    <t>Enstrom@stanford.edu</t>
  </si>
  <si>
    <t>Daren</t>
  </si>
  <si>
    <t>DIII12296</t>
  </si>
  <si>
    <t>650.497.3835 650.497.3835</t>
  </si>
  <si>
    <t>daren.hays@lcu.edu</t>
  </si>
  <si>
    <t>806-720-7274</t>
  </si>
  <si>
    <t>Wootson-Ross</t>
  </si>
  <si>
    <t>DI15336</t>
  </si>
  <si>
    <t>DIII12349</t>
  </si>
  <si>
    <t>University of Utah</t>
  </si>
  <si>
    <t>Baldwin Wallace University</t>
  </si>
  <si>
    <t>Lubbock Christian</t>
  </si>
  <si>
    <t>Hogue</t>
  </si>
  <si>
    <t>tspencer@bw.edu</t>
  </si>
  <si>
    <t>440-826-3398</t>
  </si>
  <si>
    <t>801- 581-3514 801- 581-3514</t>
  </si>
  <si>
    <t>Baldwin Wallace</t>
  </si>
  <si>
    <t>Utah</t>
  </si>
  <si>
    <t>Salt Lake City</t>
  </si>
  <si>
    <t>DII10845</t>
  </si>
  <si>
    <t>$22,834/$41,355</t>
  </si>
  <si>
    <t>DIII12350</t>
  </si>
  <si>
    <t>DI15337</t>
  </si>
  <si>
    <t>DII10846</t>
  </si>
  <si>
    <t>Yocabet</t>
  </si>
  <si>
    <t>jyocabet@bw.edu</t>
  </si>
  <si>
    <t>Thomson</t>
  </si>
  <si>
    <t>thedrurys@yahoo.com</t>
  </si>
  <si>
    <t>@mrs_ashtondrury</t>
  </si>
  <si>
    <t>cthomson@huntsman.utah.edu</t>
  </si>
  <si>
    <t>801- 581-3093 801- 581-3093</t>
  </si>
  <si>
    <t>DIII12351</t>
  </si>
  <si>
    <t>Piechowiak</t>
  </si>
  <si>
    <t>DII10880</t>
  </si>
  <si>
    <t>Midwestern State University</t>
  </si>
  <si>
    <t>Ryal</t>
  </si>
  <si>
    <t>DI15338</t>
  </si>
  <si>
    <t>mark.ryal@msutexas.edu</t>
  </si>
  <si>
    <t>940-397-6329</t>
  </si>
  <si>
    <t>DIII20624</t>
  </si>
  <si>
    <t>Midwestern State</t>
  </si>
  <si>
    <t>Minor</t>
  </si>
  <si>
    <t>sminor@bw.edu</t>
  </si>
  <si>
    <t>Wichita Falls</t>
  </si>
  <si>
    <t>$19,812/$21,762</t>
  </si>
  <si>
    <t>DIII21211</t>
  </si>
  <si>
    <t>Boledovic</t>
  </si>
  <si>
    <t>jboledov@bw.edu</t>
  </si>
  <si>
    <t>DI15339</t>
  </si>
  <si>
    <t>Russ</t>
  </si>
  <si>
    <t>Paskins</t>
  </si>
  <si>
    <t>DII10881</t>
  </si>
  <si>
    <t>amanda.thomas@msutexas.edu</t>
  </si>
  <si>
    <t>DIII12421</t>
  </si>
  <si>
    <t>Bluffton University</t>
  </si>
  <si>
    <t>DeMoine</t>
  </si>
  <si>
    <t>demoinea@bluffton.edu</t>
  </si>
  <si>
    <t>419-358-3378</t>
  </si>
  <si>
    <t>DII10914</t>
  </si>
  <si>
    <t>St. Edward's University</t>
  </si>
  <si>
    <t>Glasgow</t>
  </si>
  <si>
    <t>DI15340</t>
  </si>
  <si>
    <t>lglasgow@stedwards.edu</t>
  </si>
  <si>
    <t>512-428-1049 512-428-1049</t>
  </si>
  <si>
    <t>Hemingway</t>
  </si>
  <si>
    <t>shemingway@huntsman.utah.edu</t>
  </si>
  <si>
    <t>801-587-9478 801-587-9478</t>
  </si>
  <si>
    <t>St. Edward's (TX)</t>
  </si>
  <si>
    <t>Bluffton</t>
  </si>
  <si>
    <t>y (Mennonite)</t>
  </si>
  <si>
    <t>WA</t>
  </si>
  <si>
    <t>DI15422</t>
  </si>
  <si>
    <t>University of Washington</t>
  </si>
  <si>
    <t>Tarr</t>
  </si>
  <si>
    <t>DII10915</t>
  </si>
  <si>
    <t>htarr@uw.edu</t>
  </si>
  <si>
    <t>(206) 543-3785 (206) 543-3785</t>
  </si>
  <si>
    <t>Cantu</t>
  </si>
  <si>
    <t>kcantu11@stedwards.edu</t>
  </si>
  <si>
    <t>512-448-8494 512-448-8494</t>
  </si>
  <si>
    <t>DIII12464</t>
  </si>
  <si>
    <t>Capital University</t>
  </si>
  <si>
    <t>Nagy</t>
  </si>
  <si>
    <t>anagy@capital.edu</t>
  </si>
  <si>
    <t>614-236-6487</t>
  </si>
  <si>
    <t>DII10948</t>
  </si>
  <si>
    <t>St. Mary's University - Texas</t>
  </si>
  <si>
    <t>Fields</t>
  </si>
  <si>
    <t>Washington (WA)</t>
  </si>
  <si>
    <t>dfields@stmarytx.edu</t>
  </si>
  <si>
    <t>210-431-5034 210-431-5034</t>
  </si>
  <si>
    <t>Seattle</t>
  </si>
  <si>
    <t>580-710</t>
  </si>
  <si>
    <t>$25,948/$49,986</t>
  </si>
  <si>
    <t>Capital (OH)</t>
  </si>
  <si>
    <t>DI15423</t>
  </si>
  <si>
    <t>St. Mary's (TX)</t>
  </si>
  <si>
    <t>DIII21217</t>
  </si>
  <si>
    <t>D'Amico</t>
  </si>
  <si>
    <t>jtd77@uw.edu</t>
  </si>
  <si>
    <t>Cardenas</t>
  </si>
  <si>
    <t>(206) 685-3353 (206) 685-3353</t>
  </si>
  <si>
    <t>kcardenas@capital.edu</t>
  </si>
  <si>
    <t>614-236-6558</t>
  </si>
  <si>
    <t>DII10949</t>
  </si>
  <si>
    <t>Post</t>
  </si>
  <si>
    <t>htorrez@stmarytx.edu</t>
  </si>
  <si>
    <t>210-431-4246 210-431-4246</t>
  </si>
  <si>
    <t>DIII12515</t>
  </si>
  <si>
    <t>Case Western Reserve University</t>
  </si>
  <si>
    <t>Josie</t>
  </si>
  <si>
    <t>josephine.henry@case.edu</t>
  </si>
  <si>
    <t>216-368-5685</t>
  </si>
  <si>
    <t>DI15424</t>
  </si>
  <si>
    <t>LeFurgy</t>
  </si>
  <si>
    <t>DII10950</t>
  </si>
  <si>
    <t>alefurgy@uw.edu</t>
  </si>
  <si>
    <t>Leticia</t>
  </si>
  <si>
    <t>(206) 543-6072 (206) 543-6072</t>
  </si>
  <si>
    <t>Morales-Bissaro</t>
  </si>
  <si>
    <t>lbissaro@stmarytx.edu</t>
  </si>
  <si>
    <t>Case-Western Reserve</t>
  </si>
  <si>
    <t>DII10951</t>
  </si>
  <si>
    <t>DI15425</t>
  </si>
  <si>
    <t>AC Ku'ulei has been removed.</t>
  </si>
  <si>
    <t>Glasoe</t>
  </si>
  <si>
    <t>lglasoe@uw.edu</t>
  </si>
  <si>
    <t>(206) 543-5872 (206) 543-5872</t>
  </si>
  <si>
    <t>DIII12516</t>
  </si>
  <si>
    <t>Pratt</t>
  </si>
  <si>
    <t>jkp61@case.edu</t>
  </si>
  <si>
    <t>DII10952</t>
  </si>
  <si>
    <t>Patriot</t>
  </si>
  <si>
    <t>Etter</t>
  </si>
  <si>
    <t>getter1@stmarytx.edu</t>
  </si>
  <si>
    <t>DI15612</t>
  </si>
  <si>
    <t>United States Military Academy</t>
  </si>
  <si>
    <t>Milligan</t>
  </si>
  <si>
    <t>DIII12517</t>
  </si>
  <si>
    <t>cheryl.milligan@westpoint.edu</t>
  </si>
  <si>
    <t>845-938-4112</t>
  </si>
  <si>
    <t>Parello</t>
  </si>
  <si>
    <t>aep57@case.edu</t>
  </si>
  <si>
    <t>DII10994</t>
  </si>
  <si>
    <t>Tarleton State University</t>
  </si>
  <si>
    <t>Cumpian</t>
  </si>
  <si>
    <t>cumpian@tarleton.edu</t>
  </si>
  <si>
    <t>254-968-0553 254-968-0553</t>
  </si>
  <si>
    <t>DIII12518</t>
  </si>
  <si>
    <t>Army</t>
  </si>
  <si>
    <t>Mehrle</t>
  </si>
  <si>
    <t>West Point</t>
  </si>
  <si>
    <t>Tarleton State</t>
  </si>
  <si>
    <t>Stephenville</t>
  </si>
  <si>
    <t>$20,078/$29,666</t>
  </si>
  <si>
    <t>University of Cincinnati at Clermont</t>
  </si>
  <si>
    <t>Kinney</t>
  </si>
  <si>
    <t>DI15613</t>
  </si>
  <si>
    <t>DII10995</t>
  </si>
  <si>
    <t>Maguire</t>
  </si>
  <si>
    <t>Stefanie</t>
  </si>
  <si>
    <t>janet.maguire@westpoint.edu</t>
  </si>
  <si>
    <t>845-938-4443</t>
  </si>
  <si>
    <t>smphillips@tarleton.edu</t>
  </si>
  <si>
    <t>254-968-9522 254-968-9522</t>
  </si>
  <si>
    <t>Cincinnati-Clermont</t>
  </si>
  <si>
    <t>Batavia</t>
  </si>
  <si>
    <t>$24,584/$31,816</t>
  </si>
  <si>
    <t>DI15614</t>
  </si>
  <si>
    <t>Consaul</t>
  </si>
  <si>
    <t>jennifer.consaul@westpoint.edu</t>
  </si>
  <si>
    <t>845-938-2575</t>
  </si>
  <si>
    <t>DII10996</t>
  </si>
  <si>
    <t>Nyka</t>
  </si>
  <si>
    <t>nyka.wood@go.tarleton.edu</t>
  </si>
  <si>
    <t>DI15670</t>
  </si>
  <si>
    <t>DIII12568</t>
  </si>
  <si>
    <t>DII11036</t>
  </si>
  <si>
    <t>Defiance College</t>
  </si>
  <si>
    <t>Boston University</t>
  </si>
  <si>
    <t>Texas A&amp;M University - Commerce</t>
  </si>
  <si>
    <t>Waters</t>
  </si>
  <si>
    <t>Richie</t>
  </si>
  <si>
    <t>Bruister</t>
  </si>
  <si>
    <t>Richie.Bruister@tamuc.edu</t>
  </si>
  <si>
    <t>(903) 468-3251 (903) 468-3251</t>
  </si>
  <si>
    <t>anwaters@bu.edu</t>
  </si>
  <si>
    <t>(617) 358-3794 (617) 358-3794</t>
  </si>
  <si>
    <t>mwarren@defiance.edu</t>
  </si>
  <si>
    <t>(419) 783-2406</t>
  </si>
  <si>
    <t>Texas A&amp;M-Commerce</t>
  </si>
  <si>
    <t>Commerce</t>
  </si>
  <si>
    <t>$20,833/$33,073</t>
  </si>
  <si>
    <t>Defiance</t>
  </si>
  <si>
    <t>DII11037</t>
  </si>
  <si>
    <t>Gay</t>
  </si>
  <si>
    <t>McNutt</t>
  </si>
  <si>
    <t>gay.mcnutt@tamuc.edu</t>
  </si>
  <si>
    <t>(903) 468-3257 (903) 468-3257</t>
  </si>
  <si>
    <t>DIII21225</t>
  </si>
  <si>
    <t>DI15671</t>
  </si>
  <si>
    <t>Makayla</t>
  </si>
  <si>
    <t>McAvoy</t>
  </si>
  <si>
    <t>mmcavoy@defiance.edu</t>
  </si>
  <si>
    <t>Carden</t>
  </si>
  <si>
    <t>rcarden@bu.edu</t>
  </si>
  <si>
    <t>(617) 353-5709 (617) 353-5709</t>
  </si>
  <si>
    <t>DIII12606</t>
  </si>
  <si>
    <t>Denison University</t>
  </si>
  <si>
    <t>Ozbun</t>
  </si>
  <si>
    <t>ozbunt@denison.edu</t>
  </si>
  <si>
    <t>740-587-6784</t>
  </si>
  <si>
    <t>DII11038</t>
  </si>
  <si>
    <t>DI15672</t>
  </si>
  <si>
    <t>Denison</t>
  </si>
  <si>
    <t>Granville</t>
  </si>
  <si>
    <t>Bri</t>
  </si>
  <si>
    <t>Morrissey</t>
  </si>
  <si>
    <t>bm13@bu.edu</t>
  </si>
  <si>
    <t>DIII12607</t>
  </si>
  <si>
    <t>DII11067</t>
  </si>
  <si>
    <t>Heinen</t>
  </si>
  <si>
    <t>Texas A&amp;M International University</t>
  </si>
  <si>
    <t>heinena@denison.edu</t>
  </si>
  <si>
    <t>scott.libby@tamiu.edu</t>
  </si>
  <si>
    <t>956-326-3001 956-326-3001</t>
  </si>
  <si>
    <t>DI21400</t>
  </si>
  <si>
    <t>Obrest</t>
  </si>
  <si>
    <t>DIII12608</t>
  </si>
  <si>
    <t>Ledford</t>
  </si>
  <si>
    <t>ledfordb@denison.edu</t>
  </si>
  <si>
    <t>Texas A&amp;M-International</t>
  </si>
  <si>
    <t>Laredo</t>
  </si>
  <si>
    <t>DI15746</t>
  </si>
  <si>
    <t>Bucknell University</t>
  </si>
  <si>
    <t>Lye</t>
  </si>
  <si>
    <t>joey.lye@bucknell.edu</t>
  </si>
  <si>
    <t>570-577-3553 570-577-3553</t>
  </si>
  <si>
    <t>$18,056/$27,986</t>
  </si>
  <si>
    <t>DIII12662</t>
  </si>
  <si>
    <t>Franciscan University of Steubenville</t>
  </si>
  <si>
    <t>jwalker@franciscan.edu</t>
  </si>
  <si>
    <t>(724) 987-2822 (724) 987-2822</t>
  </si>
  <si>
    <t>Franciscan-Steubenville</t>
  </si>
  <si>
    <t>Steubenville</t>
  </si>
  <si>
    <t>DII11068</t>
  </si>
  <si>
    <t>Arek</t>
  </si>
  <si>
    <t>Zambanini</t>
  </si>
  <si>
    <t>Bucknell</t>
  </si>
  <si>
    <t>Lewisburg</t>
  </si>
  <si>
    <t>arek.zambanini@tamiu.edu</t>
  </si>
  <si>
    <t>956-326-3005 956-326-3005</t>
  </si>
  <si>
    <t>590-670</t>
  </si>
  <si>
    <t>DIII12663</t>
  </si>
  <si>
    <t>Baughman</t>
  </si>
  <si>
    <t>DI15747</t>
  </si>
  <si>
    <t>DII11069</t>
  </si>
  <si>
    <t>DIII12664</t>
  </si>
  <si>
    <t>Robles</t>
  </si>
  <si>
    <t>matt.burns@bucknell.edu</t>
  </si>
  <si>
    <t>570-577-3684 570-577-3684</t>
  </si>
  <si>
    <t>Samantha.Robles@tamiu.edu</t>
  </si>
  <si>
    <t>Burdett</t>
  </si>
  <si>
    <t>DI21412</t>
  </si>
  <si>
    <t>Richwood</t>
  </si>
  <si>
    <t>jmr068@bucknell.edu</t>
  </si>
  <si>
    <t>DII11103</t>
  </si>
  <si>
    <t>Texas A&amp;M University - Kingsville</t>
  </si>
  <si>
    <t>DIII12711</t>
  </si>
  <si>
    <t>Heidelberg University</t>
  </si>
  <si>
    <t>Deppe</t>
  </si>
  <si>
    <t>john.nicholson@tamuk.edu</t>
  </si>
  <si>
    <t>mdeppe@heidelberg.edu</t>
  </si>
  <si>
    <t>361-593-3388 361-593-3388</t>
  </si>
  <si>
    <t>419.448.2289 419.448.2289</t>
  </si>
  <si>
    <t>DI15811</t>
  </si>
  <si>
    <t>Colgate University</t>
  </si>
  <si>
    <t>Lamison-Myers</t>
  </si>
  <si>
    <t>mlamisonmyers@colgate.edu</t>
  </si>
  <si>
    <t>315-228-7112 315-228-7112</t>
  </si>
  <si>
    <t>Heidelberg</t>
  </si>
  <si>
    <t>Texas A&amp;M-Kingsville</t>
  </si>
  <si>
    <t>Kingsville</t>
  </si>
  <si>
    <t>Colgate</t>
  </si>
  <si>
    <t>Hamilton</t>
  </si>
  <si>
    <t>$22,140/$35,446</t>
  </si>
  <si>
    <t>640-720</t>
  </si>
  <si>
    <t>DIII12712</t>
  </si>
  <si>
    <t>echapman@heidelberg.edu</t>
  </si>
  <si>
    <t>419.448.2479 419.448.2479</t>
  </si>
  <si>
    <t>DI15812</t>
  </si>
  <si>
    <t>DII11104</t>
  </si>
  <si>
    <t>Nandin</t>
  </si>
  <si>
    <t>mnandin@colgate.edu</t>
  </si>
  <si>
    <t>315-228-7118 315-228-7118</t>
  </si>
  <si>
    <t>Furr</t>
  </si>
  <si>
    <t>dennis.furr@tamuk.edu</t>
  </si>
  <si>
    <t>DIII12713</t>
  </si>
  <si>
    <t>Sarkine</t>
  </si>
  <si>
    <t>ssarkine@heidelberg.edu</t>
  </si>
  <si>
    <t>DI15813</t>
  </si>
  <si>
    <t>419.448.2406 419.448.2406</t>
  </si>
  <si>
    <t>Romero</t>
  </si>
  <si>
    <t>mromero@colgate.edu</t>
  </si>
  <si>
    <t>DII11105</t>
  </si>
  <si>
    <t>DIII12760</t>
  </si>
  <si>
    <t>Hiram College</t>
  </si>
  <si>
    <t>Boyett</t>
  </si>
  <si>
    <t>Pohlman</t>
  </si>
  <si>
    <t>PohlmanSA@hiram.edu</t>
  </si>
  <si>
    <t>DI15882</t>
  </si>
  <si>
    <t>(330) 569-5478</t>
  </si>
  <si>
    <t>College of the Holy Cross</t>
  </si>
  <si>
    <t>Lapicki</t>
  </si>
  <si>
    <t>jlapicki@holycross.edu</t>
  </si>
  <si>
    <t>508-793-3627 508-793-3627</t>
  </si>
  <si>
    <t>Hiram</t>
  </si>
  <si>
    <t>Holy Cross (MA)</t>
  </si>
  <si>
    <t>433-525</t>
  </si>
  <si>
    <t>DII11135</t>
  </si>
  <si>
    <t>Texas Woman's University</t>
  </si>
  <si>
    <t>Barker</t>
  </si>
  <si>
    <t>600-680</t>
  </si>
  <si>
    <t>abarker2@twu.edu</t>
  </si>
  <si>
    <t>620-690</t>
  </si>
  <si>
    <t>940-898-2629 940-898-2629</t>
  </si>
  <si>
    <t>DIII12761</t>
  </si>
  <si>
    <t>Tickemyer</t>
  </si>
  <si>
    <t>tickemyersr@hiram.edu</t>
  </si>
  <si>
    <t>DI15883</t>
  </si>
  <si>
    <t>Christensen</t>
  </si>
  <si>
    <t>kchriste@holycross.edu</t>
  </si>
  <si>
    <t>DIII12810</t>
  </si>
  <si>
    <t>John Carroll University</t>
  </si>
  <si>
    <t>DI22230</t>
  </si>
  <si>
    <t>Loudin</t>
  </si>
  <si>
    <t>$18,872/$28,664</t>
  </si>
  <si>
    <t>nloudin@jcu.edu</t>
  </si>
  <si>
    <t>216-397-6223</t>
  </si>
  <si>
    <t>John Carroll (OH)</t>
  </si>
  <si>
    <t>DII11136</t>
  </si>
  <si>
    <t>University Heights</t>
  </si>
  <si>
    <t>DI15947</t>
  </si>
  <si>
    <t>Christa</t>
  </si>
  <si>
    <t>Lafayette College</t>
  </si>
  <si>
    <t>Pfeninger</t>
  </si>
  <si>
    <t>de la Haba</t>
  </si>
  <si>
    <t>cpfeninger@twu.edu</t>
  </si>
  <si>
    <t>delahabc@lafayette.edu</t>
  </si>
  <si>
    <t>940-232-2311 940-232-2311</t>
  </si>
  <si>
    <t>610-330-5764 610-330-5764</t>
  </si>
  <si>
    <t>DIII12811</t>
  </si>
  <si>
    <t>banderson@jcu.edu</t>
  </si>
  <si>
    <t>Lafayette (PA)</t>
  </si>
  <si>
    <t>Easton</t>
  </si>
  <si>
    <t>620-710</t>
  </si>
  <si>
    <t>DII12383</t>
  </si>
  <si>
    <t>Tylia</t>
  </si>
  <si>
    <t>Sylestine</t>
  </si>
  <si>
    <t>DI15948</t>
  </si>
  <si>
    <t>Gerhart</t>
  </si>
  <si>
    <t>DIII12876</t>
  </si>
  <si>
    <t>gerharta@lafayette.edu</t>
  </si>
  <si>
    <t>Kenyon College</t>
  </si>
  <si>
    <t>O'Neill</t>
  </si>
  <si>
    <t>oneillee@kenyon.edu</t>
  </si>
  <si>
    <t>740-427-5263 740-427-5263</t>
  </si>
  <si>
    <t>Kenyon (OH)</t>
  </si>
  <si>
    <t>Gambier</t>
  </si>
  <si>
    <t>DI21413</t>
  </si>
  <si>
    <t>Riepenhoff</t>
  </si>
  <si>
    <t>DII12810</t>
  </si>
  <si>
    <t>Clifton</t>
  </si>
  <si>
    <t>DIII12877</t>
  </si>
  <si>
    <t>DI16013</t>
  </si>
  <si>
    <t>Lehigh University</t>
  </si>
  <si>
    <t>mcdonough1@kenyon.edu</t>
  </si>
  <si>
    <t>740-427-5252. 740-427-5252.</t>
  </si>
  <si>
    <t>Troyan</t>
  </si>
  <si>
    <t>fgt2@lehigh.edu</t>
  </si>
  <si>
    <t>610-758-4387 610-758-4387</t>
  </si>
  <si>
    <t>DIII12950</t>
  </si>
  <si>
    <t>Marietta College</t>
  </si>
  <si>
    <t>Castle</t>
  </si>
  <si>
    <t>DII11163</t>
  </si>
  <si>
    <t>Lehigh</t>
  </si>
  <si>
    <t>ja003@marietta.edu</t>
  </si>
  <si>
    <t>740-376-4668 740-376-4668</t>
  </si>
  <si>
    <t>Bethlehem</t>
  </si>
  <si>
    <t>University of Texas - Permian Basin</t>
  </si>
  <si>
    <t>Tiala</t>
  </si>
  <si>
    <t>Tagaloa</t>
  </si>
  <si>
    <t>tagaloa_t@utpb.edu</t>
  </si>
  <si>
    <t>432-552-2676 432-552-2676</t>
  </si>
  <si>
    <t>Marietta (OH)</t>
  </si>
  <si>
    <t>Marietta</t>
  </si>
  <si>
    <t>DI16014</t>
  </si>
  <si>
    <t>Covelle</t>
  </si>
  <si>
    <t>Texas-Permian Basin (UTPB)</t>
  </si>
  <si>
    <t>Odessa</t>
  </si>
  <si>
    <t>DIII12951</t>
  </si>
  <si>
    <t>Finck</t>
  </si>
  <si>
    <t>$21,204/$22,388</t>
  </si>
  <si>
    <t>DI16015</t>
  </si>
  <si>
    <t>bkf001@marietta.edu</t>
  </si>
  <si>
    <t>740-376-4903 740-376-4903</t>
  </si>
  <si>
    <t>Bender</t>
  </si>
  <si>
    <t>dab305@lehigh.edu</t>
  </si>
  <si>
    <t>DI16016</t>
  </si>
  <si>
    <t>DII11164</t>
  </si>
  <si>
    <t>DIII13001</t>
  </si>
  <si>
    <t>Mount St. Joseph University</t>
  </si>
  <si>
    <t>Goderwis</t>
  </si>
  <si>
    <t>cac217@lehigh.edu</t>
  </si>
  <si>
    <t>Lexes</t>
  </si>
  <si>
    <t>beth.goderwis@msj.edu</t>
  </si>
  <si>
    <t>(513)244-4853</t>
  </si>
  <si>
    <t>wilson_l@utpb.edu</t>
  </si>
  <si>
    <t>Mount St. Joseph</t>
  </si>
  <si>
    <t>SEC</t>
  </si>
  <si>
    <t>Cincinnati</t>
  </si>
  <si>
    <t>DI16201</t>
  </si>
  <si>
    <t>University of Alabama</t>
  </si>
  <si>
    <t>205-348-3660 205-348-3660</t>
  </si>
  <si>
    <t>DII11206</t>
  </si>
  <si>
    <t>DIII13002</t>
  </si>
  <si>
    <t>West Texas A&amp;M University</t>
  </si>
  <si>
    <t>DeeDee</t>
  </si>
  <si>
    <t>Mook</t>
  </si>
  <si>
    <t>Tuscaloosa</t>
  </si>
  <si>
    <t>mmook@wtamu.edu</t>
  </si>
  <si>
    <t>deedee.davis@msj.edu</t>
  </si>
  <si>
    <t>806-651-4426</t>
  </si>
  <si>
    <t>c: 502-718-0528</t>
  </si>
  <si>
    <t>23-31</t>
  </si>
  <si>
    <t>$28,836/$45,316</t>
  </si>
  <si>
    <t>DI16202</t>
  </si>
  <si>
    <t>Habetz</t>
  </si>
  <si>
    <t>ahabetz@ia.ua.edu</t>
  </si>
  <si>
    <t>205-348-7992 205-348-7992</t>
  </si>
  <si>
    <t>DIII13003</t>
  </si>
  <si>
    <t>Lind</t>
  </si>
  <si>
    <t>West Texas A&amp;M</t>
  </si>
  <si>
    <t>Canyon</t>
  </si>
  <si>
    <t>$21,049/$22,295</t>
  </si>
  <si>
    <t>DI16203</t>
  </si>
  <si>
    <t>VanBrakle</t>
  </si>
  <si>
    <t>svanbrakle@ia.ua.edu</t>
  </si>
  <si>
    <t>205-348-4400 205-348-4400</t>
  </si>
  <si>
    <t>DIII13004</t>
  </si>
  <si>
    <t>Hoelmer</t>
  </si>
  <si>
    <t>DI16204</t>
  </si>
  <si>
    <t>Brynne</t>
  </si>
  <si>
    <t>Dordel</t>
  </si>
  <si>
    <t>bdordel@ia.ua.edu</t>
  </si>
  <si>
    <t>DII11207</t>
  </si>
  <si>
    <t>Jenelle</t>
  </si>
  <si>
    <t>Trautmann</t>
  </si>
  <si>
    <t>DIII13059</t>
  </si>
  <si>
    <t>University of Mount Union</t>
  </si>
  <si>
    <t>jtrautmann@wtamu.edu</t>
  </si>
  <si>
    <t>806-651-4427</t>
  </si>
  <si>
    <t>Simons</t>
  </si>
  <si>
    <t>simonsmj@mountunion.edu</t>
  </si>
  <si>
    <t>c: (330) 823-4779</t>
  </si>
  <si>
    <t>DI16205</t>
  </si>
  <si>
    <t>kharris@ia.ua.edu</t>
  </si>
  <si>
    <t>DII11259</t>
  </si>
  <si>
    <t>Dixie State University</t>
  </si>
  <si>
    <t>Mount Union</t>
  </si>
  <si>
    <t>DI16295</t>
  </si>
  <si>
    <t>Simkins</t>
  </si>
  <si>
    <t>Alliance</t>
  </si>
  <si>
    <t>University of Arkansas</t>
  </si>
  <si>
    <t>rsimkins@dixie.edu</t>
  </si>
  <si>
    <t>435-652-7543 435-652-7543</t>
  </si>
  <si>
    <t>Deifel</t>
  </si>
  <si>
    <t>cdeifel@uark.edu</t>
  </si>
  <si>
    <t>479-575-6620</t>
  </si>
  <si>
    <t>Dixie State (UT)</t>
  </si>
  <si>
    <t>$24,302/$38,650</t>
  </si>
  <si>
    <t>St. George</t>
  </si>
  <si>
    <t>$19,036/$28,052</t>
  </si>
  <si>
    <t>DIII13060</t>
  </si>
  <si>
    <t>Hawley</t>
  </si>
  <si>
    <t>hawleyla@mountunion.edu</t>
  </si>
  <si>
    <t>(330) 829-8112</t>
  </si>
  <si>
    <t>DI16296</t>
  </si>
  <si>
    <t>mmeuchel@uark.edu</t>
  </si>
  <si>
    <t>479-575-7001</t>
  </si>
  <si>
    <t>DII11260</t>
  </si>
  <si>
    <t>Winningham</t>
  </si>
  <si>
    <t>DIII13123</t>
  </si>
  <si>
    <t>Muskingum University</t>
  </si>
  <si>
    <t>kwinters@muskingum.edu</t>
  </si>
  <si>
    <t>740-826-8324</t>
  </si>
  <si>
    <t>DII11261</t>
  </si>
  <si>
    <t>DI16297</t>
  </si>
  <si>
    <t>Christianson</t>
  </si>
  <si>
    <t>Yolanda</t>
  </si>
  <si>
    <t>christianson@dixie.edu</t>
  </si>
  <si>
    <t>McRae</t>
  </si>
  <si>
    <t>ypmcrae@uark.edu</t>
  </si>
  <si>
    <t>479-575-6806</t>
  </si>
  <si>
    <t>Muskingum</t>
  </si>
  <si>
    <t>New Concord</t>
  </si>
  <si>
    <t>DII11262</t>
  </si>
  <si>
    <t>DI16298</t>
  </si>
  <si>
    <t>Volunteer AC Shana has been removed.</t>
  </si>
  <si>
    <t>DIII13124</t>
  </si>
  <si>
    <t>annak@muskingum.edu</t>
  </si>
  <si>
    <t>740-826-6103</t>
  </si>
  <si>
    <t>DII11263</t>
  </si>
  <si>
    <t>Buchanan</t>
  </si>
  <si>
    <t>buchanan@dixie.edu</t>
  </si>
  <si>
    <t>DI16299</t>
  </si>
  <si>
    <t>DIII13125</t>
  </si>
  <si>
    <t>prw002@uark.edu</t>
  </si>
  <si>
    <t>479-575-3147</t>
  </si>
  <si>
    <t>hmurphy@muskingum.edu</t>
  </si>
  <si>
    <t>740-826-6102</t>
  </si>
  <si>
    <t>Vermont</t>
  </si>
  <si>
    <t>DII11338</t>
  </si>
  <si>
    <t>Saint Michael's College</t>
  </si>
  <si>
    <t>Goodreau</t>
  </si>
  <si>
    <t>ngoodreau@smcvt.edu</t>
  </si>
  <si>
    <t>802.399.6865</t>
  </si>
  <si>
    <t>DI16367</t>
  </si>
  <si>
    <t>Auburn University</t>
  </si>
  <si>
    <t>mickeydean@auburn.edu</t>
  </si>
  <si>
    <t>(334) 844-9781 (334) 844-9781</t>
  </si>
  <si>
    <t>@deanau_tigerssb</t>
  </si>
  <si>
    <t>DIII13126</t>
  </si>
  <si>
    <t>Cowgill</t>
  </si>
  <si>
    <t>St. Michael's (VT)</t>
  </si>
  <si>
    <t>VT</t>
  </si>
  <si>
    <t>Auburn</t>
  </si>
  <si>
    <t>Colchester</t>
  </si>
  <si>
    <t>$30,458/$48,602</t>
  </si>
  <si>
    <t>DII11339</t>
  </si>
  <si>
    <t>DI16368</t>
  </si>
  <si>
    <t>Brazeau</t>
  </si>
  <si>
    <t>DIII21253</t>
  </si>
  <si>
    <t>Lenti</t>
  </si>
  <si>
    <t>Egl0027@auburn.edu</t>
  </si>
  <si>
    <t>(334) 750-7520 (334) 750-7520</t>
  </si>
  <si>
    <t>DII11340</t>
  </si>
  <si>
    <t>DI16369</t>
  </si>
  <si>
    <t>Ruby</t>
  </si>
  <si>
    <t>Rojas</t>
  </si>
  <si>
    <t>rzr0065@auburn.edu</t>
  </si>
  <si>
    <t>(334) 750-4493 (334) 750-4493</t>
  </si>
  <si>
    <t>@RubilenaRojas</t>
  </si>
  <si>
    <t>DIII13168</t>
  </si>
  <si>
    <t>Oberlin College</t>
  </si>
  <si>
    <t>Schoenhoft</t>
  </si>
  <si>
    <t>sara.schoenhoft@oberlin.edu</t>
  </si>
  <si>
    <t>440-775-8536 440-775-8536</t>
  </si>
  <si>
    <t>DII11386</t>
  </si>
  <si>
    <t>Virginia State University</t>
  </si>
  <si>
    <t>DI16370</t>
  </si>
  <si>
    <t>Lynne</t>
  </si>
  <si>
    <t>Gilbert</t>
  </si>
  <si>
    <t>jgilbert@vsu.edu</t>
  </si>
  <si>
    <t>804-524-5704 804-524-5704</t>
  </si>
  <si>
    <t>Carosone</t>
  </si>
  <si>
    <t>epc0008@auburn.edu</t>
  </si>
  <si>
    <t>@Emily5Car</t>
  </si>
  <si>
    <t xml:space="preserve">Oberlin </t>
  </si>
  <si>
    <t>Oberlin</t>
  </si>
  <si>
    <t>Virginia State</t>
  </si>
  <si>
    <t>Petersburg</t>
  </si>
  <si>
    <t>DI16371</t>
  </si>
  <si>
    <t>$22,009/$32,539</t>
  </si>
  <si>
    <t>Leisa</t>
  </si>
  <si>
    <t>llee@auburn.edu</t>
  </si>
  <si>
    <t>(334) 844-9515 (334) 844-9515</t>
  </si>
  <si>
    <t>DIII13169</t>
  </si>
  <si>
    <t>Snover</t>
  </si>
  <si>
    <t>ssnover@oberlin.edu</t>
  </si>
  <si>
    <t>DII11387</t>
  </si>
  <si>
    <t>Kanary</t>
  </si>
  <si>
    <t>dkanary@vsu.edu</t>
  </si>
  <si>
    <t>804-524-5780 804-524-5780</t>
  </si>
  <si>
    <t>DI16469</t>
  </si>
  <si>
    <t>University of Florida</t>
  </si>
  <si>
    <t>Walton</t>
  </si>
  <si>
    <t>timw@gators.ufl.edu</t>
  </si>
  <si>
    <t>DII11388</t>
  </si>
  <si>
    <t>352-375-5554</t>
  </si>
  <si>
    <t>Debra</t>
  </si>
  <si>
    <t>DIII13221</t>
  </si>
  <si>
    <t>Ohio Northern University</t>
  </si>
  <si>
    <t>dhood@vsu.edu</t>
  </si>
  <si>
    <t>j-mangola@onu.edu</t>
  </si>
  <si>
    <t>419-772-2459</t>
  </si>
  <si>
    <t>DII11418</t>
  </si>
  <si>
    <t>Virginia Union University</t>
  </si>
  <si>
    <t>Sharika</t>
  </si>
  <si>
    <t>Joynes</t>
  </si>
  <si>
    <t>Ohio Northern</t>
  </si>
  <si>
    <t>SCjoynes@vuu.edu</t>
  </si>
  <si>
    <t>Gainesville</t>
  </si>
  <si>
    <t>804-342-1484</t>
  </si>
  <si>
    <t>$21,251/$43,529</t>
  </si>
  <si>
    <t>Virginia Union</t>
  </si>
  <si>
    <t>350-450</t>
  </si>
  <si>
    <t>13-19</t>
  </si>
  <si>
    <t>Florida Softball</t>
  </si>
  <si>
    <t>DIII13222</t>
  </si>
  <si>
    <t>GatorSoftball@gators.ufl.edu</t>
  </si>
  <si>
    <t>e-bryan@onu.edu</t>
  </si>
  <si>
    <t>419-772-2771</t>
  </si>
  <si>
    <t>DII11419</t>
  </si>
  <si>
    <t>LeKeisha</t>
  </si>
  <si>
    <t>lhenry@vuu.edu</t>
  </si>
  <si>
    <t>DI16470</t>
  </si>
  <si>
    <t>Aric</t>
  </si>
  <si>
    <t>arict@gators.ufl.edu</t>
  </si>
  <si>
    <t>DIII13223</t>
  </si>
  <si>
    <t>DII11457</t>
  </si>
  <si>
    <t>The University of Virginia's College at Wise</t>
  </si>
  <si>
    <t>DI16471</t>
  </si>
  <si>
    <t>Bitter</t>
  </si>
  <si>
    <t>nmb3r@uvawise.edu</t>
  </si>
  <si>
    <t>Bosch</t>
  </si>
  <si>
    <t>(276) 328-0260 (276) 328-0260</t>
  </si>
  <si>
    <t>mikebo@gators.ufl.edu</t>
  </si>
  <si>
    <t>DIII13278</t>
  </si>
  <si>
    <t>@boschml</t>
  </si>
  <si>
    <t>Ohio Wesleyan University</t>
  </si>
  <si>
    <t>Cunningham</t>
  </si>
  <si>
    <t>cccunnin@owu.edu</t>
  </si>
  <si>
    <t>740-368-3737 740-368-3737</t>
  </si>
  <si>
    <t>DI16472</t>
  </si>
  <si>
    <t>Jolene</t>
  </si>
  <si>
    <t>Ohio Wesleyan</t>
  </si>
  <si>
    <t>Virginia-Wise</t>
  </si>
  <si>
    <t>Wise</t>
  </si>
  <si>
    <t>$23,795/$40,495</t>
  </si>
  <si>
    <t>DI16557</t>
  </si>
  <si>
    <t>DIII13279</t>
  </si>
  <si>
    <t>University of Georgia</t>
  </si>
  <si>
    <t>Lu</t>
  </si>
  <si>
    <t>Harris-Champer</t>
  </si>
  <si>
    <t>lhc@sports.uga.edu</t>
  </si>
  <si>
    <t>elclark@owu.edu</t>
  </si>
  <si>
    <t>706-713-2832 706-713-2832</t>
  </si>
  <si>
    <t>740-368-3755 740-368-3755</t>
  </si>
  <si>
    <t>@harrischamper</t>
  </si>
  <si>
    <t>DII11458</t>
  </si>
  <si>
    <t>kmb3vf@uvawise.edu</t>
  </si>
  <si>
    <t>$26,208/$44,418</t>
  </si>
  <si>
    <t>DIII13280</t>
  </si>
  <si>
    <t>DI16558</t>
  </si>
  <si>
    <t>Baldwin</t>
  </si>
  <si>
    <t>tbaldwin@sports.uga.edu</t>
  </si>
  <si>
    <t>@UGACoachTony</t>
  </si>
  <si>
    <t>DII11492</t>
  </si>
  <si>
    <t>Central Washington University</t>
  </si>
  <si>
    <t>Kailyn</t>
  </si>
  <si>
    <t>DIII13281</t>
  </si>
  <si>
    <t>Kailyn.Campbell@cwu.edu</t>
  </si>
  <si>
    <t>Nethers</t>
  </si>
  <si>
    <t>DI16559</t>
  </si>
  <si>
    <t>Rachele</t>
  </si>
  <si>
    <t>Fico</t>
  </si>
  <si>
    <t>rfico@sports.uga.edu</t>
  </si>
  <si>
    <t>@supafic</t>
  </si>
  <si>
    <t>DI16560</t>
  </si>
  <si>
    <t>Central Washington</t>
  </si>
  <si>
    <t>DIII13282</t>
  </si>
  <si>
    <t>Confer</t>
  </si>
  <si>
    <t>Ellensburg</t>
  </si>
  <si>
    <t>Tubbs</t>
  </si>
  <si>
    <t>rconfer@sports.uga.edu</t>
  </si>
  <si>
    <t>$21,908/$35,711</t>
  </si>
  <si>
    <t>DIII13347</t>
  </si>
  <si>
    <t>Otterbein University</t>
  </si>
  <si>
    <t>Donovan</t>
  </si>
  <si>
    <t>DII11493</t>
  </si>
  <si>
    <t>Donovan2@otterbein.edu</t>
  </si>
  <si>
    <t>614-823-3506 614-823-3506</t>
  </si>
  <si>
    <t>Reuble</t>
  </si>
  <si>
    <t>DI22253</t>
  </si>
  <si>
    <t>Hiers</t>
  </si>
  <si>
    <t>@shelbyhiers</t>
  </si>
  <si>
    <t>Otterbein</t>
  </si>
  <si>
    <t>Westerville</t>
  </si>
  <si>
    <t>25,000-50,022</t>
  </si>
  <si>
    <t>510-642</t>
  </si>
  <si>
    <t>DI16651</t>
  </si>
  <si>
    <t>500-622</t>
  </si>
  <si>
    <t>21-49</t>
  </si>
  <si>
    <t>University of Kentucky</t>
  </si>
  <si>
    <t>rachel.lawson@uky.edu</t>
  </si>
  <si>
    <t>(859) 257-9037 (859) 257-9037</t>
  </si>
  <si>
    <t>DII12819</t>
  </si>
  <si>
    <t>DIII13348</t>
  </si>
  <si>
    <t>Curnutte</t>
  </si>
  <si>
    <t>curnutte1@otterbein.edu</t>
  </si>
  <si>
    <t>Mitchell</t>
  </si>
  <si>
    <t>alison.mitchell@cwu.edu</t>
  </si>
  <si>
    <t>25,000-50,023</t>
  </si>
  <si>
    <t>510-643</t>
  </si>
  <si>
    <t>500-623</t>
  </si>
  <si>
    <t>21-50</t>
  </si>
  <si>
    <t>DIII13349</t>
  </si>
  <si>
    <t>$27,928/$42,778</t>
  </si>
  <si>
    <t>Tackett</t>
  </si>
  <si>
    <t>KTackett@Otterbein.edu</t>
  </si>
  <si>
    <t>DII12820</t>
  </si>
  <si>
    <t>Traci</t>
  </si>
  <si>
    <t>25,000-50,024</t>
  </si>
  <si>
    <t>Tawney</t>
  </si>
  <si>
    <t>traci.tawney@cwu.edu</t>
  </si>
  <si>
    <t>510-644</t>
  </si>
  <si>
    <t>500-624</t>
  </si>
  <si>
    <t>21-51</t>
  </si>
  <si>
    <t>Kentucky Softball</t>
  </si>
  <si>
    <t>kentuckysoftball@uky.edu</t>
  </si>
  <si>
    <t>DIII13350</t>
  </si>
  <si>
    <t>25,000-50,025</t>
  </si>
  <si>
    <t>510-645</t>
  </si>
  <si>
    <t>500-625</t>
  </si>
  <si>
    <t>21-52</t>
  </si>
  <si>
    <t>DII11548</t>
  </si>
  <si>
    <t>Saint Martin's University</t>
  </si>
  <si>
    <t>JPeterson@stmartin.edu</t>
  </si>
  <si>
    <t>DIII20659</t>
  </si>
  <si>
    <t>360-438-4296 360-438-4296</t>
  </si>
  <si>
    <t>DI16652</t>
  </si>
  <si>
    <t>Kristine</t>
  </si>
  <si>
    <t>Himes</t>
  </si>
  <si>
    <t>kristine.himes@uky.edu</t>
  </si>
  <si>
    <t>(859) 257-6314 (859) 257-6314</t>
  </si>
  <si>
    <t>DIII20660</t>
  </si>
  <si>
    <t>Laskey</t>
  </si>
  <si>
    <t>laskey1@otterbein.edu</t>
  </si>
  <si>
    <t>St. Martin's (WA)</t>
  </si>
  <si>
    <t>445-570</t>
  </si>
  <si>
    <t>DI16653</t>
  </si>
  <si>
    <t>Wilmington College</t>
  </si>
  <si>
    <t>Floyd</t>
  </si>
  <si>
    <t>Belcher</t>
  </si>
  <si>
    <t>molly.johnson18@uky.edu</t>
  </si>
  <si>
    <t>beth_floyd@wilmington.edu</t>
  </si>
  <si>
    <t>(859) 257-9152 (859) 257-9152</t>
  </si>
  <si>
    <t>937-481-2392</t>
  </si>
  <si>
    <t>DII11549</t>
  </si>
  <si>
    <t>DI16654</t>
  </si>
  <si>
    <t>Brooklin</t>
  </si>
  <si>
    <t>Loes</t>
  </si>
  <si>
    <t>Hinz</t>
  </si>
  <si>
    <t>mloes@stmartin.edu</t>
  </si>
  <si>
    <t>Wilmington (OH)</t>
  </si>
  <si>
    <t>DI16655</t>
  </si>
  <si>
    <t>DII11550</t>
  </si>
  <si>
    <t>Madzia</t>
  </si>
  <si>
    <t>Cervantes</t>
  </si>
  <si>
    <t>jessie_madzia@wilmington.edu</t>
  </si>
  <si>
    <t>Manuel</t>
  </si>
  <si>
    <t>937-481-2250</t>
  </si>
  <si>
    <t>bmce222@g.uky.edu</t>
  </si>
  <si>
    <t>AManuel@stmartin.edu</t>
  </si>
  <si>
    <t>Sawyer</t>
  </si>
  <si>
    <t>Hooper</t>
  </si>
  <si>
    <t>DII11575</t>
  </si>
  <si>
    <t>Western Washington University</t>
  </si>
  <si>
    <t>Sheryl</t>
  </si>
  <si>
    <t>DI16757</t>
  </si>
  <si>
    <t>Gilmore</t>
  </si>
  <si>
    <t>Sheryl.Gilmore@wwu.edu</t>
  </si>
  <si>
    <t>360-650-7783</t>
  </si>
  <si>
    <t>Louisiana State University (LSU)</t>
  </si>
  <si>
    <t>Torina</t>
  </si>
  <si>
    <t>btorina@lsu.edu</t>
  </si>
  <si>
    <t>225-578-8034</t>
  </si>
  <si>
    <t>Western Washington</t>
  </si>
  <si>
    <t>Billingham</t>
  </si>
  <si>
    <t>$22,654/$36,598</t>
  </si>
  <si>
    <t>Purtell</t>
  </si>
  <si>
    <t>LSU (Louisiana State)</t>
  </si>
  <si>
    <t>Baton Rouge</t>
  </si>
  <si>
    <t>DII11576</t>
  </si>
  <si>
    <t>$28,934/$45,611</t>
  </si>
  <si>
    <t>DIII13424</t>
  </si>
  <si>
    <t>Wittenberg University</t>
  </si>
  <si>
    <t>Schaub</t>
  </si>
  <si>
    <t>schaubs@wittenberg.edu</t>
  </si>
  <si>
    <t>937-327-6448</t>
  </si>
  <si>
    <t>DI16758</t>
  </si>
  <si>
    <t>DII12823</t>
  </si>
  <si>
    <t>Benson</t>
  </si>
  <si>
    <t>Howard</t>
  </si>
  <si>
    <t>Dobson</t>
  </si>
  <si>
    <t>hdobson@lsu.edu</t>
  </si>
  <si>
    <t>Wittenberg</t>
  </si>
  <si>
    <t>50,000-75,034</t>
  </si>
  <si>
    <t>490-644</t>
  </si>
  <si>
    <t>22-62</t>
  </si>
  <si>
    <t>DI16759</t>
  </si>
  <si>
    <t>West Virginia</t>
  </si>
  <si>
    <t>Leftwich</t>
  </si>
  <si>
    <t>DII11611</t>
  </si>
  <si>
    <t>lleftwich@lsu.edu</t>
  </si>
  <si>
    <t>Alderson Broaddus University</t>
  </si>
  <si>
    <t>DIII13425</t>
  </si>
  <si>
    <t>shamblinla@ab.edu</t>
  </si>
  <si>
    <t>Purdygoodwina@wittenberg.edu</t>
  </si>
  <si>
    <t>304-457-6449 304-457-6449</t>
  </si>
  <si>
    <t>50,000-75,035</t>
  </si>
  <si>
    <t>490-645</t>
  </si>
  <si>
    <t>22-63</t>
  </si>
  <si>
    <t>DI16760</t>
  </si>
  <si>
    <t>Quinlan</t>
  </si>
  <si>
    <t>Duhon</t>
  </si>
  <si>
    <t>quinlan@lsu.edu</t>
  </si>
  <si>
    <t>Alderson Broaddus</t>
  </si>
  <si>
    <t>DIII13426</t>
  </si>
  <si>
    <t>Philippi</t>
  </si>
  <si>
    <t>Culp</t>
  </si>
  <si>
    <t>$37,162/$39,305</t>
  </si>
  <si>
    <t>50,000-75,036</t>
  </si>
  <si>
    <t>490-646</t>
  </si>
  <si>
    <t>DI16761</t>
  </si>
  <si>
    <t>22-64</t>
  </si>
  <si>
    <t>softball@lsu.edu</t>
  </si>
  <si>
    <t>DII12826</t>
  </si>
  <si>
    <t>DIII13485</t>
  </si>
  <si>
    <t>College of Wooster</t>
  </si>
  <si>
    <t>Victoria</t>
  </si>
  <si>
    <t>Rumph</t>
  </si>
  <si>
    <t>vrumph@wooster.edu</t>
  </si>
  <si>
    <t>(330) 263-2679</t>
  </si>
  <si>
    <t>DI16850</t>
  </si>
  <si>
    <t>University of Mississippi</t>
  </si>
  <si>
    <t>Ruben</t>
  </si>
  <si>
    <t>Felix</t>
  </si>
  <si>
    <t>rfelix@olemiss.edu</t>
  </si>
  <si>
    <t>662-915-7891 662-915-7891</t>
  </si>
  <si>
    <t>DII12410</t>
  </si>
  <si>
    <t>Bluefield State College</t>
  </si>
  <si>
    <t>Wooster (OH)</t>
  </si>
  <si>
    <t>Runie</t>
  </si>
  <si>
    <t>Mensche</t>
  </si>
  <si>
    <t>Wooster</t>
  </si>
  <si>
    <t>25,000-50,028</t>
  </si>
  <si>
    <t>rmensche@bluefieldstate.edu</t>
  </si>
  <si>
    <t>(304) 327-4265</t>
  </si>
  <si>
    <t>520-698</t>
  </si>
  <si>
    <t>550-708</t>
  </si>
  <si>
    <t>24-58</t>
  </si>
  <si>
    <t>$23,606/$37,874</t>
  </si>
  <si>
    <t>DIII13486</t>
  </si>
  <si>
    <t>Bluefield State</t>
  </si>
  <si>
    <t>Summers</t>
  </si>
  <si>
    <t>psummers@wooster.edu</t>
  </si>
  <si>
    <t>Bluefield</t>
  </si>
  <si>
    <t>(330) 287-3346</t>
  </si>
  <si>
    <t>25,000-50,029</t>
  </si>
  <si>
    <t>$22,008/$28,476</t>
  </si>
  <si>
    <t>520-699</t>
  </si>
  <si>
    <t>550-709</t>
  </si>
  <si>
    <t>24-59</t>
  </si>
  <si>
    <t>DIII21265</t>
  </si>
  <si>
    <t>Bricker</t>
  </si>
  <si>
    <t>jbricker@wooster.edu</t>
  </si>
  <si>
    <t>(330) 263-2251</t>
  </si>
  <si>
    <t>DI16851</t>
  </si>
  <si>
    <t>Schuette</t>
  </si>
  <si>
    <t>ksdorey@olemiss.edu</t>
  </si>
  <si>
    <t>662-915-7186 662-915-7186</t>
  </si>
  <si>
    <t>DII11654</t>
  </si>
  <si>
    <t>University of Charleston</t>
  </si>
  <si>
    <t>Kimberly</t>
  </si>
  <si>
    <t>Stiles</t>
  </si>
  <si>
    <t>kimberlystiles@ucwv.edu</t>
  </si>
  <si>
    <t>304-357-4976 304-357-4976</t>
  </si>
  <si>
    <t>DIII13549</t>
  </si>
  <si>
    <t>George Fox University</t>
  </si>
  <si>
    <t>Hollen</t>
  </si>
  <si>
    <t>jhollen@georgefox.edu</t>
  </si>
  <si>
    <t>503-554-2921</t>
  </si>
  <si>
    <t>DI16853</t>
  </si>
  <si>
    <t>bjthomas@olemiss.edu</t>
  </si>
  <si>
    <t>662-915-7186</t>
  </si>
  <si>
    <t>Charleston (WV)</t>
  </si>
  <si>
    <t>423-518</t>
  </si>
  <si>
    <t>George Fox</t>
  </si>
  <si>
    <t>Newberg</t>
  </si>
  <si>
    <t>10,000-25,035</t>
  </si>
  <si>
    <t>480-635</t>
  </si>
  <si>
    <t>21-62</t>
  </si>
  <si>
    <t>DI22274</t>
  </si>
  <si>
    <t>DII11655</t>
  </si>
  <si>
    <t>Louisa</t>
  </si>
  <si>
    <t>Kylan</t>
  </si>
  <si>
    <t>Disi</t>
  </si>
  <si>
    <t>louisadisi@ucwv.edu</t>
  </si>
  <si>
    <t>kabecke1@olemiss.edu</t>
  </si>
  <si>
    <t>662-952-7186 662-952-7186</t>
  </si>
  <si>
    <t>DIII13550</t>
  </si>
  <si>
    <t>ahollen@georgefox.edu</t>
  </si>
  <si>
    <t>10,000-25,036</t>
  </si>
  <si>
    <t>480-636</t>
  </si>
  <si>
    <t>21-63</t>
  </si>
  <si>
    <t>DII11705</t>
  </si>
  <si>
    <t>DI22275</t>
  </si>
  <si>
    <t>Concord University</t>
  </si>
  <si>
    <t>Tasler</t>
  </si>
  <si>
    <t>Damon</t>
  </si>
  <si>
    <t>atasler@concord.edu</t>
  </si>
  <si>
    <t>Haecker</t>
  </si>
  <si>
    <t>304-384-5986</t>
  </si>
  <si>
    <t>djhaecke@olemiss.edu</t>
  </si>
  <si>
    <t>DIII13551</t>
  </si>
  <si>
    <t>Bray</t>
  </si>
  <si>
    <t>jbray@georgefox.edu</t>
  </si>
  <si>
    <t>503-516-3435</t>
  </si>
  <si>
    <t>10,000-25,037</t>
  </si>
  <si>
    <t>480-637</t>
  </si>
  <si>
    <t>21-64</t>
  </si>
  <si>
    <t>DIII13552</t>
  </si>
  <si>
    <t>Concord (WV)</t>
  </si>
  <si>
    <t>DI16927</t>
  </si>
  <si>
    <t>Mississippi State University</t>
  </si>
  <si>
    <t>$19,632/$28,116</t>
  </si>
  <si>
    <t>10,000-25,038</t>
  </si>
  <si>
    <t>Ricketts</t>
  </si>
  <si>
    <t>sricketts@athletics.msstate.edu</t>
  </si>
  <si>
    <t>480-638</t>
  </si>
  <si>
    <t>662-325-0560</t>
  </si>
  <si>
    <t>21-65</t>
  </si>
  <si>
    <t>DIII13553</t>
  </si>
  <si>
    <t>DII12831</t>
  </si>
  <si>
    <t>AC Kayla has been removed.</t>
  </si>
  <si>
    <t>Carlan</t>
  </si>
  <si>
    <t>alicarlan92@gmail.com</t>
  </si>
  <si>
    <t>10,000-25,039</t>
  </si>
  <si>
    <t>480-639</t>
  </si>
  <si>
    <t>21-66</t>
  </si>
  <si>
    <t>DIII13554</t>
  </si>
  <si>
    <t>AC Makinna has been removed.</t>
  </si>
  <si>
    <t>Mississippi State</t>
  </si>
  <si>
    <t>Starkville</t>
  </si>
  <si>
    <t>DII11729</t>
  </si>
  <si>
    <t>10,000-25,040</t>
  </si>
  <si>
    <t>Davis &amp; Elkins College</t>
  </si>
  <si>
    <t>$23,582/$36,702</t>
  </si>
  <si>
    <t>olsonj1@dewv.edu</t>
  </si>
  <si>
    <t>304-637-1405 304-637-1405</t>
  </si>
  <si>
    <t>21-67</t>
  </si>
  <si>
    <t>DIII13629</t>
  </si>
  <si>
    <t>Lewis &amp; Clark College</t>
  </si>
  <si>
    <t>Cyrus</t>
  </si>
  <si>
    <t>sfeldt@lclark.edu</t>
  </si>
  <si>
    <t>503-768-7552</t>
  </si>
  <si>
    <t>Lewis &amp; Clark (OR)</t>
  </si>
  <si>
    <t>Davis &amp; Elkins</t>
  </si>
  <si>
    <t>300,000-1,000,026</t>
  </si>
  <si>
    <t>coachricketts@athletics.msstate.edu</t>
  </si>
  <si>
    <t>600-716</t>
  </si>
  <si>
    <t>590-706</t>
  </si>
  <si>
    <t>27-57</t>
  </si>
  <si>
    <t>DIII13630</t>
  </si>
  <si>
    <t>paigehall@lclark.edu</t>
  </si>
  <si>
    <t>DII11730</t>
  </si>
  <si>
    <t>DI16928</t>
  </si>
  <si>
    <t>Bernhardt</t>
  </si>
  <si>
    <t>300,000-1,000,027</t>
  </si>
  <si>
    <t>bernhardtk@dewv.edu</t>
  </si>
  <si>
    <t>600-717</t>
  </si>
  <si>
    <t>Bratton</t>
  </si>
  <si>
    <t>590-707</t>
  </si>
  <si>
    <t>tbratton@athletics.msstate.edu</t>
  </si>
  <si>
    <t>27-58</t>
  </si>
  <si>
    <t>DIII21275</t>
  </si>
  <si>
    <t>Dardis</t>
  </si>
  <si>
    <t>dardis@lclark.edu</t>
  </si>
  <si>
    <t>DI16929</t>
  </si>
  <si>
    <t>jjohnson@athletics.msstate.edu</t>
  </si>
  <si>
    <t>DII12412</t>
  </si>
  <si>
    <t>Volunteer AC Sara has been removed.</t>
  </si>
  <si>
    <t>DIII13702</t>
  </si>
  <si>
    <t>Linfield College</t>
  </si>
  <si>
    <t>jvaughan@linfield.edu</t>
  </si>
  <si>
    <t>503-883-2413 503-883-2413</t>
  </si>
  <si>
    <t>DII11776</t>
  </si>
  <si>
    <t>DI16930</t>
  </si>
  <si>
    <t>Fairmont State University</t>
  </si>
  <si>
    <t>Light</t>
  </si>
  <si>
    <t>Winkfield</t>
  </si>
  <si>
    <t>jlight1@fairmontstate.edu</t>
  </si>
  <si>
    <t>(304) 367-4962 (304) 367-4962</t>
  </si>
  <si>
    <t>kwinkfield@athletics.msstate.edu</t>
  </si>
  <si>
    <t>Linfield</t>
  </si>
  <si>
    <t>McMinnville</t>
  </si>
  <si>
    <t>25,000-50,033</t>
  </si>
  <si>
    <t>460-623</t>
  </si>
  <si>
    <t>20-57</t>
  </si>
  <si>
    <t>Fairmont State</t>
  </si>
  <si>
    <t>Fairmont</t>
  </si>
  <si>
    <t>DI16999</t>
  </si>
  <si>
    <t>DIII13703</t>
  </si>
  <si>
    <t>$20,240/$27,956</t>
  </si>
  <si>
    <t>University of Missouri</t>
  </si>
  <si>
    <t>Larissa</t>
  </si>
  <si>
    <t>Kwak</t>
  </si>
  <si>
    <t>Recruiting Coor, AC (WR)</t>
  </si>
  <si>
    <t>andersonlar@missouri.edu</t>
  </si>
  <si>
    <t>skwak@linfield.edu</t>
  </si>
  <si>
    <t>573-882-3942</t>
  </si>
  <si>
    <t>@CoachLarissaA</t>
  </si>
  <si>
    <t>25,000-50,034</t>
  </si>
  <si>
    <t>500-640</t>
  </si>
  <si>
    <t>460-624</t>
  </si>
  <si>
    <t>460-594</t>
  </si>
  <si>
    <t>20-58</t>
  </si>
  <si>
    <t>$25,916/$42,290</t>
  </si>
  <si>
    <t>DIII21276</t>
  </si>
  <si>
    <t>DII11777</t>
  </si>
  <si>
    <t>Fletcher</t>
  </si>
  <si>
    <t>cfletche@linfield.edu</t>
  </si>
  <si>
    <t>DI17000</t>
  </si>
  <si>
    <t>Malveaux</t>
  </si>
  <si>
    <t>malveauxc@missouri.edu</t>
  </si>
  <si>
    <t>573-884-3942</t>
  </si>
  <si>
    <t>@CoachMalveaux</t>
  </si>
  <si>
    <t>DIII13769</t>
  </si>
  <si>
    <t>Pacific University</t>
  </si>
  <si>
    <t>Yandall</t>
  </si>
  <si>
    <t>liz.yandall@pacificu.edu</t>
  </si>
  <si>
    <t>503-352-2837 503-352-2837</t>
  </si>
  <si>
    <t>DII11778</t>
  </si>
  <si>
    <t>DI17001</t>
  </si>
  <si>
    <t>Iacobacci</t>
  </si>
  <si>
    <t>Michalowski-Marino</t>
  </si>
  <si>
    <t>michalowskis@missouri.edu</t>
  </si>
  <si>
    <t>ciacobacci@fairmontstate.edu</t>
  </si>
  <si>
    <t>@s_mick11</t>
  </si>
  <si>
    <t>Pacific (OR)</t>
  </si>
  <si>
    <t>DI17002</t>
  </si>
  <si>
    <t>Forest Grove</t>
  </si>
  <si>
    <t>10,000-25,033</t>
  </si>
  <si>
    <t>malveauxk@missouri.edu</t>
  </si>
  <si>
    <t>500-653</t>
  </si>
  <si>
    <t>22-60</t>
  </si>
  <si>
    <t>DII11816</t>
  </si>
  <si>
    <t>Glenville State College</t>
  </si>
  <si>
    <t>Tunno</t>
  </si>
  <si>
    <t>Kristen.Tunno@glenville.edu</t>
  </si>
  <si>
    <t>304-462-6229 304-462-6229</t>
  </si>
  <si>
    <t>DIII13770</t>
  </si>
  <si>
    <t>DI17003</t>
  </si>
  <si>
    <t>Kodee</t>
  </si>
  <si>
    <t>Transue</t>
  </si>
  <si>
    <t>KodeeSJohnson@pacificu.edu</t>
  </si>
  <si>
    <t>michaelatransue@missouri.edu</t>
  </si>
  <si>
    <t>882-3942 882-3942</t>
  </si>
  <si>
    <t>503-352-2167 503-352-2167</t>
  </si>
  <si>
    <t>10,000-25,034</t>
  </si>
  <si>
    <t>500-654</t>
  </si>
  <si>
    <t>22-61</t>
  </si>
  <si>
    <t>DI17004</t>
  </si>
  <si>
    <t>DJ</t>
  </si>
  <si>
    <t>DIII13771</t>
  </si>
  <si>
    <t>Kaitlynn</t>
  </si>
  <si>
    <t>Donaca</t>
  </si>
  <si>
    <t>Glenville State</t>
  </si>
  <si>
    <t>Kaitlynn.Donaca@pacificu.edu</t>
  </si>
  <si>
    <t>Glenville</t>
  </si>
  <si>
    <t>380-480</t>
  </si>
  <si>
    <t>DI17005</t>
  </si>
  <si>
    <t>$22,486/$31,702</t>
  </si>
  <si>
    <t>Gray</t>
  </si>
  <si>
    <t>500-655</t>
  </si>
  <si>
    <t>DII11817</t>
  </si>
  <si>
    <t>Stoddard</t>
  </si>
  <si>
    <t>Amanda.Stoddard@glenville.edu</t>
  </si>
  <si>
    <t>DIII13772</t>
  </si>
  <si>
    <t>Krewer</t>
  </si>
  <si>
    <t>susie.krewer@pacificu.edu</t>
  </si>
  <si>
    <t>DI17088</t>
  </si>
  <si>
    <t>University of South Carolina</t>
  </si>
  <si>
    <t>bevsmith@mailbox.sc.edu</t>
  </si>
  <si>
    <t>500-656</t>
  </si>
  <si>
    <t>510-646</t>
  </si>
  <si>
    <t>DII11841</t>
  </si>
  <si>
    <t>Ohio Valley University</t>
  </si>
  <si>
    <t>rob.graham@ovu.edu</t>
  </si>
  <si>
    <t>304-865-6032</t>
  </si>
  <si>
    <t>DIII13773</t>
  </si>
  <si>
    <t>Gilgan</t>
  </si>
  <si>
    <t>500-657</t>
  </si>
  <si>
    <t>$26,288/$45,716</t>
  </si>
  <si>
    <t>510-647</t>
  </si>
  <si>
    <t>Vienna</t>
  </si>
  <si>
    <t>DIII13823</t>
  </si>
  <si>
    <t>Willamette University</t>
  </si>
  <si>
    <t>HC Damian has been removed.</t>
  </si>
  <si>
    <t>DI17089</t>
  </si>
  <si>
    <t>Navas</t>
  </si>
  <si>
    <t>lnavas@mailbox.sc.edu</t>
  </si>
  <si>
    <t>DII11842</t>
  </si>
  <si>
    <t>mike.williams@ovu.edu</t>
  </si>
  <si>
    <t>304.865.6032</t>
  </si>
  <si>
    <t>Willamette</t>
  </si>
  <si>
    <t>150,000-300,029</t>
  </si>
  <si>
    <t>560-709</t>
  </si>
  <si>
    <t>540-679</t>
  </si>
  <si>
    <t>18-54</t>
  </si>
  <si>
    <t>DI17090</t>
  </si>
  <si>
    <t>Kaela</t>
  </si>
  <si>
    <t>jacks445@email.sc.edu</t>
  </si>
  <si>
    <t>DII11843</t>
  </si>
  <si>
    <t>Koppinger</t>
  </si>
  <si>
    <t>melinda.koppinger@myovu.net</t>
  </si>
  <si>
    <t>ECAC</t>
  </si>
  <si>
    <t>DII11868</t>
  </si>
  <si>
    <t>Salem International University</t>
  </si>
  <si>
    <t>Potts</t>
  </si>
  <si>
    <t>DI17091</t>
  </si>
  <si>
    <t>SPotts@salemu.edu</t>
  </si>
  <si>
    <t>304-326-1394 304-326-1394</t>
  </si>
  <si>
    <t>Kacey</t>
  </si>
  <si>
    <t>Friedman</t>
  </si>
  <si>
    <t>friedmak@mailbox.sc.edu</t>
  </si>
  <si>
    <t>DIII13824</t>
  </si>
  <si>
    <t>Salem International</t>
  </si>
  <si>
    <t>Ashlyn</t>
  </si>
  <si>
    <t>DI17092</t>
  </si>
  <si>
    <t>Englehorn</t>
  </si>
  <si>
    <t>akenglehorn@willamette.edu</t>
  </si>
  <si>
    <t>150,000-300,030</t>
  </si>
  <si>
    <t>560-710</t>
  </si>
  <si>
    <t>18-55</t>
  </si>
  <si>
    <t>DII11869</t>
  </si>
  <si>
    <t>DI17093</t>
  </si>
  <si>
    <t>Vanessa.Jimenez@salemu.edu</t>
  </si>
  <si>
    <t>DIII13825</t>
  </si>
  <si>
    <t>Gelbard</t>
  </si>
  <si>
    <t>150,000-300,031</t>
  </si>
  <si>
    <t>560-711</t>
  </si>
  <si>
    <t>540-681</t>
  </si>
  <si>
    <t>18-56</t>
  </si>
  <si>
    <t>DII12837</t>
  </si>
  <si>
    <t>Kaleigh</t>
  </si>
  <si>
    <t>DIII13826</t>
  </si>
  <si>
    <t>AC Kelli has been removed.</t>
  </si>
  <si>
    <t>150,000-300,032</t>
  </si>
  <si>
    <t>560-712</t>
  </si>
  <si>
    <t>540-682</t>
  </si>
  <si>
    <t>18-57</t>
  </si>
  <si>
    <t>DI17191</t>
  </si>
  <si>
    <t>DII12838</t>
  </si>
  <si>
    <t>University of Tennessee</t>
  </si>
  <si>
    <t>DIII13827</t>
  </si>
  <si>
    <t>Veneise</t>
  </si>
  <si>
    <t>Weekly</t>
  </si>
  <si>
    <t>AC Olivia has been removed.</t>
  </si>
  <si>
    <t>rweekly@utk.edu</t>
  </si>
  <si>
    <t>150,000-300,033</t>
  </si>
  <si>
    <t>560-713</t>
  </si>
  <si>
    <t>540-683</t>
  </si>
  <si>
    <t>18-58</t>
  </si>
  <si>
    <t>DII11906</t>
  </si>
  <si>
    <t>DIII21278</t>
  </si>
  <si>
    <t>Shepherd University</t>
  </si>
  <si>
    <t>phall@willamette.edu</t>
  </si>
  <si>
    <t>mleslie@shepherd.edu</t>
  </si>
  <si>
    <t>(503) 370-6656</t>
  </si>
  <si>
    <t>c: 814-312-0499</t>
  </si>
  <si>
    <t>Knoxville</t>
  </si>
  <si>
    <t>$30,226/$48,646</t>
  </si>
  <si>
    <t>Shepherd (WV)</t>
  </si>
  <si>
    <t>Shepherdstown</t>
  </si>
  <si>
    <t>DIII13883</t>
  </si>
  <si>
    <t>Albright College</t>
  </si>
  <si>
    <t>Marguerite</t>
  </si>
  <si>
    <t>DeLucas</t>
  </si>
  <si>
    <t>mdelucas@albright.edu</t>
  </si>
  <si>
    <t>$20,727/$31,039</t>
  </si>
  <si>
    <t>484- 219 – 2885 484- 219 – 2885</t>
  </si>
  <si>
    <t>DI17192</t>
  </si>
  <si>
    <t>DII11907</t>
  </si>
  <si>
    <t>kweekly@utk.edu</t>
  </si>
  <si>
    <t>Slattery</t>
  </si>
  <si>
    <t>rslatter@shepherd.edu</t>
  </si>
  <si>
    <t>Albright</t>
  </si>
  <si>
    <t>Reading</t>
  </si>
  <si>
    <t>75,000-150,036</t>
  </si>
  <si>
    <t>470-606</t>
  </si>
  <si>
    <t>480-609</t>
  </si>
  <si>
    <t>20-61</t>
  </si>
  <si>
    <t>DII11946</t>
  </si>
  <si>
    <t>West Liberty University</t>
  </si>
  <si>
    <t>DIII13884</t>
  </si>
  <si>
    <t>Minch</t>
  </si>
  <si>
    <t>DI17193</t>
  </si>
  <si>
    <t>minchhp@westliberty.edu</t>
  </si>
  <si>
    <t>304-336-8476 304-336-8476</t>
  </si>
  <si>
    <t>Robertson</t>
  </si>
  <si>
    <t>zrobertson@albright.edu</t>
  </si>
  <si>
    <t>mmcdani5@utk.edu</t>
  </si>
  <si>
    <t>75,000-150,037</t>
  </si>
  <si>
    <t>West Liberty</t>
  </si>
  <si>
    <t>470-607</t>
  </si>
  <si>
    <t>20-62</t>
  </si>
  <si>
    <t>$22,130/$29,486</t>
  </si>
  <si>
    <t>DIII21279</t>
  </si>
  <si>
    <t>Pomante</t>
  </si>
  <si>
    <t>DI17194</t>
  </si>
  <si>
    <t>DII11947</t>
  </si>
  <si>
    <t>A.J.</t>
  </si>
  <si>
    <t>Nichols</t>
  </si>
  <si>
    <t>Melissa.Brown@utk.edu</t>
  </si>
  <si>
    <t>(865) 974-9675 (865) 974-9675</t>
  </si>
  <si>
    <t>DIII13942</t>
  </si>
  <si>
    <t>Allegheny College</t>
  </si>
  <si>
    <t>Curtiss</t>
  </si>
  <si>
    <t>bcurtiss@allegheny.edu</t>
  </si>
  <si>
    <t>814-332-2815 814-332-2815</t>
  </si>
  <si>
    <t>DII11996</t>
  </si>
  <si>
    <t>West Virginia State University</t>
  </si>
  <si>
    <t>Best</t>
  </si>
  <si>
    <t>mattie.best@wvstateu.edu</t>
  </si>
  <si>
    <t>DI21431</t>
  </si>
  <si>
    <t>c: 951-537-8124</t>
  </si>
  <si>
    <t>Allegheny (PA)</t>
  </si>
  <si>
    <t>Meadville</t>
  </si>
  <si>
    <t>10,000-25,030</t>
  </si>
  <si>
    <t>530-680</t>
  </si>
  <si>
    <t>DI17288</t>
  </si>
  <si>
    <t>Texas A&amp;M University</t>
  </si>
  <si>
    <t>West Virginia State</t>
  </si>
  <si>
    <t>Institute</t>
  </si>
  <si>
    <t>jevans@athletics.tamu.edu</t>
  </si>
  <si>
    <t>DIII13943</t>
  </si>
  <si>
    <t>403-520</t>
  </si>
  <si>
    <t>Zavolta</t>
  </si>
  <si>
    <t>jzavolta@allegheny.edu</t>
  </si>
  <si>
    <t>$22,019/$30,595</t>
  </si>
  <si>
    <t>814-332-6295 814-332-6295</t>
  </si>
  <si>
    <t>10,000-25,031</t>
  </si>
  <si>
    <t>540-671</t>
  </si>
  <si>
    <t>530-681</t>
  </si>
  <si>
    <t>24-60</t>
  </si>
  <si>
    <t>DII11997</t>
  </si>
  <si>
    <t>Texas A&amp;M</t>
  </si>
  <si>
    <t>College Station</t>
  </si>
  <si>
    <t>DIII14000</t>
  </si>
  <si>
    <t>Alvernia University</t>
  </si>
  <si>
    <t>Landrum</t>
  </si>
  <si>
    <t>$28,278/$48,456</t>
  </si>
  <si>
    <t>wesley.landrum@alvernia.edu</t>
  </si>
  <si>
    <t>Nip</t>
  </si>
  <si>
    <t>(610) 790-1937 (610) 790-1937</t>
  </si>
  <si>
    <t>DI17289</t>
  </si>
  <si>
    <t>Alvernia</t>
  </si>
  <si>
    <t>Dill</t>
  </si>
  <si>
    <t>kdill@athletics.tamu.edu</t>
  </si>
  <si>
    <t>440-576</t>
  </si>
  <si>
    <t>979-862-2567 979-862-2567</t>
  </si>
  <si>
    <t>440-586</t>
  </si>
  <si>
    <t>19-59</t>
  </si>
  <si>
    <t>DII11998</t>
  </si>
  <si>
    <t>Edmonds</t>
  </si>
  <si>
    <t>medmonds3@wvstateu.edu</t>
  </si>
  <si>
    <t>DIII14001</t>
  </si>
  <si>
    <t>Schroeder</t>
  </si>
  <si>
    <t>Jennifer.Schroeder@alvernia.edu</t>
  </si>
  <si>
    <t>DI17290</t>
  </si>
  <si>
    <t>440-577</t>
  </si>
  <si>
    <t>DII12024</t>
  </si>
  <si>
    <t>440-587</t>
  </si>
  <si>
    <t>West Virginia Wesleyan College</t>
  </si>
  <si>
    <t>19-60</t>
  </si>
  <si>
    <t>Snider</t>
  </si>
  <si>
    <t>Warner</t>
  </si>
  <si>
    <t>Warner_s@wvwc.edu</t>
  </si>
  <si>
    <t>304-473-8005 304-473-8005</t>
  </si>
  <si>
    <t>DIII14002</t>
  </si>
  <si>
    <t>marisa.lombardo@alvernia.edu</t>
  </si>
  <si>
    <t>(610) 790-2995 (610) 790-2995</t>
  </si>
  <si>
    <t>West Virginia Wesleyan</t>
  </si>
  <si>
    <t>Buckhannon</t>
  </si>
  <si>
    <t>75,000-150,038</t>
  </si>
  <si>
    <t>DI17291</t>
  </si>
  <si>
    <t>440-578</t>
  </si>
  <si>
    <t>440-588</t>
  </si>
  <si>
    <t>Repole</t>
  </si>
  <si>
    <t>19-61</t>
  </si>
  <si>
    <t>DII12025</t>
  </si>
  <si>
    <t>DIII14055</t>
  </si>
  <si>
    <t>Arcadia University</t>
  </si>
  <si>
    <t>Colletti</t>
  </si>
  <si>
    <t>collettis@arcadia.edu</t>
  </si>
  <si>
    <t>215-572-2996 215-572-2996</t>
  </si>
  <si>
    <t>DI17292</t>
  </si>
  <si>
    <t>Joy</t>
  </si>
  <si>
    <t>joy-jackson@tamu.edu</t>
  </si>
  <si>
    <t>DII12026</t>
  </si>
  <si>
    <t>Arcadia</t>
  </si>
  <si>
    <t>Glenside</t>
  </si>
  <si>
    <t>500-621</t>
  </si>
  <si>
    <t>500-611</t>
  </si>
  <si>
    <t>23-39</t>
  </si>
  <si>
    <t>Southern</t>
  </si>
  <si>
    <t>DIII14126</t>
  </si>
  <si>
    <t>Cabrini University</t>
  </si>
  <si>
    <t>East Tennessee State University</t>
  </si>
  <si>
    <t>Protesto</t>
  </si>
  <si>
    <t>Irwin</t>
  </si>
  <si>
    <t>christian.f.protesto@cabrini.edu</t>
  </si>
  <si>
    <t>610.225.3958 610.225.3958</t>
  </si>
  <si>
    <t>irwinbt@etsu.edu</t>
  </si>
  <si>
    <t>DII12027</t>
  </si>
  <si>
    <t>(423) 439-4279</t>
  </si>
  <si>
    <t>East Tennessee State</t>
  </si>
  <si>
    <t>Scoone</t>
  </si>
  <si>
    <t>Johnson City</t>
  </si>
  <si>
    <t>$23,083/$40,315</t>
  </si>
  <si>
    <t>DII12072</t>
  </si>
  <si>
    <t>Cabrini</t>
  </si>
  <si>
    <t>Wheeling Jesuit University</t>
  </si>
  <si>
    <t>Radnor</t>
  </si>
  <si>
    <t>25,000-50,044</t>
  </si>
  <si>
    <t>Buckmaster</t>
  </si>
  <si>
    <t>tbuckmaster@wju.edu</t>
  </si>
  <si>
    <t>440-574</t>
  </si>
  <si>
    <t>304-243-8154 304-243-8154</t>
  </si>
  <si>
    <t>440-564</t>
  </si>
  <si>
    <t>19-67</t>
  </si>
  <si>
    <t>Neely</t>
  </si>
  <si>
    <t>neelypa@etsu.edu</t>
  </si>
  <si>
    <t>(423) 439-9843</t>
  </si>
  <si>
    <t>Wheeling Jesuit</t>
  </si>
  <si>
    <t>DIII14127</t>
  </si>
  <si>
    <t>Wheeling</t>
  </si>
  <si>
    <t>Hilary</t>
  </si>
  <si>
    <t>Tutrani</t>
  </si>
  <si>
    <t>hlt42@cabrini.edu</t>
  </si>
  <si>
    <t>wagnerr@etsu.edu</t>
  </si>
  <si>
    <t>25,000-50,045</t>
  </si>
  <si>
    <t>440-575</t>
  </si>
  <si>
    <t>440-565</t>
  </si>
  <si>
    <t>19-68</t>
  </si>
  <si>
    <t>DIII21291</t>
  </si>
  <si>
    <t>DII12849</t>
  </si>
  <si>
    <t>Laughlin</t>
  </si>
  <si>
    <t>al10834@cabrini.edu</t>
  </si>
  <si>
    <t>DI17442</t>
  </si>
  <si>
    <t>Furman University</t>
  </si>
  <si>
    <t>Wally</t>
  </si>
  <si>
    <t>25,000-50,036</t>
  </si>
  <si>
    <t>Wally.King@Furman.edu</t>
  </si>
  <si>
    <t>440-566</t>
  </si>
  <si>
    <t>864-294-3767 864-294-3767</t>
  </si>
  <si>
    <t>440-556</t>
  </si>
  <si>
    <t>kmills@wju.edu</t>
  </si>
  <si>
    <t>DIII14177</t>
  </si>
  <si>
    <t>Cairn University</t>
  </si>
  <si>
    <t>Rymer</t>
  </si>
  <si>
    <t>wrymer@cairn.edu</t>
  </si>
  <si>
    <t>215.595.3229</t>
  </si>
  <si>
    <t>Cairn (PA)</t>
  </si>
  <si>
    <t>Langhorne</t>
  </si>
  <si>
    <t>Furman</t>
  </si>
  <si>
    <t>453-605</t>
  </si>
  <si>
    <t>440-605</t>
  </si>
  <si>
    <t>20-49</t>
  </si>
  <si>
    <t>DII12101</t>
  </si>
  <si>
    <t>University of Wisconsin - Parkside</t>
  </si>
  <si>
    <t>Ortman</t>
  </si>
  <si>
    <t>ortman@uwp.edu</t>
  </si>
  <si>
    <t>DIII14178</t>
  </si>
  <si>
    <t>khendrickson@cairn.edu</t>
  </si>
  <si>
    <t>453-606</t>
  </si>
  <si>
    <t>440-606</t>
  </si>
  <si>
    <t>20-50</t>
  </si>
  <si>
    <t>Wisconsin-Parkside</t>
  </si>
  <si>
    <t>Kenosha</t>
  </si>
  <si>
    <t>DI17444</t>
  </si>
  <si>
    <t>Berrios</t>
  </si>
  <si>
    <t>DIII21295</t>
  </si>
  <si>
    <t>Pete.Berrios@Furman.edu</t>
  </si>
  <si>
    <t>$18,801/$26,790</t>
  </si>
  <si>
    <t>864-294-3771 864-294-3771</t>
  </si>
  <si>
    <t>Mapes</t>
  </si>
  <si>
    <t>lmapes@cmu.edu</t>
  </si>
  <si>
    <t>412-268-3010</t>
  </si>
  <si>
    <t>DII12102</t>
  </si>
  <si>
    <t>gajewskb@uwp.edu</t>
  </si>
  <si>
    <t>DIII14214</t>
  </si>
  <si>
    <t>Carnegie Mellon University</t>
  </si>
  <si>
    <t>mharrison@cmu.edu</t>
  </si>
  <si>
    <t>DI17445</t>
  </si>
  <si>
    <t>412-268-5923</t>
  </si>
  <si>
    <t>Vail</t>
  </si>
  <si>
    <t>Aaron.Vail@Furman.edu</t>
  </si>
  <si>
    <t>DII12103</t>
  </si>
  <si>
    <t>Schmit</t>
  </si>
  <si>
    <t>Carnegie Mellon</t>
  </si>
  <si>
    <t>300,000-1,000,020</t>
  </si>
  <si>
    <t>720-820</t>
  </si>
  <si>
    <t>31-54</t>
  </si>
  <si>
    <t>DI17511</t>
  </si>
  <si>
    <t>Mercer University</t>
  </si>
  <si>
    <t>DeFeo</t>
  </si>
  <si>
    <t>DII12104</t>
  </si>
  <si>
    <t>defeo_st@mercer.edu</t>
  </si>
  <si>
    <t>(478) 301-5216 (478) 301-5216</t>
  </si>
  <si>
    <t>DIII20687</t>
  </si>
  <si>
    <t>AC Lindsay has been removed.</t>
  </si>
  <si>
    <t>300,000-1,000,012</t>
  </si>
  <si>
    <t>660-762</t>
  </si>
  <si>
    <t>720-812</t>
  </si>
  <si>
    <t>31-46</t>
  </si>
  <si>
    <t>Mercer (GA)</t>
  </si>
  <si>
    <t>DIII14250</t>
  </si>
  <si>
    <t>Cedar Crest College</t>
  </si>
  <si>
    <t>Begley</t>
  </si>
  <si>
    <t>Kcbegley@cedarcrest.edu</t>
  </si>
  <si>
    <t>610-606-4666 x4450</t>
  </si>
  <si>
    <t>DI17512</t>
  </si>
  <si>
    <t>Cedar Crest</t>
  </si>
  <si>
    <t>Hanson</t>
  </si>
  <si>
    <t>Allentown</t>
  </si>
  <si>
    <t>hanson_mn@mercer.edu</t>
  </si>
  <si>
    <t>c: (334) 805-3715; o: (478) 301-2263</t>
  </si>
  <si>
    <t>DIII14251</t>
  </si>
  <si>
    <t>DI17513</t>
  </si>
  <si>
    <t>AC Alyssa has been removed.</t>
  </si>
  <si>
    <t>Curry</t>
  </si>
  <si>
    <t>curry_md@mercer.edu</t>
  </si>
  <si>
    <t>(478) 301-2263 (478) 301-2263</t>
  </si>
  <si>
    <t>DIII14273</t>
  </si>
  <si>
    <t>Chatham University</t>
  </si>
  <si>
    <t>DI17514</t>
  </si>
  <si>
    <t>Tritinger</t>
  </si>
  <si>
    <t>d.tritinger@chatham.edu</t>
  </si>
  <si>
    <t>412-365-2468 412-365-2468</t>
  </si>
  <si>
    <t>Garmany</t>
  </si>
  <si>
    <t>Chatham (PA)</t>
  </si>
  <si>
    <t>300,000-1,000,019</t>
  </si>
  <si>
    <t>470-619</t>
  </si>
  <si>
    <t>480-589</t>
  </si>
  <si>
    <t>21-45</t>
  </si>
  <si>
    <t>DI17563</t>
  </si>
  <si>
    <t>University of North Carolina - Greensboro</t>
  </si>
  <si>
    <t>DIII14274</t>
  </si>
  <si>
    <t>Janelle</t>
  </si>
  <si>
    <t>Breneman</t>
  </si>
  <si>
    <t>jbreneman@uncg.edu</t>
  </si>
  <si>
    <t>336-541-6787</t>
  </si>
  <si>
    <t>21-46</t>
  </si>
  <si>
    <t>DIII14275</t>
  </si>
  <si>
    <t>Mundie</t>
  </si>
  <si>
    <t>300,000-1,000,021</t>
  </si>
  <si>
    <t>470-621</t>
  </si>
  <si>
    <t>480-591</t>
  </si>
  <si>
    <t>21-47</t>
  </si>
  <si>
    <t>North Carolina-Greensboro</t>
  </si>
  <si>
    <t>DIII21297</t>
  </si>
  <si>
    <t>$20,085/$34,947</t>
  </si>
  <si>
    <t>DIII14310</t>
  </si>
  <si>
    <t>Clarks Summit University</t>
  </si>
  <si>
    <t>Wesley</t>
  </si>
  <si>
    <t>Uffelman</t>
  </si>
  <si>
    <t>wuffelman@clarkssummitu.edu</t>
  </si>
  <si>
    <t>570.585.9323</t>
  </si>
  <si>
    <t>DI17564</t>
  </si>
  <si>
    <t>tracey.lynch@uncg.edu</t>
  </si>
  <si>
    <t>336 541-6787</t>
  </si>
  <si>
    <t>Clarks Summit</t>
  </si>
  <si>
    <t>South Abington Township</t>
  </si>
  <si>
    <t>DIII14348</t>
  </si>
  <si>
    <t>DI17565</t>
  </si>
  <si>
    <t>Delaware Valley University</t>
  </si>
  <si>
    <t>HC Kaitlyn has been removed.</t>
  </si>
  <si>
    <t>Bethaney</t>
  </si>
  <si>
    <t>Wells</t>
  </si>
  <si>
    <t>b_wells@uncg.edu</t>
  </si>
  <si>
    <t>Delaware Valley</t>
  </si>
  <si>
    <t>Doylestown</t>
  </si>
  <si>
    <t>430-592</t>
  </si>
  <si>
    <t>440-582</t>
  </si>
  <si>
    <t>18-68</t>
  </si>
  <si>
    <t>JuCo/NJCAA</t>
  </si>
  <si>
    <t>DI17566</t>
  </si>
  <si>
    <t>Bryden</t>
  </si>
  <si>
    <t>DIII14349</t>
  </si>
  <si>
    <t>AC Robert has been removed.</t>
  </si>
  <si>
    <t>430-593</t>
  </si>
  <si>
    <t>440-583</t>
  </si>
  <si>
    <t>18-69</t>
  </si>
  <si>
    <t>DI17618</t>
  </si>
  <si>
    <t>Samford University</t>
  </si>
  <si>
    <t>Burford-Johnson</t>
  </si>
  <si>
    <t>aburford@samford.edu</t>
  </si>
  <si>
    <t>205-726-4147 205-726-4147</t>
  </si>
  <si>
    <t>DIII14384</t>
  </si>
  <si>
    <t>DeSales University</t>
  </si>
  <si>
    <t>Turoscy</t>
  </si>
  <si>
    <t>Rachel.Turoscy@desales.edu</t>
  </si>
  <si>
    <t>610-282-1100, x1614</t>
  </si>
  <si>
    <t>Samford</t>
  </si>
  <si>
    <t>Homewood</t>
  </si>
  <si>
    <t>DeSales</t>
  </si>
  <si>
    <t>Center Valley</t>
  </si>
  <si>
    <t>500-618</t>
  </si>
  <si>
    <t>480-615</t>
  </si>
  <si>
    <t>460-615</t>
  </si>
  <si>
    <t>22-52</t>
  </si>
  <si>
    <t>DI17619</t>
  </si>
  <si>
    <t>DIII14385</t>
  </si>
  <si>
    <t>mp9144@desales.edu</t>
  </si>
  <si>
    <t>610-282-1100, x2408</t>
  </si>
  <si>
    <t>480-616</t>
  </si>
  <si>
    <t>460-616</t>
  </si>
  <si>
    <t>22-53</t>
  </si>
  <si>
    <t>DI17620</t>
  </si>
  <si>
    <t>Higgins</t>
  </si>
  <si>
    <t>bhiggins@samford.edu</t>
  </si>
  <si>
    <t>DIII14386</t>
  </si>
  <si>
    <t>480-617</t>
  </si>
  <si>
    <t>460-617</t>
  </si>
  <si>
    <t>22-54</t>
  </si>
  <si>
    <t>DI17669</t>
  </si>
  <si>
    <t>University of Tennessee - Chattanooga</t>
  </si>
  <si>
    <t>frank-reed@utc.edu</t>
  </si>
  <si>
    <t>423-425-2163</t>
  </si>
  <si>
    <t>DIII14445</t>
  </si>
  <si>
    <t>Dickinson College</t>
  </si>
  <si>
    <t>Richwine</t>
  </si>
  <si>
    <t>richwinm@dickinson.edu</t>
  </si>
  <si>
    <t>717-245-1733</t>
  </si>
  <si>
    <t>Tennessee-Chattanooga</t>
  </si>
  <si>
    <t>Chattanooga</t>
  </si>
  <si>
    <t>Dickinson (PA)</t>
  </si>
  <si>
    <t>Carlisle</t>
  </si>
  <si>
    <t>$22,644/$38,762</t>
  </si>
  <si>
    <t>DI17670</t>
  </si>
  <si>
    <t>Kilgore</t>
  </si>
  <si>
    <t>scottie-kilgore@utc.edu</t>
  </si>
  <si>
    <t>DIII14446</t>
  </si>
  <si>
    <t>Evie</t>
  </si>
  <si>
    <t>Rentzel</t>
  </si>
  <si>
    <t>10,000-25,032</t>
  </si>
  <si>
    <t>DI17671</t>
  </si>
  <si>
    <t>Shoemake</t>
  </si>
  <si>
    <t>brianna-shoemake@utc.edu</t>
  </si>
  <si>
    <t>DIII14493</t>
  </si>
  <si>
    <t>Eastern University</t>
  </si>
  <si>
    <t>terri.adams@eastern.edu</t>
  </si>
  <si>
    <t>DI17795</t>
  </si>
  <si>
    <t>Eastern (PA)</t>
  </si>
  <si>
    <t>St. Davids</t>
  </si>
  <si>
    <t>Western Carolina University</t>
  </si>
  <si>
    <t>Clift</t>
  </si>
  <si>
    <t>jrclift@email.wcu.edu</t>
  </si>
  <si>
    <t>828-227-2532</t>
  </si>
  <si>
    <t>19-53</t>
  </si>
  <si>
    <t>Western Carolina</t>
  </si>
  <si>
    <t>Cullowhee</t>
  </si>
  <si>
    <t>DIII14494</t>
  </si>
  <si>
    <t>Birchmeier</t>
  </si>
  <si>
    <t>$20,920/$31,313</t>
  </si>
  <si>
    <t>sarah.birchmeier@eastern.edu</t>
  </si>
  <si>
    <t>470-601</t>
  </si>
  <si>
    <t>460-601</t>
  </si>
  <si>
    <t>19-54</t>
  </si>
  <si>
    <t>DI17797</t>
  </si>
  <si>
    <t>AC Kendall has been removed.</t>
  </si>
  <si>
    <t>DIII14544</t>
  </si>
  <si>
    <t>Elizabethtown College</t>
  </si>
  <si>
    <t>Reifinger</t>
  </si>
  <si>
    <t>JC</t>
  </si>
  <si>
    <t>DI17798</t>
  </si>
  <si>
    <t>Bevill State Community College</t>
  </si>
  <si>
    <t>Mollus</t>
  </si>
  <si>
    <t>Elizabethtown (PA)</t>
  </si>
  <si>
    <t>allison.mollus@bscc.edu</t>
  </si>
  <si>
    <t>Elizabethtown</t>
  </si>
  <si>
    <t>10,000-25,029</t>
  </si>
  <si>
    <t>205.648.3271, x5743</t>
  </si>
  <si>
    <t>500-639</t>
  </si>
  <si>
    <t>490-579</t>
  </si>
  <si>
    <t>21-57</t>
  </si>
  <si>
    <t>DIII14545</t>
  </si>
  <si>
    <t>Justyna</t>
  </si>
  <si>
    <t>DI22331</t>
  </si>
  <si>
    <t>Pepkowski</t>
  </si>
  <si>
    <t>Bevill State CC</t>
  </si>
  <si>
    <t>Armstrong</t>
  </si>
  <si>
    <t>marmstrong@email.wcu.edu</t>
  </si>
  <si>
    <t>Jasper</t>
  </si>
  <si>
    <t>828-227-2533</t>
  </si>
  <si>
    <t>21-58</t>
  </si>
  <si>
    <t>Southland</t>
  </si>
  <si>
    <t>DI17891</t>
  </si>
  <si>
    <t>DIII20704</t>
  </si>
  <si>
    <t>Abilene Christian University</t>
  </si>
  <si>
    <t>Nicky</t>
  </si>
  <si>
    <t>Farler</t>
  </si>
  <si>
    <t>Hockenberry</t>
  </si>
  <si>
    <t>abigail.farler@acu.edu</t>
  </si>
  <si>
    <t>325-674-2721</t>
  </si>
  <si>
    <t>10,000-25,052</t>
  </si>
  <si>
    <t>500-662</t>
  </si>
  <si>
    <t>490-602</t>
  </si>
  <si>
    <t>21-80</t>
  </si>
  <si>
    <t>Bishop State Community College</t>
  </si>
  <si>
    <t>Angelo</t>
  </si>
  <si>
    <t>Archible</t>
  </si>
  <si>
    <t>aarchible@bishop.edu</t>
  </si>
  <si>
    <t>Bishop State CC</t>
  </si>
  <si>
    <t>DIII20705</t>
  </si>
  <si>
    <t>Shaffer</t>
  </si>
  <si>
    <t>Abilene Christian</t>
  </si>
  <si>
    <t>Abilene</t>
  </si>
  <si>
    <t>HBCU, Community College</t>
  </si>
  <si>
    <t>$12,380/$16,070</t>
  </si>
  <si>
    <t>DI17892</t>
  </si>
  <si>
    <t>DIII20706</t>
  </si>
  <si>
    <t>J15</t>
  </si>
  <si>
    <t>Twaddle</t>
  </si>
  <si>
    <t>Varrato</t>
  </si>
  <si>
    <t>Calhoun Community College</t>
  </si>
  <si>
    <t>Bart</t>
  </si>
  <si>
    <t>jessica.twaddle@acu.edu</t>
  </si>
  <si>
    <t>Stephenson</t>
  </si>
  <si>
    <t>bart.stephenson@calhoun.edu</t>
  </si>
  <si>
    <t>256-306-2983</t>
  </si>
  <si>
    <t>Calhoun CC</t>
  </si>
  <si>
    <t>Tanner</t>
  </si>
  <si>
    <t>DI21409</t>
  </si>
  <si>
    <t>$13,660/$17,170</t>
  </si>
  <si>
    <t>Caty</t>
  </si>
  <si>
    <t>DIII21302</t>
  </si>
  <si>
    <t>caty.reeves@acu.edu</t>
  </si>
  <si>
    <t>541-231-2036 541-231-2036</t>
  </si>
  <si>
    <t>Staib</t>
  </si>
  <si>
    <t>staibk@etown.edu</t>
  </si>
  <si>
    <t>(717) 361-1533 (717) 361-1533</t>
  </si>
  <si>
    <t>DI21433</t>
  </si>
  <si>
    <t>Wiggins</t>
  </si>
  <si>
    <t>Chattahoochee Valley Community College</t>
  </si>
  <si>
    <t>O'Steen</t>
  </si>
  <si>
    <t>steve.osteen@cv.edu</t>
  </si>
  <si>
    <t>334-291-3462</t>
  </si>
  <si>
    <t>Chattahoochee Valley CC</t>
  </si>
  <si>
    <t>Phenix City</t>
  </si>
  <si>
    <t>DI17922</t>
  </si>
  <si>
    <t>University of Central Arkansas</t>
  </si>
  <si>
    <t>Kuhn</t>
  </si>
  <si>
    <t>$12,254/$15,764</t>
  </si>
  <si>
    <t>dkuhn@uca.edu</t>
  </si>
  <si>
    <t>501-499-1135</t>
  </si>
  <si>
    <t>@coachdavidmkuhn</t>
  </si>
  <si>
    <t>Central Arkansas</t>
  </si>
  <si>
    <t>$21,143/$27,366</t>
  </si>
  <si>
    <t>DIII14622</t>
  </si>
  <si>
    <t>Franklin &amp; Marshall College</t>
  </si>
  <si>
    <t>Brubaker</t>
  </si>
  <si>
    <t>bradford.brubaker@fandm.edu</t>
  </si>
  <si>
    <t>717-358-4546</t>
  </si>
  <si>
    <t>DI17923</t>
  </si>
  <si>
    <t>Parsons</t>
  </si>
  <si>
    <t>jparsons@uca.edu</t>
  </si>
  <si>
    <t>985-713-9567</t>
  </si>
  <si>
    <t>@CoachJenParsons</t>
  </si>
  <si>
    <t>DI17924</t>
  </si>
  <si>
    <t>Franklin &amp; Marshall</t>
  </si>
  <si>
    <t>Watford</t>
  </si>
  <si>
    <t>J29</t>
  </si>
  <si>
    <t>cwatford@uca.edu</t>
  </si>
  <si>
    <t>Lancaster</t>
  </si>
  <si>
    <t>@watty21</t>
  </si>
  <si>
    <t>25,000-50,050</t>
  </si>
  <si>
    <t>Coastal Alabama Community College - Brewton</t>
  </si>
  <si>
    <t>Misti</t>
  </si>
  <si>
    <t>Nims</t>
  </si>
  <si>
    <t>misti.nims@coastalalabama.edu</t>
  </si>
  <si>
    <t>630-780</t>
  </si>
  <si>
    <t>28-81</t>
  </si>
  <si>
    <t>Coastal Alabama-East</t>
  </si>
  <si>
    <t>DI17925</t>
  </si>
  <si>
    <t>Brewton</t>
  </si>
  <si>
    <t>$14,686/$18,960</t>
  </si>
  <si>
    <t>DIII14623</t>
  </si>
  <si>
    <t>Quigley</t>
  </si>
  <si>
    <t>aquigley@fandm.edu</t>
  </si>
  <si>
    <t>DI17926</t>
  </si>
  <si>
    <t>Laken</t>
  </si>
  <si>
    <t>Shankle</t>
  </si>
  <si>
    <t>J10937</t>
  </si>
  <si>
    <t>Coastal Alabama Community College - Monroeville</t>
  </si>
  <si>
    <t>Childress</t>
  </si>
  <si>
    <t>christa.childress@coastalalabama.edu</t>
  </si>
  <si>
    <t>251-575-8381</t>
  </si>
  <si>
    <t>25,000-50,051</t>
  </si>
  <si>
    <t>570-731</t>
  </si>
  <si>
    <t>630-781</t>
  </si>
  <si>
    <t>28-82</t>
  </si>
  <si>
    <t>DI22336</t>
  </si>
  <si>
    <t>Coastal Alabama-North</t>
  </si>
  <si>
    <t>Monroeville</t>
  </si>
  <si>
    <t>DIII14624</t>
  </si>
  <si>
    <t>Boreman</t>
  </si>
  <si>
    <t>sboreman@fandm.edu</t>
  </si>
  <si>
    <t>25,000-50,052</t>
  </si>
  <si>
    <t>570-732</t>
  </si>
  <si>
    <t>630-782</t>
  </si>
  <si>
    <t>28-83</t>
  </si>
  <si>
    <t>DI17977</t>
  </si>
  <si>
    <t>J34</t>
  </si>
  <si>
    <t>Houston Baptist University</t>
  </si>
  <si>
    <t>Mary-Ellen</t>
  </si>
  <si>
    <t>Meadows</t>
  </si>
  <si>
    <t>mhall@hbu.edu</t>
  </si>
  <si>
    <t>monica.meadows@coastalalabama.edu</t>
  </si>
  <si>
    <t>281.649.3248 281.649.3248</t>
  </si>
  <si>
    <t>DIII14625</t>
  </si>
  <si>
    <t>kwillis@fandm.edu</t>
  </si>
  <si>
    <t>25,000-50,053</t>
  </si>
  <si>
    <t>570-733</t>
  </si>
  <si>
    <t>630-783</t>
  </si>
  <si>
    <t>28-84</t>
  </si>
  <si>
    <t>J39</t>
  </si>
  <si>
    <t xml:space="preserve">Coastal Alabama Community College - Bay Minette </t>
  </si>
  <si>
    <t>DIII14626</t>
  </si>
  <si>
    <t>Radwitch</t>
  </si>
  <si>
    <t>mallory.radwitch@coastalalabama.edu</t>
  </si>
  <si>
    <t>251-580-2192</t>
  </si>
  <si>
    <t>Houston Baptist</t>
  </si>
  <si>
    <t>Coastal Alabama-South</t>
  </si>
  <si>
    <t>Bay Minette</t>
  </si>
  <si>
    <t>25,000-50,054</t>
  </si>
  <si>
    <t>570-734</t>
  </si>
  <si>
    <t>630-784</t>
  </si>
  <si>
    <t>28-85</t>
  </si>
  <si>
    <t>DI17978</t>
  </si>
  <si>
    <t>J40</t>
  </si>
  <si>
    <t>Willhite</t>
  </si>
  <si>
    <t>Blubaugh</t>
  </si>
  <si>
    <t>rwillhite@hbu.edu</t>
  </si>
  <si>
    <t>281.649.3254 281.649.3254</t>
  </si>
  <si>
    <t>Kaitlyn.Blubaugh@CoastalAlabama.edu</t>
  </si>
  <si>
    <t>DIII14700</t>
  </si>
  <si>
    <t>Geneva College</t>
  </si>
  <si>
    <t>Zanic</t>
  </si>
  <si>
    <t>vgzanic@geneva.edu</t>
  </si>
  <si>
    <t>724-847-6886 724-847-6886</t>
  </si>
  <si>
    <t>J50</t>
  </si>
  <si>
    <t>Enterprise State Community College</t>
  </si>
  <si>
    <t>DI17979</t>
  </si>
  <si>
    <t>Natali</t>
  </si>
  <si>
    <t>tharrison@escc.edu</t>
  </si>
  <si>
    <t>Duron</t>
  </si>
  <si>
    <t>334-347-2623 x2341</t>
  </si>
  <si>
    <t>nduron@hbu.edu</t>
  </si>
  <si>
    <t>Enterprise State CC</t>
  </si>
  <si>
    <t>Enterprise</t>
  </si>
  <si>
    <t>Geneva (PA)</t>
  </si>
  <si>
    <t>Beaver Falls</t>
  </si>
  <si>
    <t>$13,476/$16,986</t>
  </si>
  <si>
    <t>DI17980</t>
  </si>
  <si>
    <t>470-615</t>
  </si>
  <si>
    <t>20-54</t>
  </si>
  <si>
    <t>parkerk2@hbu.edu</t>
  </si>
  <si>
    <t>Lurleen B Wallace Community College</t>
  </si>
  <si>
    <t>ttaylor@lbwcc.edu</t>
  </si>
  <si>
    <t>(334) 881-2204</t>
  </si>
  <si>
    <t>DI18040</t>
  </si>
  <si>
    <t>Lurleen B. Wallace CC</t>
  </si>
  <si>
    <t>DIII14701</t>
  </si>
  <si>
    <t>University of the Incarnate Word</t>
  </si>
  <si>
    <t>Andalusia</t>
  </si>
  <si>
    <t>DiPietro</t>
  </si>
  <si>
    <t>jdipietr@uiwtx.edu</t>
  </si>
  <si>
    <t>210-829-3969 210-829-3969</t>
  </si>
  <si>
    <t>ajfee1@geneva.edu</t>
  </si>
  <si>
    <t>724-847-6105 724-847-6105</t>
  </si>
  <si>
    <t>$18,647/$22,157</t>
  </si>
  <si>
    <t>470-616</t>
  </si>
  <si>
    <t>Incarnate Word</t>
  </si>
  <si>
    <t>20-55</t>
  </si>
  <si>
    <t>J77</t>
  </si>
  <si>
    <t>Marion Military Institute</t>
  </si>
  <si>
    <t>420-470</t>
  </si>
  <si>
    <t>jbenson@marionmilitary.edu</t>
  </si>
  <si>
    <t>334-683-2583</t>
  </si>
  <si>
    <t>DIII14702</t>
  </si>
  <si>
    <t>softball@geneva.edu</t>
  </si>
  <si>
    <t>DI18041</t>
  </si>
  <si>
    <t>470-617</t>
  </si>
  <si>
    <t>Prezioso</t>
  </si>
  <si>
    <t>20-56</t>
  </si>
  <si>
    <t>prezioso@uiwtx.edu</t>
  </si>
  <si>
    <t xml:space="preserve">Marion Military </t>
  </si>
  <si>
    <t>Marion</t>
  </si>
  <si>
    <t>$18,568/$24,568</t>
  </si>
  <si>
    <t>DIII14703</t>
  </si>
  <si>
    <t>Anjelica</t>
  </si>
  <si>
    <t>Diehl</t>
  </si>
  <si>
    <t>DI21350</t>
  </si>
  <si>
    <t>Tammie</t>
  </si>
  <si>
    <t>tmdavis@uiwtx.edu</t>
  </si>
  <si>
    <t>J78</t>
  </si>
  <si>
    <t>470-618</t>
  </si>
  <si>
    <t>480-618</t>
  </si>
  <si>
    <t>Kori</t>
  </si>
  <si>
    <t>kbenson@marionmilitary.edu</t>
  </si>
  <si>
    <t>334-683-2385</t>
  </si>
  <si>
    <t>DIII14736</t>
  </si>
  <si>
    <t>DI18111</t>
  </si>
  <si>
    <t>Gettysburg College</t>
  </si>
  <si>
    <t>Annette</t>
  </si>
  <si>
    <t>Lamar University</t>
  </si>
  <si>
    <t>Hunt-Shepherd</t>
  </si>
  <si>
    <t>Hooks</t>
  </si>
  <si>
    <t>ashepher@gettysburg.edu</t>
  </si>
  <si>
    <t>717-337-6443 717-337-6443</t>
  </si>
  <si>
    <t>ahooks6@lamar.edu</t>
  </si>
  <si>
    <t>409-880-7454 409-880-7454</t>
  </si>
  <si>
    <t>Lamar</t>
  </si>
  <si>
    <t>Beaumont</t>
  </si>
  <si>
    <t>J91</t>
  </si>
  <si>
    <t>Shelton State Community College</t>
  </si>
  <si>
    <t>Boyle</t>
  </si>
  <si>
    <t>bboyle@sheltonstate.edu</t>
  </si>
  <si>
    <t>$21,796/$31,588</t>
  </si>
  <si>
    <t>205.391.2299</t>
  </si>
  <si>
    <t>Gettysburg</t>
  </si>
  <si>
    <t>DI18112</t>
  </si>
  <si>
    <t>Shelton State CC</t>
  </si>
  <si>
    <t>Rudi</t>
  </si>
  <si>
    <t>Cantu-Torres</t>
  </si>
  <si>
    <t>rcantutorres@lamar.edu</t>
  </si>
  <si>
    <t>409-880-1876 409-880-1876</t>
  </si>
  <si>
    <t>$14,907/$18,417</t>
  </si>
  <si>
    <t>DI18113</t>
  </si>
  <si>
    <t>DIII21311</t>
  </si>
  <si>
    <t>McKenney</t>
  </si>
  <si>
    <t>tmckenney@lamar.edu</t>
  </si>
  <si>
    <t>409-880-1880 409-880-1880</t>
  </si>
  <si>
    <t>Madelyn</t>
  </si>
  <si>
    <t>J92</t>
  </si>
  <si>
    <t>Yannetti</t>
  </si>
  <si>
    <t>Crowson Hobson</t>
  </si>
  <si>
    <t>DI22359</t>
  </si>
  <si>
    <t>LeBeouf</t>
  </si>
  <si>
    <t>DIII14772</t>
  </si>
  <si>
    <t>Grove City College</t>
  </si>
  <si>
    <t>J100</t>
  </si>
  <si>
    <t>Cramer</t>
  </si>
  <si>
    <t>Snead State Community College</t>
  </si>
  <si>
    <t>kmhughescramer@gcc.edu</t>
  </si>
  <si>
    <t>Grindrod</t>
  </si>
  <si>
    <t>724-450-1531 724-450-1531</t>
  </si>
  <si>
    <t>tracy.grindrod@snead.edu</t>
  </si>
  <si>
    <t>256-840-4161</t>
  </si>
  <si>
    <t>DI18162</t>
  </si>
  <si>
    <t>Snead State CC</t>
  </si>
  <si>
    <t>McNeese State University</t>
  </si>
  <si>
    <t>Boaz</t>
  </si>
  <si>
    <t>Landreneau</t>
  </si>
  <si>
    <t>jlandreneau@mcneese.edu</t>
  </si>
  <si>
    <t>337.562.4132 337.562.4132</t>
  </si>
  <si>
    <t>$12,672/$16,182</t>
  </si>
  <si>
    <t>Grove City</t>
  </si>
  <si>
    <t>531-691</t>
  </si>
  <si>
    <t>529-680</t>
  </si>
  <si>
    <t>23-52</t>
  </si>
  <si>
    <t>J101</t>
  </si>
  <si>
    <t>Holli</t>
  </si>
  <si>
    <t>holli.hill@snead.edu</t>
  </si>
  <si>
    <t>256-293-6752</t>
  </si>
  <si>
    <t>McNeese State</t>
  </si>
  <si>
    <t>DIII14818</t>
  </si>
  <si>
    <t>Lake Charles</t>
  </si>
  <si>
    <t>Gwynedd Mercy University</t>
  </si>
  <si>
    <t>Hoch</t>
  </si>
  <si>
    <t>hoch.d@gmercyu.edu</t>
  </si>
  <si>
    <t>215-646-7300 x21360</t>
  </si>
  <si>
    <t>$20,462/$31,537</t>
  </si>
  <si>
    <t>Gwynedd Mercy</t>
  </si>
  <si>
    <t>Gwynedd Valley</t>
  </si>
  <si>
    <t>J102</t>
  </si>
  <si>
    <t>420-541</t>
  </si>
  <si>
    <t>420-551</t>
  </si>
  <si>
    <t>16-54</t>
  </si>
  <si>
    <t>hollinicolehill@hotmail.com</t>
  </si>
  <si>
    <t>DI18163</t>
  </si>
  <si>
    <t>Robbie</t>
  </si>
  <si>
    <t>rtate3@mcneese.edu</t>
  </si>
  <si>
    <t>DIII14819</t>
  </si>
  <si>
    <t>Leo</t>
  </si>
  <si>
    <t>Medernach</t>
  </si>
  <si>
    <t>J103</t>
  </si>
  <si>
    <t>420-542</t>
  </si>
  <si>
    <t>420-552</t>
  </si>
  <si>
    <t>16-55</t>
  </si>
  <si>
    <t>DIII14877</t>
  </si>
  <si>
    <t>Haverford College</t>
  </si>
  <si>
    <t>DI18164</t>
  </si>
  <si>
    <t>Poppe</t>
  </si>
  <si>
    <t>cpoppe@haverford.edu</t>
  </si>
  <si>
    <t>610-896-4999</t>
  </si>
  <si>
    <t>Landry</t>
  </si>
  <si>
    <t>Southern Union State Community College</t>
  </si>
  <si>
    <t>slandry10@mcneese.edu</t>
  </si>
  <si>
    <t>337.475.5475 337.475.5475</t>
  </si>
  <si>
    <t>Silva</t>
  </si>
  <si>
    <t>asilva@suscc.edu</t>
  </si>
  <si>
    <t>256-395-2211, x5104</t>
  </si>
  <si>
    <t>Southern Union State CC</t>
  </si>
  <si>
    <t>Opelika</t>
  </si>
  <si>
    <t>Haverford</t>
  </si>
  <si>
    <t>$13,002/$16,746</t>
  </si>
  <si>
    <t>DI18165</t>
  </si>
  <si>
    <t>Coyne</t>
  </si>
  <si>
    <t>mcoyne@mcneese.edu</t>
  </si>
  <si>
    <t>337-475-4242 337-475-4242</t>
  </si>
  <si>
    <t>Garner</t>
  </si>
  <si>
    <t>mgarner@suscc.edu</t>
  </si>
  <si>
    <t>DIII14878</t>
  </si>
  <si>
    <t>Hartz</t>
  </si>
  <si>
    <t>DI18166</t>
  </si>
  <si>
    <t>Wallace State Community College - Hanceville</t>
  </si>
  <si>
    <t>Daugherty</t>
  </si>
  <si>
    <t>msu-swalley@mcneese.edu</t>
  </si>
  <si>
    <t>aj.daugherty@wallacestate.edu</t>
  </si>
  <si>
    <t>337.475.5219 337.475.5219</t>
  </si>
  <si>
    <t>256.352.8355</t>
  </si>
  <si>
    <t>DIII14879</t>
  </si>
  <si>
    <t>Magee</t>
  </si>
  <si>
    <t>DI22370</t>
  </si>
  <si>
    <t>Wallace State CC-Hanceville</t>
  </si>
  <si>
    <t>Hanceville</t>
  </si>
  <si>
    <t>kjames13@mcneese.edu</t>
  </si>
  <si>
    <t>337.475-5475 337.475-5475</t>
  </si>
  <si>
    <t>$14,540/$18,050</t>
  </si>
  <si>
    <t>DIII14880</t>
  </si>
  <si>
    <t>DI22371</t>
  </si>
  <si>
    <t>thecoachtate</t>
  </si>
  <si>
    <t>sallie.burch@wallacestate.edu</t>
  </si>
  <si>
    <t>DI18246</t>
  </si>
  <si>
    <t>Nicholls State University</t>
  </si>
  <si>
    <t>DIII14922</t>
  </si>
  <si>
    <t>angel.santiago@nicholls.edu</t>
  </si>
  <si>
    <t>(985) 448-4263 (985) 448-4263</t>
  </si>
  <si>
    <t>Immaculata University</t>
  </si>
  <si>
    <t>mwallace3@immaculata.edu</t>
  </si>
  <si>
    <t>484-323-3751 484-323-3751</t>
  </si>
  <si>
    <t>Arizona Western College</t>
  </si>
  <si>
    <t>Bethurum</t>
  </si>
  <si>
    <t>Nicole.Bethurum@azwestern.edu</t>
  </si>
  <si>
    <t>928-344-7544</t>
  </si>
  <si>
    <t>Nicholls State</t>
  </si>
  <si>
    <t>Thibodaux</t>
  </si>
  <si>
    <t>470-517</t>
  </si>
  <si>
    <t>475-617</t>
  </si>
  <si>
    <t>Arizona Western</t>
  </si>
  <si>
    <t>Yuma</t>
  </si>
  <si>
    <t>$21,545/$32,476</t>
  </si>
  <si>
    <t>$16,562/$23,552</t>
  </si>
  <si>
    <t>Immaculata</t>
  </si>
  <si>
    <t>DI18247</t>
  </si>
  <si>
    <t>Seamon</t>
  </si>
  <si>
    <t>jessica.seamon@nicholls.edu</t>
  </si>
  <si>
    <t>(985) 448-4493 (985) 448-4493</t>
  </si>
  <si>
    <t>DIII14923</t>
  </si>
  <si>
    <t>DI18248</t>
  </si>
  <si>
    <t>Dolores</t>
  </si>
  <si>
    <t>Martino</t>
  </si>
  <si>
    <t>dmartino@immaculata.edu</t>
  </si>
  <si>
    <t>Miguel</t>
  </si>
  <si>
    <t>Villarreal</t>
  </si>
  <si>
    <t>DIII14924</t>
  </si>
  <si>
    <t>Diegel</t>
  </si>
  <si>
    <t>DI18295</t>
  </si>
  <si>
    <t>Northwestern State University of Louisiana</t>
  </si>
  <si>
    <t>Donald</t>
  </si>
  <si>
    <t>pickettd@nsula.edu</t>
  </si>
  <si>
    <t>Gastelo</t>
  </si>
  <si>
    <t>318-357-4234</t>
  </si>
  <si>
    <t>DIII14980</t>
  </si>
  <si>
    <t>Juniata College</t>
  </si>
  <si>
    <t>Connor</t>
  </si>
  <si>
    <t>connorl@juniata.edu</t>
  </si>
  <si>
    <t>Central Arizona College</t>
  </si>
  <si>
    <t>814-641-5305</t>
  </si>
  <si>
    <t>Northwestern State</t>
  </si>
  <si>
    <t>Natchitoches</t>
  </si>
  <si>
    <t>shelby.davis@centralaz.edu</t>
  </si>
  <si>
    <t>520-494-5492</t>
  </si>
  <si>
    <t>$21,102/$31,890</t>
  </si>
  <si>
    <t>Central Arizona</t>
  </si>
  <si>
    <t>Coolidge</t>
  </si>
  <si>
    <t>$13,570/$22,030</t>
  </si>
  <si>
    <t>Juniata</t>
  </si>
  <si>
    <t>DI18296</t>
  </si>
  <si>
    <t>Locke</t>
  </si>
  <si>
    <t>alocke1@nsula.edu</t>
  </si>
  <si>
    <t>520-651</t>
  </si>
  <si>
    <t>318-357-4970</t>
  </si>
  <si>
    <t>23-60</t>
  </si>
  <si>
    <t>Chandler-Gilbert Community College</t>
  </si>
  <si>
    <t>Bryanne</t>
  </si>
  <si>
    <t>Norris</t>
  </si>
  <si>
    <t>bryanne.norris@cgc.edu</t>
  </si>
  <si>
    <t>480-732-7365; 480-857-5452</t>
  </si>
  <si>
    <t>DIII14981</t>
  </si>
  <si>
    <t>DI18297</t>
  </si>
  <si>
    <t>Chandler-Gilbert CC</t>
  </si>
  <si>
    <t>Boening</t>
  </si>
  <si>
    <t>boeningb@nsula.edu</t>
  </si>
  <si>
    <t>318-357-6009</t>
  </si>
  <si>
    <t>$19,752/$25,536</t>
  </si>
  <si>
    <t>520-652</t>
  </si>
  <si>
    <t>23-61</t>
  </si>
  <si>
    <t>DIII15034</t>
  </si>
  <si>
    <t>Keystone College</t>
  </si>
  <si>
    <t>alison.ritter@keystone.edu</t>
  </si>
  <si>
    <t>570-945-8239 570-945-8239</t>
  </si>
  <si>
    <t>Strauss</t>
  </si>
  <si>
    <t>DI18342</t>
  </si>
  <si>
    <t>480-236-1075</t>
  </si>
  <si>
    <t>Sam Houston State University</t>
  </si>
  <si>
    <t>Valis</t>
  </si>
  <si>
    <t>gvalis@shsu.edu</t>
  </si>
  <si>
    <t>936 294-3920</t>
  </si>
  <si>
    <t>Keystone</t>
  </si>
  <si>
    <t>La Plume</t>
  </si>
  <si>
    <t>400-518</t>
  </si>
  <si>
    <t>380-508</t>
  </si>
  <si>
    <t>16-49</t>
  </si>
  <si>
    <t>Sam Houston State</t>
  </si>
  <si>
    <t>$21,236/$31,028</t>
  </si>
  <si>
    <t>DIII21324</t>
  </si>
  <si>
    <t>Titus</t>
  </si>
  <si>
    <t>DI18343</t>
  </si>
  <si>
    <t>vlb006@shsu.edu</t>
  </si>
  <si>
    <t>936 294-4166</t>
  </si>
  <si>
    <t>DIII15085</t>
  </si>
  <si>
    <t>DI18344</t>
  </si>
  <si>
    <t>King's College - Pennsylvania</t>
  </si>
  <si>
    <t>GIGLIELLO</t>
  </si>
  <si>
    <t>Tess</t>
  </si>
  <si>
    <t>Soefje</t>
  </si>
  <si>
    <t>lisagigliello@kings.edu</t>
  </si>
  <si>
    <t>570-208-5900, ext. 5397 570-208-5900, ext. 5397</t>
  </si>
  <si>
    <t>tsoefje@shsu.edu</t>
  </si>
  <si>
    <t>936-294-1745</t>
  </si>
  <si>
    <t>King's (PA)</t>
  </si>
  <si>
    <t>Wilkes-Barre</t>
  </si>
  <si>
    <t>25,000-50,038</t>
  </si>
  <si>
    <t>DI18345</t>
  </si>
  <si>
    <t>Biles</t>
  </si>
  <si>
    <t>Eastern Arizona College</t>
  </si>
  <si>
    <t>McCluskey</t>
  </si>
  <si>
    <t>kate.mccluskey@eac.edu</t>
  </si>
  <si>
    <t>Eastern Arizona</t>
  </si>
  <si>
    <t>Thatcher</t>
  </si>
  <si>
    <t>DIII15086</t>
  </si>
  <si>
    <t>JoAnn</t>
  </si>
  <si>
    <t>joannmatt@kings.edu</t>
  </si>
  <si>
    <t>DI18346</t>
  </si>
  <si>
    <t>25,000-50,039</t>
  </si>
  <si>
    <t>$13,985/$20,945</t>
  </si>
  <si>
    <t>DIII15087</t>
  </si>
  <si>
    <t>Kelcie</t>
  </si>
  <si>
    <t>SENCHAK</t>
  </si>
  <si>
    <t>kelciesenchak@kings.edu</t>
  </si>
  <si>
    <t>Aguirre</t>
  </si>
  <si>
    <t>DI18404</t>
  </si>
  <si>
    <t>25,000-50,040</t>
  </si>
  <si>
    <t>Southeastern Louisiana University</t>
  </si>
  <si>
    <t>Fremin</t>
  </si>
  <si>
    <t>rick.fremin@southeastern.edu</t>
  </si>
  <si>
    <t>985-549-5192</t>
  </si>
  <si>
    <t>DIII15088</t>
  </si>
  <si>
    <t>KOWALSKI</t>
  </si>
  <si>
    <t>Skinner</t>
  </si>
  <si>
    <t>Southeastern Louisiana</t>
  </si>
  <si>
    <t>25,000-50,041</t>
  </si>
  <si>
    <t>$20,787/$33,265</t>
  </si>
  <si>
    <t>Gateway Community College (Arizona)</t>
  </si>
  <si>
    <t>DIII15089</t>
  </si>
  <si>
    <t>Rhoe</t>
  </si>
  <si>
    <t>Yancey</t>
  </si>
  <si>
    <t>ZANGARDI</t>
  </si>
  <si>
    <t>rhoenita.yancey@gatewaycc.edu</t>
  </si>
  <si>
    <t>(602) 286-8222</t>
  </si>
  <si>
    <t>mariarosezangardi@kings.edu</t>
  </si>
  <si>
    <t>GateWay CC</t>
  </si>
  <si>
    <t>DI18405</t>
  </si>
  <si>
    <t>Lacour</t>
  </si>
  <si>
    <t>25,000-50,042</t>
  </si>
  <si>
    <t>$15,550/$21,334</t>
  </si>
  <si>
    <t>katherine.lacour@southeastern.edu</t>
  </si>
  <si>
    <t>DIII15090</t>
  </si>
  <si>
    <t>Mora</t>
  </si>
  <si>
    <t>SANDROWICZ</t>
  </si>
  <si>
    <t>davidsandrowicz@kings.edu</t>
  </si>
  <si>
    <t>DI18406</t>
  </si>
  <si>
    <t>Byerley</t>
  </si>
  <si>
    <t>jack.byerley@southeastern.edu</t>
  </si>
  <si>
    <t>25,000-50,043</t>
  </si>
  <si>
    <t>Amerissa</t>
  </si>
  <si>
    <t>Villamar</t>
  </si>
  <si>
    <t>(602) 286-8142</t>
  </si>
  <si>
    <t>DIII15143</t>
  </si>
  <si>
    <t>La Roche College</t>
  </si>
  <si>
    <t>Orie</t>
  </si>
  <si>
    <t>Oreste.Gentile@LaRoche.edu</t>
  </si>
  <si>
    <t>412-536-1028</t>
  </si>
  <si>
    <t>DI18407</t>
  </si>
  <si>
    <t>Rudy</t>
  </si>
  <si>
    <t>La Roche</t>
  </si>
  <si>
    <t>300,000-1,000,009</t>
  </si>
  <si>
    <t>400-519</t>
  </si>
  <si>
    <t>410-519</t>
  </si>
  <si>
    <t>17-32</t>
  </si>
  <si>
    <t>Norina</t>
  </si>
  <si>
    <t>DI18468</t>
  </si>
  <si>
    <t>DIII15144</t>
  </si>
  <si>
    <t>Stephen F Austin State University</t>
  </si>
  <si>
    <t>Sainato</t>
  </si>
  <si>
    <t>dicksonnl@sfasu.edu</t>
  </si>
  <si>
    <t>936-468-4011</t>
  </si>
  <si>
    <t>300,000-1,000,010</t>
  </si>
  <si>
    <t>17-33</t>
  </si>
  <si>
    <t>Ulise</t>
  </si>
  <si>
    <t>Mejia</t>
  </si>
  <si>
    <t>ulise.mejia@gatewaycc.edu</t>
  </si>
  <si>
    <t>DIII15166</t>
  </si>
  <si>
    <t>Lancaster Bible College</t>
  </si>
  <si>
    <t>Weitzel</t>
  </si>
  <si>
    <t>jweitzel@lbc.edu</t>
  </si>
  <si>
    <t>609.330.2504</t>
  </si>
  <si>
    <t>Stephen F. Austin</t>
  </si>
  <si>
    <t>Nacogdoches</t>
  </si>
  <si>
    <t>$21,230/$31,022</t>
  </si>
  <si>
    <t>J255</t>
  </si>
  <si>
    <t>Glendale Community College - Arizona</t>
  </si>
  <si>
    <t>Lancaster Bible</t>
  </si>
  <si>
    <t>50,000-75,024</t>
  </si>
  <si>
    <t>rebecca.shaw@gccaz.edu</t>
  </si>
  <si>
    <t>(623) 845-3684</t>
  </si>
  <si>
    <t>y (non-denominational)</t>
  </si>
  <si>
    <t>19-49</t>
  </si>
  <si>
    <t>DI18469</t>
  </si>
  <si>
    <t>Brynn</t>
  </si>
  <si>
    <t>Baca</t>
  </si>
  <si>
    <t>Brynn.Baca@sfasu.edu</t>
  </si>
  <si>
    <t>Glendale CC (AZ)</t>
  </si>
  <si>
    <t>Glendale</t>
  </si>
  <si>
    <t>DIII15167</t>
  </si>
  <si>
    <t>Steward</t>
  </si>
  <si>
    <t>50,000-75,025</t>
  </si>
  <si>
    <t>460-595</t>
  </si>
  <si>
    <t>DI18470</t>
  </si>
  <si>
    <t>19-50</t>
  </si>
  <si>
    <t>Spearman</t>
  </si>
  <si>
    <t>spearmanmb@sfasu.edu</t>
  </si>
  <si>
    <t>936-468-3501</t>
  </si>
  <si>
    <t>J273</t>
  </si>
  <si>
    <t>DIII15232</t>
  </si>
  <si>
    <t>Lebanon Valley College</t>
  </si>
  <si>
    <t>Mesa Community College</t>
  </si>
  <si>
    <t>Scot</t>
  </si>
  <si>
    <t>Grady</t>
  </si>
  <si>
    <t>sadams@lvc.edu</t>
  </si>
  <si>
    <t>717-867-6995 717-867-6995</t>
  </si>
  <si>
    <t>austin.moorhead@mesacc.edu</t>
  </si>
  <si>
    <t>480-461-7322</t>
  </si>
  <si>
    <t>DI18511</t>
  </si>
  <si>
    <t>Texas A&amp;M University - Corpus Christi</t>
  </si>
  <si>
    <t>Mesa CC</t>
  </si>
  <si>
    <t>Zaleski</t>
  </si>
  <si>
    <t>Mesa</t>
  </si>
  <si>
    <t>Kristen.Zaleski@tamucc.edu</t>
  </si>
  <si>
    <t>(361) 825-3253 (361) 825-3253</t>
  </si>
  <si>
    <t>Lebanon Valley</t>
  </si>
  <si>
    <t>Annville</t>
  </si>
  <si>
    <t>480-647</t>
  </si>
  <si>
    <t>490-667</t>
  </si>
  <si>
    <t>21-75</t>
  </si>
  <si>
    <t>J274</t>
  </si>
  <si>
    <t>Breona</t>
  </si>
  <si>
    <t>Texas A&amp;M-Corpus Christi</t>
  </si>
  <si>
    <t>Peralta</t>
  </si>
  <si>
    <t>Corpus Christi</t>
  </si>
  <si>
    <t>DIII15234</t>
  </si>
  <si>
    <t>$21,001/$30,834</t>
  </si>
  <si>
    <t>480-649</t>
  </si>
  <si>
    <t>490-669</t>
  </si>
  <si>
    <t>J275</t>
  </si>
  <si>
    <t>21-77</t>
  </si>
  <si>
    <t>Alina</t>
  </si>
  <si>
    <t>DI18512</t>
  </si>
  <si>
    <t>justin.lewis@tamucc.edu</t>
  </si>
  <si>
    <t>(361) 825-2147 (361) 825-2147</t>
  </si>
  <si>
    <t>DIII15235</t>
  </si>
  <si>
    <t>Carfagno</t>
  </si>
  <si>
    <t>J301</t>
  </si>
  <si>
    <t>Phoenix College</t>
  </si>
  <si>
    <t>Heinz</t>
  </si>
  <si>
    <t>heinz.mueller@phoenixcollege.edu</t>
  </si>
  <si>
    <t>(602) 285-7124</t>
  </si>
  <si>
    <t>490-670</t>
  </si>
  <si>
    <t>21-78</t>
  </si>
  <si>
    <t>DI18513</t>
  </si>
  <si>
    <t>jodi.williams@tamucc.edu</t>
  </si>
  <si>
    <t>(361) 825-3412 (361) 825-3412</t>
  </si>
  <si>
    <t>Phoenix</t>
  </si>
  <si>
    <t>DIII21330</t>
  </si>
  <si>
    <t>Sammy</t>
  </si>
  <si>
    <t>Bost</t>
  </si>
  <si>
    <t>Southwestern (SWAC)</t>
  </si>
  <si>
    <t>DI18566</t>
  </si>
  <si>
    <t>J325</t>
  </si>
  <si>
    <t>Alabama A&amp;M University</t>
  </si>
  <si>
    <t>Pima Community College</t>
  </si>
  <si>
    <t>Rebekah</t>
  </si>
  <si>
    <t>Quiroz</t>
  </si>
  <si>
    <t>cassandra.brown@aamu.edu</t>
  </si>
  <si>
    <t>256-372-8744 256-372-8744</t>
  </si>
  <si>
    <t>rquiroz@pima.edu</t>
  </si>
  <si>
    <t>c: (520) 891-0510</t>
  </si>
  <si>
    <t>DIII15317</t>
  </si>
  <si>
    <t>Lycoming College</t>
  </si>
  <si>
    <t>Montoro</t>
  </si>
  <si>
    <t>montorom@lycoming.edu</t>
  </si>
  <si>
    <t>570-321-4252 570-321-4252</t>
  </si>
  <si>
    <t>Pima CC</t>
  </si>
  <si>
    <t>$15,992/$21,308</t>
  </si>
  <si>
    <t>Alabama A&amp;M</t>
  </si>
  <si>
    <t>J326</t>
  </si>
  <si>
    <t>Lycoming</t>
  </si>
  <si>
    <t>$22,886/$31,016</t>
  </si>
  <si>
    <t>Martinez-Abbs</t>
  </si>
  <si>
    <t>Williamsport</t>
  </si>
  <si>
    <t>25,000-50,032</t>
  </si>
  <si>
    <t>470-582</t>
  </si>
  <si>
    <t>470-602</t>
  </si>
  <si>
    <t>J327</t>
  </si>
  <si>
    <t>DI18567</t>
  </si>
  <si>
    <t>Nicki</t>
  </si>
  <si>
    <t>Foreman</t>
  </si>
  <si>
    <t>roy.foreman@knology.net</t>
  </si>
  <si>
    <t>DIII15318</t>
  </si>
  <si>
    <t>Krystin</t>
  </si>
  <si>
    <t>montoro@lycoming.edu</t>
  </si>
  <si>
    <t>470-603</t>
  </si>
  <si>
    <t>J328</t>
  </si>
  <si>
    <t>Jesus</t>
  </si>
  <si>
    <t>Lozania</t>
  </si>
  <si>
    <t>DI18601</t>
  </si>
  <si>
    <t>DIII15319</t>
  </si>
  <si>
    <t>Alabama State University</t>
  </si>
  <si>
    <t>Pooler</t>
  </si>
  <si>
    <t>pooler@lycoming.edu</t>
  </si>
  <si>
    <t>tbradley@alasu.edu</t>
  </si>
  <si>
    <t>334.229.8440</t>
  </si>
  <si>
    <t>Alabama State</t>
  </si>
  <si>
    <t>470-584</t>
  </si>
  <si>
    <t>470-604</t>
  </si>
  <si>
    <t>J363</t>
  </si>
  <si>
    <t>20-59</t>
  </si>
  <si>
    <t>Scottsdale Community College</t>
  </si>
  <si>
    <t>360-460</t>
  </si>
  <si>
    <t>Freddy</t>
  </si>
  <si>
    <t>Cabonillas</t>
  </si>
  <si>
    <t>frederick.cabanillas@scottsdalecc.edu</t>
  </si>
  <si>
    <t>$19.634/$26,570</t>
  </si>
  <si>
    <t>480-423-6304</t>
  </si>
  <si>
    <t>DIII15320</t>
  </si>
  <si>
    <t>Baer</t>
  </si>
  <si>
    <t>baerc@lycoming.edu</t>
  </si>
  <si>
    <t>25,000-50,035</t>
  </si>
  <si>
    <t>20-60</t>
  </si>
  <si>
    <t>Scottsdale CC</t>
  </si>
  <si>
    <t>Scottsdale</t>
  </si>
  <si>
    <t>DI18602</t>
  </si>
  <si>
    <t>DIII21371</t>
  </si>
  <si>
    <t>Bower</t>
  </si>
  <si>
    <t>J364</t>
  </si>
  <si>
    <t>Smuda</t>
  </si>
  <si>
    <t>DIII21372</t>
  </si>
  <si>
    <t>Arnold</t>
  </si>
  <si>
    <t>DI22384</t>
  </si>
  <si>
    <t>cdurham@alasu.edu</t>
  </si>
  <si>
    <t>J394</t>
  </si>
  <si>
    <t>South Mountain Community College</t>
  </si>
  <si>
    <t>Matta</t>
  </si>
  <si>
    <t>brittney.matta@southmountaincc.edu</t>
  </si>
  <si>
    <t>DIII15360</t>
  </si>
  <si>
    <t>South Mountain CC</t>
  </si>
  <si>
    <t>Marywood University</t>
  </si>
  <si>
    <t>DI22385</t>
  </si>
  <si>
    <t>Butash</t>
  </si>
  <si>
    <t>butash@marywood.edu</t>
  </si>
  <si>
    <t>570-961-4724</t>
  </si>
  <si>
    <t>McHellon</t>
  </si>
  <si>
    <t>smchellon@alasu.edu</t>
  </si>
  <si>
    <t>Marywood</t>
  </si>
  <si>
    <t>DI22386</t>
  </si>
  <si>
    <t>Scranton</t>
  </si>
  <si>
    <t>J395</t>
  </si>
  <si>
    <t>75,000-150,023</t>
  </si>
  <si>
    <t>Singleterry</t>
  </si>
  <si>
    <t>460-583</t>
  </si>
  <si>
    <t>480-583</t>
  </si>
  <si>
    <t>DIII15361</t>
  </si>
  <si>
    <t>J412</t>
  </si>
  <si>
    <t>Sarafinko</t>
  </si>
  <si>
    <t>Yavapai College</t>
  </si>
  <si>
    <t>DI18645</t>
  </si>
  <si>
    <t>bsarafinko@marywood.edu</t>
  </si>
  <si>
    <t>Eastman</t>
  </si>
  <si>
    <t>Doug.Eastman@yc.edu</t>
  </si>
  <si>
    <t>Alcorn State University</t>
  </si>
  <si>
    <t>(928) 776-2268</t>
  </si>
  <si>
    <t>Josef</t>
  </si>
  <si>
    <t>jrankin@alcorn.edu</t>
  </si>
  <si>
    <t>601.877.6517 601.877.6517</t>
  </si>
  <si>
    <t>75,000-150,024</t>
  </si>
  <si>
    <t>Yavapai</t>
  </si>
  <si>
    <t>460-584</t>
  </si>
  <si>
    <t>480-584</t>
  </si>
  <si>
    <t>DIII15362</t>
  </si>
  <si>
    <t>Scala</t>
  </si>
  <si>
    <t>75,000-150,025</t>
  </si>
  <si>
    <t>Alcorn State</t>
  </si>
  <si>
    <t>Lorman</t>
  </si>
  <si>
    <t>$15,848/$22,688</t>
  </si>
  <si>
    <t>DIII15363</t>
  </si>
  <si>
    <t>$22,644/$24,170</t>
  </si>
  <si>
    <t>75,000-150,026</t>
  </si>
  <si>
    <t>460-586</t>
  </si>
  <si>
    <t>480-586</t>
  </si>
  <si>
    <t>J413</t>
  </si>
  <si>
    <t>DI21492</t>
  </si>
  <si>
    <t>erika.bennett@yc.edu</t>
  </si>
  <si>
    <t>DIII21333</t>
  </si>
  <si>
    <t>Fugate</t>
  </si>
  <si>
    <t>4724 4724</t>
  </si>
  <si>
    <t>DI18679</t>
  </si>
  <si>
    <t>University of Arkansas at Pine Bluff</t>
  </si>
  <si>
    <t>Arkansas Baptist College</t>
  </si>
  <si>
    <t>Bumpers</t>
  </si>
  <si>
    <t>bumpersm@uapb.edu</t>
  </si>
  <si>
    <t>Ronald</t>
  </si>
  <si>
    <t>(870)575-8089 (870)575-8089</t>
  </si>
  <si>
    <t>Rowland</t>
  </si>
  <si>
    <t>DIII15409</t>
  </si>
  <si>
    <t>ronald.roland@arkansasbaptist.edu</t>
  </si>
  <si>
    <t>Messiah College</t>
  </si>
  <si>
    <t>Arkansas Baptist</t>
  </si>
  <si>
    <t>aweaver@messiah.edu</t>
  </si>
  <si>
    <t>Little Rock</t>
  </si>
  <si>
    <t>717-796-1800, x2160</t>
  </si>
  <si>
    <t>Arkansas-Pine Bluff</t>
  </si>
  <si>
    <t>Pine Bluff</t>
  </si>
  <si>
    <t>Messiah (PA)</t>
  </si>
  <si>
    <t>Mechanicsburg</t>
  </si>
  <si>
    <t>423-530</t>
  </si>
  <si>
    <t>415-535</t>
  </si>
  <si>
    <t>510-652</t>
  </si>
  <si>
    <t>J438</t>
  </si>
  <si>
    <t>510-662</t>
  </si>
  <si>
    <t>$18,118/$24,208</t>
  </si>
  <si>
    <t>22-51</t>
  </si>
  <si>
    <t>North Arkansas College</t>
  </si>
  <si>
    <t>Seychelle</t>
  </si>
  <si>
    <t>Mahoney</t>
  </si>
  <si>
    <t>smahoney@northark.edu</t>
  </si>
  <si>
    <t>(870) 391-3286</t>
  </si>
  <si>
    <t>DIII15410</t>
  </si>
  <si>
    <t>North Arkansas</t>
  </si>
  <si>
    <t>amanda.jones@messiah.edu</t>
  </si>
  <si>
    <t>DI18680</t>
  </si>
  <si>
    <t>$16,331/$16,907</t>
  </si>
  <si>
    <t>Woods</t>
  </si>
  <si>
    <t>510-653</t>
  </si>
  <si>
    <t>510-663</t>
  </si>
  <si>
    <t>J442</t>
  </si>
  <si>
    <t>Douglas College (New Westminster)</t>
  </si>
  <si>
    <t>DIII15411</t>
  </si>
  <si>
    <t>McKellar</t>
  </si>
  <si>
    <t>mckellarj@douglascollege.ca</t>
  </si>
  <si>
    <t>604-202-7503</t>
  </si>
  <si>
    <t>drandall@messiah.edu</t>
  </si>
  <si>
    <t>DI18720</t>
  </si>
  <si>
    <t>Grambling State University</t>
  </si>
  <si>
    <t>Nakeya</t>
  </si>
  <si>
    <t>halln@gram.edu</t>
  </si>
  <si>
    <t>318-274-6501 318-274-6501</t>
  </si>
  <si>
    <t>510-654</t>
  </si>
  <si>
    <t>510-664</t>
  </si>
  <si>
    <t>Douglas CC</t>
  </si>
  <si>
    <t>New Westminster</t>
  </si>
  <si>
    <t>DIII20736</t>
  </si>
  <si>
    <t>Canadian university, Community College</t>
  </si>
  <si>
    <t>Thuma</t>
  </si>
  <si>
    <t>x.2160 x.2160</t>
  </si>
  <si>
    <t>Grambling State</t>
  </si>
  <si>
    <t>Grambling</t>
  </si>
  <si>
    <t>510-633</t>
  </si>
  <si>
    <t>22-32</t>
  </si>
  <si>
    <t>$25,717/$34,740</t>
  </si>
  <si>
    <t>DIII21340</t>
  </si>
  <si>
    <t>DI18721</t>
  </si>
  <si>
    <t>Hargett</t>
  </si>
  <si>
    <t>hargettm@gram.edu</t>
  </si>
  <si>
    <t>Fix</t>
  </si>
  <si>
    <t>DI18755</t>
  </si>
  <si>
    <t>Jackson State University</t>
  </si>
  <si>
    <t>kevin.t.montgomery@jsums.edu</t>
  </si>
  <si>
    <t>J443</t>
  </si>
  <si>
    <t>601-979-3929 601-979-3929</t>
  </si>
  <si>
    <t>Neufeld</t>
  </si>
  <si>
    <t>Jackson State (MS)</t>
  </si>
  <si>
    <t>DIII15481</t>
  </si>
  <si>
    <t>Misericordia University</t>
  </si>
  <si>
    <t>lmccarthy@misericordia.edu</t>
  </si>
  <si>
    <t>J444</t>
  </si>
  <si>
    <t>570-674-3066 570-674-3066</t>
  </si>
  <si>
    <t>Keeley</t>
  </si>
  <si>
    <t>Ainge</t>
  </si>
  <si>
    <t>$23,069/$33,422</t>
  </si>
  <si>
    <t>Misericordia</t>
  </si>
  <si>
    <t>Dallas</t>
  </si>
  <si>
    <t>DI18757</t>
  </si>
  <si>
    <t>J445</t>
  </si>
  <si>
    <t>laura.e.aguilar@jsums.edu</t>
  </si>
  <si>
    <t>Kolby</t>
  </si>
  <si>
    <t>22-72</t>
  </si>
  <si>
    <t>601-979-3931 601-979-3931</t>
  </si>
  <si>
    <t>DIII15482</t>
  </si>
  <si>
    <t>Sophia</t>
  </si>
  <si>
    <t>Leaman</t>
  </si>
  <si>
    <t>sleaman@misericordia.edu</t>
  </si>
  <si>
    <t>570-674-8314 570-674-8314</t>
  </si>
  <si>
    <t>DI18758</t>
  </si>
  <si>
    <t>Angeligue</t>
  </si>
  <si>
    <t>22-73</t>
  </si>
  <si>
    <t>J446</t>
  </si>
  <si>
    <t>DIII15546</t>
  </si>
  <si>
    <t>Moravian College</t>
  </si>
  <si>
    <t>AC Natasha has been removed.</t>
  </si>
  <si>
    <t>byrnej@moravian.edu</t>
  </si>
  <si>
    <t>610-861-1321</t>
  </si>
  <si>
    <t>DI18791</t>
  </si>
  <si>
    <t>Mississippi Valley State University</t>
  </si>
  <si>
    <t>lcsmith@mvsu.edu</t>
  </si>
  <si>
    <t>662-254-3721</t>
  </si>
  <si>
    <t>Moravian</t>
  </si>
  <si>
    <t>J487</t>
  </si>
  <si>
    <t>Allan Hancock College</t>
  </si>
  <si>
    <t>Scia</t>
  </si>
  <si>
    <t>Mississippi Valley State</t>
  </si>
  <si>
    <t>Maumausolo</t>
  </si>
  <si>
    <t>smaumausolo@hancockcollege.edu</t>
  </si>
  <si>
    <t>Itta Bena</t>
  </si>
  <si>
    <t>805-922-6966, x3877</t>
  </si>
  <si>
    <t>DIII15547</t>
  </si>
  <si>
    <t>Rossi</t>
  </si>
  <si>
    <t>rossij02@moravian.edu</t>
  </si>
  <si>
    <t>Allan Hancock</t>
  </si>
  <si>
    <t>610-625-7754</t>
  </si>
  <si>
    <t>Santa Maria</t>
  </si>
  <si>
    <t>$18,734/$24,138</t>
  </si>
  <si>
    <t>DI18792</t>
  </si>
  <si>
    <t>Tillery</t>
  </si>
  <si>
    <t>brittany.tillery@mvsu.edu</t>
  </si>
  <si>
    <t>662-254-3115</t>
  </si>
  <si>
    <t>DIII15548</t>
  </si>
  <si>
    <t>rogersa@moravian.edu</t>
  </si>
  <si>
    <t>J488</t>
  </si>
  <si>
    <t>Chastity</t>
  </si>
  <si>
    <t>DIII15549</t>
  </si>
  <si>
    <t>Holmes</t>
  </si>
  <si>
    <t>holmesl@moravian.edu</t>
  </si>
  <si>
    <t>610-861-1697</t>
  </si>
  <si>
    <t>DI18827</t>
  </si>
  <si>
    <t>Prairie View A &amp; M University</t>
  </si>
  <si>
    <t>J489</t>
  </si>
  <si>
    <t>Bland</t>
  </si>
  <si>
    <t>Jada</t>
  </si>
  <si>
    <t>vlbland@pvamu.edu</t>
  </si>
  <si>
    <t>936-261-3964</t>
  </si>
  <si>
    <t>DIII15550</t>
  </si>
  <si>
    <t>MacLean</t>
  </si>
  <si>
    <t>macleana@moravian.edu</t>
  </si>
  <si>
    <t>J490</t>
  </si>
  <si>
    <t>Prairie View A&amp;M</t>
  </si>
  <si>
    <t>Prairie View</t>
  </si>
  <si>
    <t>Contreras</t>
  </si>
  <si>
    <t>$22,669/$35,988</t>
  </si>
  <si>
    <t>DIII15551</t>
  </si>
  <si>
    <t>J523</t>
  </si>
  <si>
    <t>Baltz</t>
  </si>
  <si>
    <t>American River College</t>
  </si>
  <si>
    <t>baltzjo@moravian.edu</t>
  </si>
  <si>
    <t>610-861-1538</t>
  </si>
  <si>
    <t>DelgadL@arc.losrios.edu</t>
  </si>
  <si>
    <t>(916) 484-8444</t>
  </si>
  <si>
    <t>DI18828</t>
  </si>
  <si>
    <t>American River</t>
  </si>
  <si>
    <t>19,548/$26,148</t>
  </si>
  <si>
    <t>DIII21342</t>
  </si>
  <si>
    <t>Fralinger</t>
  </si>
  <si>
    <t>J560</t>
  </si>
  <si>
    <t>fralingerb@moravian.edu</t>
  </si>
  <si>
    <t>Antelope Valley College</t>
  </si>
  <si>
    <t>610-625-7233</t>
  </si>
  <si>
    <t>Antelope Valley softball</t>
  </si>
  <si>
    <t>softball@avc.edu</t>
  </si>
  <si>
    <t>661-722-6300, x6708</t>
  </si>
  <si>
    <t>DI18829</t>
  </si>
  <si>
    <t>Jasmine</t>
  </si>
  <si>
    <t>Becks</t>
  </si>
  <si>
    <t>jsbecks@pvamu.edu</t>
  </si>
  <si>
    <t>$15,079/$20,143</t>
  </si>
  <si>
    <t>DI18878</t>
  </si>
  <si>
    <t>Southern University &amp; A&amp;M College</t>
  </si>
  <si>
    <t>J561</t>
  </si>
  <si>
    <t>Vargas</t>
  </si>
  <si>
    <t>cvargas@avc.edu</t>
  </si>
  <si>
    <t>DIII15594</t>
  </si>
  <si>
    <t>Mount Aloysius College</t>
  </si>
  <si>
    <t>Bicko</t>
  </si>
  <si>
    <t>jbicko@mtaloy.edu</t>
  </si>
  <si>
    <t>(814) 886-6359 (814) 886-6359</t>
  </si>
  <si>
    <t>J562</t>
  </si>
  <si>
    <t>Mount Aloysius</t>
  </si>
  <si>
    <t>Cresson</t>
  </si>
  <si>
    <t>mvargas17@avc.edu</t>
  </si>
  <si>
    <t>J563</t>
  </si>
  <si>
    <t>DIII15595</t>
  </si>
  <si>
    <t>vargfam21@msn.com</t>
  </si>
  <si>
    <t>Gutmann</t>
  </si>
  <si>
    <t>agutmann@mtaloy.edu</t>
  </si>
  <si>
    <t>J564</t>
  </si>
  <si>
    <t>Kelly-Romero</t>
  </si>
  <si>
    <t>ckelly10@avc.edu</t>
  </si>
  <si>
    <t>DIII15596</t>
  </si>
  <si>
    <t>Garris</t>
  </si>
  <si>
    <t>john_garris@subr.edu</t>
  </si>
  <si>
    <t>J10722</t>
  </si>
  <si>
    <t>Bakersfield College</t>
  </si>
  <si>
    <t>Bakersfield (CA)</t>
  </si>
  <si>
    <t>Bakersfield</t>
  </si>
  <si>
    <t>DIII15631</t>
  </si>
  <si>
    <t>Muhlenberg College</t>
  </si>
  <si>
    <t>Leavenworth</t>
  </si>
  <si>
    <t>19,767/$26,263</t>
  </si>
  <si>
    <t>sarahleavenworth@muhlenberg.edu</t>
  </si>
  <si>
    <t>484-664-3415</t>
  </si>
  <si>
    <t>J10977</t>
  </si>
  <si>
    <t>225-771-4163</t>
  </si>
  <si>
    <t>Muhlenberg</t>
  </si>
  <si>
    <t>DIII15632</t>
  </si>
  <si>
    <t>Shauna</t>
  </si>
  <si>
    <t>Mulkerin</t>
  </si>
  <si>
    <t>shaunamulkerin@muhlenberg.edu</t>
  </si>
  <si>
    <t>Southern-Baton Rouge</t>
  </si>
  <si>
    <t>J631</t>
  </si>
  <si>
    <t>Goodman</t>
  </si>
  <si>
    <t>casandra.goodman@bakersfieldcollege.edu</t>
  </si>
  <si>
    <t>661-395-4812</t>
  </si>
  <si>
    <t>435-545</t>
  </si>
  <si>
    <t>$22,328/$32,328</t>
  </si>
  <si>
    <t>DIII15671</t>
  </si>
  <si>
    <t>Neumann University</t>
  </si>
  <si>
    <t>whiteg@neumann.edu</t>
  </si>
  <si>
    <t>610.579.6572 610.579.6572</t>
  </si>
  <si>
    <t>J633</t>
  </si>
  <si>
    <t>Harding</t>
  </si>
  <si>
    <t>Neumann (PA)</t>
  </si>
  <si>
    <t>Aston</t>
  </si>
  <si>
    <t>10,000-25,023</t>
  </si>
  <si>
    <t>DI18879</t>
  </si>
  <si>
    <t>400-513</t>
  </si>
  <si>
    <t>17-42</t>
  </si>
  <si>
    <t>J634</t>
  </si>
  <si>
    <t>Aryka</t>
  </si>
  <si>
    <t>DIII15672</t>
  </si>
  <si>
    <t>Maddy</t>
  </si>
  <si>
    <t>Brunck</t>
  </si>
  <si>
    <t>brunckm@neumann.edu</t>
  </si>
  <si>
    <t>10,000-25,024</t>
  </si>
  <si>
    <t>400-514</t>
  </si>
  <si>
    <t>17-43</t>
  </si>
  <si>
    <t>J666</t>
  </si>
  <si>
    <t>Barstow Community College</t>
  </si>
  <si>
    <t>Syrek</t>
  </si>
  <si>
    <t>tsyrek@barstow.edu</t>
  </si>
  <si>
    <t>DIII15711</t>
  </si>
  <si>
    <t>Penn State Abington</t>
  </si>
  <si>
    <t>Caytlin</t>
  </si>
  <si>
    <t>Friis</t>
  </si>
  <si>
    <t>cmf80@psu.edu</t>
  </si>
  <si>
    <t>215-881-7977 215-881-7977</t>
  </si>
  <si>
    <t>Barstow CC</t>
  </si>
  <si>
    <t>Barstow</t>
  </si>
  <si>
    <t>$19,545/$24,609</t>
  </si>
  <si>
    <t>Edwin_monroe@subr.edu</t>
  </si>
  <si>
    <t>Penn State-Abington</t>
  </si>
  <si>
    <t>Abington</t>
  </si>
  <si>
    <t>$32,030/$39,600</t>
  </si>
  <si>
    <t>J667</t>
  </si>
  <si>
    <t>Pollack</t>
  </si>
  <si>
    <t>kpollock@barstow.edu</t>
  </si>
  <si>
    <t>DIII20768</t>
  </si>
  <si>
    <t>Dougherty</t>
  </si>
  <si>
    <t>Butte College</t>
  </si>
  <si>
    <t>Stayce</t>
  </si>
  <si>
    <t>York</t>
  </si>
  <si>
    <t>yorkst@butte.edu</t>
  </si>
  <si>
    <t>530-895-2470</t>
  </si>
  <si>
    <t>Butte (CA)</t>
  </si>
  <si>
    <t>DIII15739</t>
  </si>
  <si>
    <t>Oroville</t>
  </si>
  <si>
    <t>Penn State Altoona</t>
  </si>
  <si>
    <t>Merilli</t>
  </si>
  <si>
    <t>jpm6099@psu.edu</t>
  </si>
  <si>
    <t>814-949-5410</t>
  </si>
  <si>
    <t>$17,604/$22,764</t>
  </si>
  <si>
    <t>Penn State-Altoona</t>
  </si>
  <si>
    <t>Altoona</t>
  </si>
  <si>
    <t>DI22397</t>
  </si>
  <si>
    <t>J708</t>
  </si>
  <si>
    <t>$32,686/$40,692</t>
  </si>
  <si>
    <t>Cabrillo College</t>
  </si>
  <si>
    <t>Hopkins</t>
  </si>
  <si>
    <t>Rosinger</t>
  </si>
  <si>
    <t>krballin@cabrillo.edu</t>
  </si>
  <si>
    <t>831-477-3555</t>
  </si>
  <si>
    <t>Cabrillo</t>
  </si>
  <si>
    <t>Aptos</t>
  </si>
  <si>
    <t>$19,447/$23,787</t>
  </si>
  <si>
    <t>DIII15740</t>
  </si>
  <si>
    <t>McNelis</t>
  </si>
  <si>
    <t>J709</t>
  </si>
  <si>
    <t>DI18915</t>
  </si>
  <si>
    <t>Texas Southern University</t>
  </si>
  <si>
    <t>Worley</t>
  </si>
  <si>
    <t>DIII15741</t>
  </si>
  <si>
    <t>worley.barker@tsu.edu</t>
  </si>
  <si>
    <t>AC Beth has been removed.</t>
  </si>
  <si>
    <t>713-313-1930</t>
  </si>
  <si>
    <t>J710</t>
  </si>
  <si>
    <t>Ballinger</t>
  </si>
  <si>
    <t>Texas Southern</t>
  </si>
  <si>
    <t>355-450</t>
  </si>
  <si>
    <t>$25,054/$37,294</t>
  </si>
  <si>
    <t>DIII21347</t>
  </si>
  <si>
    <t>J711</t>
  </si>
  <si>
    <t>Barroner</t>
  </si>
  <si>
    <t>Makai</t>
  </si>
  <si>
    <t>Cuelar</t>
  </si>
  <si>
    <t>DI18916</t>
  </si>
  <si>
    <t>Raven</t>
  </si>
  <si>
    <t>raven.rodriguez@tsu.edu</t>
  </si>
  <si>
    <t>DIII15771</t>
  </si>
  <si>
    <t>Penn State Erie - The Behrend College</t>
  </si>
  <si>
    <t>Gruber</t>
  </si>
  <si>
    <t>amg5318@psu.edu</t>
  </si>
  <si>
    <t>J11012</t>
  </si>
  <si>
    <t>814-898-6907</t>
  </si>
  <si>
    <t>College of the Canyons</t>
  </si>
  <si>
    <t>Taix</t>
  </si>
  <si>
    <t>Summit</t>
  </si>
  <si>
    <t>Canyons</t>
  </si>
  <si>
    <t>DI19003</t>
  </si>
  <si>
    <t>Santa Clarita</t>
  </si>
  <si>
    <t>University of Nebraska at Omaha</t>
  </si>
  <si>
    <t>Eberhart</t>
  </si>
  <si>
    <t>Penn State-Behrend</t>
  </si>
  <si>
    <t>amandaeberhart@omavs.com</t>
  </si>
  <si>
    <t>$19,595/$24,899</t>
  </si>
  <si>
    <t>402-554-2533 402-554-2533</t>
  </si>
  <si>
    <t>J11013</t>
  </si>
  <si>
    <t>Clinkunbroomer</t>
  </si>
  <si>
    <t>DIII15772</t>
  </si>
  <si>
    <t>Nebraska-Omaha</t>
  </si>
  <si>
    <t>hxc625@psu.edu</t>
  </si>
  <si>
    <t>$20,830/32,750</t>
  </si>
  <si>
    <t>J771</t>
  </si>
  <si>
    <t>Wissmath</t>
  </si>
  <si>
    <t>john.wissmath@canyons.edu</t>
  </si>
  <si>
    <t>661-362-3204</t>
  </si>
  <si>
    <t>DIII15773</t>
  </si>
  <si>
    <t>DI19004</t>
  </si>
  <si>
    <t>Tatum</t>
  </si>
  <si>
    <t>tredwards@omavs.com</t>
  </si>
  <si>
    <t>402-554-2952 402-554-2952</t>
  </si>
  <si>
    <t>J772</t>
  </si>
  <si>
    <t>Sandoval-Colon</t>
  </si>
  <si>
    <t>DIII15774</t>
  </si>
  <si>
    <t>J773</t>
  </si>
  <si>
    <t>DI19005</t>
  </si>
  <si>
    <t>Linn</t>
  </si>
  <si>
    <t>nbutler2@unomaha.edu</t>
  </si>
  <si>
    <t>DIII15817</t>
  </si>
  <si>
    <t>Penn State Berks</t>
  </si>
  <si>
    <t>Ference</t>
  </si>
  <si>
    <t>dlf32@psu.edu</t>
  </si>
  <si>
    <t>484-641-8222 484-641-8222</t>
  </si>
  <si>
    <t>J885</t>
  </si>
  <si>
    <t>Cerritos College</t>
  </si>
  <si>
    <t>Penn State-Berks</t>
  </si>
  <si>
    <t>kmurray@cerritos.edu</t>
  </si>
  <si>
    <t>(562) 860-2451, x2873</t>
  </si>
  <si>
    <t>DI19006</t>
  </si>
  <si>
    <t>Volunteer AC Kelly has been removed.</t>
  </si>
  <si>
    <t>Cerritos</t>
  </si>
  <si>
    <t>Norwalk</t>
  </si>
  <si>
    <t>$19,786/$27,038</t>
  </si>
  <si>
    <t>DIII15818</t>
  </si>
  <si>
    <t>Reinhart</t>
  </si>
  <si>
    <t>rmr60@psu.edu</t>
  </si>
  <si>
    <t>DI19062</t>
  </si>
  <si>
    <t>J886</t>
  </si>
  <si>
    <t>North Dakota State University</t>
  </si>
  <si>
    <t>Darren.Mueller@ndsu.edu</t>
  </si>
  <si>
    <t>Bud</t>
  </si>
  <si>
    <t>(701) 231-6160 (701) 231-6160</t>
  </si>
  <si>
    <t>North Dakota State</t>
  </si>
  <si>
    <t>DIII15819</t>
  </si>
  <si>
    <t>Fargo</t>
  </si>
  <si>
    <t>495-645</t>
  </si>
  <si>
    <t>505-645</t>
  </si>
  <si>
    <t>$20,663/$32,227</t>
  </si>
  <si>
    <t>J887</t>
  </si>
  <si>
    <t>Belmontes</t>
  </si>
  <si>
    <t>DI19063</t>
  </si>
  <si>
    <t>Walljasper</t>
  </si>
  <si>
    <t>Allison.Walljasper@ndsu.edu</t>
  </si>
  <si>
    <t>(701) 231-5754 (701) 231-5754</t>
  </si>
  <si>
    <t>DIII15820</t>
  </si>
  <si>
    <t>J888</t>
  </si>
  <si>
    <t>DI19064</t>
  </si>
  <si>
    <t>Gerice</t>
  </si>
  <si>
    <t>Gerice.Olson@ndsu.edu</t>
  </si>
  <si>
    <t>DIII15846</t>
  </si>
  <si>
    <t>(701) 231-8854 (701) 231-8854</t>
  </si>
  <si>
    <t>Penn State Harrisburg</t>
  </si>
  <si>
    <t>Mandi</t>
  </si>
  <si>
    <t>alb6794@psu.edu</t>
  </si>
  <si>
    <t>717-948-6287</t>
  </si>
  <si>
    <t>J889</t>
  </si>
  <si>
    <t>Musselman</t>
  </si>
  <si>
    <t>DI19145</t>
  </si>
  <si>
    <t>Purdue University - Fort Wayne</t>
  </si>
  <si>
    <t>Germaine</t>
  </si>
  <si>
    <t>Fairchild</t>
  </si>
  <si>
    <t>Germaine.Fairchild@pfw.edu</t>
  </si>
  <si>
    <t>(260) 481-6910 (260) 481-6910</t>
  </si>
  <si>
    <t>Penn State-Harrisburg</t>
  </si>
  <si>
    <t>J933</t>
  </si>
  <si>
    <t>Cerro Coso Community College</t>
  </si>
  <si>
    <t>Purdue-Fort Wayne</t>
  </si>
  <si>
    <t>Fort Wayne</t>
  </si>
  <si>
    <t>Cerro Coso</t>
  </si>
  <si>
    <t>Ridgecrest</t>
  </si>
  <si>
    <t>$21,679/$33,193</t>
  </si>
  <si>
    <t>Purdue-Fort Wayne (IPFW)</t>
  </si>
  <si>
    <t>$19,731/$26,227</t>
  </si>
  <si>
    <t>DIII15847</t>
  </si>
  <si>
    <t>Keen</t>
  </si>
  <si>
    <t>J946</t>
  </si>
  <si>
    <t>emk5357@psu.edu</t>
  </si>
  <si>
    <t>Chabot College</t>
  </si>
  <si>
    <t>Kravets</t>
  </si>
  <si>
    <t>DI19146</t>
  </si>
  <si>
    <t>mkravets@chabotcollege.edu</t>
  </si>
  <si>
    <t>408-537-3021</t>
  </si>
  <si>
    <t>Benefiel</t>
  </si>
  <si>
    <t>benebr01@pfw.edu</t>
  </si>
  <si>
    <t>(260) 481-6983 (260) 481-6983</t>
  </si>
  <si>
    <t>DIII15887</t>
  </si>
  <si>
    <t>Pennsylvania College of Technology</t>
  </si>
  <si>
    <t>AC Jeffrey has been removed.</t>
  </si>
  <si>
    <t>Chabot</t>
  </si>
  <si>
    <t>$19,579/$25,411</t>
  </si>
  <si>
    <t>Pennsylvania Tech</t>
  </si>
  <si>
    <t>DI21454</t>
  </si>
  <si>
    <t>AC Leah has been removed.</t>
  </si>
  <si>
    <t>J10996</t>
  </si>
  <si>
    <t>Chaffey College</t>
  </si>
  <si>
    <t>Rasmussen</t>
  </si>
  <si>
    <t>DIII20776</t>
  </si>
  <si>
    <t>DI19196</t>
  </si>
  <si>
    <t>Hunley</t>
  </si>
  <si>
    <t>alh63@pct.edu</t>
  </si>
  <si>
    <t>University of South Dakota</t>
  </si>
  <si>
    <t>570-320-2400 ext. 7418 570-320-2400 ext. 7418</t>
  </si>
  <si>
    <t>Robert.Wagner@usd.edu</t>
  </si>
  <si>
    <t>605-658-5579</t>
  </si>
  <si>
    <t>Chaffey</t>
  </si>
  <si>
    <t>Rancho Cucamonga</t>
  </si>
  <si>
    <t>$19,611/$24,963</t>
  </si>
  <si>
    <t>DIII15905</t>
  </si>
  <si>
    <t>University of Pittsburgh - Bradford</t>
  </si>
  <si>
    <t>tmp14@pitt.edu</t>
  </si>
  <si>
    <t>814-362-5086</t>
  </si>
  <si>
    <t>Vermillion</t>
  </si>
  <si>
    <t>$21,377/$24,608</t>
  </si>
  <si>
    <t>J10997</t>
  </si>
  <si>
    <t>Montes</t>
  </si>
  <si>
    <t>Pittsburgh-Bradford</t>
  </si>
  <si>
    <t>Bradford</t>
  </si>
  <si>
    <t>$27,588/$38,610</t>
  </si>
  <si>
    <t>DI19197</t>
  </si>
  <si>
    <t>Steinbach</t>
  </si>
  <si>
    <t>Nicole.Steinbach@usd.edu</t>
  </si>
  <si>
    <t>605-658-5580</t>
  </si>
  <si>
    <t>J10998</t>
  </si>
  <si>
    <t>Raymond</t>
  </si>
  <si>
    <t>DIII15925</t>
  </si>
  <si>
    <t>University of Pittsburgh - Greensburg</t>
  </si>
  <si>
    <t>DI19198</t>
  </si>
  <si>
    <t>Warnock</t>
  </si>
  <si>
    <t>Christy.Warnock@coyotes.usd.edu</t>
  </si>
  <si>
    <t>J975</t>
  </si>
  <si>
    <t>Tivey</t>
  </si>
  <si>
    <t>jerry.tivey@chaffey.edu</t>
  </si>
  <si>
    <t>(909) 652-6299</t>
  </si>
  <si>
    <t>Pittsburgh-Greensburg</t>
  </si>
  <si>
    <t>460-555</t>
  </si>
  <si>
    <t>DI19199</t>
  </si>
  <si>
    <t>$28,794/$39,816</t>
  </si>
  <si>
    <t>Caylyn</t>
  </si>
  <si>
    <t>J976</t>
  </si>
  <si>
    <t>DIII15926</t>
  </si>
  <si>
    <t>Monper</t>
  </si>
  <si>
    <t>DI19200</t>
  </si>
  <si>
    <t>Schneid</t>
  </si>
  <si>
    <t>Mallory.Schneid@coyotes.usd.edu</t>
  </si>
  <si>
    <t>J1012</t>
  </si>
  <si>
    <t>Citrus College</t>
  </si>
  <si>
    <t>DIII15927</t>
  </si>
  <si>
    <t>DI19268</t>
  </si>
  <si>
    <t>Citrus</t>
  </si>
  <si>
    <t>Glendora</t>
  </si>
  <si>
    <t>South Dakota State University</t>
  </si>
  <si>
    <t>Krista.Wood@sdstate.edu</t>
  </si>
  <si>
    <t>$14,397/$19,077</t>
  </si>
  <si>
    <t>DIII15928</t>
  </si>
  <si>
    <t>Angelina</t>
  </si>
  <si>
    <t>Masters</t>
  </si>
  <si>
    <t>J1013</t>
  </si>
  <si>
    <t>Boxley</t>
  </si>
  <si>
    <t>jboxley@citruscollege.edu</t>
  </si>
  <si>
    <t>South Dakota State</t>
  </si>
  <si>
    <t>626-914-8682</t>
  </si>
  <si>
    <t>Brookings</t>
  </si>
  <si>
    <t>DIII15929</t>
  </si>
  <si>
    <t>Panza</t>
  </si>
  <si>
    <t>$26,527/$29,758</t>
  </si>
  <si>
    <t>J1065</t>
  </si>
  <si>
    <t>El Camino College - Compton Center</t>
  </si>
  <si>
    <t>Magno</t>
  </si>
  <si>
    <t>jmagno@compton.edu</t>
  </si>
  <si>
    <t>310-900-1600, x2945</t>
  </si>
  <si>
    <t>DI19269</t>
  </si>
  <si>
    <t>DIII21352</t>
  </si>
  <si>
    <t>Villar</t>
  </si>
  <si>
    <t>Kristi.Villar@sdstate.edu</t>
  </si>
  <si>
    <t>Myers</t>
  </si>
  <si>
    <t>chm143@pitt.edu</t>
  </si>
  <si>
    <t>724-836-7816 724-836-7816</t>
  </si>
  <si>
    <t>Compton</t>
  </si>
  <si>
    <t>$19,584/$24,120</t>
  </si>
  <si>
    <t>DIII15945</t>
  </si>
  <si>
    <t>DI19270</t>
  </si>
  <si>
    <t>Rosemont College</t>
  </si>
  <si>
    <t>Kiki</t>
  </si>
  <si>
    <t>Head coach, Rec Coor</t>
  </si>
  <si>
    <t>J1066</t>
  </si>
  <si>
    <t>Stokes</t>
  </si>
  <si>
    <t>keandria.stokes@sdstate.edu</t>
  </si>
  <si>
    <t>Rosemont (PA)</t>
  </si>
  <si>
    <t>Bryn Mawr</t>
  </si>
  <si>
    <t>DI19330</t>
  </si>
  <si>
    <t>Western Illinois University</t>
  </si>
  <si>
    <t>J10788</t>
  </si>
  <si>
    <t>Julianne</t>
  </si>
  <si>
    <t>Rurka</t>
  </si>
  <si>
    <t>jm-rurka@wiu.edu</t>
  </si>
  <si>
    <t>Alante</t>
  </si>
  <si>
    <t>Western Illinois</t>
  </si>
  <si>
    <t>Macomb</t>
  </si>
  <si>
    <t>Contra Costa College</t>
  </si>
  <si>
    <t>Taylor Anne</t>
  </si>
  <si>
    <t>tharris@contracosta.edu</t>
  </si>
  <si>
    <t>(510) 235-7800, x78430</t>
  </si>
  <si>
    <t>$25,045/$29,316</t>
  </si>
  <si>
    <t>Contra Costa</t>
  </si>
  <si>
    <t>Pleasant Hill</t>
  </si>
  <si>
    <t>DIII15946</t>
  </si>
  <si>
    <t>Sun Belt</t>
  </si>
  <si>
    <t>AC Maggie has been removed.</t>
  </si>
  <si>
    <t>$19,750/$26,386</t>
  </si>
  <si>
    <t>DI19383</t>
  </si>
  <si>
    <t>Appalachian State University</t>
  </si>
  <si>
    <t>Hoerner</t>
  </si>
  <si>
    <t>hoernersa@appstate.edu</t>
  </si>
  <si>
    <t>828-262-7310</t>
  </si>
  <si>
    <t>J10758</t>
  </si>
  <si>
    <t>Cosumnes River College</t>
  </si>
  <si>
    <t>Padovan</t>
  </si>
  <si>
    <t>Cosumnes River</t>
  </si>
  <si>
    <t>DIII15947</t>
  </si>
  <si>
    <t>Appalachian State</t>
  </si>
  <si>
    <t>$19,548/$26,148</t>
  </si>
  <si>
    <t>AC David has been removed.</t>
  </si>
  <si>
    <t>$18,941/$33,457</t>
  </si>
  <si>
    <t>J1111</t>
  </si>
  <si>
    <t>kristy.schroeder@crc.losrios.edu</t>
  </si>
  <si>
    <t>(916) 691-7790</t>
  </si>
  <si>
    <t>DIII15948</t>
  </si>
  <si>
    <t>Volunteer AC Chuck has been removed.</t>
  </si>
  <si>
    <t>DI19384</t>
  </si>
  <si>
    <t>Showalter</t>
  </si>
  <si>
    <t>showalterts@appstate.edu</t>
  </si>
  <si>
    <t>DIII21353</t>
  </si>
  <si>
    <t>Relyea</t>
  </si>
  <si>
    <t>Head coach/Rec Coor</t>
  </si>
  <si>
    <t>bill.relyea@rosemont.edu</t>
  </si>
  <si>
    <t>610-527-0200 ext 2421 610-527-0200 ext 2421</t>
  </si>
  <si>
    <t>J1112</t>
  </si>
  <si>
    <t>Krum</t>
  </si>
  <si>
    <t>DI19385</t>
  </si>
  <si>
    <t>DIII15973</t>
  </si>
  <si>
    <t>Fefel</t>
  </si>
  <si>
    <t>University of Scranton</t>
  </si>
  <si>
    <t>Collarini Wascura</t>
  </si>
  <si>
    <t>fefelam@appstate.edu</t>
  </si>
  <si>
    <t>mia.collarini@scranton.edu</t>
  </si>
  <si>
    <t>570-941-7440</t>
  </si>
  <si>
    <t>J1114</t>
  </si>
  <si>
    <t>Volunteer AC Veronica has been removed.</t>
  </si>
  <si>
    <t>Cuesta College</t>
  </si>
  <si>
    <t>DI19386</t>
  </si>
  <si>
    <t>Jenel</t>
  </si>
  <si>
    <t>Guadagno</t>
  </si>
  <si>
    <t>jenel_guadagno@cuesta.edu</t>
  </si>
  <si>
    <t>(805) 546-3100 x 2716</t>
  </si>
  <si>
    <t>O'Dell</t>
  </si>
  <si>
    <t>odellt13@yahoo.com</t>
  </si>
  <si>
    <t>DIII15974</t>
  </si>
  <si>
    <t>jane.johnson@scranton.edu</t>
  </si>
  <si>
    <t>570-941-5982</t>
  </si>
  <si>
    <t>Cuesta</t>
  </si>
  <si>
    <t>$19,135/$24,309</t>
  </si>
  <si>
    <t>DI19541</t>
  </si>
  <si>
    <t>Coastal Carolina University</t>
  </si>
  <si>
    <t>softball@coastal.edu</t>
  </si>
  <si>
    <t>843-349-6647 843-349-6647</t>
  </si>
  <si>
    <t>DIII15975</t>
  </si>
  <si>
    <t>J1179</t>
  </si>
  <si>
    <t>Cypress College</t>
  </si>
  <si>
    <t>justin.stevens@scranton.edu</t>
  </si>
  <si>
    <t>Pickler</t>
  </si>
  <si>
    <t>bpickler@cypresscollege.edu</t>
  </si>
  <si>
    <t>714-484-7359</t>
  </si>
  <si>
    <t>Coastal Carolina</t>
  </si>
  <si>
    <t>Cypress</t>
  </si>
  <si>
    <t>$25,082/$39,326</t>
  </si>
  <si>
    <t>DIII16023</t>
  </si>
  <si>
    <t>$17,772/$22,788</t>
  </si>
  <si>
    <t>Saint Vincent College - Pennsylvania</t>
  </si>
  <si>
    <t>Karr</t>
  </si>
  <si>
    <t>nicole.karr@stvincent.edu</t>
  </si>
  <si>
    <t>724-805-2404 724-805-2404</t>
  </si>
  <si>
    <t>J1180</t>
  </si>
  <si>
    <t>DI19542</t>
  </si>
  <si>
    <t>Erb</t>
  </si>
  <si>
    <t>kerb@coastal.edu</t>
  </si>
  <si>
    <t>843-349-6621 843-349-6621</t>
  </si>
  <si>
    <t>St. Vincent (PA)</t>
  </si>
  <si>
    <t>Latrobe</t>
  </si>
  <si>
    <t>J1181</t>
  </si>
  <si>
    <t>Miner</t>
  </si>
  <si>
    <t>DI19543</t>
  </si>
  <si>
    <t>Penner</t>
  </si>
  <si>
    <t>dpenner@coastal.edu</t>
  </si>
  <si>
    <t>843-349-4115 843-349-4115</t>
  </si>
  <si>
    <t>De Anza College</t>
  </si>
  <si>
    <t>Bugg</t>
  </si>
  <si>
    <t>DIII16024</t>
  </si>
  <si>
    <t>buggjason@deanza.edu</t>
  </si>
  <si>
    <t>408.864.5597</t>
  </si>
  <si>
    <t>Hinerman</t>
  </si>
  <si>
    <t>richard.hinerman@stvincent.edu</t>
  </si>
  <si>
    <t>DI19544</t>
  </si>
  <si>
    <t>Blake</t>
  </si>
  <si>
    <t>De Anza</t>
  </si>
  <si>
    <t>Cupertino</t>
  </si>
  <si>
    <t>bjschultz@coastal.edu</t>
  </si>
  <si>
    <t>843-349-4059 843-349-4059</t>
  </si>
  <si>
    <t>$20,362/$27,382</t>
  </si>
  <si>
    <t>DIII16077</t>
  </si>
  <si>
    <t>Susquehanna University</t>
  </si>
  <si>
    <t>DI19545</t>
  </si>
  <si>
    <t>Posner</t>
  </si>
  <si>
    <t>posner@susqu.edu</t>
  </si>
  <si>
    <t>Daneker</t>
  </si>
  <si>
    <t>570-372-4559 570-372-4559</t>
  </si>
  <si>
    <t>J11017</t>
  </si>
  <si>
    <t>aedaneker15@gmail.com</t>
  </si>
  <si>
    <t>College of the Desert</t>
  </si>
  <si>
    <t>Valdez Nava</t>
  </si>
  <si>
    <t>bvaldeznava@collegeofthedesert.edu</t>
  </si>
  <si>
    <t>Desert</t>
  </si>
  <si>
    <t>Susquehanna</t>
  </si>
  <si>
    <t>Selinsgrove</t>
  </si>
  <si>
    <t>Palm Desert</t>
  </si>
  <si>
    <t>DI19617</t>
  </si>
  <si>
    <t>Georgia Southern University</t>
  </si>
  <si>
    <t>kdean@georgiasouthern.edu</t>
  </si>
  <si>
    <t>$19,768/$25,367</t>
  </si>
  <si>
    <t>912-478-1501 912-478-1501</t>
  </si>
  <si>
    <t>DIII16078</t>
  </si>
  <si>
    <t>AC Caitlyn has been removed.</t>
  </si>
  <si>
    <t>J1245</t>
  </si>
  <si>
    <t>Georgia Southern</t>
  </si>
  <si>
    <t>Statesboro</t>
  </si>
  <si>
    <t>Estrin</t>
  </si>
  <si>
    <t>gestrin@collegeofthedesert.edu</t>
  </si>
  <si>
    <t>760-333-2585</t>
  </si>
  <si>
    <t>$22,927/$33,501</t>
  </si>
  <si>
    <t>DIII16079</t>
  </si>
  <si>
    <t>stinew@susquedu</t>
  </si>
  <si>
    <t>J1246</t>
  </si>
  <si>
    <t>AC Daisy has been removed.</t>
  </si>
  <si>
    <t>DI19618</t>
  </si>
  <si>
    <t>dprice@georgiasouthern.edu</t>
  </si>
  <si>
    <t>912-478-0983</t>
  </si>
  <si>
    <t>DIII16136</t>
  </si>
  <si>
    <t>Swarthmore College</t>
  </si>
  <si>
    <t>Finley</t>
  </si>
  <si>
    <t>mfinley1@swarthmore.edu</t>
  </si>
  <si>
    <t>610-690-6883 610-690-6883</t>
  </si>
  <si>
    <t>J1247</t>
  </si>
  <si>
    <t>DI19619</t>
  </si>
  <si>
    <t>Swarthmore</t>
  </si>
  <si>
    <t>J1282</t>
  </si>
  <si>
    <t>Diablo Valley College</t>
  </si>
  <si>
    <t>bbailey@dvc.edu</t>
  </si>
  <si>
    <t>645-760</t>
  </si>
  <si>
    <t>DI19620</t>
  </si>
  <si>
    <t>Clark-Kittleson</t>
  </si>
  <si>
    <t>DIII16137</t>
  </si>
  <si>
    <t>Diablo Valley</t>
  </si>
  <si>
    <t>Cooperstein</t>
  </si>
  <si>
    <t>DI21503</t>
  </si>
  <si>
    <t>Van Faussien</t>
  </si>
  <si>
    <t>bvanfaussien@georgiasouthern.edu</t>
  </si>
  <si>
    <t>912-478-8024 912-478-8024</t>
  </si>
  <si>
    <t>DIII16138</t>
  </si>
  <si>
    <t>J1283</t>
  </si>
  <si>
    <t>Braeyner</t>
  </si>
  <si>
    <t>DI22421</t>
  </si>
  <si>
    <t>DIII16139</t>
  </si>
  <si>
    <t>Kelsea</t>
  </si>
  <si>
    <t>Cichocki</t>
  </si>
  <si>
    <t>Maureen</t>
  </si>
  <si>
    <t>Goldhorn</t>
  </si>
  <si>
    <t>J1325</t>
  </si>
  <si>
    <t>East Los Angeles College</t>
  </si>
  <si>
    <t>Blanco</t>
  </si>
  <si>
    <t>blancoem@elac.edu</t>
  </si>
  <si>
    <t>(323) 267-3784</t>
  </si>
  <si>
    <t>East Los Angeles</t>
  </si>
  <si>
    <t>Monterey Park</t>
  </si>
  <si>
    <t>DIII16210</t>
  </si>
  <si>
    <t>DI19690</t>
  </si>
  <si>
    <t>Thiel College</t>
  </si>
  <si>
    <t>Fort</t>
  </si>
  <si>
    <t>sfort@thiel.edu</t>
  </si>
  <si>
    <t>Georgia State University</t>
  </si>
  <si>
    <t>724-589-2164 724-589-2164</t>
  </si>
  <si>
    <t>$19,661/$25,979</t>
  </si>
  <si>
    <t>Roger Kincaid</t>
  </si>
  <si>
    <t>Coach</t>
  </si>
  <si>
    <t>rkincaid@gsu.edu</t>
  </si>
  <si>
    <t>(404) 413-4086</t>
  </si>
  <si>
    <t>J1326</t>
  </si>
  <si>
    <t>Lucero</t>
  </si>
  <si>
    <t>lucerocl@elac.edu</t>
  </si>
  <si>
    <t>(323) 265-8915</t>
  </si>
  <si>
    <t>Thiel</t>
  </si>
  <si>
    <t>Georgia State</t>
  </si>
  <si>
    <t>$27,088/$41,656</t>
  </si>
  <si>
    <t>J1327</t>
  </si>
  <si>
    <t>angelmm@elac.edu</t>
  </si>
  <si>
    <t>c: (562) 822-5839</t>
  </si>
  <si>
    <t>DIII16211</t>
  </si>
  <si>
    <t>DI19691</t>
  </si>
  <si>
    <t>aday@thiel.edu</t>
  </si>
  <si>
    <t>724-589-2861 724-589-2861</t>
  </si>
  <si>
    <t>Downes</t>
  </si>
  <si>
    <t>ddownes@gsu.edu</t>
  </si>
  <si>
    <t>J1374</t>
  </si>
  <si>
    <t>El Camino College</t>
  </si>
  <si>
    <t>DIII16252</t>
  </si>
  <si>
    <t>Ursinus College</t>
  </si>
  <si>
    <t>DI19692</t>
  </si>
  <si>
    <t>Campo</t>
  </si>
  <si>
    <t>scampo@ursinus.edu</t>
  </si>
  <si>
    <t>Dixson</t>
  </si>
  <si>
    <t>(610) 409-3471</t>
  </si>
  <si>
    <t>El Camino CC</t>
  </si>
  <si>
    <t>Torrance</t>
  </si>
  <si>
    <t>$19,574/$24,110</t>
  </si>
  <si>
    <t>DI19753</t>
  </si>
  <si>
    <t>University of Louisiana - Lafayette</t>
  </si>
  <si>
    <t>Glasco</t>
  </si>
  <si>
    <t>gerryglasco@louisiana.edu</t>
  </si>
  <si>
    <t>J1375</t>
  </si>
  <si>
    <t>Ursinus</t>
  </si>
  <si>
    <t>(337) 851-6238 (337) 851-6238</t>
  </si>
  <si>
    <t>Zamudio</t>
  </si>
  <si>
    <t>513-640</t>
  </si>
  <si>
    <t>Louisiana-Lafayette</t>
  </si>
  <si>
    <t>Lafayette</t>
  </si>
  <si>
    <t>J1376</t>
  </si>
  <si>
    <t>Rapoza</t>
  </si>
  <si>
    <t>jrapoza@elcamino.edu</t>
  </si>
  <si>
    <t>$24,002/$37,730</t>
  </si>
  <si>
    <t>310-660-3593 x6167</t>
  </si>
  <si>
    <t>DIII16253</t>
  </si>
  <si>
    <t>Gardner</t>
  </si>
  <si>
    <t>tgardner@ursinus.edu</t>
  </si>
  <si>
    <t>J1377</t>
  </si>
  <si>
    <t>DI19754</t>
  </si>
  <si>
    <t>Prejean</t>
  </si>
  <si>
    <t>DIII16254</t>
  </si>
  <si>
    <t>J1439</t>
  </si>
  <si>
    <t>Feather River College</t>
  </si>
  <si>
    <t>Aragon</t>
  </si>
  <si>
    <t>maragon@frc.edu</t>
  </si>
  <si>
    <t>530-283-0202 x 294</t>
  </si>
  <si>
    <t>DI19755</t>
  </si>
  <si>
    <t>Feather River CC</t>
  </si>
  <si>
    <t>$15,685/$22,045</t>
  </si>
  <si>
    <t>DIII16255</t>
  </si>
  <si>
    <t>J1440</t>
  </si>
  <si>
    <t>DI19756</t>
  </si>
  <si>
    <t>Marco</t>
  </si>
  <si>
    <t>gthompson1@ursinus.edu</t>
  </si>
  <si>
    <t>Taran</t>
  </si>
  <si>
    <t>Alvelo</t>
  </si>
  <si>
    <t>maragon1@frc.edu</t>
  </si>
  <si>
    <t>J1441</t>
  </si>
  <si>
    <t>Torri</t>
  </si>
  <si>
    <t>Parman</t>
  </si>
  <si>
    <t>tmparman@frc.edu</t>
  </si>
  <si>
    <t>DIII16320</t>
  </si>
  <si>
    <t>DI19804</t>
  </si>
  <si>
    <t>Valley Forge Military College</t>
  </si>
  <si>
    <t>University of Louisiana - Monroe</t>
  </si>
  <si>
    <t>Cellucci</t>
  </si>
  <si>
    <t>Fichtner</t>
  </si>
  <si>
    <t>J_Cellucci@valleyforge.edu</t>
  </si>
  <si>
    <t>fichtner@ulm.edu</t>
  </si>
  <si>
    <t>318-342-5412</t>
  </si>
  <si>
    <t>J1464</t>
  </si>
  <si>
    <t>Louisiana-Monroe</t>
  </si>
  <si>
    <t>Folsom Lake College</t>
  </si>
  <si>
    <t>Grahlman</t>
  </si>
  <si>
    <t>grahlma@flc.losrios.edu</t>
  </si>
  <si>
    <t>460-680</t>
  </si>
  <si>
    <t>490-680</t>
  </si>
  <si>
    <t>916-608-6814</t>
  </si>
  <si>
    <t>$20,526/$32,626</t>
  </si>
  <si>
    <t>Valley Forge</t>
  </si>
  <si>
    <t>Phoenixville</t>
  </si>
  <si>
    <t>Folsom Lake</t>
  </si>
  <si>
    <t>337-520</t>
  </si>
  <si>
    <t>Folsom</t>
  </si>
  <si>
    <t>DI19805</t>
  </si>
  <si>
    <t>jguy@ulm.edu</t>
  </si>
  <si>
    <t>318-342-5408 318-342-5408</t>
  </si>
  <si>
    <t>DIII16321</t>
  </si>
  <si>
    <t>Douglas</t>
  </si>
  <si>
    <t>Duriez</t>
  </si>
  <si>
    <t>drduriez@valleyforge.edu</t>
  </si>
  <si>
    <t>J1465</t>
  </si>
  <si>
    <t>Kenobbie</t>
  </si>
  <si>
    <t>AC (OF, Hitting)</t>
  </si>
  <si>
    <t>DI19806</t>
  </si>
  <si>
    <t>Lea</t>
  </si>
  <si>
    <t>Wodach</t>
  </si>
  <si>
    <t>wodach@ulm.edu</t>
  </si>
  <si>
    <t>DIII16322</t>
  </si>
  <si>
    <t>J1468</t>
  </si>
  <si>
    <t>LeSueur</t>
  </si>
  <si>
    <t>Freeland</t>
  </si>
  <si>
    <t>lklesueur@valleyforge.edu</t>
  </si>
  <si>
    <t>610-917-1479</t>
  </si>
  <si>
    <t>justin.freeland@losrios.edu</t>
  </si>
  <si>
    <t>DI19807</t>
  </si>
  <si>
    <t>hillkp@warhawks.ulm.edu</t>
  </si>
  <si>
    <t>J1495</t>
  </si>
  <si>
    <t>Foothill College</t>
  </si>
  <si>
    <t>Dannielle</t>
  </si>
  <si>
    <t>browndannielle@fhda.edu</t>
  </si>
  <si>
    <t>408-568-8223</t>
  </si>
  <si>
    <t>DIII16356</t>
  </si>
  <si>
    <t>Washington &amp; Jefferson College</t>
  </si>
  <si>
    <t>mrush@washjeff.edu</t>
  </si>
  <si>
    <t>724-503-1001, Ext. 3084 724-503-1001, Ext. 3084</t>
  </si>
  <si>
    <t>Foothill</t>
  </si>
  <si>
    <t>Los Altos Hills</t>
  </si>
  <si>
    <t>DI22422</t>
  </si>
  <si>
    <t>$20,364/$27,384</t>
  </si>
  <si>
    <t>Washington &amp; Jefferson</t>
  </si>
  <si>
    <t>J1496</t>
  </si>
  <si>
    <t>Volz</t>
  </si>
  <si>
    <t>DIII16357</t>
  </si>
  <si>
    <t>DI19871</t>
  </si>
  <si>
    <t>724-503-1001, Ext. 3023 724-503-1001, Ext. 3023</t>
  </si>
  <si>
    <t>University of South Alabama</t>
  </si>
  <si>
    <t>clark@southalabama.edu</t>
  </si>
  <si>
    <t>251-460-6227 251-460-6227</t>
  </si>
  <si>
    <t>J11052</t>
  </si>
  <si>
    <t>Fresno City College</t>
  </si>
  <si>
    <t>Aerik</t>
  </si>
  <si>
    <t>DIII16411</t>
  </si>
  <si>
    <t>Waynesburg University</t>
  </si>
  <si>
    <t>Brett</t>
  </si>
  <si>
    <t>Shimek</t>
  </si>
  <si>
    <t>bshimek@waynesburg.edu</t>
  </si>
  <si>
    <t>724-852-3397 724-852-3397</t>
  </si>
  <si>
    <t>South Alabama</t>
  </si>
  <si>
    <t>$20,298/$27,546</t>
  </si>
  <si>
    <t>Fresno City</t>
  </si>
  <si>
    <t>$15,618/$21,258</t>
  </si>
  <si>
    <t>Waynesburg</t>
  </si>
  <si>
    <t>J11053</t>
  </si>
  <si>
    <t>DI19872</t>
  </si>
  <si>
    <t>McCain</t>
  </si>
  <si>
    <t>ashley.burns@fresnocitycollege.edu</t>
  </si>
  <si>
    <t>kmccain@southalabama.edu</t>
  </si>
  <si>
    <t>251-460-6664 251-460-6664</t>
  </si>
  <si>
    <t>DIII16412</t>
  </si>
  <si>
    <t>Tedrow</t>
  </si>
  <si>
    <t>mtedrow@waynesburg.edu</t>
  </si>
  <si>
    <t>DI19873</t>
  </si>
  <si>
    <t>J1529</t>
  </si>
  <si>
    <t>hcampbell@southalabama.edu</t>
  </si>
  <si>
    <t>251-460-6846 251-460-6846</t>
  </si>
  <si>
    <t>Janzer</t>
  </si>
  <si>
    <t>haley.janzer@fresnocitycollege.edu</t>
  </si>
  <si>
    <t>559-443-8523</t>
  </si>
  <si>
    <t>DIII16465</t>
  </si>
  <si>
    <t>Westminster College - Pennsylvania</t>
  </si>
  <si>
    <t>Jan</t>
  </si>
  <si>
    <t>Reddinger</t>
  </si>
  <si>
    <t>reddinjm@westminster.edu</t>
  </si>
  <si>
    <t>724-946-7319</t>
  </si>
  <si>
    <t>DI19874</t>
  </si>
  <si>
    <t>Taryn</t>
  </si>
  <si>
    <t>J1530</t>
  </si>
  <si>
    <t>Westminster (PA)</t>
  </si>
  <si>
    <t>New Wilmington</t>
  </si>
  <si>
    <t>ajeanburns@gmail.com</t>
  </si>
  <si>
    <t>DI19875</t>
  </si>
  <si>
    <t>DIII16531</t>
  </si>
  <si>
    <t>J1531</t>
  </si>
  <si>
    <t>Widener University</t>
  </si>
  <si>
    <t>mtanner@southalabama.edu</t>
  </si>
  <si>
    <t>Dohrmann</t>
  </si>
  <si>
    <t>251-460-1342 251-460-1342</t>
  </si>
  <si>
    <t>fwdohrmann@widener.edu</t>
  </si>
  <si>
    <t>610-499-4450 610-499-4450</t>
  </si>
  <si>
    <t>jordan.keener@fresnocitycollege.edu</t>
  </si>
  <si>
    <t>DI19934</t>
  </si>
  <si>
    <t>J1532</t>
  </si>
  <si>
    <t>Texas State University</t>
  </si>
  <si>
    <t>Widener</t>
  </si>
  <si>
    <t>Ricci</t>
  </si>
  <si>
    <t>Woodard</t>
  </si>
  <si>
    <t>Chester</t>
  </si>
  <si>
    <t>rw15@txstate.edu</t>
  </si>
  <si>
    <t>512-245-7753</t>
  </si>
  <si>
    <t>Gumz</t>
  </si>
  <si>
    <t>paige.gumz@fresnocitycollege.edu</t>
  </si>
  <si>
    <t>Texas State</t>
  </si>
  <si>
    <t>J1606</t>
  </si>
  <si>
    <t>Fullerton College</t>
  </si>
  <si>
    <t>Marian</t>
  </si>
  <si>
    <t>Mendoza</t>
  </si>
  <si>
    <t>$21,595/$33,019</t>
  </si>
  <si>
    <t>DIII16532</t>
  </si>
  <si>
    <t>mmendoza@fullcoll.edu</t>
  </si>
  <si>
    <t>(714) 992-7045</t>
  </si>
  <si>
    <t>DI19935</t>
  </si>
  <si>
    <t>hal41@txstate.edu</t>
  </si>
  <si>
    <t>$18,643/$23,515</t>
  </si>
  <si>
    <t>DIII16533</t>
  </si>
  <si>
    <t>dcoyne@djvinc.com</t>
  </si>
  <si>
    <t>J1607</t>
  </si>
  <si>
    <t>caguirre@fullcoll.edu</t>
  </si>
  <si>
    <t>DI19936</t>
  </si>
  <si>
    <t>Osterman</t>
  </si>
  <si>
    <t>clo37@txstate.edu</t>
  </si>
  <si>
    <t>DIII16534</t>
  </si>
  <si>
    <t>J1608</t>
  </si>
  <si>
    <t>DI19937</t>
  </si>
  <si>
    <t>DIII16535</t>
  </si>
  <si>
    <t>McDuffee</t>
  </si>
  <si>
    <t>pnm26@txstate.edu</t>
  </si>
  <si>
    <t>Korang</t>
  </si>
  <si>
    <t>J1609</t>
  </si>
  <si>
    <t>Maurer</t>
  </si>
  <si>
    <t>DI22427</t>
  </si>
  <si>
    <t>DIII21368</t>
  </si>
  <si>
    <t>Trevino</t>
  </si>
  <si>
    <t>J1679</t>
  </si>
  <si>
    <t>Glendale Community College - California</t>
  </si>
  <si>
    <t>Sal</t>
  </si>
  <si>
    <t>Pizzo</t>
  </si>
  <si>
    <t>spizzo@glendale.edu</t>
  </si>
  <si>
    <t>c: 818-486-0430</t>
  </si>
  <si>
    <t>Glendale CC (CA)</t>
  </si>
  <si>
    <t>DIII21369</t>
  </si>
  <si>
    <t>DI19978</t>
  </si>
  <si>
    <t>University of Texas - Arlington</t>
  </si>
  <si>
    <t>Sterling</t>
  </si>
  <si>
    <t>Peejay</t>
  </si>
  <si>
    <t>Brun</t>
  </si>
  <si>
    <t>$18,375/$23,535</t>
  </si>
  <si>
    <t>peejay.brun@uta.edu</t>
  </si>
  <si>
    <t>(817) 272-5756 (817) 272-5756</t>
  </si>
  <si>
    <t>@coachbrun</t>
  </si>
  <si>
    <t>Texas-Arlington</t>
  </si>
  <si>
    <t>J1680</t>
  </si>
  <si>
    <t>Arlington</t>
  </si>
  <si>
    <t>Carriedo</t>
  </si>
  <si>
    <t>c: 818-272-0043</t>
  </si>
  <si>
    <t>DIII16606</t>
  </si>
  <si>
    <t>Wilkes University</t>
  </si>
  <si>
    <t>$23,744/$37,048</t>
  </si>
  <si>
    <t>Klahold</t>
  </si>
  <si>
    <t>jacqueline.klahold@wilkes.edu</t>
  </si>
  <si>
    <t>570-408-4031 570-408-4031</t>
  </si>
  <si>
    <t>DI19979</t>
  </si>
  <si>
    <t>J1681</t>
  </si>
  <si>
    <t>bobby.buchanan@uta.edu</t>
  </si>
  <si>
    <t>(817) 272-9757 (817) 272-9757</t>
  </si>
  <si>
    <t>c: 213-618-1043</t>
  </si>
  <si>
    <t>J1682</t>
  </si>
  <si>
    <t>Wilkes (PA)</t>
  </si>
  <si>
    <t>DI19980</t>
  </si>
  <si>
    <t>miranda.kramer@uta.edu</t>
  </si>
  <si>
    <t>J11074</t>
  </si>
  <si>
    <t>Golden West College</t>
  </si>
  <si>
    <t>Morrison</t>
  </si>
  <si>
    <t>sengle1@gwc.cccd.edu</t>
  </si>
  <si>
    <t>DI19981</t>
  </si>
  <si>
    <t>DIII16607</t>
  </si>
  <si>
    <t>Low</t>
  </si>
  <si>
    <t>megan.low@uta.edu</t>
  </si>
  <si>
    <t>Golay</t>
  </si>
  <si>
    <t>olivia.golay@wilkes.edu</t>
  </si>
  <si>
    <t>Golden West</t>
  </si>
  <si>
    <t>Huntington Beach</t>
  </si>
  <si>
    <t>DI19982</t>
  </si>
  <si>
    <t>$19,617/$24,657</t>
  </si>
  <si>
    <t>Alix</t>
  </si>
  <si>
    <t>DIII16650</t>
  </si>
  <si>
    <t>Wilson College</t>
  </si>
  <si>
    <t>Cline</t>
  </si>
  <si>
    <t>bcline@wilson.edu</t>
  </si>
  <si>
    <t>717-404-9841 (cell) 717-404-9841 (cell)</t>
  </si>
  <si>
    <t>J1731</t>
  </si>
  <si>
    <t>MCCracken</t>
  </si>
  <si>
    <t>DI19983</t>
  </si>
  <si>
    <t>Wilson (PA)</t>
  </si>
  <si>
    <t>Chambersburg</t>
  </si>
  <si>
    <t>Texas-Arlington Softball</t>
  </si>
  <si>
    <t>UTASoftball@uta.edu</t>
  </si>
  <si>
    <t>J1732</t>
  </si>
  <si>
    <t>Munoz</t>
  </si>
  <si>
    <t>DIII16651</t>
  </si>
  <si>
    <t>DI20044</t>
  </si>
  <si>
    <t>Leonard</t>
  </si>
  <si>
    <t>Carbaugh</t>
  </si>
  <si>
    <t>Troy University</t>
  </si>
  <si>
    <t>leonard.carbaugh@wilson.edu</t>
  </si>
  <si>
    <t>Mullins</t>
  </si>
  <si>
    <t>troysoftball@troy.edu</t>
  </si>
  <si>
    <t>334-670-3446</t>
  </si>
  <si>
    <t>J1733</t>
  </si>
  <si>
    <t>Engle</t>
  </si>
  <si>
    <t>DIII16652</t>
  </si>
  <si>
    <t>terry.choate@wilson.edu</t>
  </si>
  <si>
    <t>455-550</t>
  </si>
  <si>
    <t>717-512-9815 717-512-9815</t>
  </si>
  <si>
    <t>$19,106/$26,330</t>
  </si>
  <si>
    <t>J1734</t>
  </si>
  <si>
    <t>DIII16678</t>
  </si>
  <si>
    <t>York College of Pennsylvania</t>
  </si>
  <si>
    <t>Dulac</t>
  </si>
  <si>
    <t>kdulac@ycp.edu</t>
  </si>
  <si>
    <t>717-815-1940</t>
  </si>
  <si>
    <t>DI20045</t>
  </si>
  <si>
    <t>J10737</t>
  </si>
  <si>
    <t>Grossmont College</t>
  </si>
  <si>
    <t>Smartt</t>
  </si>
  <si>
    <t>Indian</t>
  </si>
  <si>
    <t>tsmartt@troy.edu</t>
  </si>
  <si>
    <t>334-670-5744</t>
  </si>
  <si>
    <t>Grossmont</t>
  </si>
  <si>
    <t>El Cajon</t>
  </si>
  <si>
    <t>$16,986/$22,548</t>
  </si>
  <si>
    <t>York (PA)</t>
  </si>
  <si>
    <t>DI20046</t>
  </si>
  <si>
    <t>wardh@troy.edu</t>
  </si>
  <si>
    <t>334-670-3969</t>
  </si>
  <si>
    <t>DIII16679</t>
  </si>
  <si>
    <t>J1795</t>
  </si>
  <si>
    <t>Behrenshausen</t>
  </si>
  <si>
    <t>Kellems</t>
  </si>
  <si>
    <t>vanessa.kellems@gcccd.edu</t>
  </si>
  <si>
    <t>ebehrenshausen@ycp.edu</t>
  </si>
  <si>
    <t>DI20047</t>
  </si>
  <si>
    <t>kalawrence@troy.edu</t>
  </si>
  <si>
    <t>334-808-6296</t>
  </si>
  <si>
    <t>J1796</t>
  </si>
  <si>
    <t>Whitlow</t>
  </si>
  <si>
    <t>DIII16721</t>
  </si>
  <si>
    <t>Johnson &amp; Wales University - Providence</t>
  </si>
  <si>
    <t>Camara-Harvey</t>
  </si>
  <si>
    <t>kim.camara@jwu.edu</t>
  </si>
  <si>
    <t>401-598-1607</t>
  </si>
  <si>
    <t>DI22437</t>
  </si>
  <si>
    <t>Porter</t>
  </si>
  <si>
    <t>J1797</t>
  </si>
  <si>
    <t>Wisnosky</t>
  </si>
  <si>
    <t>WAC</t>
  </si>
  <si>
    <t>DI20088</t>
  </si>
  <si>
    <t>California State University - Bakersfield</t>
  </si>
  <si>
    <t>Buck-Ziegler</t>
  </si>
  <si>
    <t>cbuck3@csub.edu</t>
  </si>
  <si>
    <t>Johnson &amp; Wales (RI)</t>
  </si>
  <si>
    <t>(661) 654-3056 (661) 654-3056</t>
  </si>
  <si>
    <t>J1799</t>
  </si>
  <si>
    <t>Cal State-Bakersfield</t>
  </si>
  <si>
    <t>880-1,080 average composite</t>
  </si>
  <si>
    <t>$25,577/$36,737</t>
  </si>
  <si>
    <t>DIII16722</t>
  </si>
  <si>
    <t>Hartnell College</t>
  </si>
  <si>
    <t>ehouston@hartnell.edu</t>
  </si>
  <si>
    <t>831-755-6838</t>
  </si>
  <si>
    <t>aolson@jwu.edu</t>
  </si>
  <si>
    <t>DI20089</t>
  </si>
  <si>
    <t>Nisa</t>
  </si>
  <si>
    <t>Ontiveros</t>
  </si>
  <si>
    <t>Hartnell</t>
  </si>
  <si>
    <t>nontiveros@csub.edu</t>
  </si>
  <si>
    <t>Salinas</t>
  </si>
  <si>
    <t>(661) 654-2617 (661) 654-2617</t>
  </si>
  <si>
    <t>$19,321/$25,571</t>
  </si>
  <si>
    <t>DIII16723</t>
  </si>
  <si>
    <t>Levins</t>
  </si>
  <si>
    <t>Geno</t>
  </si>
  <si>
    <t>Sigala</t>
  </si>
  <si>
    <t>DI20090</t>
  </si>
  <si>
    <t>Buck</t>
  </si>
  <si>
    <t>DIII16757</t>
  </si>
  <si>
    <t>Rhode Island College</t>
  </si>
  <si>
    <t>J1869</t>
  </si>
  <si>
    <t>Claypool</t>
  </si>
  <si>
    <t>Imperial Valley College</t>
  </si>
  <si>
    <t>bclaypool@ric.edu</t>
  </si>
  <si>
    <t>HC Jill has been removed.</t>
  </si>
  <si>
    <t>401-456-8259</t>
  </si>
  <si>
    <t>DI21445</t>
  </si>
  <si>
    <t>Aurin</t>
  </si>
  <si>
    <t>maurin@csub.edu</t>
  </si>
  <si>
    <t>Imperial Valley</t>
  </si>
  <si>
    <t>Imperial</t>
  </si>
  <si>
    <t>$22,771/$35,284</t>
  </si>
  <si>
    <t>$18,980/$22,892</t>
  </si>
  <si>
    <t>DI20144</t>
  </si>
  <si>
    <t>California Baptist University</t>
  </si>
  <si>
    <t>Baber</t>
  </si>
  <si>
    <t>bbaber@calbaptist.edu</t>
  </si>
  <si>
    <t>951-343-4705</t>
  </si>
  <si>
    <t>DIII16758</t>
  </si>
  <si>
    <t>Lamanna</t>
  </si>
  <si>
    <t>glamanna@ric.edu</t>
  </si>
  <si>
    <t>California Baptist</t>
  </si>
  <si>
    <t>J1870</t>
  </si>
  <si>
    <t>AC Nicole has been removed.</t>
  </si>
  <si>
    <t>DIII16759</t>
  </si>
  <si>
    <t>Costa</t>
  </si>
  <si>
    <t>kcosta@ric.edu</t>
  </si>
  <si>
    <t>DI20145</t>
  </si>
  <si>
    <t>Shaunice</t>
  </si>
  <si>
    <t>shharris@calbaptist.edu</t>
  </si>
  <si>
    <t>951-343-4452</t>
  </si>
  <si>
    <t>J1968</t>
  </si>
  <si>
    <t>Lassen Community College</t>
  </si>
  <si>
    <t>Fritts</t>
  </si>
  <si>
    <t>kfritts@lassencollege.edu</t>
  </si>
  <si>
    <t>c: (541) 727-1609</t>
  </si>
  <si>
    <t>DIII16786</t>
  </si>
  <si>
    <t>Roger Williams University</t>
  </si>
  <si>
    <t>Lassen CC</t>
  </si>
  <si>
    <t>Maudie</t>
  </si>
  <si>
    <t>Susanville</t>
  </si>
  <si>
    <t>jmaudie@rwu.edu</t>
  </si>
  <si>
    <t>401.254.3129 401.254.3129</t>
  </si>
  <si>
    <t>DI20146</t>
  </si>
  <si>
    <t>$14,055/$18,879</t>
  </si>
  <si>
    <t>Gossett</t>
  </si>
  <si>
    <t>bgossett@calbaptist.edu</t>
  </si>
  <si>
    <t>951-552-8964</t>
  </si>
  <si>
    <t>J2000</t>
  </si>
  <si>
    <t>Long Beach City College</t>
  </si>
  <si>
    <t>Roger Williams</t>
  </si>
  <si>
    <t>amartinez@lbcc.edu</t>
  </si>
  <si>
    <t>(562) 938-4026</t>
  </si>
  <si>
    <t>DI20147</t>
  </si>
  <si>
    <t>Long Beach CC</t>
  </si>
  <si>
    <t>aramirez@calbaptist.edu</t>
  </si>
  <si>
    <t>951-552-8716</t>
  </si>
  <si>
    <t>DIII16787</t>
  </si>
  <si>
    <t>Lugo</t>
  </si>
  <si>
    <t>olugo@rwu.edu</t>
  </si>
  <si>
    <t>J2001</t>
  </si>
  <si>
    <t>DI20148</t>
  </si>
  <si>
    <t>Kaylea</t>
  </si>
  <si>
    <t>Snaer</t>
  </si>
  <si>
    <t>Hector</t>
  </si>
  <si>
    <t>Palafox</t>
  </si>
  <si>
    <t>DIII16788</t>
  </si>
  <si>
    <t>Mastrangelo</t>
  </si>
  <si>
    <t>Rec Coor</t>
  </si>
  <si>
    <t>jmastrangelo@rwu.edu</t>
  </si>
  <si>
    <t>DI20217</t>
  </si>
  <si>
    <t>J2002</t>
  </si>
  <si>
    <t>Grand Canyon University</t>
  </si>
  <si>
    <t>Gunnar</t>
  </si>
  <si>
    <t>Pierson</t>
  </si>
  <si>
    <t>Seedborg</t>
  </si>
  <si>
    <t>ann.pierson@gcu.edu</t>
  </si>
  <si>
    <t>602-639-6051 602-639-6051</t>
  </si>
  <si>
    <t>DIII16847</t>
  </si>
  <si>
    <t>Salve Regina University</t>
  </si>
  <si>
    <t>Jannelle</t>
  </si>
  <si>
    <t>Iaquinto</t>
  </si>
  <si>
    <t>jannelle.iaquinto@salve.edu</t>
  </si>
  <si>
    <t>(401) 341-3228</t>
  </si>
  <si>
    <t>J2003</t>
  </si>
  <si>
    <t>Salve Regina</t>
  </si>
  <si>
    <t>Newport</t>
  </si>
  <si>
    <t>Grand Canyon</t>
  </si>
  <si>
    <t>2.75 minimum</t>
  </si>
  <si>
    <t>J2004</t>
  </si>
  <si>
    <t>DI20218</t>
  </si>
  <si>
    <t>DIII16848</t>
  </si>
  <si>
    <t>Rosa</t>
  </si>
  <si>
    <t>amanda.gardner2@gcu.edu</t>
  </si>
  <si>
    <t>jennifer.rosa@salve.edu</t>
  </si>
  <si>
    <t>J2005</t>
  </si>
  <si>
    <t>DIII16849</t>
  </si>
  <si>
    <t>DI20219</t>
  </si>
  <si>
    <t>Boarman</t>
  </si>
  <si>
    <t>kelsey.boarman@salve.edu</t>
  </si>
  <si>
    <t>Musser</t>
  </si>
  <si>
    <t>christi.musser@gcu.edu</t>
  </si>
  <si>
    <t>602-639-7178 602-639-7178</t>
  </si>
  <si>
    <t>Los Angeles Harbor College</t>
  </si>
  <si>
    <t>Valentina</t>
  </si>
  <si>
    <t>Nabayan</t>
  </si>
  <si>
    <t>vnabayan23@aol.com</t>
  </si>
  <si>
    <t>310-780-1373</t>
  </si>
  <si>
    <t>Los Angeles Harbor</t>
  </si>
  <si>
    <t>DIII20805</t>
  </si>
  <si>
    <t>Kathios</t>
  </si>
  <si>
    <t>DI20220</t>
  </si>
  <si>
    <t>holly.kathios@salve.edu</t>
  </si>
  <si>
    <t>Broermann</t>
  </si>
  <si>
    <t>chelsey.broermann@gcu.edu</t>
  </si>
  <si>
    <t>J2055</t>
  </si>
  <si>
    <t>Los Angeles Mission College</t>
  </si>
  <si>
    <t>DIII16890</t>
  </si>
  <si>
    <t>Hylland</t>
  </si>
  <si>
    <t>Maryville College</t>
  </si>
  <si>
    <t>hyllanc@laccd.edu</t>
  </si>
  <si>
    <t>c: 562-743-6294</t>
  </si>
  <si>
    <t>leah.kelley@maryvillecollege.edu</t>
  </si>
  <si>
    <t>(865) 981-8228</t>
  </si>
  <si>
    <t>DI20221</t>
  </si>
  <si>
    <t>Kobie</t>
  </si>
  <si>
    <t>Pettis</t>
  </si>
  <si>
    <t>kobie.pettis@gcu.edu</t>
  </si>
  <si>
    <t>602-639-7243 602-639-7243</t>
  </si>
  <si>
    <t>Los Angeles Mission</t>
  </si>
  <si>
    <t>J2056</t>
  </si>
  <si>
    <t>DI20289</t>
  </si>
  <si>
    <t>University of Missouri - Kansas City</t>
  </si>
  <si>
    <t>chylland12@gmail.com</t>
  </si>
  <si>
    <t>kshaw@umkc.edu</t>
  </si>
  <si>
    <t>816-235-5837 816-235-5837</t>
  </si>
  <si>
    <t>Maryville (TN)</t>
  </si>
  <si>
    <t>Missouri-Kansas City (UMKC)</t>
  </si>
  <si>
    <t>J2057</t>
  </si>
  <si>
    <t>$23,460/$34,500</t>
  </si>
  <si>
    <t>DIII16891</t>
  </si>
  <si>
    <t>Kadey</t>
  </si>
  <si>
    <t>kadey.robinson@maryvillecollege.edu</t>
  </si>
  <si>
    <t>865-981-8228</t>
  </si>
  <si>
    <t>DI20290</t>
  </si>
  <si>
    <t>J2058</t>
  </si>
  <si>
    <t>samanthahoneycutt@umkc.edu</t>
  </si>
  <si>
    <t>Janae</t>
  </si>
  <si>
    <t>DI20291</t>
  </si>
  <si>
    <t>DIII16925</t>
  </si>
  <si>
    <t>Zac</t>
  </si>
  <si>
    <t>Rhodes College</t>
  </si>
  <si>
    <t>Pierce College - Los Angeles</t>
  </si>
  <si>
    <t>Parr</t>
  </si>
  <si>
    <t>wagnerl@rhodes.edu</t>
  </si>
  <si>
    <t>901-843-3233 901-843-3233</t>
  </si>
  <si>
    <t>Los Angeles Pierce</t>
  </si>
  <si>
    <t>DI20292</t>
  </si>
  <si>
    <t>Rhodes (TN)</t>
  </si>
  <si>
    <t>Allyson</t>
  </si>
  <si>
    <t>Behymer</t>
  </si>
  <si>
    <t>580-670</t>
  </si>
  <si>
    <t>markcmarkc@aol.com</t>
  </si>
  <si>
    <t>(818) 720-7128</t>
  </si>
  <si>
    <t>DI21468</t>
  </si>
  <si>
    <t>DIII16926</t>
  </si>
  <si>
    <t>gloverp@rhodes.edu</t>
  </si>
  <si>
    <t>901-843-3015 901-843-3015</t>
  </si>
  <si>
    <t>tmhvf2@umkc.edu</t>
  </si>
  <si>
    <t>J2090</t>
  </si>
  <si>
    <t>Los Angeles Valley College</t>
  </si>
  <si>
    <t>Venger</t>
  </si>
  <si>
    <t>vengergs@lavc.edu</t>
  </si>
  <si>
    <t>(818) 778-5523</t>
  </si>
  <si>
    <t>DIII16965</t>
  </si>
  <si>
    <t>DI20361</t>
  </si>
  <si>
    <t>Sewanee - The University of the South</t>
  </si>
  <si>
    <t>New Mexico State University</t>
  </si>
  <si>
    <t>Merritt</t>
  </si>
  <si>
    <t>Yackey</t>
  </si>
  <si>
    <t>Rodolph</t>
  </si>
  <si>
    <t>aggiesb@nmsu.edu</t>
  </si>
  <si>
    <t>(575) 646-5793</t>
  </si>
  <si>
    <t>Los Angeles Valley</t>
  </si>
  <si>
    <t>meyackey@sewanee.edu</t>
  </si>
  <si>
    <t>(931) 598-1901</t>
  </si>
  <si>
    <t>Los Medanos College</t>
  </si>
  <si>
    <t>Sewanee (TN)</t>
  </si>
  <si>
    <t>Rognlien</t>
  </si>
  <si>
    <t>New Mexico State</t>
  </si>
  <si>
    <t>Sewanee</t>
  </si>
  <si>
    <t>timrognlien@comcast.net</t>
  </si>
  <si>
    <t>Las Cruces</t>
  </si>
  <si>
    <t>(925) 783-3964</t>
  </si>
  <si>
    <t>$19,144/$32,702</t>
  </si>
  <si>
    <t>Los Medanos</t>
  </si>
  <si>
    <t>DIII16966</t>
  </si>
  <si>
    <t>TBD</t>
  </si>
  <si>
    <t>DI20362</t>
  </si>
  <si>
    <t>Karysta</t>
  </si>
  <si>
    <t>Donisthorpe</t>
  </si>
  <si>
    <t>karystad@nmsu.edu</t>
  </si>
  <si>
    <t>(575) 646-3474</t>
  </si>
  <si>
    <t>trognlien@losmedanos.edu</t>
  </si>
  <si>
    <t>(925) 473 - 7609</t>
  </si>
  <si>
    <t>DI20363</t>
  </si>
  <si>
    <t>Heifner</t>
  </si>
  <si>
    <t>(575) 646-1046</t>
  </si>
  <si>
    <t>Mendocino College</t>
  </si>
  <si>
    <t>DIII20810</t>
  </si>
  <si>
    <t>Spicer</t>
  </si>
  <si>
    <t>Wingler</t>
  </si>
  <si>
    <t>jbspicer@sewanee.edu</t>
  </si>
  <si>
    <t>(931) 598-1572</t>
  </si>
  <si>
    <t>dwingler@mendocino.edu</t>
  </si>
  <si>
    <t>707-468-3130</t>
  </si>
  <si>
    <t>DIII17011</t>
  </si>
  <si>
    <t>Austin College</t>
  </si>
  <si>
    <t>Mendocino</t>
  </si>
  <si>
    <t>Ukiah</t>
  </si>
  <si>
    <t>DI20364</t>
  </si>
  <si>
    <t>ksylvester@austincollege.edu</t>
  </si>
  <si>
    <t>903.813.2394</t>
  </si>
  <si>
    <t>$19,864/$24,814</t>
  </si>
  <si>
    <t>J2165</t>
  </si>
  <si>
    <t>Austin (TX)</t>
  </si>
  <si>
    <t>Merced College</t>
  </si>
  <si>
    <t>McGhee</t>
  </si>
  <si>
    <t>suzanne.mcghee@mccd.edu</t>
  </si>
  <si>
    <t>209-386-6731</t>
  </si>
  <si>
    <t>DI20411</t>
  </si>
  <si>
    <t>Seattle University</t>
  </si>
  <si>
    <t>Geoff</t>
  </si>
  <si>
    <t>Hirai</t>
  </si>
  <si>
    <t>hiraig@seattleu.edu</t>
  </si>
  <si>
    <t>(206) 296-5905</t>
  </si>
  <si>
    <t>Merced (CA)</t>
  </si>
  <si>
    <t>Merced</t>
  </si>
  <si>
    <t>$17,764/$22,756</t>
  </si>
  <si>
    <t>DIII17039</t>
  </si>
  <si>
    <t>Concordia University - Texas</t>
  </si>
  <si>
    <t>Staton</t>
  </si>
  <si>
    <t>Jeff.Staton@concordia.edu</t>
  </si>
  <si>
    <t>(512) 313-4525 (512) 313-4525</t>
  </si>
  <si>
    <t>J11102</t>
  </si>
  <si>
    <t>Mission College</t>
  </si>
  <si>
    <t>ashley.carter@missioncollege.edu</t>
  </si>
  <si>
    <t>408-855-5368</t>
  </si>
  <si>
    <t>Concordia (TX)</t>
  </si>
  <si>
    <t>Santa Clara</t>
  </si>
  <si>
    <t>$19,086/$24,006</t>
  </si>
  <si>
    <t>Concordia University at Austin</t>
  </si>
  <si>
    <t>DI20412</t>
  </si>
  <si>
    <t>DIII17040</t>
  </si>
  <si>
    <t>Nies</t>
  </si>
  <si>
    <t>niesc@seattleu.edu</t>
  </si>
  <si>
    <t>Coffin</t>
  </si>
  <si>
    <t>(206) 296‐5905</t>
  </si>
  <si>
    <t>kennedy.coffin@ctx.edu</t>
  </si>
  <si>
    <t>J2199</t>
  </si>
  <si>
    <t>DI20413</t>
  </si>
  <si>
    <t>Aweau</t>
  </si>
  <si>
    <t>aaweau@seattleu.edu</t>
  </si>
  <si>
    <t>DIII17041</t>
  </si>
  <si>
    <t>Dufour</t>
  </si>
  <si>
    <t>Nicole.Dufour@concordia.edu</t>
  </si>
  <si>
    <t>J11105</t>
  </si>
  <si>
    <t>Modesto Junior College</t>
  </si>
  <si>
    <t>Broumas</t>
  </si>
  <si>
    <t>Modesto JC</t>
  </si>
  <si>
    <t>Modesto</t>
  </si>
  <si>
    <t>$18,973/$24,469</t>
  </si>
  <si>
    <t>DIII17042</t>
  </si>
  <si>
    <t>DI20414</t>
  </si>
  <si>
    <t>Brooke.Jones@concordia.edu</t>
  </si>
  <si>
    <t>thompsonashl@seattleu.edu</t>
  </si>
  <si>
    <t>J11106</t>
  </si>
  <si>
    <t>DIII17043</t>
  </si>
  <si>
    <t>Brittani</t>
  </si>
  <si>
    <t>Whitten</t>
  </si>
  <si>
    <t>brittani_whitten@ctx.edu</t>
  </si>
  <si>
    <t>DI20415</t>
  </si>
  <si>
    <t>Marika</t>
  </si>
  <si>
    <t>Yaplee</t>
  </si>
  <si>
    <t>yapleem@seattleu.edu</t>
  </si>
  <si>
    <t>J2231</t>
  </si>
  <si>
    <t>DIII17044</t>
  </si>
  <si>
    <t>Donaldson</t>
  </si>
  <si>
    <t>donaldsond@mjc.edu</t>
  </si>
  <si>
    <t>Aleman</t>
  </si>
  <si>
    <t>209-575-6270</t>
  </si>
  <si>
    <t>DI20502</t>
  </si>
  <si>
    <t>Utah Valley University</t>
  </si>
  <si>
    <t>stacy.johnson@uvu.edu</t>
  </si>
  <si>
    <t>@CoachTJHubbard</t>
  </si>
  <si>
    <t>J2232</t>
  </si>
  <si>
    <t>DIII20820</t>
  </si>
  <si>
    <t>Slatten</t>
  </si>
  <si>
    <t>wardd@mjc.edu</t>
  </si>
  <si>
    <t>209-535-1649</t>
  </si>
  <si>
    <t>Utah Valley</t>
  </si>
  <si>
    <t>Orem</t>
  </si>
  <si>
    <t>$15,900/$26,060</t>
  </si>
  <si>
    <t>J2233</t>
  </si>
  <si>
    <t>DI20503</t>
  </si>
  <si>
    <t>shelby.graves@uvu.edu</t>
  </si>
  <si>
    <t>J2276</t>
  </si>
  <si>
    <t>Monterey Peninsula College</t>
  </si>
  <si>
    <t>DIII17078</t>
  </si>
  <si>
    <t>University of Dallas</t>
  </si>
  <si>
    <t>wberg@mpc.edu</t>
  </si>
  <si>
    <t>Caitlynn</t>
  </si>
  <si>
    <t>(831) 646-4817</t>
  </si>
  <si>
    <t>Dykes</t>
  </si>
  <si>
    <t>cdykes@udallas.edu</t>
  </si>
  <si>
    <t>972-721-4035</t>
  </si>
  <si>
    <t>Monterey Peninsula</t>
  </si>
  <si>
    <t>Monterey</t>
  </si>
  <si>
    <t>$20,902/$25,966</t>
  </si>
  <si>
    <t>Irving</t>
  </si>
  <si>
    <t>DI20504</t>
  </si>
  <si>
    <t>Ladines</t>
  </si>
  <si>
    <t>Moorpark College</t>
  </si>
  <si>
    <t>ronnie.ladines@uvu.edu</t>
  </si>
  <si>
    <t>Ginny</t>
  </si>
  <si>
    <t>805 444 3400</t>
  </si>
  <si>
    <t>DIII17111</t>
  </si>
  <si>
    <t>East Texas Baptist University</t>
  </si>
  <si>
    <t>Shirley</t>
  </si>
  <si>
    <t>jshirley@etbu.edu</t>
  </si>
  <si>
    <t>(903) 923-2240 (903) 923-2240</t>
  </si>
  <si>
    <t>Moorpark</t>
  </si>
  <si>
    <t>DI20505</t>
  </si>
  <si>
    <t>$19,829/$25,491</t>
  </si>
  <si>
    <t>East Texas Baptist</t>
  </si>
  <si>
    <t>(805) 378-1457</t>
  </si>
  <si>
    <t>West Coast</t>
  </si>
  <si>
    <t>Brigham Young University</t>
  </si>
  <si>
    <t>Eakin</t>
  </si>
  <si>
    <t>(801) 422-1158</t>
  </si>
  <si>
    <t>DIII17112</t>
  </si>
  <si>
    <t>Brigham Young (BYU)</t>
  </si>
  <si>
    <t>Provo</t>
  </si>
  <si>
    <t>wgalloway@etbu.edu</t>
  </si>
  <si>
    <t>y (Latter Day Saints -- Mormon Church)</t>
  </si>
  <si>
    <t>(903) 923-2380 (903) 923-2380</t>
  </si>
  <si>
    <t>J2341</t>
  </si>
  <si>
    <t>Mt. San Antonio College</t>
  </si>
  <si>
    <t>DIII17113</t>
  </si>
  <si>
    <t>etbusoftball@etbu.edu</t>
  </si>
  <si>
    <t>(801) 422-1157</t>
  </si>
  <si>
    <t>Mt. San Antonio</t>
  </si>
  <si>
    <t>Walnut</t>
  </si>
  <si>
    <t>DIII17114</t>
  </si>
  <si>
    <t>Scrivner</t>
  </si>
  <si>
    <t>$18,547/$25,858</t>
  </si>
  <si>
    <t>J2342</t>
  </si>
  <si>
    <t>DIII17115</t>
  </si>
  <si>
    <t>Mascarenas</t>
  </si>
  <si>
    <t>Graduate Asst Teresa has been removed.</t>
  </si>
  <si>
    <t>amascarenas2@mtsac.edu</t>
  </si>
  <si>
    <t>909-274-4939</t>
  </si>
  <si>
    <t>Tauali'i</t>
  </si>
  <si>
    <t>(801) 422-1739</t>
  </si>
  <si>
    <t>DIII17116</t>
  </si>
  <si>
    <t>J2343</t>
  </si>
  <si>
    <t>Arst</t>
  </si>
  <si>
    <t>Bollier</t>
  </si>
  <si>
    <t>jbollier1@mtsac.edu</t>
  </si>
  <si>
    <t>Gordon contact form: https://byucougars.com/contact/16908/gordon-eakin</t>
  </si>
  <si>
    <t>DIII17148</t>
  </si>
  <si>
    <t>Hardin-Simmons University</t>
  </si>
  <si>
    <t>Chanin</t>
  </si>
  <si>
    <t>Naudin</t>
  </si>
  <si>
    <t>chanin.naudin@hsutx.edu</t>
  </si>
  <si>
    <t>(325) 671-2126</t>
  </si>
  <si>
    <t>Pete contact form: https://byucougars.com/contact/102077/pete-meredith</t>
  </si>
  <si>
    <t>J2344</t>
  </si>
  <si>
    <t>PJ</t>
  </si>
  <si>
    <t>Leon</t>
  </si>
  <si>
    <t>Kevin contact form: https://byucougars.com/contact/114044/kevin-jensen</t>
  </si>
  <si>
    <t>Hardin-Simmons</t>
  </si>
  <si>
    <t>J2345</t>
  </si>
  <si>
    <t>AJ contact form: https://byucougars.com/contact/1282573/AJ-Tauali&amp;%23039;i%20</t>
  </si>
  <si>
    <t>DIII17149</t>
  </si>
  <si>
    <t>Loyola Marymount University</t>
  </si>
  <si>
    <t>Krysten</t>
  </si>
  <si>
    <t>Marr</t>
  </si>
  <si>
    <t>krysten.marr@hsutx.edu</t>
  </si>
  <si>
    <t>(325) 671-2125</t>
  </si>
  <si>
    <t>Strinz-Ward</t>
  </si>
  <si>
    <t>sami.ward@lmu.edu</t>
  </si>
  <si>
    <t>(310) 338-7651 (310) 338-7651</t>
  </si>
  <si>
    <t>J2415</t>
  </si>
  <si>
    <t>Mt. San Jacinto College</t>
  </si>
  <si>
    <t>DIII17180</t>
  </si>
  <si>
    <t>Howard Payne University</t>
  </si>
  <si>
    <t>goliver@msjc.edu</t>
  </si>
  <si>
    <t>c: 951-639-5590</t>
  </si>
  <si>
    <t>Mata</t>
  </si>
  <si>
    <t>jmata@hputx.edu</t>
  </si>
  <si>
    <t>Loyola Marymount</t>
  </si>
  <si>
    <t>325-649-8970 325-649-8970</t>
  </si>
  <si>
    <t>Mt. San Jacinto</t>
  </si>
  <si>
    <t>San Jacinto</t>
  </si>
  <si>
    <t>Howard Payne</t>
  </si>
  <si>
    <t>Brownwood</t>
  </si>
  <si>
    <t>DI20596</t>
  </si>
  <si>
    <t>$19,585/$26,455</t>
  </si>
  <si>
    <t>randy.ward@lmu.edu</t>
  </si>
  <si>
    <t>(310) 258-8827 (310) 258-8827</t>
  </si>
  <si>
    <t>DIII17181</t>
  </si>
  <si>
    <t>dfoster@hputx.edu</t>
  </si>
  <si>
    <t>325-649-8980 325-649-8980</t>
  </si>
  <si>
    <t>DI20597</t>
  </si>
  <si>
    <t>brittany.miller@lmu.edu</t>
  </si>
  <si>
    <t>DIII17205</t>
  </si>
  <si>
    <t>J2416</t>
  </si>
  <si>
    <t>LeTourneau University</t>
  </si>
  <si>
    <t>StanleyWells@letu.edu</t>
  </si>
  <si>
    <t>903.233.3737 903.233.3737</t>
  </si>
  <si>
    <t>aclark@msjc.edu</t>
  </si>
  <si>
    <t>DI20598</t>
  </si>
  <si>
    <t>Rhianna</t>
  </si>
  <si>
    <t>LeTourneau</t>
  </si>
  <si>
    <t>Longview</t>
  </si>
  <si>
    <t>J2417</t>
  </si>
  <si>
    <t>DI20599</t>
  </si>
  <si>
    <t>majohnson@msjc.edu</t>
  </si>
  <si>
    <t>Volunteer AC Brooke has been removed.</t>
  </si>
  <si>
    <t>DIII17206</t>
  </si>
  <si>
    <t>Ashlin</t>
  </si>
  <si>
    <t>Roach</t>
  </si>
  <si>
    <t>ashlinroach@letu.edu</t>
  </si>
  <si>
    <t>J2431</t>
  </si>
  <si>
    <t>Napa Valley College</t>
  </si>
  <si>
    <t>Hobbs</t>
  </si>
  <si>
    <t>DIII17207</t>
  </si>
  <si>
    <t>mhobbs@napavalley.edu</t>
  </si>
  <si>
    <t>DI20650</t>
  </si>
  <si>
    <t>Macey</t>
  </si>
  <si>
    <t>​(707) 256-7664</t>
  </si>
  <si>
    <t>Mize</t>
  </si>
  <si>
    <t>MaceyMize@letu.edu</t>
  </si>
  <si>
    <t>University of the Pacific</t>
  </si>
  <si>
    <t>Kolze</t>
  </si>
  <si>
    <t>bkolze@pacific.edu</t>
  </si>
  <si>
    <t>209-946-2699 209-946-2699</t>
  </si>
  <si>
    <t>Napa Valley</t>
  </si>
  <si>
    <t>DIII17259</t>
  </si>
  <si>
    <t>Napa</t>
  </si>
  <si>
    <t>University of Mary Hardin-Baylor</t>
  </si>
  <si>
    <t>Hennig</t>
  </si>
  <si>
    <t>lhennig@umhb.edu</t>
  </si>
  <si>
    <t>254-295-4170 254-295-4170</t>
  </si>
  <si>
    <t>$19,585/$24,727</t>
  </si>
  <si>
    <t>Pacific (CA)</t>
  </si>
  <si>
    <t>Stockton</t>
  </si>
  <si>
    <t>530-670</t>
  </si>
  <si>
    <t>Mary Hardin-Baylor</t>
  </si>
  <si>
    <t>Belton</t>
  </si>
  <si>
    <t>J2448</t>
  </si>
  <si>
    <t>Ohlone College</t>
  </si>
  <si>
    <t>jmarshall12@ohlone.edu</t>
  </si>
  <si>
    <t>510-659-6053</t>
  </si>
  <si>
    <t>DI20651</t>
  </si>
  <si>
    <t>Tory</t>
  </si>
  <si>
    <t>tyamaguchi@pacific.edu</t>
  </si>
  <si>
    <t>209-946-2700 209-946-2700</t>
  </si>
  <si>
    <t>Ohlone</t>
  </si>
  <si>
    <t>DIII17260</t>
  </si>
  <si>
    <t>Fremont</t>
  </si>
  <si>
    <t>Mojica</t>
  </si>
  <si>
    <t>mmojica@umhb.edu</t>
  </si>
  <si>
    <t>254-295-5564 254-295-5564</t>
  </si>
  <si>
    <t>$20,402/$25,634</t>
  </si>
  <si>
    <t>J2478</t>
  </si>
  <si>
    <t>Orange Coast College</t>
  </si>
  <si>
    <t>DI20652</t>
  </si>
  <si>
    <t>Kiaha</t>
  </si>
  <si>
    <t>DIII17261</t>
  </si>
  <si>
    <t>jlegaspi4@cccd.edu</t>
  </si>
  <si>
    <t>(714) 432-5625</t>
  </si>
  <si>
    <t>Volunteer AC Leah has been removed</t>
  </si>
  <si>
    <t>hdecker@pacific.edu</t>
  </si>
  <si>
    <t>209-946-2024 209-946-2024</t>
  </si>
  <si>
    <t>Orange Coast</t>
  </si>
  <si>
    <t>Costa Mesa</t>
  </si>
  <si>
    <t>$19,625/$25,169</t>
  </si>
  <si>
    <t>DIII21383</t>
  </si>
  <si>
    <t>Vann</t>
  </si>
  <si>
    <t>DI20653</t>
  </si>
  <si>
    <t>mmoreno2@pacific.edu</t>
  </si>
  <si>
    <t>J2479</t>
  </si>
  <si>
    <t>DIII17290</t>
  </si>
  <si>
    <t>McMurry University</t>
  </si>
  <si>
    <t>McNally</t>
  </si>
  <si>
    <t>DI20795</t>
  </si>
  <si>
    <t>mcnally.david@mcm.edu</t>
  </si>
  <si>
    <t>University of San Diego</t>
  </si>
  <si>
    <t>(325) 793-4652 (325) 793-4652</t>
  </si>
  <si>
    <t>Pistole</t>
  </si>
  <si>
    <t>jpistole@sandiego.edu</t>
  </si>
  <si>
    <t>619-260-4281</t>
  </si>
  <si>
    <t>J2496</t>
  </si>
  <si>
    <t>Oxnard College</t>
  </si>
  <si>
    <t>Lawley</t>
  </si>
  <si>
    <t>McMurry (TX)</t>
  </si>
  <si>
    <t>elawley@vcccd.edu</t>
  </si>
  <si>
    <t>805-678-5274</t>
  </si>
  <si>
    <t>Oxnard</t>
  </si>
  <si>
    <t>DIII17291</t>
  </si>
  <si>
    <t>DI20796</t>
  </si>
  <si>
    <t>cbricker@sandiego.edu</t>
  </si>
  <si>
    <t>J2524</t>
  </si>
  <si>
    <t>Palomar College</t>
  </si>
  <si>
    <t>Craft</t>
  </si>
  <si>
    <t>lcraft@palomar.edu</t>
  </si>
  <si>
    <t>(760) 744-1150 x3941</t>
  </si>
  <si>
    <t>DIII17292</t>
  </si>
  <si>
    <t>Slavin</t>
  </si>
  <si>
    <t>slavin.sean@mcm.edu</t>
  </si>
  <si>
    <t>(325) 793-4653 (325) 793-4653</t>
  </si>
  <si>
    <t>Palomar</t>
  </si>
  <si>
    <t>18.596/$24,336</t>
  </si>
  <si>
    <t>DI20797</t>
  </si>
  <si>
    <t>MJ</t>
  </si>
  <si>
    <t>Knighten</t>
  </si>
  <si>
    <t>mknighten@sandiego.edu</t>
  </si>
  <si>
    <t>DIII17322</t>
  </si>
  <si>
    <t>Schreiner University</t>
  </si>
  <si>
    <t>J2525</t>
  </si>
  <si>
    <t>alynn@schreiner.edu</t>
  </si>
  <si>
    <t>(830) 792-7273</t>
  </si>
  <si>
    <t>Eldridge</t>
  </si>
  <si>
    <t>meldridge@palomar.edu</t>
  </si>
  <si>
    <t>(760) 744-1150 x2469</t>
  </si>
  <si>
    <t>DI21493</t>
  </si>
  <si>
    <t>Schisler</t>
  </si>
  <si>
    <t>aschisler@sandiego.edu</t>
  </si>
  <si>
    <t>260-4281 260-4281</t>
  </si>
  <si>
    <t>J2526</t>
  </si>
  <si>
    <t>Valdez</t>
  </si>
  <si>
    <t>Schreiner</t>
  </si>
  <si>
    <t>Kerrville</t>
  </si>
  <si>
    <t>DI20890</t>
  </si>
  <si>
    <t>Santa Clara University</t>
  </si>
  <si>
    <t>Carbonatto</t>
  </si>
  <si>
    <t>gcarbonatto@scu.edu</t>
  </si>
  <si>
    <t>408-554-5393</t>
  </si>
  <si>
    <t>J2528</t>
  </si>
  <si>
    <t>Kali</t>
  </si>
  <si>
    <t>DIII17323</t>
  </si>
  <si>
    <t>Przeslawski</t>
  </si>
  <si>
    <t>mprzeslawski@schreiner.edu</t>
  </si>
  <si>
    <t>(830) 792-7370</t>
  </si>
  <si>
    <t>J11126</t>
  </si>
  <si>
    <t>Pasadena City College</t>
  </si>
  <si>
    <t>Alise</t>
  </si>
  <si>
    <t>DIII17357</t>
  </si>
  <si>
    <t>Southwestern University</t>
  </si>
  <si>
    <t>Emerald</t>
  </si>
  <si>
    <t>Doria</t>
  </si>
  <si>
    <t>DI20891</t>
  </si>
  <si>
    <t>doriae@southwestern.edu</t>
  </si>
  <si>
    <t>512-863-1408</t>
  </si>
  <si>
    <t>Pasadena City</t>
  </si>
  <si>
    <t>jdeering@scu.edu</t>
  </si>
  <si>
    <t>408-554-5063</t>
  </si>
  <si>
    <t>Pasadena</t>
  </si>
  <si>
    <t>$19,789/$24,773</t>
  </si>
  <si>
    <t>Southwestern (TX)</t>
  </si>
  <si>
    <t>Georgetown</t>
  </si>
  <si>
    <t>DI20892</t>
  </si>
  <si>
    <t>J11127</t>
  </si>
  <si>
    <t>Medrano</t>
  </si>
  <si>
    <t>DIII17358</t>
  </si>
  <si>
    <t>Tennis</t>
  </si>
  <si>
    <t>tennisk@southwestern.edu</t>
  </si>
  <si>
    <t>512-863-1784</t>
  </si>
  <si>
    <t>DI20934</t>
  </si>
  <si>
    <t>Saint Mary's College of California</t>
  </si>
  <si>
    <t>Sonja</t>
  </si>
  <si>
    <t>Garnett</t>
  </si>
  <si>
    <t>smg25@stmarys-ca.edu</t>
  </si>
  <si>
    <t>925-631-8184</t>
  </si>
  <si>
    <t>DIII17359</t>
  </si>
  <si>
    <t>Longoria</t>
  </si>
  <si>
    <t>J2572</t>
  </si>
  <si>
    <t>St. Mary's (CA)</t>
  </si>
  <si>
    <t>Tantlinger</t>
  </si>
  <si>
    <t>Moraga</t>
  </si>
  <si>
    <t>mtantlinger@pasadena.edu</t>
  </si>
  <si>
    <t>626-585-7058</t>
  </si>
  <si>
    <t>J2573</t>
  </si>
  <si>
    <t>DI20935</t>
  </si>
  <si>
    <t>DIII20824</t>
  </si>
  <si>
    <t>Max</t>
  </si>
  <si>
    <t>Gordy</t>
  </si>
  <si>
    <t>Kettler</t>
  </si>
  <si>
    <t>Bravo</t>
  </si>
  <si>
    <t>mab48@stmarys-ca.edu</t>
  </si>
  <si>
    <t>J2574</t>
  </si>
  <si>
    <t>DIII17408</t>
  </si>
  <si>
    <t>Sul Ross State University</t>
  </si>
  <si>
    <t>DI20936</t>
  </si>
  <si>
    <t>Canaba</t>
  </si>
  <si>
    <t>raymond.canaba@sulross.edu</t>
  </si>
  <si>
    <t>(432) 837-8446 (432) 837-8446</t>
  </si>
  <si>
    <t>tb1@stmarys-ca.edu</t>
  </si>
  <si>
    <t>J2575</t>
  </si>
  <si>
    <t>Sul Ross State</t>
  </si>
  <si>
    <t>Alpine</t>
  </si>
  <si>
    <t>Zabala</t>
  </si>
  <si>
    <t>360-469</t>
  </si>
  <si>
    <t>DI20937</t>
  </si>
  <si>
    <t>$19,815/$29,607</t>
  </si>
  <si>
    <t>Montanez</t>
  </si>
  <si>
    <t>elm8@stmarys-ca.edu</t>
  </si>
  <si>
    <t>925-631-5090</t>
  </si>
  <si>
    <t>DIII17409</t>
  </si>
  <si>
    <t>J2576</t>
  </si>
  <si>
    <t>McCallister</t>
  </si>
  <si>
    <t>sydney.mccallister@sulross.edu</t>
  </si>
  <si>
    <t>DI22466</t>
  </si>
  <si>
    <t>Jelly</t>
  </si>
  <si>
    <t>Selden</t>
  </si>
  <si>
    <t>DIII17439</t>
  </si>
  <si>
    <t>Texas Lutheran University</t>
  </si>
  <si>
    <t>rwilson@tlu.edu</t>
  </si>
  <si>
    <t>J2607</t>
  </si>
  <si>
    <t>830-372-8129</t>
  </si>
  <si>
    <t>Porterville College</t>
  </si>
  <si>
    <t>Vickie</t>
  </si>
  <si>
    <t>Dugan</t>
  </si>
  <si>
    <t>vdugan@portervillecollege.edu</t>
  </si>
  <si>
    <t>(559) 791-2291</t>
  </si>
  <si>
    <t>Porterville</t>
  </si>
  <si>
    <t>Texas Lutheran</t>
  </si>
  <si>
    <t>Seguin</t>
  </si>
  <si>
    <t>$19,763/$25,671</t>
  </si>
  <si>
    <t>J2608</t>
  </si>
  <si>
    <t>DIII17440</t>
  </si>
  <si>
    <t>Van Hook</t>
  </si>
  <si>
    <t>ovanhook@tlu.edu</t>
  </si>
  <si>
    <t>830-372-6414</t>
  </si>
  <si>
    <t>Gracie</t>
  </si>
  <si>
    <t>Steidley</t>
  </si>
  <si>
    <t>DIII17441</t>
  </si>
  <si>
    <t>Zarzabal</t>
  </si>
  <si>
    <t>J2609</t>
  </si>
  <si>
    <t>DIII21389</t>
  </si>
  <si>
    <t>Fuqua</t>
  </si>
  <si>
    <t>J2610</t>
  </si>
  <si>
    <t>genovesemichael@hotmail.com</t>
  </si>
  <si>
    <t>c: (559) 306-9207</t>
  </si>
  <si>
    <t>DIII21390</t>
  </si>
  <si>
    <t>Janda</t>
  </si>
  <si>
    <t>J2626</t>
  </si>
  <si>
    <t>College of the Redwoods</t>
  </si>
  <si>
    <t>DIII17475</t>
  </si>
  <si>
    <t>University of Texas at Dallas</t>
  </si>
  <si>
    <t>Kling</t>
  </si>
  <si>
    <t>maggie-white@redwoods.edu</t>
  </si>
  <si>
    <t>707-476-4246</t>
  </si>
  <si>
    <t>james.kling@utdallas.edu</t>
  </si>
  <si>
    <t>972-883-2394 972-883-2394</t>
  </si>
  <si>
    <t>Redwoods</t>
  </si>
  <si>
    <t>$13,280/$18,368</t>
  </si>
  <si>
    <t>Texas-Dallas</t>
  </si>
  <si>
    <t>J2627</t>
  </si>
  <si>
    <t>$26,580/$44,196</t>
  </si>
  <si>
    <t>Valente</t>
  </si>
  <si>
    <t>megan-valente@redwoods.edu</t>
  </si>
  <si>
    <t>DIII17476</t>
  </si>
  <si>
    <t>J2658</t>
  </si>
  <si>
    <t>sarah.morales@utdallas.edu</t>
  </si>
  <si>
    <t>972-883-4068 972-883-4068</t>
  </si>
  <si>
    <t>Reedley College</t>
  </si>
  <si>
    <t>Kuball</t>
  </si>
  <si>
    <t>NAIA</t>
  </si>
  <si>
    <t>kathy.kuball@reedleycollege.edu</t>
  </si>
  <si>
    <t>559-638-0387</t>
  </si>
  <si>
    <t>Reedley</t>
  </si>
  <si>
    <t>DIII17477</t>
  </si>
  <si>
    <t>$11,876/$17,516</t>
  </si>
  <si>
    <t>DIII17512</t>
  </si>
  <si>
    <t>University of Texas - Tyler</t>
  </si>
  <si>
    <t>J2659</t>
  </si>
  <si>
    <t>Saldate</t>
  </si>
  <si>
    <t>mreed@uttyler.edu</t>
  </si>
  <si>
    <t>(903) 565-5661 (903) 565-5661</t>
  </si>
  <si>
    <t>J2660</t>
  </si>
  <si>
    <t>Ventura</t>
  </si>
  <si>
    <t>Espitia</t>
  </si>
  <si>
    <t>Texas-Tyler</t>
  </si>
  <si>
    <t>$21,676/$34,156</t>
  </si>
  <si>
    <t>J2661</t>
  </si>
  <si>
    <t>DIII17513</t>
  </si>
  <si>
    <t>Wyly</t>
  </si>
  <si>
    <t>wwyly@uttyler.edu</t>
  </si>
  <si>
    <t>(903) 565-5820 (903) 565-5820</t>
  </si>
  <si>
    <t>DIII17514</t>
  </si>
  <si>
    <t>Springer</t>
  </si>
  <si>
    <t>J2662</t>
  </si>
  <si>
    <t>Jeananne</t>
  </si>
  <si>
    <t>Ruck</t>
  </si>
  <si>
    <t>DIII17552</t>
  </si>
  <si>
    <t>Trinity University - Texas</t>
  </si>
  <si>
    <t>amarti20@trinity.edu</t>
  </si>
  <si>
    <t>210-999-8028</t>
  </si>
  <si>
    <t>J2663</t>
  </si>
  <si>
    <t>Trinity (TX)</t>
  </si>
  <si>
    <t>J11138</t>
  </si>
  <si>
    <t>Rio Hondo College</t>
  </si>
  <si>
    <t>DIII17553</t>
  </si>
  <si>
    <t>Hennessey</t>
  </si>
  <si>
    <t>nhenness@trinity.edu</t>
  </si>
  <si>
    <t>210-999-8023</t>
  </si>
  <si>
    <t>DIII17599</t>
  </si>
  <si>
    <t>Castleton University</t>
  </si>
  <si>
    <t>Ramey</t>
  </si>
  <si>
    <t>eric.ramey@castleton.edu</t>
  </si>
  <si>
    <t>802-468-6408</t>
  </si>
  <si>
    <t>Rio Hondo</t>
  </si>
  <si>
    <t>$19,760/$25,360</t>
  </si>
  <si>
    <t>Castleton</t>
  </si>
  <si>
    <t>430-528</t>
  </si>
  <si>
    <t>$23,706/$39,114</t>
  </si>
  <si>
    <t>J2688</t>
  </si>
  <si>
    <t>Urquidi</t>
  </si>
  <si>
    <t>DIII17600</t>
  </si>
  <si>
    <t>Lambert</t>
  </si>
  <si>
    <t>burquidi@riohondo.edu</t>
  </si>
  <si>
    <t>(562) 463-7439</t>
  </si>
  <si>
    <t>DIII17601</t>
  </si>
  <si>
    <t>Olney</t>
  </si>
  <si>
    <t>J2689</t>
  </si>
  <si>
    <t>Ernest</t>
  </si>
  <si>
    <t>Monroy</t>
  </si>
  <si>
    <t>coachernest626@yahoo.com</t>
  </si>
  <si>
    <t>n7</t>
  </si>
  <si>
    <t>DIII17602</t>
  </si>
  <si>
    <t>Timi</t>
  </si>
  <si>
    <t>Carone</t>
  </si>
  <si>
    <t>Faulkner University</t>
  </si>
  <si>
    <t>Hal</t>
  </si>
  <si>
    <t>hwynn@faulkner.edu</t>
  </si>
  <si>
    <t>334-386-7285</t>
  </si>
  <si>
    <t>DIII17603</t>
  </si>
  <si>
    <t>J2690</t>
  </si>
  <si>
    <t>Couch</t>
  </si>
  <si>
    <t>savannah.couch@castleton.edu</t>
  </si>
  <si>
    <t>AC Stacee has been removed.</t>
  </si>
  <si>
    <t>Faulkner (AL)</t>
  </si>
  <si>
    <t>DIII17604</t>
  </si>
  <si>
    <t>J2738</t>
  </si>
  <si>
    <t>Riverside City College</t>
  </si>
  <si>
    <t>Daddona</t>
  </si>
  <si>
    <t>michelle.daddona@rcc.edu</t>
  </si>
  <si>
    <t>(951) 222-8367</t>
  </si>
  <si>
    <t>DIII17720</t>
  </si>
  <si>
    <t>Northern Vermont University - Lyndon</t>
  </si>
  <si>
    <t>University of Mobile</t>
  </si>
  <si>
    <t>Kevin.Valentine@NorthernVermont.edu</t>
  </si>
  <si>
    <t>(802) 751-9087</t>
  </si>
  <si>
    <t>Riverside City</t>
  </si>
  <si>
    <t>alisonsellerscook@gmail.com</t>
  </si>
  <si>
    <t>251-442-2932</t>
  </si>
  <si>
    <t>$23,036/$29,366</t>
  </si>
  <si>
    <t>Northern Vermont-Lyndon</t>
  </si>
  <si>
    <t>Lyndonville</t>
  </si>
  <si>
    <t>Prichard</t>
  </si>
  <si>
    <t>$23,878/$35,566</t>
  </si>
  <si>
    <t>Lyndon State</t>
  </si>
  <si>
    <t>420-580</t>
  </si>
  <si>
    <t>DIII17641</t>
  </si>
  <si>
    <t>Middlebury College</t>
  </si>
  <si>
    <t>Bevere</t>
  </si>
  <si>
    <t>kbevere@middlebury.edu</t>
  </si>
  <si>
    <t>802.443.5386</t>
  </si>
  <si>
    <t>J11415</t>
  </si>
  <si>
    <t>Middlebury (VT)</t>
  </si>
  <si>
    <t>Weintraub</t>
  </si>
  <si>
    <t>Middlebury</t>
  </si>
  <si>
    <t>Burchell</t>
  </si>
  <si>
    <t>mburchell@umobile.edu</t>
  </si>
  <si>
    <t>650-755</t>
  </si>
  <si>
    <t>J11416</t>
  </si>
  <si>
    <t>DIII17642</t>
  </si>
  <si>
    <t>Audriana</t>
  </si>
  <si>
    <t>Gutierrez</t>
  </si>
  <si>
    <t>Mandigo</t>
  </si>
  <si>
    <t>802.443.5266</t>
  </si>
  <si>
    <t>n40</t>
  </si>
  <si>
    <t>Stillman College</t>
  </si>
  <si>
    <t>Penfield</t>
  </si>
  <si>
    <t>jpenfield@stillman.edu</t>
  </si>
  <si>
    <t>205-247-8041</t>
  </si>
  <si>
    <t>DIII17643</t>
  </si>
  <si>
    <t>Lilah</t>
  </si>
  <si>
    <t>Desabrais</t>
  </si>
  <si>
    <t>J11417</t>
  </si>
  <si>
    <t>Felicia</t>
  </si>
  <si>
    <t>Stillman</t>
  </si>
  <si>
    <t>350-460</t>
  </si>
  <si>
    <t>390-450</t>
  </si>
  <si>
    <t>DIII20826</t>
  </si>
  <si>
    <t>Liza</t>
  </si>
  <si>
    <t>J11418</t>
  </si>
  <si>
    <t>etarr@middlebury.edu</t>
  </si>
  <si>
    <t>Kammert</t>
  </si>
  <si>
    <t>n41</t>
  </si>
  <si>
    <t>Ingram</t>
  </si>
  <si>
    <t>Northern Vermont University - Johnson</t>
  </si>
  <si>
    <t>J2797</t>
  </si>
  <si>
    <t>Stacey.Fox@northernvermont.edu</t>
  </si>
  <si>
    <t>Sacramento City College</t>
  </si>
  <si>
    <t>607.644.4197</t>
  </si>
  <si>
    <t>Kiernan</t>
  </si>
  <si>
    <t>kiernat@scc.losrios.edu</t>
  </si>
  <si>
    <t>(916) 558-2494</t>
  </si>
  <si>
    <t>Talladega College</t>
  </si>
  <si>
    <t>Jannie</t>
  </si>
  <si>
    <t>janniekth@yahoo.com</t>
  </si>
  <si>
    <t>256-493-4467</t>
  </si>
  <si>
    <t>Northern Vermont-Johnson</t>
  </si>
  <si>
    <t>Sacramento City</t>
  </si>
  <si>
    <t>403-548</t>
  </si>
  <si>
    <t>$24,028/$36,484</t>
  </si>
  <si>
    <t>Talladega</t>
  </si>
  <si>
    <t>J2798</t>
  </si>
  <si>
    <t>DIII17752</t>
  </si>
  <si>
    <t>Norwich University</t>
  </si>
  <si>
    <t>cbilling@norwich.edu</t>
  </si>
  <si>
    <t>802-485-2636</t>
  </si>
  <si>
    <t>Arizona Christian University</t>
  </si>
  <si>
    <t>Welsh</t>
  </si>
  <si>
    <t>anna.welsh@arizonachristian.edu</t>
  </si>
  <si>
    <t>(602) 489-5300, x5505</t>
  </si>
  <si>
    <t>J2799</t>
  </si>
  <si>
    <t>Juile</t>
  </si>
  <si>
    <t>Pederson</t>
  </si>
  <si>
    <t>AC (PC, C)</t>
  </si>
  <si>
    <t>Norwich (VT)</t>
  </si>
  <si>
    <t>J2800</t>
  </si>
  <si>
    <t>Arizona Christian</t>
  </si>
  <si>
    <t>Spatafore</t>
  </si>
  <si>
    <t>DIII17790</t>
  </si>
  <si>
    <t>Averett University</t>
  </si>
  <si>
    <t>Alcorn</t>
  </si>
  <si>
    <t>410-538</t>
  </si>
  <si>
    <t>salcorn@averett.edu</t>
  </si>
  <si>
    <t>434-791-7205 434-791-7205</t>
  </si>
  <si>
    <t>J2801</t>
  </si>
  <si>
    <t>Winton</t>
  </si>
  <si>
    <t>Averett (VA)</t>
  </si>
  <si>
    <t>Pietrzak</t>
  </si>
  <si>
    <t>brandee.pietrzak@arizonachristian.edu</t>
  </si>
  <si>
    <t>DIII17791</t>
  </si>
  <si>
    <t>J2802</t>
  </si>
  <si>
    <t>ausoftball@averett.edu</t>
  </si>
  <si>
    <t>AC Melissa has been removed.</t>
  </si>
  <si>
    <t>jeff.welsh@arizonachristian.edu</t>
  </si>
  <si>
    <t>DIII17826</t>
  </si>
  <si>
    <t>J2803</t>
  </si>
  <si>
    <t>Bridgewater College</t>
  </si>
  <si>
    <t>Billy</t>
  </si>
  <si>
    <t>Pleskovic</t>
  </si>
  <si>
    <t>Atkins</t>
  </si>
  <si>
    <t>AC (OF)/Rec Coor</t>
  </si>
  <si>
    <t>mpleskovic@bridgewater.edu</t>
  </si>
  <si>
    <t>540-828-5390</t>
  </si>
  <si>
    <t>Norm</t>
  </si>
  <si>
    <t>J2804</t>
  </si>
  <si>
    <t>Shari</t>
  </si>
  <si>
    <t>Trejo</t>
  </si>
  <si>
    <t>Bridgewater (VA)</t>
  </si>
  <si>
    <t>J2851</t>
  </si>
  <si>
    <t>Saddleback College</t>
  </si>
  <si>
    <t>Trani</t>
  </si>
  <si>
    <t>jimmy.gutierrez@arizonachristian.edu</t>
  </si>
  <si>
    <t>ntrani@saddleback.edu</t>
  </si>
  <si>
    <t>(949) 582-4485</t>
  </si>
  <si>
    <t>DIII17827</t>
  </si>
  <si>
    <t>Smiley</t>
  </si>
  <si>
    <t>hsmiley@bridgewater.edu</t>
  </si>
  <si>
    <t>Saddleback</t>
  </si>
  <si>
    <t>Mission Viejo</t>
  </si>
  <si>
    <t>$21,758/$28,198</t>
  </si>
  <si>
    <t>Vidal</t>
  </si>
  <si>
    <t>DIII17828</t>
  </si>
  <si>
    <t>Humphrey</t>
  </si>
  <si>
    <t>J2852</t>
  </si>
  <si>
    <t>DIII17829</t>
  </si>
  <si>
    <t>Volunteer AC Tyler has been removed.</t>
  </si>
  <si>
    <t>n132</t>
  </si>
  <si>
    <t>Benedictine University - Mesa</t>
  </si>
  <si>
    <t>Suzannah</t>
  </si>
  <si>
    <t>Toresdahl</t>
  </si>
  <si>
    <t>storesdahl@ben.edu</t>
  </si>
  <si>
    <t>(480) 717-2016</t>
  </si>
  <si>
    <t>J2897</t>
  </si>
  <si>
    <t>San Bernardino Valley College</t>
  </si>
  <si>
    <t>big1seven@yahoo.com</t>
  </si>
  <si>
    <t>909.240.8748</t>
  </si>
  <si>
    <t>DIII17890</t>
  </si>
  <si>
    <t>Christopher Newport University</t>
  </si>
  <si>
    <t>San Bernardino Valley</t>
  </si>
  <si>
    <t>keith.parr@cnu.edu</t>
  </si>
  <si>
    <t>757-594-7352 757-594-7352</t>
  </si>
  <si>
    <t>Benedictine (AZ)</t>
  </si>
  <si>
    <t>21 minimum</t>
  </si>
  <si>
    <t>Christopher Newport</t>
  </si>
  <si>
    <t>Newport News</t>
  </si>
  <si>
    <t>$28,756/$40,382</t>
  </si>
  <si>
    <t>J2898</t>
  </si>
  <si>
    <t>n133</t>
  </si>
  <si>
    <t>Victor</t>
  </si>
  <si>
    <t>Soto</t>
  </si>
  <si>
    <t>DIII17891</t>
  </si>
  <si>
    <t>Freeman</t>
  </si>
  <si>
    <t>joshua.freeman@cnu.edu</t>
  </si>
  <si>
    <t>757-594-7217 757-594-7217</t>
  </si>
  <si>
    <t>J2899</t>
  </si>
  <si>
    <t>AC Joseph has been removed.</t>
  </si>
  <si>
    <t>DIII17892</t>
  </si>
  <si>
    <t>Embry-Riddle Aeronautical University (Arizona Campus)</t>
  </si>
  <si>
    <t>Ambrosi</t>
  </si>
  <si>
    <t>Vick</t>
  </si>
  <si>
    <t>ambrosic@erau.edu</t>
  </si>
  <si>
    <t>928-777-3737</t>
  </si>
  <si>
    <t>Embry-Riddle Aeronautical (AZ)</t>
  </si>
  <si>
    <t>DIII17893</t>
  </si>
  <si>
    <t>DIII17944</t>
  </si>
  <si>
    <t>Eastern Mennonite University</t>
  </si>
  <si>
    <t>n6811</t>
  </si>
  <si>
    <t>J.D.</t>
  </si>
  <si>
    <t>McCurdy</t>
  </si>
  <si>
    <t>jd.mccurdy@emu.edu</t>
  </si>
  <si>
    <t>540.432.4481</t>
  </si>
  <si>
    <t>Ottawa University-Surprise</t>
  </si>
  <si>
    <t>Madysen</t>
  </si>
  <si>
    <t>Cossack</t>
  </si>
  <si>
    <t>madysen.cossack@ottawa.edu</t>
  </si>
  <si>
    <t>(623) 233-7628 (623) 233-7628</t>
  </si>
  <si>
    <t>J2900</t>
  </si>
  <si>
    <t>Villalobos</t>
  </si>
  <si>
    <t>Eastern Mennonite</t>
  </si>
  <si>
    <t>Harrisonburg</t>
  </si>
  <si>
    <t>Ottawa (AZ)</t>
  </si>
  <si>
    <t>Surprise</t>
  </si>
  <si>
    <t>20-28</t>
  </si>
  <si>
    <t>460-510</t>
  </si>
  <si>
    <t>480-530</t>
  </si>
  <si>
    <t>San Diego City College</t>
  </si>
  <si>
    <t>DIII17945</t>
  </si>
  <si>
    <t>LeeAnn</t>
  </si>
  <si>
    <t>ltaylor@sdccd.edu</t>
  </si>
  <si>
    <t>619-388-3890</t>
  </si>
  <si>
    <t>morgan.smith@emu.edu</t>
  </si>
  <si>
    <t>San Diego City</t>
  </si>
  <si>
    <t>DIII20831</t>
  </si>
  <si>
    <t>Eddie</t>
  </si>
  <si>
    <t>McKee</t>
  </si>
  <si>
    <t>$19,583/$24,235</t>
  </si>
  <si>
    <t>n7009</t>
  </si>
  <si>
    <t>DIII17985</t>
  </si>
  <si>
    <t>Emory &amp; Henry College</t>
  </si>
  <si>
    <t>J2951</t>
  </si>
  <si>
    <t>Forrester</t>
  </si>
  <si>
    <t>San Diego Mesa College</t>
  </si>
  <si>
    <t>tforrester@ehc.edu</t>
  </si>
  <si>
    <t>Tunnell</t>
  </si>
  <si>
    <t>Guidi</t>
  </si>
  <si>
    <t>276-944-6326</t>
  </si>
  <si>
    <t>alison.tunnell@ottawa.edu</t>
  </si>
  <si>
    <t>jguidi@sdccd.edu</t>
  </si>
  <si>
    <t>(619) 388-5807</t>
  </si>
  <si>
    <t>San Diego Mesa</t>
  </si>
  <si>
    <t>n7022</t>
  </si>
  <si>
    <t>Emory &amp; Henry (VA)</t>
  </si>
  <si>
    <t>Emory</t>
  </si>
  <si>
    <t>Wichman</t>
  </si>
  <si>
    <t>justine.wichman@ottawa.edu</t>
  </si>
  <si>
    <t>$19,583/$24,335</t>
  </si>
  <si>
    <t>J2952</t>
  </si>
  <si>
    <t>DIII17986</t>
  </si>
  <si>
    <t>Jenae</t>
  </si>
  <si>
    <t>jmorrissey@ehc.edu</t>
  </si>
  <si>
    <t>276-944-6885</t>
  </si>
  <si>
    <t>nsmith001@sdccd.edu</t>
  </si>
  <si>
    <t>Park University Gilbert</t>
  </si>
  <si>
    <t>Karin</t>
  </si>
  <si>
    <t>Gadberry</t>
  </si>
  <si>
    <t>karin.gadberry@park.edu</t>
  </si>
  <si>
    <t>480-923-0018</t>
  </si>
  <si>
    <t>J2953</t>
  </si>
  <si>
    <t>DIII18027</t>
  </si>
  <si>
    <t>Ferrum College</t>
  </si>
  <si>
    <t>Park (AZ)</t>
  </si>
  <si>
    <t>Gerald</t>
  </si>
  <si>
    <t>Enomoto</t>
  </si>
  <si>
    <t>Culler</t>
  </si>
  <si>
    <t>jenomoto@sdccd.edu</t>
  </si>
  <si>
    <t>gculler@ferrum.edu</t>
  </si>
  <si>
    <t>(540) 365-4489</t>
  </si>
  <si>
    <t>Ferrum</t>
  </si>
  <si>
    <t>Jared</t>
  </si>
  <si>
    <t>Sotelo</t>
  </si>
  <si>
    <t>Buccaneersoftball@park.edu</t>
  </si>
  <si>
    <t>J2954</t>
  </si>
  <si>
    <t>Dall</t>
  </si>
  <si>
    <t>DIII18028</t>
  </si>
  <si>
    <t>ndall@sdccd.com</t>
  </si>
  <si>
    <t>mewhite@ferrum.edu</t>
  </si>
  <si>
    <t>Sotelo Senior</t>
  </si>
  <si>
    <t>Rec Asst</t>
  </si>
  <si>
    <t>DIII18029</t>
  </si>
  <si>
    <t>J2955</t>
  </si>
  <si>
    <t>Phillip</t>
  </si>
  <si>
    <t>Steagall</t>
  </si>
  <si>
    <t>Anik</t>
  </si>
  <si>
    <t>Ribera</t>
  </si>
  <si>
    <t>n170</t>
  </si>
  <si>
    <t>Central Baptist College</t>
  </si>
  <si>
    <t>Jordon</t>
  </si>
  <si>
    <t>jordon.jones@cbc.edu</t>
  </si>
  <si>
    <t>501-205-8932</t>
  </si>
  <si>
    <t>DIII18030</t>
  </si>
  <si>
    <t>Central Baptist</t>
  </si>
  <si>
    <t>J3022</t>
  </si>
  <si>
    <t>San Joaquin Delta College</t>
  </si>
  <si>
    <t>405-470</t>
  </si>
  <si>
    <t>jimfisher@deltacollege.edu</t>
  </si>
  <si>
    <t>290-954-5176</t>
  </si>
  <si>
    <t>DIII18102</t>
  </si>
  <si>
    <t>University of Lynchburg</t>
  </si>
  <si>
    <t>simmons@lynchburg.edu</t>
  </si>
  <si>
    <t>434-544-8493</t>
  </si>
  <si>
    <t>San Joaquin Delta</t>
  </si>
  <si>
    <t>n171</t>
  </si>
  <si>
    <t>$19,548/$24,612</t>
  </si>
  <si>
    <t>House</t>
  </si>
  <si>
    <t>J3023</t>
  </si>
  <si>
    <t>Cobb</t>
  </si>
  <si>
    <t>bcobb@deltacollege.edu</t>
  </si>
  <si>
    <t>n172</t>
  </si>
  <si>
    <t>Longenecker</t>
  </si>
  <si>
    <t>aaron.longenecker.cbcsoftball@gmail.com</t>
  </si>
  <si>
    <t>913-515-5736</t>
  </si>
  <si>
    <t>J3024</t>
  </si>
  <si>
    <t>emonroe@deltacollege.edu</t>
  </si>
  <si>
    <t>n190</t>
  </si>
  <si>
    <t>Crowley's Ridge College</t>
  </si>
  <si>
    <t>jmalone@crc.edu</t>
  </si>
  <si>
    <t>870-236-6901, x134</t>
  </si>
  <si>
    <t>DIII18103</t>
  </si>
  <si>
    <t>Jennings.G@lynchburg.edu</t>
  </si>
  <si>
    <t>J3057</t>
  </si>
  <si>
    <t>San Jose City College</t>
  </si>
  <si>
    <t>​Debbie</t>
  </si>
  <si>
    <t>Huntze-Rooney</t>
  </si>
  <si>
    <t>Crowley's Ridge</t>
  </si>
  <si>
    <t>​Deborah.Huntze@sjcc.edu</t>
  </si>
  <si>
    <t>​408-288-3731</t>
  </si>
  <si>
    <t>Paragould</t>
  </si>
  <si>
    <t>San Jose CC</t>
  </si>
  <si>
    <t>$19,982/$25,554</t>
  </si>
  <si>
    <t>DIII18104</t>
  </si>
  <si>
    <t>Audra</t>
  </si>
  <si>
    <t>Della Rosa Bianco</t>
  </si>
  <si>
    <t>dellarosa@lynchburg.edu</t>
  </si>
  <si>
    <t>n224</t>
  </si>
  <si>
    <t>Lyon College</t>
  </si>
  <si>
    <t>Mattia</t>
  </si>
  <si>
    <t>jessica.mattia@lyon.edu</t>
  </si>
  <si>
    <t>870-307-7567</t>
  </si>
  <si>
    <t>J11422</t>
  </si>
  <si>
    <t>Terrell</t>
  </si>
  <si>
    <t>Lyon (AR)</t>
  </si>
  <si>
    <t>Batesville</t>
  </si>
  <si>
    <t>DIII18105</t>
  </si>
  <si>
    <t>455-540</t>
  </si>
  <si>
    <t>MacKenzie</t>
  </si>
  <si>
    <t>Mount</t>
  </si>
  <si>
    <t>mount_m@lynchburg.edu</t>
  </si>
  <si>
    <t>J11423</t>
  </si>
  <si>
    <t>Caldera</t>
  </si>
  <si>
    <t>n225</t>
  </si>
  <si>
    <t>taylor.kuhn@lyon.edu</t>
  </si>
  <si>
    <t>J11424</t>
  </si>
  <si>
    <t>DIII18106</t>
  </si>
  <si>
    <t>Chitwood</t>
  </si>
  <si>
    <t>chitwood_m@lynchburg.edu</t>
  </si>
  <si>
    <t>n260</t>
  </si>
  <si>
    <t>J3067</t>
  </si>
  <si>
    <t>Williams Baptist University</t>
  </si>
  <si>
    <t>Nutt</t>
  </si>
  <si>
    <t>College of San Mateo</t>
  </si>
  <si>
    <t>jnutt@williamsbu.edu</t>
  </si>
  <si>
    <t>Borg</t>
  </si>
  <si>
    <t>870-759-4222</t>
  </si>
  <si>
    <t>borgn@smccd.edu</t>
  </si>
  <si>
    <t>(650) 574-6464</t>
  </si>
  <si>
    <t>San Mateo</t>
  </si>
  <si>
    <t>Williams Baptist</t>
  </si>
  <si>
    <t>Walnut Ridge</t>
  </si>
  <si>
    <t>DIII18107</t>
  </si>
  <si>
    <t>$19,841/$24,741</t>
  </si>
  <si>
    <t>J11154</t>
  </si>
  <si>
    <t>Santa Ana College</t>
  </si>
  <si>
    <t>Pixler</t>
  </si>
  <si>
    <t>n261</t>
  </si>
  <si>
    <t>Katelynn</t>
  </si>
  <si>
    <t>Christian</t>
  </si>
  <si>
    <t>kchristian@williamsbu.edu</t>
  </si>
  <si>
    <t>870-759-4224</t>
  </si>
  <si>
    <t>DIII18170</t>
  </si>
  <si>
    <t>Santa Ana</t>
  </si>
  <si>
    <t>Mary Baldwin University</t>
  </si>
  <si>
    <t>cshelton@marybaldwin.edu</t>
  </si>
  <si>
    <t>$19,616/$25,736</t>
  </si>
  <si>
    <t>540-887-7321</t>
  </si>
  <si>
    <t>n280</t>
  </si>
  <si>
    <t>University of British Columbia</t>
  </si>
  <si>
    <t>Gord</t>
  </si>
  <si>
    <t>Collings</t>
  </si>
  <si>
    <t>gord.collings@ubc.ca</t>
  </si>
  <si>
    <t>604-377-5896</t>
  </si>
  <si>
    <t>Mary Baldwin</t>
  </si>
  <si>
    <t>Staunton</t>
  </si>
  <si>
    <t>J11155</t>
  </si>
  <si>
    <t>Vancouver</t>
  </si>
  <si>
    <t>Maddison</t>
  </si>
  <si>
    <t>Reddick</t>
  </si>
  <si>
    <t>DIII18171</t>
  </si>
  <si>
    <t>Driver</t>
  </si>
  <si>
    <t>millerac6670@marybaldwin.edu</t>
  </si>
  <si>
    <t>J11156</t>
  </si>
  <si>
    <t>Hope International University</t>
  </si>
  <si>
    <t>Monahan</t>
  </si>
  <si>
    <t>hrmonahan@hiu.edu</t>
  </si>
  <si>
    <t xml:space="preserve"> (714) 879-3901, x1217</t>
  </si>
  <si>
    <t>J3094</t>
  </si>
  <si>
    <t>DIII18172</t>
  </si>
  <si>
    <t>ross_marissa@sac.edu</t>
  </si>
  <si>
    <t>714-564-6910</t>
  </si>
  <si>
    <t>Hope International</t>
  </si>
  <si>
    <t>jwhitaker@marybaldwin.edu</t>
  </si>
  <si>
    <t>J3095</t>
  </si>
  <si>
    <t>Yglesias</t>
  </si>
  <si>
    <t>Shelbi</t>
  </si>
  <si>
    <t>Graifman</t>
  </si>
  <si>
    <t>DIII18173</t>
  </si>
  <si>
    <t>Bascunan</t>
  </si>
  <si>
    <t>bascunana6695@marybaldwin.edu</t>
  </si>
  <si>
    <t>J11160</t>
  </si>
  <si>
    <t>Santa Barbara City College</t>
  </si>
  <si>
    <t>Clayte</t>
  </si>
  <si>
    <t>805-965-0581 Ext 2883</t>
  </si>
  <si>
    <t>kjmonahan@hiu.edu</t>
  </si>
  <si>
    <t>DIII18193</t>
  </si>
  <si>
    <t>Santa Barbara CC</t>
  </si>
  <si>
    <t>University of Mary Washington</t>
  </si>
  <si>
    <t>$18,004/$24,956</t>
  </si>
  <si>
    <t>J3132</t>
  </si>
  <si>
    <t>Bosio</t>
  </si>
  <si>
    <t>jnbosio@pipeline.sbcc.edu</t>
  </si>
  <si>
    <t>805-897-3483</t>
  </si>
  <si>
    <t>dconway@umw.edu</t>
  </si>
  <si>
    <t>540-654-1885</t>
  </si>
  <si>
    <t>n390</t>
  </si>
  <si>
    <t>J3133</t>
  </si>
  <si>
    <t>La Sierra University</t>
  </si>
  <si>
    <t>Jasmyne</t>
  </si>
  <si>
    <t>Ogle</t>
  </si>
  <si>
    <t>805-965-0581, x2883</t>
  </si>
  <si>
    <t>togle@lasierra.edu</t>
  </si>
  <si>
    <t>(951) 785-2607</t>
  </si>
  <si>
    <t>Mary Washington</t>
  </si>
  <si>
    <t>Fredericksburg</t>
  </si>
  <si>
    <t>$25,826/$40,416</t>
  </si>
  <si>
    <t>J3134</t>
  </si>
  <si>
    <t>Salas</t>
  </si>
  <si>
    <t>La Sierra</t>
  </si>
  <si>
    <t>y (Seventh-day Adventist)</t>
  </si>
  <si>
    <t>DIII18194</t>
  </si>
  <si>
    <t>Tasaka</t>
  </si>
  <si>
    <t>ktakasa@umw.edu</t>
  </si>
  <si>
    <t>J3180</t>
  </si>
  <si>
    <t>Santa Monica College</t>
  </si>
  <si>
    <t>Druckman</t>
  </si>
  <si>
    <t>druckman_christine@smc.edu</t>
  </si>
  <si>
    <t>n391</t>
  </si>
  <si>
    <t>Santa Monica</t>
  </si>
  <si>
    <t>Soqui</t>
  </si>
  <si>
    <t>bsoqui@lasierra.edu</t>
  </si>
  <si>
    <t>$18,616/$25,552</t>
  </si>
  <si>
    <t>DIII18195</t>
  </si>
  <si>
    <t>Keenan</t>
  </si>
  <si>
    <t>ekeen3ed@umw.edu</t>
  </si>
  <si>
    <t>n392</t>
  </si>
  <si>
    <t>J3231</t>
  </si>
  <si>
    <t>Santa Rosa Junior College</t>
  </si>
  <si>
    <t>DIII18196</t>
  </si>
  <si>
    <t>n393</t>
  </si>
  <si>
    <t>Zazueta</t>
  </si>
  <si>
    <t>Santa Rosa JC</t>
  </si>
  <si>
    <t>Santa Rosa</t>
  </si>
  <si>
    <t>$19,782/$25,830</t>
  </si>
  <si>
    <t>n415</t>
  </si>
  <si>
    <t>J3232</t>
  </si>
  <si>
    <t>Marymount California University</t>
  </si>
  <si>
    <t>Schumaker</t>
  </si>
  <si>
    <t>lcampbell@santarosa.edu</t>
  </si>
  <si>
    <t>(707) 527-4265</t>
  </si>
  <si>
    <t>DIII18289</t>
  </si>
  <si>
    <t>SSchumaker@marymountcalifornia.edu</t>
  </si>
  <si>
    <t>(310) 902-3053</t>
  </si>
  <si>
    <t>Randolph College</t>
  </si>
  <si>
    <t>Kasdyn</t>
  </si>
  <si>
    <t>Waldron</t>
  </si>
  <si>
    <t>kcooper@randolphcollege.edu</t>
  </si>
  <si>
    <t>J3233</t>
  </si>
  <si>
    <t>Kay Kay</t>
  </si>
  <si>
    <t>Fronda</t>
  </si>
  <si>
    <t>Marymount (CA)</t>
  </si>
  <si>
    <t>Rancho Palos Verdes</t>
  </si>
  <si>
    <t>Randolph (VA)</t>
  </si>
  <si>
    <t>J3234</t>
  </si>
  <si>
    <t>Ludlow</t>
  </si>
  <si>
    <t>n416</t>
  </si>
  <si>
    <t>Marschall</t>
  </si>
  <si>
    <t>BMarschall@marymountcalifornia.edu</t>
  </si>
  <si>
    <t>J3276</t>
  </si>
  <si>
    <t>Santiago Canyon College</t>
  </si>
  <si>
    <t>​Lisa</t>
  </si>
  <si>
    <t>Camarco</t>
  </si>
  <si>
    <t>camarco_lisa@sccollege.edu</t>
  </si>
  <si>
    <t>(714) 628-4992</t>
  </si>
  <si>
    <t>DIII18290</t>
  </si>
  <si>
    <t>n417</t>
  </si>
  <si>
    <t>tcampbell@randolphcollege.edu</t>
  </si>
  <si>
    <t>Milonne</t>
  </si>
  <si>
    <t>Santiago Canyon</t>
  </si>
  <si>
    <t>$19,583/$25,703</t>
  </si>
  <si>
    <t>n6810</t>
  </si>
  <si>
    <t>Johnie</t>
  </si>
  <si>
    <t>Cortez</t>
  </si>
  <si>
    <t>DIII18291</t>
  </si>
  <si>
    <t>J3277</t>
  </si>
  <si>
    <t>Kirkland</t>
  </si>
  <si>
    <t>Hiatt</t>
  </si>
  <si>
    <t>jkirkland@randolphcollege.edu</t>
  </si>
  <si>
    <t>n6923</t>
  </si>
  <si>
    <t>Karina</t>
  </si>
  <si>
    <t>J3278</t>
  </si>
  <si>
    <t>​Morgan</t>
  </si>
  <si>
    <t>McGee</t>
  </si>
  <si>
    <t>DIII18351</t>
  </si>
  <si>
    <t>Randolph-Macon College</t>
  </si>
  <si>
    <t>kproffit@rmc.edu</t>
  </si>
  <si>
    <t>804.752.3611</t>
  </si>
  <si>
    <t>Menlo College</t>
  </si>
  <si>
    <t>Christen</t>
  </si>
  <si>
    <t>Christen.Thompson@menlo.edu</t>
  </si>
  <si>
    <t>650-543-3774</t>
  </si>
  <si>
    <t>J3279</t>
  </si>
  <si>
    <t>​Keely</t>
  </si>
  <si>
    <t>Randolph-Macon</t>
  </si>
  <si>
    <t>485-590</t>
  </si>
  <si>
    <t>Menlo</t>
  </si>
  <si>
    <t>Atherton</t>
  </si>
  <si>
    <t>442-570</t>
  </si>
  <si>
    <t>J10701</t>
  </si>
  <si>
    <t>College of the Sequoias</t>
  </si>
  <si>
    <t>DIII18352</t>
  </si>
  <si>
    <t>Artiaga</t>
  </si>
  <si>
    <t>kimverlyar@cos.edu</t>
  </si>
  <si>
    <t>(559) 737-6270</t>
  </si>
  <si>
    <t>Sopko</t>
  </si>
  <si>
    <t>Sequoias</t>
  </si>
  <si>
    <t>AmandaSopko2@rmc.edu</t>
  </si>
  <si>
    <t>804-752-3611</t>
  </si>
  <si>
    <t>Visalia</t>
  </si>
  <si>
    <t>ashley.carter@menlo.edu</t>
  </si>
  <si>
    <t>$17,288/$23,196</t>
  </si>
  <si>
    <t>650-543-4122</t>
  </si>
  <si>
    <t>J10706</t>
  </si>
  <si>
    <t>DIII18353</t>
  </si>
  <si>
    <t>Bolt</t>
  </si>
  <si>
    <t>Chip</t>
  </si>
  <si>
    <t>n525</t>
  </si>
  <si>
    <t>michelleb@cos.edu</t>
  </si>
  <si>
    <t>(559) 737-6198</t>
  </si>
  <si>
    <t>San Diego Christian College</t>
  </si>
  <si>
    <t>Hershman-McGrath</t>
  </si>
  <si>
    <t>sarah.mcgrath@sdcc.edu</t>
  </si>
  <si>
    <t>619.201.8682</t>
  </si>
  <si>
    <t>J11019</t>
  </si>
  <si>
    <t>San Diego Christian</t>
  </si>
  <si>
    <t>Haileigh</t>
  </si>
  <si>
    <t>Santee</t>
  </si>
  <si>
    <t>DIII18354</t>
  </si>
  <si>
    <t>J11020</t>
  </si>
  <si>
    <t>n540</t>
  </si>
  <si>
    <t>Simpson University</t>
  </si>
  <si>
    <t>Stower</t>
  </si>
  <si>
    <t>wstower@simpsonu.edu</t>
  </si>
  <si>
    <t>DIII18393</t>
  </si>
  <si>
    <t>c: 530-209-3161; 530-226-4530 (o)</t>
  </si>
  <si>
    <t>Roanoke College</t>
  </si>
  <si>
    <t>Pflugrad</t>
  </si>
  <si>
    <t>J3312</t>
  </si>
  <si>
    <t>pflugrad@roanoke.edu</t>
  </si>
  <si>
    <t>540-375-4955</t>
  </si>
  <si>
    <t>Janelli</t>
  </si>
  <si>
    <t>corij@cos.edu</t>
  </si>
  <si>
    <t>Simpson (CA)</t>
  </si>
  <si>
    <t>Redding</t>
  </si>
  <si>
    <t>440-555</t>
  </si>
  <si>
    <t>Roanoke</t>
  </si>
  <si>
    <t>J3346</t>
  </si>
  <si>
    <t>Shasta College</t>
  </si>
  <si>
    <t>Knowles</t>
  </si>
  <si>
    <t>n541</t>
  </si>
  <si>
    <t>aknowles@shastacollege.edu</t>
  </si>
  <si>
    <t>530-242-2293</t>
  </si>
  <si>
    <t>Ackernecht</t>
  </si>
  <si>
    <t>tackernect@simpsonu.edu</t>
  </si>
  <si>
    <t>DIII18394</t>
  </si>
  <si>
    <t>Shasta</t>
  </si>
  <si>
    <t>Sheldon</t>
  </si>
  <si>
    <t>Blue</t>
  </si>
  <si>
    <t>blue@roanoke.edu</t>
  </si>
  <si>
    <t>$11,625/$16,761</t>
  </si>
  <si>
    <t>n6828</t>
  </si>
  <si>
    <t>Estes</t>
  </si>
  <si>
    <t>J3348</t>
  </si>
  <si>
    <t>Nicholls</t>
  </si>
  <si>
    <t>DIII18395</t>
  </si>
  <si>
    <t>n6960</t>
  </si>
  <si>
    <t>J3403</t>
  </si>
  <si>
    <t>Sierra College</t>
  </si>
  <si>
    <t>Darci</t>
  </si>
  <si>
    <t>Brownell</t>
  </si>
  <si>
    <t>dbrownell@sierracollege.edu</t>
  </si>
  <si>
    <t>(916) 660-8110</t>
  </si>
  <si>
    <t>Rocklin</t>
  </si>
  <si>
    <t>DIII18396</t>
  </si>
  <si>
    <t>n6971</t>
  </si>
  <si>
    <t>mmitchell@roanoke.edu</t>
  </si>
  <si>
    <t>$13,862/$18,934</t>
  </si>
  <si>
    <t>540-378-5130</t>
  </si>
  <si>
    <t>J3404</t>
  </si>
  <si>
    <t>Magorian</t>
  </si>
  <si>
    <t>cmagorian@sierracollege.edu</t>
  </si>
  <si>
    <t>(916) 660-7391</t>
  </si>
  <si>
    <t>DIII18397</t>
  </si>
  <si>
    <t>University of Antelope Valley</t>
  </si>
  <si>
    <t>Harrington</t>
  </si>
  <si>
    <t>steve.harrington@uav.edu</t>
  </si>
  <si>
    <t>Mays</t>
  </si>
  <si>
    <t>661-726-1911, x171</t>
  </si>
  <si>
    <t>mays@roanoke.edu</t>
  </si>
  <si>
    <t>J3405</t>
  </si>
  <si>
    <t>Fuentes</t>
  </si>
  <si>
    <t>DIII18398</t>
  </si>
  <si>
    <t>Lauria</t>
  </si>
  <si>
    <t>J3406</t>
  </si>
  <si>
    <t>DIII18399</t>
  </si>
  <si>
    <t>J3407</t>
  </si>
  <si>
    <t>AC Brian has been removed.</t>
  </si>
  <si>
    <t>Tofft</t>
  </si>
  <si>
    <t>Kiyanna</t>
  </si>
  <si>
    <t>Watley</t>
  </si>
  <si>
    <t>kiyanna.watley@uav.edu</t>
  </si>
  <si>
    <t>J3448</t>
  </si>
  <si>
    <t>College of the Siskiyous</t>
  </si>
  <si>
    <t>jcox3@siskiyous.edu</t>
  </si>
  <si>
    <t>o: (530) 938-5362; c: (530) 925-4659</t>
  </si>
  <si>
    <t>DIII18453</t>
  </si>
  <si>
    <t>Shenandoah University</t>
  </si>
  <si>
    <t>n599</t>
  </si>
  <si>
    <t>Moyer</t>
  </si>
  <si>
    <t>cmoyer@su.edu</t>
  </si>
  <si>
    <t>Vanguard University of Southern California</t>
  </si>
  <si>
    <t>540.665.5580 540.665.5580</t>
  </si>
  <si>
    <t>amber.freeman@vanguard.edu</t>
  </si>
  <si>
    <t>Siskiyous</t>
  </si>
  <si>
    <t>Weed</t>
  </si>
  <si>
    <t>$14,113/$19,201</t>
  </si>
  <si>
    <t>Vanguard</t>
  </si>
  <si>
    <t>Shenandoah</t>
  </si>
  <si>
    <t>Winchester</t>
  </si>
  <si>
    <t>J3449</t>
  </si>
  <si>
    <t>n600</t>
  </si>
  <si>
    <t>Sanchez</t>
  </si>
  <si>
    <t>DIII18454</t>
  </si>
  <si>
    <t>J3480</t>
  </si>
  <si>
    <t>Solano Community College</t>
  </si>
  <si>
    <t>Wolstenholme</t>
  </si>
  <si>
    <t>ewolsten@su.edu</t>
  </si>
  <si>
    <t>540.542.6289 540.542.6289</t>
  </si>
  <si>
    <t>nicole.gentile@solano.edu</t>
  </si>
  <si>
    <t>n682</t>
  </si>
  <si>
    <t>707-864-7000, x5084</t>
  </si>
  <si>
    <t>William Jessup University</t>
  </si>
  <si>
    <t>softball@jessup.edu</t>
  </si>
  <si>
    <t>916-577-2363</t>
  </si>
  <si>
    <t>@Jessup_SFT</t>
  </si>
  <si>
    <t>Solano CC</t>
  </si>
  <si>
    <t>DIII18506</t>
  </si>
  <si>
    <t>Southern Virginia University</t>
  </si>
  <si>
    <t>TIffane</t>
  </si>
  <si>
    <t>Pendleton</t>
  </si>
  <si>
    <t>tiffane.pendleton@svu.edu</t>
  </si>
  <si>
    <t>540-261-8516</t>
  </si>
  <si>
    <t>William Jessup (CA)</t>
  </si>
  <si>
    <t>$19,839/$25,023</t>
  </si>
  <si>
    <t>William Jessup (CO)</t>
  </si>
  <si>
    <t>J3481</t>
  </si>
  <si>
    <t>Southern Virginia</t>
  </si>
  <si>
    <t>Sigl</t>
  </si>
  <si>
    <t>Taryn.Sigl@solano.edu</t>
  </si>
  <si>
    <t>470-5800</t>
  </si>
  <si>
    <t>458-560</t>
  </si>
  <si>
    <t>n683</t>
  </si>
  <si>
    <t>LaMar-George</t>
  </si>
  <si>
    <t>blamar@jessup.edu</t>
  </si>
  <si>
    <t>916-577-2261</t>
  </si>
  <si>
    <t>DIII18507</t>
  </si>
  <si>
    <t>Mawson</t>
  </si>
  <si>
    <t>rachel.mawson@svu.edu</t>
  </si>
  <si>
    <t>J3482</t>
  </si>
  <si>
    <t>Maigin</t>
  </si>
  <si>
    <t>DIII18555</t>
  </si>
  <si>
    <t>Virginia Wesleyan University</t>
  </si>
  <si>
    <t>belliott@vwu.edu</t>
  </si>
  <si>
    <t>(757) 455-3307</t>
  </si>
  <si>
    <t>J3483</t>
  </si>
  <si>
    <t>Virginia Wesleyan</t>
  </si>
  <si>
    <t>Virginia Beach</t>
  </si>
  <si>
    <t>n746</t>
  </si>
  <si>
    <t>Ave Maria University</t>
  </si>
  <si>
    <t>Vigil</t>
  </si>
  <si>
    <t>John.Kelly@avemaria.edu</t>
  </si>
  <si>
    <t>(239) 280-2503</t>
  </si>
  <si>
    <t>DIII18556</t>
  </si>
  <si>
    <t>J3484</t>
  </si>
  <si>
    <t>Quinn</t>
  </si>
  <si>
    <t>Ave Maria</t>
  </si>
  <si>
    <t>J11180</t>
  </si>
  <si>
    <t>Southwestern College - California</t>
  </si>
  <si>
    <t>Mami</t>
  </si>
  <si>
    <t>Tagawa</t>
  </si>
  <si>
    <t>DIII18558</t>
  </si>
  <si>
    <t>n747</t>
  </si>
  <si>
    <t>Wills</t>
  </si>
  <si>
    <t>Sauerwein</t>
  </si>
  <si>
    <t>Brett.Sauerwein@avemaria.edu</t>
  </si>
  <si>
    <t>(239) 304-7914</t>
  </si>
  <si>
    <t>Southwestern (CA)</t>
  </si>
  <si>
    <t>Chula Vista</t>
  </si>
  <si>
    <t>DIII18559</t>
  </si>
  <si>
    <t>$19,777/$24,397</t>
  </si>
  <si>
    <t>n778</t>
  </si>
  <si>
    <t>Edward Waters College</t>
  </si>
  <si>
    <t>Manny</t>
  </si>
  <si>
    <t>mario.perez@ewc.edu</t>
  </si>
  <si>
    <t>(904) 470-8276</t>
  </si>
  <si>
    <t>J11181</t>
  </si>
  <si>
    <t>DIII18560</t>
  </si>
  <si>
    <t>Katrina</t>
  </si>
  <si>
    <t>aesmith@vwu.edu</t>
  </si>
  <si>
    <t>Edward Waters</t>
  </si>
  <si>
    <t>DIII18660</t>
  </si>
  <si>
    <t>Pacific Lutheran University</t>
  </si>
  <si>
    <t>y (African Methodist Episcopal)</t>
  </si>
  <si>
    <t>barrettj@plu.edu</t>
  </si>
  <si>
    <t>253-208-7787 253-208-7787</t>
  </si>
  <si>
    <t>J11182</t>
  </si>
  <si>
    <t>Lopez-Liu</t>
  </si>
  <si>
    <t>Pacific Lutheran</t>
  </si>
  <si>
    <t>Tacoma</t>
  </si>
  <si>
    <t>J3528</t>
  </si>
  <si>
    <t>n6873</t>
  </si>
  <si>
    <t>Yasmin</t>
  </si>
  <si>
    <t>Mossadeghi</t>
  </si>
  <si>
    <t>ymossadeghi@swccd.edu</t>
  </si>
  <si>
    <t>Keiser University (Formally Northwood University - FL Campus)</t>
  </si>
  <si>
    <t>619.421.6700, x5621</t>
  </si>
  <si>
    <t>Lageyre</t>
  </si>
  <si>
    <t>DIII18661</t>
  </si>
  <si>
    <t>Daryl</t>
  </si>
  <si>
    <t>Ashpole</t>
  </si>
  <si>
    <t>J3529</t>
  </si>
  <si>
    <t>Keiser (FL)</t>
  </si>
  <si>
    <t>AC Emma has been removed.</t>
  </si>
  <si>
    <t>DIII18662</t>
  </si>
  <si>
    <t>Balmer</t>
  </si>
  <si>
    <t>balmerrb@plu.edu</t>
  </si>
  <si>
    <t>J3553</t>
  </si>
  <si>
    <t>Taft College</t>
  </si>
  <si>
    <t>n858</t>
  </si>
  <si>
    <t>Brixey</t>
  </si>
  <si>
    <t>gbrixey@taftcollege.edu</t>
  </si>
  <si>
    <t>661.763.7879</t>
  </si>
  <si>
    <t>Knecht</t>
  </si>
  <si>
    <t>tknecht@keiseruniversity.edu</t>
  </si>
  <si>
    <t>561-681-7930</t>
  </si>
  <si>
    <t>DIII18663</t>
  </si>
  <si>
    <t>Hamura</t>
  </si>
  <si>
    <t>Taft (CA)</t>
  </si>
  <si>
    <t>Taft</t>
  </si>
  <si>
    <t>DIII20866</t>
  </si>
  <si>
    <t>n859</t>
  </si>
  <si>
    <t>Nickel</t>
  </si>
  <si>
    <t>anna.nickel@plu.edu</t>
  </si>
  <si>
    <t>$10,924/$16,670</t>
  </si>
  <si>
    <t>Dunker</t>
  </si>
  <si>
    <t>cdunker@keiseruniversity.edu</t>
  </si>
  <si>
    <t>561-681-7969</t>
  </si>
  <si>
    <t>J3555</t>
  </si>
  <si>
    <t>Hipa</t>
  </si>
  <si>
    <t>661-763-7879</t>
  </si>
  <si>
    <t>DIII18730</t>
  </si>
  <si>
    <t>University of Puget Sound</t>
  </si>
  <si>
    <t>Dressel</t>
  </si>
  <si>
    <t>kdressel@pugetsound.edu</t>
  </si>
  <si>
    <t>n909</t>
  </si>
  <si>
    <t>Southeastern University</t>
  </si>
  <si>
    <t>kewatkins@seu.edu</t>
  </si>
  <si>
    <t>J3585</t>
  </si>
  <si>
    <t>863-667-5158</t>
  </si>
  <si>
    <t>Ventura College</t>
  </si>
  <si>
    <t>Sonia</t>
  </si>
  <si>
    <t>Puget Sound</t>
  </si>
  <si>
    <t>sonia_ford@vcccd.edu</t>
  </si>
  <si>
    <t>805-289-6000 x50607</t>
  </si>
  <si>
    <t>Southeastern (FL)</t>
  </si>
  <si>
    <t>DIII18731</t>
  </si>
  <si>
    <t>CJ</t>
  </si>
  <si>
    <t>Ventura (CA)</t>
  </si>
  <si>
    <t>cjmartin@pugetsound.edu</t>
  </si>
  <si>
    <t>J3586</t>
  </si>
  <si>
    <t>DIII18828</t>
  </si>
  <si>
    <t>Tisha</t>
  </si>
  <si>
    <t>Whitworth University</t>
  </si>
  <si>
    <t>tisha_duran1@vcccd.edu</t>
  </si>
  <si>
    <t>bcastle@whitworth.edu</t>
  </si>
  <si>
    <t>n910</t>
  </si>
  <si>
    <t>LeBoeuf</t>
  </si>
  <si>
    <t>agweaver@seu.edu</t>
  </si>
  <si>
    <t>J3620</t>
  </si>
  <si>
    <t>Victor Valley College</t>
  </si>
  <si>
    <t>Richard.Thomas@vvc.edu</t>
  </si>
  <si>
    <t>760-245-4271, x2584</t>
  </si>
  <si>
    <t>Whitworth</t>
  </si>
  <si>
    <t>Spokane</t>
  </si>
  <si>
    <t>y (Presbyterian Church)</t>
  </si>
  <si>
    <t>Victor Valley</t>
  </si>
  <si>
    <t>Victorville</t>
  </si>
  <si>
    <t>n6569</t>
  </si>
  <si>
    <t>St. Thomas University - Florida</t>
  </si>
  <si>
    <t>$19,567/$25,783</t>
  </si>
  <si>
    <t>Bayona</t>
  </si>
  <si>
    <t>St. Thomas (FL)</t>
  </si>
  <si>
    <t>Miami Gardens</t>
  </si>
  <si>
    <t>J3621</t>
  </si>
  <si>
    <t>DIII18829</t>
  </si>
  <si>
    <t>rthomas4410@gmail.com</t>
  </si>
  <si>
    <t>jbrunner13@my.whitworth.edu</t>
  </si>
  <si>
    <t>n966</t>
  </si>
  <si>
    <t>J3622</t>
  </si>
  <si>
    <t>Clyde</t>
  </si>
  <si>
    <t>clyde.williams@vvc.edu</t>
  </si>
  <si>
    <t>760-245-4271, x2870</t>
  </si>
  <si>
    <t>Nicolette</t>
  </si>
  <si>
    <t>DIII18830</t>
  </si>
  <si>
    <t>kexposito@stu.edu</t>
  </si>
  <si>
    <t>J3642</t>
  </si>
  <si>
    <t>West Hills College - Coalinga</t>
  </si>
  <si>
    <t>Mosher</t>
  </si>
  <si>
    <t>stacimosher@whccd.edu</t>
  </si>
  <si>
    <t>(559) 934-2459</t>
  </si>
  <si>
    <t>West Hills Coalinga</t>
  </si>
  <si>
    <t>DIII21464</t>
  </si>
  <si>
    <t>Coalinga</t>
  </si>
  <si>
    <t>Wessell</t>
  </si>
  <si>
    <t>Swessel17@whitworth.edu</t>
  </si>
  <si>
    <t>$14,144/$20,954</t>
  </si>
  <si>
    <t>n1010</t>
  </si>
  <si>
    <t>Warner University</t>
  </si>
  <si>
    <t>J3643</t>
  </si>
  <si>
    <t>Clemente</t>
  </si>
  <si>
    <t>katie.clemente@warner.edu</t>
  </si>
  <si>
    <t>jeananneruck@whccd.edu</t>
  </si>
  <si>
    <t>863.638.7272</t>
  </si>
  <si>
    <t>DIII18894</t>
  </si>
  <si>
    <t>Bethany College - West Virginia</t>
  </si>
  <si>
    <t>cmoore@bethanywv.edu</t>
  </si>
  <si>
    <t>J11199</t>
  </si>
  <si>
    <t>Bethany (WV)</t>
  </si>
  <si>
    <t>West Los Angeles College</t>
  </si>
  <si>
    <t>Shawnae</t>
  </si>
  <si>
    <t>380-500</t>
  </si>
  <si>
    <t>Warner (FL)</t>
  </si>
  <si>
    <t>Lake Wales</t>
  </si>
  <si>
    <t>402-480</t>
  </si>
  <si>
    <t>West Los Angeles</t>
  </si>
  <si>
    <t>Culver City</t>
  </si>
  <si>
    <t>DIII18895</t>
  </si>
  <si>
    <t>Kierstyn</t>
  </si>
  <si>
    <t>Czuchran</t>
  </si>
  <si>
    <t>KCzuchran@bethanywv.edu</t>
  </si>
  <si>
    <t>n1011</t>
  </si>
  <si>
    <t>J3677</t>
  </si>
  <si>
    <t>HC Jesse has been removed.</t>
  </si>
  <si>
    <t>meagan.smith@warner.edu</t>
  </si>
  <si>
    <t>n6981</t>
  </si>
  <si>
    <t>Sprague</t>
  </si>
  <si>
    <t>christy.sprague@warner.edu</t>
  </si>
  <si>
    <t>DIII18925</t>
  </si>
  <si>
    <t>Alverno College</t>
  </si>
  <si>
    <t>Lipson</t>
  </si>
  <si>
    <t>ben.lipson@alverno.edu</t>
  </si>
  <si>
    <t>414-382-6442</t>
  </si>
  <si>
    <t>J3678</t>
  </si>
  <si>
    <t>Alverno</t>
  </si>
  <si>
    <t>Leesa</t>
  </si>
  <si>
    <t>harrisls@wlac.edu</t>
  </si>
  <si>
    <t>310-287-4282</t>
  </si>
  <si>
    <t>Milwaukee</t>
  </si>
  <si>
    <t>n1056</t>
  </si>
  <si>
    <t>Webber International University</t>
  </si>
  <si>
    <t>Webber Softball</t>
  </si>
  <si>
    <t>webbersoftball@gmail.com</t>
  </si>
  <si>
    <t>J11202</t>
  </si>
  <si>
    <t>West Valley College</t>
  </si>
  <si>
    <t>DIII18926</t>
  </si>
  <si>
    <t>Sanderson</t>
  </si>
  <si>
    <t>heather.sanderson@alverno.edu</t>
  </si>
  <si>
    <t>414-382-6425</t>
  </si>
  <si>
    <t>Webber International</t>
  </si>
  <si>
    <t>Babson Park</t>
  </si>
  <si>
    <t>West Valley</t>
  </si>
  <si>
    <t>Saratoga</t>
  </si>
  <si>
    <t>412-510</t>
  </si>
  <si>
    <t>$18,571/$22,627</t>
  </si>
  <si>
    <t>DIII18957</t>
  </si>
  <si>
    <t>Beloit College</t>
  </si>
  <si>
    <t>Zarling</t>
  </si>
  <si>
    <t>J11203</t>
  </si>
  <si>
    <t>zarlingk@beloit.edu</t>
  </si>
  <si>
    <t>608-363-2251 608-363-2251</t>
  </si>
  <si>
    <t>Guevara</t>
  </si>
  <si>
    <t>n1057</t>
  </si>
  <si>
    <t>BurtonKP@webber.edu</t>
  </si>
  <si>
    <t>863.638.2921</t>
  </si>
  <si>
    <t>Beloit (WI)</t>
  </si>
  <si>
    <t>Beloit</t>
  </si>
  <si>
    <t>J3702</t>
  </si>
  <si>
    <t>520-680</t>
  </si>
  <si>
    <t>Vicky</t>
  </si>
  <si>
    <t>Gallindo</t>
  </si>
  <si>
    <t>545-690</t>
  </si>
  <si>
    <t>vicky.piatt@westvalley.edu</t>
  </si>
  <si>
    <t>408-741-2004</t>
  </si>
  <si>
    <t>n1058</t>
  </si>
  <si>
    <t>DIII18958</t>
  </si>
  <si>
    <t>Berkhauser</t>
  </si>
  <si>
    <t>CoreK@webber.edu</t>
  </si>
  <si>
    <t>J3703</t>
  </si>
  <si>
    <t>AC Stacey has been removed.</t>
  </si>
  <si>
    <t>DIII18959</t>
  </si>
  <si>
    <t>J3704</t>
  </si>
  <si>
    <t>Kelm</t>
  </si>
  <si>
    <t>Vinchenza</t>
  </si>
  <si>
    <t>DiBenedetto</t>
  </si>
  <si>
    <t>n1078</t>
  </si>
  <si>
    <t>Brenau University</t>
  </si>
  <si>
    <t>Devon</t>
  </si>
  <si>
    <t>dthomas2@brenau.edu</t>
  </si>
  <si>
    <t>770.297.5935</t>
  </si>
  <si>
    <t>DIII19010</t>
  </si>
  <si>
    <t>Yuba College</t>
  </si>
  <si>
    <t>Carroll University</t>
  </si>
  <si>
    <t>Walden</t>
  </si>
  <si>
    <t>Gradecki</t>
  </si>
  <si>
    <t>Brenau</t>
  </si>
  <si>
    <t>awalden@yccd.edu</t>
  </si>
  <si>
    <t>agradeck@carrollu.edu</t>
  </si>
  <si>
    <t>530-741-6865</t>
  </si>
  <si>
    <t>262-524-7321 262-524-7321</t>
  </si>
  <si>
    <t>Yuba</t>
  </si>
  <si>
    <t>Marysville</t>
  </si>
  <si>
    <t>$19,585/$24,745</t>
  </si>
  <si>
    <t>Carroll (WI)</t>
  </si>
  <si>
    <t>Waukesha</t>
  </si>
  <si>
    <t>485-593</t>
  </si>
  <si>
    <t>455-565</t>
  </si>
  <si>
    <t>Brewton-Parker College</t>
  </si>
  <si>
    <t>Herrin</t>
  </si>
  <si>
    <t>Softball@yccd.edu</t>
  </si>
  <si>
    <t>mherrin@bpc.edu</t>
  </si>
  <si>
    <t>DIII19011</t>
  </si>
  <si>
    <t>Sykes</t>
  </si>
  <si>
    <t>Ktsykes@carrollu.edu</t>
  </si>
  <si>
    <t>c: 262-951-3023</t>
  </si>
  <si>
    <t>J3768</t>
  </si>
  <si>
    <t>Colorado Northwestern Community College</t>
  </si>
  <si>
    <t>danielle.walker@cncc.edu</t>
  </si>
  <si>
    <t>970-675-3312</t>
  </si>
  <si>
    <t>Brewton-Parker</t>
  </si>
  <si>
    <t>Mount Vernon</t>
  </si>
  <si>
    <t>Colorado Northwestern CC</t>
  </si>
  <si>
    <t>DIII19012</t>
  </si>
  <si>
    <t>Willms</t>
  </si>
  <si>
    <t>$17,384/$19,724</t>
  </si>
  <si>
    <t>DIII21469</t>
  </si>
  <si>
    <t>Lorenza</t>
  </si>
  <si>
    <t>J3769</t>
  </si>
  <si>
    <t>Minik</t>
  </si>
  <si>
    <t>lowilliams@bpc.edu</t>
  </si>
  <si>
    <t>Kofron</t>
  </si>
  <si>
    <t>hailey.kofron@cncc.edu</t>
  </si>
  <si>
    <t>J3782</t>
  </si>
  <si>
    <t>Lamar Community College</t>
  </si>
  <si>
    <t>DIII21470</t>
  </si>
  <si>
    <t>kristen.silva@lamarcc.edu</t>
  </si>
  <si>
    <t>719.336.1674</t>
  </si>
  <si>
    <t>Strasser</t>
  </si>
  <si>
    <t>Lamar CC</t>
  </si>
  <si>
    <t>$16,562/$18,890</t>
  </si>
  <si>
    <t>DIII19082</t>
  </si>
  <si>
    <t>Carthage College</t>
  </si>
  <si>
    <t>Gillmore</t>
  </si>
  <si>
    <t>agillmore@carthage.edu</t>
  </si>
  <si>
    <t>262-551-6647 262-551-6647</t>
  </si>
  <si>
    <t>J3783</t>
  </si>
  <si>
    <t>Schmeckpeper</t>
  </si>
  <si>
    <t>amy.schmeckpeper@lamarcc.edu</t>
  </si>
  <si>
    <t>719-336-1687</t>
  </si>
  <si>
    <t>J3793</t>
  </si>
  <si>
    <t>Northeastern Junior College</t>
  </si>
  <si>
    <t>Carthage (WI)</t>
  </si>
  <si>
    <t>tom.myers@njc.edu</t>
  </si>
  <si>
    <t>970-521-6618</t>
  </si>
  <si>
    <t>Northeastern JC (CO)</t>
  </si>
  <si>
    <t>$18,256/$20,310</t>
  </si>
  <si>
    <t>DIII19083</t>
  </si>
  <si>
    <t>386-283-6930</t>
  </si>
  <si>
    <t>J3794</t>
  </si>
  <si>
    <t>Gertner</t>
  </si>
  <si>
    <t>shane.gertner@njc.edu</t>
  </si>
  <si>
    <t>970-521-6816</t>
  </si>
  <si>
    <t>DIII19084</t>
  </si>
  <si>
    <t>Stilley</t>
  </si>
  <si>
    <t>College of Coastal Georgia</t>
  </si>
  <si>
    <t>J3809</t>
  </si>
  <si>
    <t>Minick</t>
  </si>
  <si>
    <t>Concordia University - Wisconsin</t>
  </si>
  <si>
    <t>Otero Junior College</t>
  </si>
  <si>
    <t>mminick@ccga.edu</t>
  </si>
  <si>
    <t>Dwight</t>
  </si>
  <si>
    <t>912-279-5940</t>
  </si>
  <si>
    <t>steve.crook@cuw.edu</t>
  </si>
  <si>
    <t>262-243-4419</t>
  </si>
  <si>
    <t>Dwight.Sanders@ojc.edu</t>
  </si>
  <si>
    <t>(719) 384-6928</t>
  </si>
  <si>
    <t>Coastal Georgia</t>
  </si>
  <si>
    <t>Concordia (WI)</t>
  </si>
  <si>
    <t>Mequon</t>
  </si>
  <si>
    <t>$20,021/$26,628</t>
  </si>
  <si>
    <t>Otero JC</t>
  </si>
  <si>
    <t>La Junta</t>
  </si>
  <si>
    <t>$16,824/$19,164</t>
  </si>
  <si>
    <t>tstewart@ccga.edu</t>
  </si>
  <si>
    <t>912-279-5945</t>
  </si>
  <si>
    <t>J3810</t>
  </si>
  <si>
    <t>Cierra</t>
  </si>
  <si>
    <t>Patrick.Steele@cuw.edu</t>
  </si>
  <si>
    <t>Cosslett</t>
  </si>
  <si>
    <t>262-243-2719</t>
  </si>
  <si>
    <t>Cierra.Cosslett@ojc.edu</t>
  </si>
  <si>
    <t>(719) 383-6918</t>
  </si>
  <si>
    <t>n1139</t>
  </si>
  <si>
    <t>Georgia Gwinnett College</t>
  </si>
  <si>
    <t>Ihlenburg</t>
  </si>
  <si>
    <t>kihlenburg@ggc.edu</t>
  </si>
  <si>
    <t>678-407-5927</t>
  </si>
  <si>
    <t>J11209</t>
  </si>
  <si>
    <t>Trinidad State Junior College</t>
  </si>
  <si>
    <t>Radue</t>
  </si>
  <si>
    <t>Analece</t>
  </si>
  <si>
    <t>kaitlin.radue@cuw.edu</t>
  </si>
  <si>
    <t>Apodaca</t>
  </si>
  <si>
    <t>Trinidad State JC</t>
  </si>
  <si>
    <t>Trinidad</t>
  </si>
  <si>
    <t>$18,165/$21,090</t>
  </si>
  <si>
    <t>Georgia Gwinnett</t>
  </si>
  <si>
    <t>$23,868/$34,372</t>
  </si>
  <si>
    <t>Hanick</t>
  </si>
  <si>
    <t>J3824</t>
  </si>
  <si>
    <t>Swazo</t>
  </si>
  <si>
    <t>Stephen.Swazo@trinidadstate.edu</t>
  </si>
  <si>
    <t>719-846-5558</t>
  </si>
  <si>
    <t>n1140</t>
  </si>
  <si>
    <t>Tonya</t>
  </si>
  <si>
    <t>Medders</t>
  </si>
  <si>
    <t>tmedders@ggc.edu</t>
  </si>
  <si>
    <t>678-407-5288</t>
  </si>
  <si>
    <t>J3825</t>
  </si>
  <si>
    <t>Peters</t>
  </si>
  <si>
    <t>n1141</t>
  </si>
  <si>
    <t>jihlenburg@ggc.edu</t>
  </si>
  <si>
    <t>J3826</t>
  </si>
  <si>
    <t>DIII19149</t>
  </si>
  <si>
    <t>Edgewood College</t>
  </si>
  <si>
    <t>n1175</t>
  </si>
  <si>
    <t>Middle Georgia State University</t>
  </si>
  <si>
    <t>alltaylor@edgewood.edu</t>
  </si>
  <si>
    <t>608-663-2370</t>
  </si>
  <si>
    <t>becca.hewitt@mga.edu</t>
  </si>
  <si>
    <t>478-934-3013</t>
  </si>
  <si>
    <t>Delaware Technical Community College</t>
  </si>
  <si>
    <t>Wilkins</t>
  </si>
  <si>
    <t>gwilkin1@dtcc.edu</t>
  </si>
  <si>
    <t>(302) 259-6065; (302) 841-3740</t>
  </si>
  <si>
    <t>Middle Georgia State</t>
  </si>
  <si>
    <t>Edgewood</t>
  </si>
  <si>
    <t>$15,613/$22,642</t>
  </si>
  <si>
    <t>Delaware Tech CC</t>
  </si>
  <si>
    <t>490-553</t>
  </si>
  <si>
    <t>465-525</t>
  </si>
  <si>
    <t>$13,005/$17,757</t>
  </si>
  <si>
    <t>n6668</t>
  </si>
  <si>
    <t>DIII19150</t>
  </si>
  <si>
    <t>dalton.meredith@mga.edu</t>
  </si>
  <si>
    <t>DeJongh</t>
  </si>
  <si>
    <t>eswanso3@dtcc.edu</t>
  </si>
  <si>
    <t>(302) 259-6065; (302) 858-8279</t>
  </si>
  <si>
    <t>DIII19151</t>
  </si>
  <si>
    <t>Guenther</t>
  </si>
  <si>
    <t>J11248</t>
  </si>
  <si>
    <t>ASA College - Miami</t>
  </si>
  <si>
    <t>Kayel</t>
  </si>
  <si>
    <t>Guillen</t>
  </si>
  <si>
    <t>DIII19207</t>
  </si>
  <si>
    <t>Lakeland University</t>
  </si>
  <si>
    <t>Utley</t>
  </si>
  <si>
    <t>utleytm@lakeland.edu</t>
  </si>
  <si>
    <t>920-565-1024, x2190</t>
  </si>
  <si>
    <t>Point University</t>
  </si>
  <si>
    <t>Perkins Tyler</t>
  </si>
  <si>
    <t>ASA (FL)</t>
  </si>
  <si>
    <t>jennifer.tyler@point.edu</t>
  </si>
  <si>
    <t>706-385-1445</t>
  </si>
  <si>
    <t>Lakeland (WI)</t>
  </si>
  <si>
    <t>Point (GA)</t>
  </si>
  <si>
    <t>J11258</t>
  </si>
  <si>
    <t>Jhones</t>
  </si>
  <si>
    <t>DIII19208</t>
  </si>
  <si>
    <t>sarah.warren@point.edu</t>
  </si>
  <si>
    <t>706-385-1415</t>
  </si>
  <si>
    <t>Jurek</t>
  </si>
  <si>
    <t>jurekb@lakeland.edu</t>
  </si>
  <si>
    <t>920-565-1024, x2182</t>
  </si>
  <si>
    <t>J3876</t>
  </si>
  <si>
    <t>coachfernandez1@asa.edu</t>
  </si>
  <si>
    <t>(305) 400-3816</t>
  </si>
  <si>
    <t>n1229</t>
  </si>
  <si>
    <t>Reinhardt University</t>
  </si>
  <si>
    <t>Jade</t>
  </si>
  <si>
    <t>Geuther</t>
  </si>
  <si>
    <t>jmg1@reinhardt.edu</t>
  </si>
  <si>
    <t>770.720.5912</t>
  </si>
  <si>
    <t>DIII19209</t>
  </si>
  <si>
    <t>J3877</t>
  </si>
  <si>
    <t>Key</t>
  </si>
  <si>
    <t>coachkey@asa.edu</t>
  </si>
  <si>
    <t>johnsonj4@lakeland.edu</t>
  </si>
  <si>
    <t>Reinhardt (GA)</t>
  </si>
  <si>
    <t>Waleska</t>
  </si>
  <si>
    <t>J3893</t>
  </si>
  <si>
    <t>Broward College</t>
  </si>
  <si>
    <t>Pedro</t>
  </si>
  <si>
    <t>Herrera</t>
  </si>
  <si>
    <t>pherrera@broward.edu</t>
  </si>
  <si>
    <t>954-201-6853</t>
  </si>
  <si>
    <t>n1230</t>
  </si>
  <si>
    <t>MEE@Reinhardt.edu</t>
  </si>
  <si>
    <t>770-720-5559</t>
  </si>
  <si>
    <t>Broward</t>
  </si>
  <si>
    <t>$22,126/$22,248</t>
  </si>
  <si>
    <t>n1231</t>
  </si>
  <si>
    <t>Balie</t>
  </si>
  <si>
    <t>J3906</t>
  </si>
  <si>
    <t>College of Central Florida</t>
  </si>
  <si>
    <t>fagank@cf.edu</t>
  </si>
  <si>
    <t>352-854-2322, x1505</t>
  </si>
  <si>
    <t>n1282</t>
  </si>
  <si>
    <t>920-565-1024, x2469</t>
  </si>
  <si>
    <t>Thomas University</t>
  </si>
  <si>
    <t>bwilson@thomasu.edu</t>
  </si>
  <si>
    <t>229-226-1621, x1146</t>
  </si>
  <si>
    <t>Central Florida-Ocala</t>
  </si>
  <si>
    <t>Ocala</t>
  </si>
  <si>
    <t>$12,716/$20,272</t>
  </si>
  <si>
    <t>Remington</t>
  </si>
  <si>
    <t>J3907</t>
  </si>
  <si>
    <t>Thomas (GA)</t>
  </si>
  <si>
    <t>Thomasville</t>
  </si>
  <si>
    <t>DIII19211</t>
  </si>
  <si>
    <t>Conery</t>
  </si>
  <si>
    <t>J3908</t>
  </si>
  <si>
    <t>Lingle</t>
  </si>
  <si>
    <t>linglem@cf.edu</t>
  </si>
  <si>
    <t>n1283</t>
  </si>
  <si>
    <t>jsanders@thomasu.edu</t>
  </si>
  <si>
    <t>229-226-1621, x1007</t>
  </si>
  <si>
    <t>DIII19255</t>
  </si>
  <si>
    <t>Lawrence University</t>
  </si>
  <si>
    <t>Tatro</t>
  </si>
  <si>
    <t>kimberly.n.tatro@lawrence.edu</t>
  </si>
  <si>
    <t>J3922</t>
  </si>
  <si>
    <t>920-832-6975</t>
  </si>
  <si>
    <t>Chipola College</t>
  </si>
  <si>
    <t>Belinda</t>
  </si>
  <si>
    <t>hendrixb@chipola.edu</t>
  </si>
  <si>
    <t>850-718-2358</t>
  </si>
  <si>
    <t>Lawrence (WI)</t>
  </si>
  <si>
    <t>Appleton</t>
  </si>
  <si>
    <t>555-693</t>
  </si>
  <si>
    <t>578-713</t>
  </si>
  <si>
    <t>Chipola</t>
  </si>
  <si>
    <t>n1284</t>
  </si>
  <si>
    <t>Marianna</t>
  </si>
  <si>
    <t>Luana</t>
  </si>
  <si>
    <t>Imamura</t>
  </si>
  <si>
    <t>$11,415/$17,245</t>
  </si>
  <si>
    <t>J3923</t>
  </si>
  <si>
    <t>n1285</t>
  </si>
  <si>
    <t>hendrixj@chipola.edu</t>
  </si>
  <si>
    <t>850-718-2359</t>
  </si>
  <si>
    <t>DIII19256</t>
  </si>
  <si>
    <t>rsanders@thomasu.edu</t>
  </si>
  <si>
    <t>Geenen</t>
  </si>
  <si>
    <t>kate.l.geenen@lawrence.edu</t>
  </si>
  <si>
    <t>n1308</t>
  </si>
  <si>
    <t>Truett-McConnell University</t>
  </si>
  <si>
    <t>Jenni</t>
  </si>
  <si>
    <t>Shepard</t>
  </si>
  <si>
    <t>J3924</t>
  </si>
  <si>
    <t>jshepard@truett.edu</t>
  </si>
  <si>
    <t>706-865-2134, x5221</t>
  </si>
  <si>
    <t>Brookins</t>
  </si>
  <si>
    <t>brookinsk@chipola.edu</t>
  </si>
  <si>
    <t>850-718-2468</t>
  </si>
  <si>
    <t>DIII19257</t>
  </si>
  <si>
    <t>Villiesse</t>
  </si>
  <si>
    <t>jenna.m.villiesse@lawrence.edu</t>
  </si>
  <si>
    <t>Truett McConnell</t>
  </si>
  <si>
    <t>J3935</t>
  </si>
  <si>
    <t>Daytona State College</t>
  </si>
  <si>
    <t>Keli</t>
  </si>
  <si>
    <t>430-523</t>
  </si>
  <si>
    <t>Harrell</t>
  </si>
  <si>
    <t>Keli.Harrell@DaytonaState.edu</t>
  </si>
  <si>
    <t>n1309</t>
  </si>
  <si>
    <t>Dylan</t>
  </si>
  <si>
    <t>Reichenberg</t>
  </si>
  <si>
    <t>dreichenberg@truett.edu</t>
  </si>
  <si>
    <t>DIII19258</t>
  </si>
  <si>
    <t>Daytona State</t>
  </si>
  <si>
    <t>Bern</t>
  </si>
  <si>
    <t>kari.l.bern@lawrence.edu</t>
  </si>
  <si>
    <t>$13,412/$22,301</t>
  </si>
  <si>
    <t>n1344</t>
  </si>
  <si>
    <t>The College of Idaho</t>
  </si>
  <si>
    <t>Mendiola</t>
  </si>
  <si>
    <t>J3936</t>
  </si>
  <si>
    <t>amendiola@collegeofidaho.edu</t>
  </si>
  <si>
    <t>208-459-5113</t>
  </si>
  <si>
    <t>Zeger</t>
  </si>
  <si>
    <t>DIII19259</t>
  </si>
  <si>
    <t>andrew.zeger@daytonastate.edu</t>
  </si>
  <si>
    <t>386-506-4317</t>
  </si>
  <si>
    <t>Cromer</t>
  </si>
  <si>
    <t>tracy.l.cromer@lawrence.edu</t>
  </si>
  <si>
    <t>College of Idaho</t>
  </si>
  <si>
    <t>J3961</t>
  </si>
  <si>
    <t>DIII19293</t>
  </si>
  <si>
    <t>Eastern Florida State College</t>
  </si>
  <si>
    <t>Maranatha Baptist University</t>
  </si>
  <si>
    <t>Beitia</t>
  </si>
  <si>
    <t>beitiaj@easternflorida.edu</t>
  </si>
  <si>
    <t>rob.thompson@mbu.edu</t>
  </si>
  <si>
    <t>(920) 206-2377</t>
  </si>
  <si>
    <t>Eastern Florida State</t>
  </si>
  <si>
    <t>n1345</t>
  </si>
  <si>
    <t>Maranatha Baptist</t>
  </si>
  <si>
    <t>Watertown</t>
  </si>
  <si>
    <t>448-580</t>
  </si>
  <si>
    <t>n1346</t>
  </si>
  <si>
    <t>DIII19294</t>
  </si>
  <si>
    <t>Clayton</t>
  </si>
  <si>
    <t>J3962</t>
  </si>
  <si>
    <t>AC Dennis has been removed.</t>
  </si>
  <si>
    <t>DIII19318</t>
  </si>
  <si>
    <t>Marian University - Wisconsin</t>
  </si>
  <si>
    <t>Draves</t>
  </si>
  <si>
    <t>tdraves32@marianuniversity.edu</t>
  </si>
  <si>
    <t>920-923-8140</t>
  </si>
  <si>
    <t>Judson University</t>
  </si>
  <si>
    <t>J3963</t>
  </si>
  <si>
    <t>Catherine</t>
  </si>
  <si>
    <t>Marian (WI)</t>
  </si>
  <si>
    <t>Fond du Lac</t>
  </si>
  <si>
    <t>Judson</t>
  </si>
  <si>
    <t>Elgin</t>
  </si>
  <si>
    <t>J3964</t>
  </si>
  <si>
    <t>DIII19319</t>
  </si>
  <si>
    <t>Derks</t>
  </si>
  <si>
    <t>HC Jack has been removed.</t>
  </si>
  <si>
    <t>DIII19320</t>
  </si>
  <si>
    <t>J3989</t>
  </si>
  <si>
    <t>Florida SouthWestern State College</t>
  </si>
  <si>
    <t>Iamurri</t>
  </si>
  <si>
    <t>Robert.Iamurri@fsw.edu</t>
  </si>
  <si>
    <t>(239) 489-9278</t>
  </si>
  <si>
    <t>Florida SouthWestern State</t>
  </si>
  <si>
    <t>$18,311/$27,889</t>
  </si>
  <si>
    <t>n1471</t>
  </si>
  <si>
    <t>Lincoln College</t>
  </si>
  <si>
    <t>Nowicki</t>
  </si>
  <si>
    <t>bnowicki@lincolncollege.edu</t>
  </si>
  <si>
    <t>217-732-3155</t>
  </si>
  <si>
    <t>J3990</t>
  </si>
  <si>
    <t>DIII21490</t>
  </si>
  <si>
    <t>Balk</t>
  </si>
  <si>
    <t>bebalk53@marianuniversity.edu</t>
  </si>
  <si>
    <t>Lincoln (IL)</t>
  </si>
  <si>
    <t>J3991</t>
  </si>
  <si>
    <t>Marta</t>
  </si>
  <si>
    <t>270-410</t>
  </si>
  <si>
    <t>340-400</t>
  </si>
  <si>
    <t>DIII19354</t>
  </si>
  <si>
    <t>Milwaukee School of Engineering</t>
  </si>
  <si>
    <t>Knoblauch</t>
  </si>
  <si>
    <t>J3992</t>
  </si>
  <si>
    <t>n1505</t>
  </si>
  <si>
    <t>knoblauch@msoe.edu</t>
  </si>
  <si>
    <t>(517) 204-4584</t>
  </si>
  <si>
    <t>Lindenwood University - Belleville</t>
  </si>
  <si>
    <t>Ty</t>
  </si>
  <si>
    <t>Poore</t>
  </si>
  <si>
    <t>tpoore@lindenwood.edu</t>
  </si>
  <si>
    <t>618-671-6118</t>
  </si>
  <si>
    <t>J4000</t>
  </si>
  <si>
    <t>Florida State College at Jacksonville</t>
  </si>
  <si>
    <t>Sikes</t>
  </si>
  <si>
    <t>janis.sikes@fscj.edu</t>
  </si>
  <si>
    <t>904-766-6795</t>
  </si>
  <si>
    <t>Lindenwood (IL)</t>
  </si>
  <si>
    <t>Belleville</t>
  </si>
  <si>
    <t>Florida State-Jacksonville</t>
  </si>
  <si>
    <t>$14,674/$21,788</t>
  </si>
  <si>
    <t>Olivet Nazarene University</t>
  </si>
  <si>
    <t>hegardner@olivet.edu</t>
  </si>
  <si>
    <t>815-928-5564</t>
  </si>
  <si>
    <t>J4001</t>
  </si>
  <si>
    <t>jerry.whitaker@fscj.edu</t>
  </si>
  <si>
    <t>904-545-1636</t>
  </si>
  <si>
    <t>Olivet Nazarene</t>
  </si>
  <si>
    <t>DIII19355</t>
  </si>
  <si>
    <t>Bourbonnais</t>
  </si>
  <si>
    <t>Robison</t>
  </si>
  <si>
    <t>J4015</t>
  </si>
  <si>
    <t>Gulf Coast State College</t>
  </si>
  <si>
    <t>nthomas1@gulfcoast.edu</t>
  </si>
  <si>
    <t>850.747.3202</t>
  </si>
  <si>
    <t>Gulf Coast State</t>
  </si>
  <si>
    <t>Panama City</t>
  </si>
  <si>
    <t>DIII19356</t>
  </si>
  <si>
    <t>Karraker</t>
  </si>
  <si>
    <t>blkarraker@olivet.edu</t>
  </si>
  <si>
    <t>Moran</t>
  </si>
  <si>
    <t>$13,170/$18,484</t>
  </si>
  <si>
    <t>J4016</t>
  </si>
  <si>
    <t>Tenaya</t>
  </si>
  <si>
    <t>ttucker1@gulfcoast.edu</t>
  </si>
  <si>
    <t>DIII19388</t>
  </si>
  <si>
    <t>Mount Mary University</t>
  </si>
  <si>
    <t>Robert Morris University - Illinois</t>
  </si>
  <si>
    <t>Polka</t>
  </si>
  <si>
    <t>clarkpe@mtmary.edu</t>
  </si>
  <si>
    <t>c: (630) 460-1426; o: (414) 930-3155</t>
  </si>
  <si>
    <t>cpolka@robertmorris.edu</t>
  </si>
  <si>
    <t>J4031</t>
  </si>
  <si>
    <t>Hillsborough Community College</t>
  </si>
  <si>
    <t>Holloman</t>
  </si>
  <si>
    <t>Mount Mary</t>
  </si>
  <si>
    <t>eholloman@hccfl.edu</t>
  </si>
  <si>
    <t>Hillsborough CC</t>
  </si>
  <si>
    <t>Robert Morris (Chicago)</t>
  </si>
  <si>
    <t>Plant City</t>
  </si>
  <si>
    <t>$16,666/$23,271</t>
  </si>
  <si>
    <t>J4032</t>
  </si>
  <si>
    <t>sbell14@hccfl.edu</t>
  </si>
  <si>
    <t>jbecker@robertmorris.edu</t>
  </si>
  <si>
    <t>DIII19389</t>
  </si>
  <si>
    <t>Festge</t>
  </si>
  <si>
    <t>festgen@mtmary.edu</t>
  </si>
  <si>
    <t>J4033</t>
  </si>
  <si>
    <t>AC Aubrey has been removed.</t>
  </si>
  <si>
    <t>Robert Morris University - Springfield</t>
  </si>
  <si>
    <t>Robert Morris (Springfield)</t>
  </si>
  <si>
    <t>DIII19390</t>
  </si>
  <si>
    <t>Grams</t>
  </si>
  <si>
    <t>gramss@mtmary.edu</t>
  </si>
  <si>
    <t>J4034</t>
  </si>
  <si>
    <t>n1590</t>
  </si>
  <si>
    <t>Roosevelt University</t>
  </si>
  <si>
    <t>Boynton</t>
  </si>
  <si>
    <t>amoore39@roosevelt.edu</t>
  </si>
  <si>
    <t>lindsay.m.boynton@gmail.com</t>
  </si>
  <si>
    <t>312-764-0977</t>
  </si>
  <si>
    <t>J4046</t>
  </si>
  <si>
    <t>Roosevelt</t>
  </si>
  <si>
    <t>DIII19391</t>
  </si>
  <si>
    <t>Indian River State College</t>
  </si>
  <si>
    <t>Atkinson</t>
  </si>
  <si>
    <t>datkinso@irsc.edu</t>
  </si>
  <si>
    <t>(772) 462-7419</t>
  </si>
  <si>
    <t>455-595</t>
  </si>
  <si>
    <t>Indian River State</t>
  </si>
  <si>
    <t>Fort Pierce</t>
  </si>
  <si>
    <t>Rayos</t>
  </si>
  <si>
    <t>rayost@mtmary.edu</t>
  </si>
  <si>
    <t>$10,484/$17,348</t>
  </si>
  <si>
    <t>n1591</t>
  </si>
  <si>
    <t>J4047</t>
  </si>
  <si>
    <t>ty_suncoast@bellsouth.net</t>
  </si>
  <si>
    <t>c: (772) 260-8845</t>
  </si>
  <si>
    <t>DIII19410</t>
  </si>
  <si>
    <t>Northland College</t>
  </si>
  <si>
    <t>Hudack</t>
  </si>
  <si>
    <t>thudack@northland.edu</t>
  </si>
  <si>
    <t>715-682-1244 715-682-1244</t>
  </si>
  <si>
    <t>J4048</t>
  </si>
  <si>
    <t>Gladding Denischuk</t>
  </si>
  <si>
    <t>n1618</t>
  </si>
  <si>
    <t>jennifergladding@hotmail.com</t>
  </si>
  <si>
    <t>University of St. Francis - Illinois</t>
  </si>
  <si>
    <t>ajensen@stfrancis.edu</t>
  </si>
  <si>
    <t>(815) 740-3457</t>
  </si>
  <si>
    <t>Northland (WI)</t>
  </si>
  <si>
    <t>J4061</t>
  </si>
  <si>
    <t>Lake-Sumter State College</t>
  </si>
  <si>
    <t>millerj@lssc.edu</t>
  </si>
  <si>
    <t>352-323-3655</t>
  </si>
  <si>
    <t>Lake-Sumter State</t>
  </si>
  <si>
    <t>Leesburg</t>
  </si>
  <si>
    <t>$15,558/$25,662</t>
  </si>
  <si>
    <t>DIII21497</t>
  </si>
  <si>
    <t>St. Francis (IL)</t>
  </si>
  <si>
    <t>Joliet</t>
  </si>
  <si>
    <t>J4062</t>
  </si>
  <si>
    <t>Butch</t>
  </si>
  <si>
    <t>millerb@lssc.edu</t>
  </si>
  <si>
    <t>n1619</t>
  </si>
  <si>
    <t>Bedinger</t>
  </si>
  <si>
    <t>DIII21498</t>
  </si>
  <si>
    <t>J4063</t>
  </si>
  <si>
    <t>Sauerbrey</t>
  </si>
  <si>
    <t>n1620</t>
  </si>
  <si>
    <t>djensen@stfrancis.edu</t>
  </si>
  <si>
    <t>(815) 354-2927</t>
  </si>
  <si>
    <t>J10761</t>
  </si>
  <si>
    <t>Miami Dade College</t>
  </si>
  <si>
    <t>Plaza</t>
  </si>
  <si>
    <t>aplaza@mdc.edu</t>
  </si>
  <si>
    <t>DIII21499</t>
  </si>
  <si>
    <t>305-237-2344</t>
  </si>
  <si>
    <t>Miami-Dade</t>
  </si>
  <si>
    <t>Sturgal</t>
  </si>
  <si>
    <t>$26,849/$32,813</t>
  </si>
  <si>
    <t>J4074</t>
  </si>
  <si>
    <t>De Aguero</t>
  </si>
  <si>
    <t>gdeaguer@mdc.edu</t>
  </si>
  <si>
    <t>DIII19439</t>
  </si>
  <si>
    <t>Ripon College</t>
  </si>
  <si>
    <t>Wammer</t>
  </si>
  <si>
    <t>wammers@ripon.edu</t>
  </si>
  <si>
    <t>J4075</t>
  </si>
  <si>
    <t>AC Dianelys has been removed.</t>
  </si>
  <si>
    <t>J4089</t>
  </si>
  <si>
    <t>Northwest Florida State College</t>
  </si>
  <si>
    <t>leea31@nwfsc.edu</t>
  </si>
  <si>
    <t>850-729-5262</t>
  </si>
  <si>
    <t>Northwest Florida State</t>
  </si>
  <si>
    <t>Niceville</t>
  </si>
  <si>
    <t>Ripon</t>
  </si>
  <si>
    <t>n1653</t>
  </si>
  <si>
    <t>$18,879/$24,818</t>
  </si>
  <si>
    <t>Saint Xavier University</t>
  </si>
  <si>
    <t>Mollohan-Corrao</t>
  </si>
  <si>
    <t>mollohan@sxu.edu</t>
  </si>
  <si>
    <t>773-298-3100</t>
  </si>
  <si>
    <t>J4090</t>
  </si>
  <si>
    <t>taylo154@nwfsc.edu</t>
  </si>
  <si>
    <t>St. Xavier (IL)</t>
  </si>
  <si>
    <t>435-510</t>
  </si>
  <si>
    <t>430-525</t>
  </si>
  <si>
    <t>DIII19440</t>
  </si>
  <si>
    <t>J4091</t>
  </si>
  <si>
    <t>Andes</t>
  </si>
  <si>
    <t>Carlie</t>
  </si>
  <si>
    <t>andesj@ripon.edu</t>
  </si>
  <si>
    <t>Whittington</t>
  </si>
  <si>
    <t>n1675</t>
  </si>
  <si>
    <t>Trinity Christian College</t>
  </si>
  <si>
    <t>Fazzari</t>
  </si>
  <si>
    <t>amanda.fazzari@trnty.edu</t>
  </si>
  <si>
    <t>708.293.4516</t>
  </si>
  <si>
    <t>J4101</t>
  </si>
  <si>
    <t>Palm Beach State College</t>
  </si>
  <si>
    <t>HC Heather has been removed.</t>
  </si>
  <si>
    <t>DIII19441</t>
  </si>
  <si>
    <t>Britta</t>
  </si>
  <si>
    <t>Burghardt</t>
  </si>
  <si>
    <t>Trinity Christian (IL)</t>
  </si>
  <si>
    <t>Palos Heights</t>
  </si>
  <si>
    <t>416-618</t>
  </si>
  <si>
    <t>Palm Beach State</t>
  </si>
  <si>
    <t>Lake Worth</t>
  </si>
  <si>
    <t>n7040</t>
  </si>
  <si>
    <t>$16,244/$22,532</t>
  </si>
  <si>
    <t>St. Norbert College</t>
  </si>
  <si>
    <t>Bolden</t>
  </si>
  <si>
    <t>Krueger</t>
  </si>
  <si>
    <t>joann.krueger@snc.edu</t>
  </si>
  <si>
    <t>920-403-4080</t>
  </si>
  <si>
    <t>n7041</t>
  </si>
  <si>
    <t>McAndrews</t>
  </si>
  <si>
    <t>St. Norbert</t>
  </si>
  <si>
    <t>De Pere</t>
  </si>
  <si>
    <t>n7042</t>
  </si>
  <si>
    <t>J.R.</t>
  </si>
  <si>
    <t>DIII19495</t>
  </si>
  <si>
    <t>Wisconsin Lutheran College</t>
  </si>
  <si>
    <t>n1700</t>
  </si>
  <si>
    <t>Pasco-Hernando State College</t>
  </si>
  <si>
    <t>Trinity International University - Deerfield</t>
  </si>
  <si>
    <t>Stephen</t>
  </si>
  <si>
    <t>Verne</t>
  </si>
  <si>
    <t>Mumaw</t>
  </si>
  <si>
    <t>Barreau</t>
  </si>
  <si>
    <t>mumaws@phsc.edu</t>
  </si>
  <si>
    <t>727-816-3361</t>
  </si>
  <si>
    <t>Flegel</t>
  </si>
  <si>
    <t>vhbarreau@tiu.edu</t>
  </si>
  <si>
    <t>(847)-317-7010</t>
  </si>
  <si>
    <t>james.flegel@wlc.edu</t>
  </si>
  <si>
    <t>c: 414.339.0394</t>
  </si>
  <si>
    <t>Pasco-Hernando State</t>
  </si>
  <si>
    <t>New Port Richey</t>
  </si>
  <si>
    <t>$14,877/$21,852</t>
  </si>
  <si>
    <t>Trinity International</t>
  </si>
  <si>
    <t>Deerfield</t>
  </si>
  <si>
    <t>y (Evangelical Free Church of America)</t>
  </si>
  <si>
    <t>Wisconsin Lutheran</t>
  </si>
  <si>
    <t>Jeri</t>
  </si>
  <si>
    <t>Loffler</t>
  </si>
  <si>
    <t>n1701</t>
  </si>
  <si>
    <t>Settecase</t>
  </si>
  <si>
    <t>lofflej@phsc.edu</t>
  </si>
  <si>
    <t>jeschwenk@tiu.edu</t>
  </si>
  <si>
    <t>847-317-7119</t>
  </si>
  <si>
    <t>DIII19496</t>
  </si>
  <si>
    <t>n1702</t>
  </si>
  <si>
    <t>Vogt</t>
  </si>
  <si>
    <t>Neveau</t>
  </si>
  <si>
    <t>J4109</t>
  </si>
  <si>
    <t>n1724</t>
  </si>
  <si>
    <t>Bethel University - Indiana</t>
  </si>
  <si>
    <t>J4110</t>
  </si>
  <si>
    <t>Scott.Reese@BethelUniversity.edu</t>
  </si>
  <si>
    <t>574.807.7089</t>
  </si>
  <si>
    <t>DIII19497</t>
  </si>
  <si>
    <t>Robbe</t>
  </si>
  <si>
    <t>J10763</t>
  </si>
  <si>
    <t>Bethel (IN)</t>
  </si>
  <si>
    <t>Pensacola State College</t>
  </si>
  <si>
    <t>Mishawaka</t>
  </si>
  <si>
    <t>Bevia</t>
  </si>
  <si>
    <t>bdrobinson@pensacolastate.edu</t>
  </si>
  <si>
    <t>y (Missionary Church)</t>
  </si>
  <si>
    <t>850-484-1578</t>
  </si>
  <si>
    <t>Pensacola State</t>
  </si>
  <si>
    <t>DIII19498</t>
  </si>
  <si>
    <t>$14,622/$20,779</t>
  </si>
  <si>
    <t>Hilton</t>
  </si>
  <si>
    <t>n1725</t>
  </si>
  <si>
    <t>Ingrid</t>
  </si>
  <si>
    <t>Ingrid.Reese@BethelUniversity.edu</t>
  </si>
  <si>
    <t>J4124</t>
  </si>
  <si>
    <t>Lyndsey</t>
  </si>
  <si>
    <t>Angus</t>
  </si>
  <si>
    <t>langus@pensacolastate.edu</t>
  </si>
  <si>
    <t>850-484-1332</t>
  </si>
  <si>
    <t>DIII19554</t>
  </si>
  <si>
    <t>University of Wisconsin - Eau Claire</t>
  </si>
  <si>
    <t>huntinla@uwec.edu</t>
  </si>
  <si>
    <t>(715) 836-2663</t>
  </si>
  <si>
    <t>J4125</t>
  </si>
  <si>
    <t>cpowell@pensacolastate.edu</t>
  </si>
  <si>
    <t>850-484-1071</t>
  </si>
  <si>
    <t>J4126</t>
  </si>
  <si>
    <t>McKibben</t>
  </si>
  <si>
    <t>jmckibben@pensacolastate.edu</t>
  </si>
  <si>
    <t>Wisconsin-Eau Claire</t>
  </si>
  <si>
    <t>Eau Claire</t>
  </si>
  <si>
    <t>madalyn.smith@betheluniversity.edu</t>
  </si>
  <si>
    <t>$19,900/$27,473</t>
  </si>
  <si>
    <t>J4137</t>
  </si>
  <si>
    <t>Polk State College</t>
  </si>
  <si>
    <t>Byars</t>
  </si>
  <si>
    <t>dbyars@polk.edu</t>
  </si>
  <si>
    <t>863.297.1010, x5459</t>
  </si>
  <si>
    <t>n1767</t>
  </si>
  <si>
    <t>Polk State</t>
  </si>
  <si>
    <t>Calumet College of St. Joseph</t>
  </si>
  <si>
    <t>Winter Haven</t>
  </si>
  <si>
    <t>dlopez@ccsj.edu</t>
  </si>
  <si>
    <t>219-616-2054</t>
  </si>
  <si>
    <t>$17,401/$24,851</t>
  </si>
  <si>
    <t>DIII19555</t>
  </si>
  <si>
    <t>bakerrk@uwec.edu</t>
  </si>
  <si>
    <t>(715) 836-5529</t>
  </si>
  <si>
    <t>J4138</t>
  </si>
  <si>
    <t>AC Samantha has been removed.</t>
  </si>
  <si>
    <t>Calumet of St. Joseph (IN)</t>
  </si>
  <si>
    <t>Whiting</t>
  </si>
  <si>
    <t>J4139</t>
  </si>
  <si>
    <t>AC Joe has been removed.</t>
  </si>
  <si>
    <t>DIII19556</t>
  </si>
  <si>
    <t>Planert</t>
  </si>
  <si>
    <t>n1768</t>
  </si>
  <si>
    <t>Houlihan</t>
  </si>
  <si>
    <t>ahoulihan@ccsj.edu</t>
  </si>
  <si>
    <t>219-473-4327</t>
  </si>
  <si>
    <t>J10726</t>
  </si>
  <si>
    <t>Santa Fe College</t>
  </si>
  <si>
    <t>Gillam</t>
  </si>
  <si>
    <t>n1769</t>
  </si>
  <si>
    <t>DIII19557</t>
  </si>
  <si>
    <t>jbryce@ccsj.edu</t>
  </si>
  <si>
    <t>219-473-4276</t>
  </si>
  <si>
    <t>Santa Fe (FL)</t>
  </si>
  <si>
    <t>$15,147/$20,693</t>
  </si>
  <si>
    <t>Link</t>
  </si>
  <si>
    <t>J4158</t>
  </si>
  <si>
    <t>n1770</t>
  </si>
  <si>
    <t>lindsay.fico@sfcollege.edu</t>
  </si>
  <si>
    <t>mpowers@ccsj.edu</t>
  </si>
  <si>
    <t>352-395-5638</t>
  </si>
  <si>
    <t>DIII19645</t>
  </si>
  <si>
    <t>University of Wisconsin - La Crosse</t>
  </si>
  <si>
    <t>Helixon</t>
  </si>
  <si>
    <t>chelixon@uwlax.edu</t>
  </si>
  <si>
    <t>(608) 785-6536 (608) 785-6536</t>
  </si>
  <si>
    <t>Goshen College</t>
  </si>
  <si>
    <t>Juliaclare</t>
  </si>
  <si>
    <t>Plezbert</t>
  </si>
  <si>
    <t>jmplezbert@goshen.edu</t>
  </si>
  <si>
    <t>574-535-7233</t>
  </si>
  <si>
    <t>J4159</t>
  </si>
  <si>
    <t>Wisconsin-La Crosse</t>
  </si>
  <si>
    <t>cara.parker@sfcollege.edu</t>
  </si>
  <si>
    <t>La Crosse</t>
  </si>
  <si>
    <t>Goshen</t>
  </si>
  <si>
    <t>$17,330/$25,851</t>
  </si>
  <si>
    <t>430-623</t>
  </si>
  <si>
    <t>440-573</t>
  </si>
  <si>
    <t>J4160</t>
  </si>
  <si>
    <t>Souilliard</t>
  </si>
  <si>
    <t>DIII19646</t>
  </si>
  <si>
    <t>Wnek</t>
  </si>
  <si>
    <t>cwnek@uwlax.edu</t>
  </si>
  <si>
    <t>Yocom</t>
  </si>
  <si>
    <t>reyocom@goshen.edu</t>
  </si>
  <si>
    <t>J4168</t>
  </si>
  <si>
    <t>Seminole State College of Florida</t>
  </si>
  <si>
    <t>n1832</t>
  </si>
  <si>
    <t>millerc@seminolestate.edu</t>
  </si>
  <si>
    <t>407.708.2332</t>
  </si>
  <si>
    <t>Grace College</t>
  </si>
  <si>
    <t>DIII19647</t>
  </si>
  <si>
    <t>Harman</t>
  </si>
  <si>
    <t>harmansa@grace.edu</t>
  </si>
  <si>
    <t>574-372-5100 x6273</t>
  </si>
  <si>
    <t>jgallagher@uwlax.edu</t>
  </si>
  <si>
    <t>Seminole State (FL)</t>
  </si>
  <si>
    <t>Sanford</t>
  </si>
  <si>
    <t>Grace College &amp; Seminary</t>
  </si>
  <si>
    <t>Winona Lake</t>
  </si>
  <si>
    <t>J4169</t>
  </si>
  <si>
    <t>y (Brethren)</t>
  </si>
  <si>
    <t>DIII19697</t>
  </si>
  <si>
    <t>University of Wisconsin - Oshkosh</t>
  </si>
  <si>
    <t>Bitzer</t>
  </si>
  <si>
    <t>Beyer</t>
  </si>
  <si>
    <t>jbitzer@cfl.rr.com</t>
  </si>
  <si>
    <t>beyersw@uwosh.edu</t>
  </si>
  <si>
    <t>(920) 424-3121</t>
  </si>
  <si>
    <t>n1833</t>
  </si>
  <si>
    <t>Swartzentruber</t>
  </si>
  <si>
    <t>herbsthl@grace.edu</t>
  </si>
  <si>
    <t>J4170</t>
  </si>
  <si>
    <t>goraiders@gmail.com</t>
  </si>
  <si>
    <t>Wisconsin-Oshkosh</t>
  </si>
  <si>
    <t>Oshkosh</t>
  </si>
  <si>
    <t>n1835</t>
  </si>
  <si>
    <t>Flanegan</t>
  </si>
  <si>
    <t>flanegbl@grace.edu</t>
  </si>
  <si>
    <t>$18,844/$26,417</t>
  </si>
  <si>
    <t>J4171</t>
  </si>
  <si>
    <t>fieldsw@seminolestate.edu</t>
  </si>
  <si>
    <t>Huntington University</t>
  </si>
  <si>
    <t>Gower</t>
  </si>
  <si>
    <t>dgower@huntington.edu</t>
  </si>
  <si>
    <t>South Florida State College</t>
  </si>
  <si>
    <t>260-224-1429</t>
  </si>
  <si>
    <t>Falla III</t>
  </si>
  <si>
    <t>fallac@southflorida.edu</t>
  </si>
  <si>
    <t>863-784-7038</t>
  </si>
  <si>
    <t>South Florida State</t>
  </si>
  <si>
    <t>Avon Park</t>
  </si>
  <si>
    <t>DIII19698</t>
  </si>
  <si>
    <t>Huntington (IN)</t>
  </si>
  <si>
    <t>$14,544/$23,238</t>
  </si>
  <si>
    <t>y (Church of United Brethren in Christ)</t>
  </si>
  <si>
    <t>Doomis</t>
  </si>
  <si>
    <t>(920) 424-1587</t>
  </si>
  <si>
    <t>Lovell</t>
  </si>
  <si>
    <t>DIII19739</t>
  </si>
  <si>
    <t>University of Wisconsin - Platteville</t>
  </si>
  <si>
    <t>n1950</t>
  </si>
  <si>
    <t>lowere@uwplatt.edu</t>
  </si>
  <si>
    <t>(608) 342-1677</t>
  </si>
  <si>
    <t>Indiana Institute of Technology</t>
  </si>
  <si>
    <t>Zimny</t>
  </si>
  <si>
    <t>smzimny@indianatech.edu</t>
  </si>
  <si>
    <t>260-422-5561 x2280</t>
  </si>
  <si>
    <t>Wellnitz</t>
  </si>
  <si>
    <t>Indiana Tech</t>
  </si>
  <si>
    <t>Wisconsin-Platteville</t>
  </si>
  <si>
    <t>Platteville</t>
  </si>
  <si>
    <t>J4188</t>
  </si>
  <si>
    <t>$18,810/$26,660</t>
  </si>
  <si>
    <t>State College of Florida - Manatee-Sarasota</t>
  </si>
  <si>
    <t>Schuerman</t>
  </si>
  <si>
    <t>schuera@scf.edu</t>
  </si>
  <si>
    <t>941-752-5576</t>
  </si>
  <si>
    <t>n1951</t>
  </si>
  <si>
    <t>DIII19786</t>
  </si>
  <si>
    <t>University of Wisconsin - River Falls</t>
  </si>
  <si>
    <t>wdmccoy@indianatech.edu</t>
  </si>
  <si>
    <t>South Florida-Manatee-Sarasota</t>
  </si>
  <si>
    <t>Dohlman</t>
  </si>
  <si>
    <t>Sarasota</t>
  </si>
  <si>
    <t>amber.dohlman@uwrf.edu</t>
  </si>
  <si>
    <t>715-425-4032 715-425-4032</t>
  </si>
  <si>
    <t>508-600</t>
  </si>
  <si>
    <t>478-600</t>
  </si>
  <si>
    <t>$14,987/$25,901</t>
  </si>
  <si>
    <t>J4189</t>
  </si>
  <si>
    <t>Puls</t>
  </si>
  <si>
    <t>Wolverine-Hoosier</t>
  </si>
  <si>
    <t>n1952</t>
  </si>
  <si>
    <t>Wisconsin-River Falls</t>
  </si>
  <si>
    <t>River Falls</t>
  </si>
  <si>
    <t>Ellena</t>
  </si>
  <si>
    <t>Cott-Laurie</t>
  </si>
  <si>
    <t>emcott-laurie@indianatech.edu</t>
  </si>
  <si>
    <t>$18,491/$26,064</t>
  </si>
  <si>
    <t>J4190</t>
  </si>
  <si>
    <t>Cummins</t>
  </si>
  <si>
    <t>DIII19787</t>
  </si>
  <si>
    <t>Fern</t>
  </si>
  <si>
    <t>sarah.fern@uwrf.edu</t>
  </si>
  <si>
    <t>Graduate Asst Kirsten has been removed.</t>
  </si>
  <si>
    <t>J4191</t>
  </si>
  <si>
    <t>DIII19788</t>
  </si>
  <si>
    <t>AC Patty has been removed.</t>
  </si>
  <si>
    <t>St. Johns River State College</t>
  </si>
  <si>
    <t>Marti</t>
  </si>
  <si>
    <t>martilittlefield@sjrstate.edu</t>
  </si>
  <si>
    <t>386-312-4163</t>
  </si>
  <si>
    <t>Indiana Wesleyan University</t>
  </si>
  <si>
    <t>Babinski</t>
  </si>
  <si>
    <t>steve.babinski@indwes.edu</t>
  </si>
  <si>
    <t>765-677-2319</t>
  </si>
  <si>
    <t>DIII19827</t>
  </si>
  <si>
    <t>St. John's River State</t>
  </si>
  <si>
    <t>University of Wisconsin - Stevens Point</t>
  </si>
  <si>
    <t>Palatka</t>
  </si>
  <si>
    <t>Konitzer</t>
  </si>
  <si>
    <t>Ryan.Konitzer@uwsp.edu</t>
  </si>
  <si>
    <t>920-680-3469 920-680-3469</t>
  </si>
  <si>
    <t>Indiana Wesleyan</t>
  </si>
  <si>
    <t>alissasmith@sjrstate.edu</t>
  </si>
  <si>
    <t>Wisconsin-Stevens Point</t>
  </si>
  <si>
    <t>Stevens Point</t>
  </si>
  <si>
    <t>$18,290/$26,557</t>
  </si>
  <si>
    <t>Hartsell</t>
  </si>
  <si>
    <t>DIII19828</t>
  </si>
  <si>
    <t>Jaskolski</t>
  </si>
  <si>
    <t>ajaskols@uwsp.edu</t>
  </si>
  <si>
    <t>715-853-3337 715-853-3337</t>
  </si>
  <si>
    <t>Juber</t>
  </si>
  <si>
    <t>J4213</t>
  </si>
  <si>
    <t>kevin.juber@indwes.edu</t>
  </si>
  <si>
    <t>St. Petersburg College</t>
  </si>
  <si>
    <t>Bre</t>
  </si>
  <si>
    <t>765-677-2442</t>
  </si>
  <si>
    <t>myers.breanna@spcollege.edu</t>
  </si>
  <si>
    <t>727-791-2627</t>
  </si>
  <si>
    <t>$19,199/$26,488</t>
  </si>
  <si>
    <t>DIII19829</t>
  </si>
  <si>
    <t>Barthels</t>
  </si>
  <si>
    <t>J4230</t>
  </si>
  <si>
    <t>Tallahassee Community College</t>
  </si>
  <si>
    <t>Evelyn</t>
  </si>
  <si>
    <t>Waymire</t>
  </si>
  <si>
    <t>Townsend</t>
  </si>
  <si>
    <t>evelyn.waymire@indwes.edu</t>
  </si>
  <si>
    <t>townsenp@tcc.fl.edu</t>
  </si>
  <si>
    <t>(850) 201-8076</t>
  </si>
  <si>
    <t>DIII19875</t>
  </si>
  <si>
    <t>University of Wisconsin - Stout</t>
  </si>
  <si>
    <t>Iaccino</t>
  </si>
  <si>
    <t>iaccinor@uwstout.edu</t>
  </si>
  <si>
    <t>715-232-1336</t>
  </si>
  <si>
    <t>Tallahassee CC</t>
  </si>
  <si>
    <t>Krippel</t>
  </si>
  <si>
    <t>lindsey.krippel@indwes.edu</t>
  </si>
  <si>
    <t>$10,626/$16,606</t>
  </si>
  <si>
    <t>Wisconsin-Stout</t>
  </si>
  <si>
    <t>Menomonie</t>
  </si>
  <si>
    <t>$19,539/$27,285</t>
  </si>
  <si>
    <t>J4231</t>
  </si>
  <si>
    <t>Abbie</t>
  </si>
  <si>
    <t>Millete</t>
  </si>
  <si>
    <t>milletea@tcc.fl.edu</t>
  </si>
  <si>
    <t>(850) 558-3611</t>
  </si>
  <si>
    <t>n2125</t>
  </si>
  <si>
    <t>DIII19876</t>
  </si>
  <si>
    <t>Indiana University - South Bend</t>
  </si>
  <si>
    <t>Iliopoulos</t>
  </si>
  <si>
    <t>iliopoulosc@uwstout.edu</t>
  </si>
  <si>
    <t>newellna@iusb.edu</t>
  </si>
  <si>
    <t>J4232</t>
  </si>
  <si>
    <t>Sapp</t>
  </si>
  <si>
    <t>sappb@tcc.fl.edu</t>
  </si>
  <si>
    <t>Indiana-South Bend</t>
  </si>
  <si>
    <t>DIII19916</t>
  </si>
  <si>
    <t>University of Wisconsin - Superior</t>
  </si>
  <si>
    <t>Bursik</t>
  </si>
  <si>
    <t>$19,441/$31,051</t>
  </si>
  <si>
    <t>nbursik@uwsuper.edu</t>
  </si>
  <si>
    <t>715-395-4619</t>
  </si>
  <si>
    <t>J4239</t>
  </si>
  <si>
    <t>Abraham Baldwin Agricultural College</t>
  </si>
  <si>
    <t>jmartinez@abac.edu</t>
  </si>
  <si>
    <t>229-391-4929</t>
  </si>
  <si>
    <t>Indiana University - Southeast</t>
  </si>
  <si>
    <t>Abraham Baldwin</t>
  </si>
  <si>
    <t>Witten</t>
  </si>
  <si>
    <t>Tifton</t>
  </si>
  <si>
    <t>WittenJ@ius.edu</t>
  </si>
  <si>
    <t>812-941-2435</t>
  </si>
  <si>
    <t>Agriculatural school</t>
  </si>
  <si>
    <t>410-528</t>
  </si>
  <si>
    <t>$15,025/$21,632</t>
  </si>
  <si>
    <t>Wisconsin-Superior</t>
  </si>
  <si>
    <t>Superior</t>
  </si>
  <si>
    <t>$19,258/$26,831</t>
  </si>
  <si>
    <t>Indiana-Southeast</t>
  </si>
  <si>
    <t>New Albany</t>
  </si>
  <si>
    <t>J4240</t>
  </si>
  <si>
    <t>$19,991/$31,601</t>
  </si>
  <si>
    <t>mreed8@abac.edu</t>
  </si>
  <si>
    <t>DIII19917</t>
  </si>
  <si>
    <t>J11277</t>
  </si>
  <si>
    <t>c: 218-348-9898</t>
  </si>
  <si>
    <t>Andrew College</t>
  </si>
  <si>
    <t>Pair</t>
  </si>
  <si>
    <t>davidpair@andrewcollege.edu</t>
  </si>
  <si>
    <t>229-732-5937</t>
  </si>
  <si>
    <t>DeArk Witten</t>
  </si>
  <si>
    <t>Andrew (GA)</t>
  </si>
  <si>
    <t>Cuthbert</t>
  </si>
  <si>
    <t>DIII19981</t>
  </si>
  <si>
    <t>University of Wisconsin - Whitewater</t>
  </si>
  <si>
    <t>Volk</t>
  </si>
  <si>
    <t>volkb@uww.edu</t>
  </si>
  <si>
    <t>262-472-1155 262-472-1155</t>
  </si>
  <si>
    <t>J4260</t>
  </si>
  <si>
    <t>Pierce</t>
  </si>
  <si>
    <t>kaylawilliams@andrewcollege.edu</t>
  </si>
  <si>
    <t>Wisconsin-Whitewater</t>
  </si>
  <si>
    <t>Whitewater</t>
  </si>
  <si>
    <t>J4261</t>
  </si>
  <si>
    <t>$17,676/$26,249</t>
  </si>
  <si>
    <t>AC Hope has been removed.</t>
  </si>
  <si>
    <t>J4262</t>
  </si>
  <si>
    <t>DIII19982</t>
  </si>
  <si>
    <t>Ashtyn</t>
  </si>
  <si>
    <t>ashtynbray@andrewcollege.edu</t>
  </si>
  <si>
    <t>Bonuso</t>
  </si>
  <si>
    <t>bonusob@uww.edu</t>
  </si>
  <si>
    <t>262-472-1476 262-472-1476</t>
  </si>
  <si>
    <t>East Georgia State College</t>
  </si>
  <si>
    <t>Wimberly Jr.</t>
  </si>
  <si>
    <t>Marian University - Indiana</t>
  </si>
  <si>
    <t>cwimberly@ega.edu</t>
  </si>
  <si>
    <t>sfleming@marian.edu</t>
  </si>
  <si>
    <t>317.955.6106</t>
  </si>
  <si>
    <t>DIII19983</t>
  </si>
  <si>
    <t>evanss@uww.edu</t>
  </si>
  <si>
    <t>East Georgia</t>
  </si>
  <si>
    <t>Swainsboro</t>
  </si>
  <si>
    <t>$15,790/$21,865</t>
  </si>
  <si>
    <t>Marian (IN)</t>
  </si>
  <si>
    <t>Charity</t>
  </si>
  <si>
    <t>cjennings@ega.edu</t>
  </si>
  <si>
    <t>J10773</t>
  </si>
  <si>
    <t>St. Francis College</t>
  </si>
  <si>
    <t>Bolyn</t>
  </si>
  <si>
    <t>Georgia Highlands College</t>
  </si>
  <si>
    <t>Sloan</t>
  </si>
  <si>
    <t>rbolyn@sf.edu</t>
  </si>
  <si>
    <t>260-399-7700 ext 6231</t>
  </si>
  <si>
    <t>ssloan@highlands.edu</t>
  </si>
  <si>
    <t>678-872-8243</t>
  </si>
  <si>
    <t>St. Francis (IN)</t>
  </si>
  <si>
    <t>Georgia Highlands</t>
  </si>
  <si>
    <t>J11240</t>
  </si>
  <si>
    <t>Fortel</t>
  </si>
  <si>
    <t>jfortel@highlands.edu</t>
  </si>
  <si>
    <t>678-872-8141</t>
  </si>
  <si>
    <t>n2268</t>
  </si>
  <si>
    <t>Taylor University</t>
  </si>
  <si>
    <t>Kotlarz</t>
  </si>
  <si>
    <t>erin_kotlarz@taylor.edu</t>
  </si>
  <si>
    <t>765-998-4706</t>
  </si>
  <si>
    <t>J4300</t>
  </si>
  <si>
    <t>HC Melissa, ACs Cody and Freddie have been removed.</t>
  </si>
  <si>
    <t>Taylor (IN)</t>
  </si>
  <si>
    <t>Upland</t>
  </si>
  <si>
    <t>470-630</t>
  </si>
  <si>
    <t>n2269</t>
  </si>
  <si>
    <t>Ehle</t>
  </si>
  <si>
    <t>J4313</t>
  </si>
  <si>
    <t>Georgia Military College - Milledgeville</t>
  </si>
  <si>
    <t>Bunn</t>
  </si>
  <si>
    <t>amayhue@gmc.edu</t>
  </si>
  <si>
    <t>n2270</t>
  </si>
  <si>
    <t>478-387-4961</t>
  </si>
  <si>
    <t>Lumpkin</t>
  </si>
  <si>
    <t>Georgia Military</t>
  </si>
  <si>
    <t>n2271</t>
  </si>
  <si>
    <t>n2310</t>
  </si>
  <si>
    <t>Briar Cliff University</t>
  </si>
  <si>
    <t>Bly</t>
  </si>
  <si>
    <t>erin.marie.bly@gmail.com</t>
  </si>
  <si>
    <t>708-253-2277</t>
  </si>
  <si>
    <t>J4314</t>
  </si>
  <si>
    <t>ewise@gmc.edu</t>
  </si>
  <si>
    <t>Briar Cliff</t>
  </si>
  <si>
    <t>404-889-7989</t>
  </si>
  <si>
    <t>Sioux City</t>
  </si>
  <si>
    <t>1,010 total composite</t>
  </si>
  <si>
    <t>n2311</t>
  </si>
  <si>
    <t>bryce.bly@briarcliff.edu</t>
  </si>
  <si>
    <t>J4329</t>
  </si>
  <si>
    <t>Gordon State College</t>
  </si>
  <si>
    <t>Hatterman</t>
  </si>
  <si>
    <t>ahattermann@gordonstate.edu</t>
  </si>
  <si>
    <t>678-359-5351</t>
  </si>
  <si>
    <t>Merkle</t>
  </si>
  <si>
    <t>kelly.merkle@briarcliff.edu</t>
  </si>
  <si>
    <t>Gordon State</t>
  </si>
  <si>
    <t>Barnesville</t>
  </si>
  <si>
    <t>15-20</t>
  </si>
  <si>
    <t>$17,114/$24,859</t>
  </si>
  <si>
    <t>n2335</t>
  </si>
  <si>
    <t>Clarke University</t>
  </si>
  <si>
    <t>garland.shirley@clarke.edu</t>
  </si>
  <si>
    <t>563.588.6619</t>
  </si>
  <si>
    <t>J4330</t>
  </si>
  <si>
    <t>Clarke (IA)</t>
  </si>
  <si>
    <t>Moncrief</t>
  </si>
  <si>
    <t>433-530</t>
  </si>
  <si>
    <t>nikim@gordonstate.edu</t>
  </si>
  <si>
    <t>n2366</t>
  </si>
  <si>
    <t>Dordt University</t>
  </si>
  <si>
    <t>Zomer</t>
  </si>
  <si>
    <t>Jeff.Zomer@dordt.edu</t>
  </si>
  <si>
    <t>712-722-6310</t>
  </si>
  <si>
    <t>J4338</t>
  </si>
  <si>
    <t>South Georgia State College</t>
  </si>
  <si>
    <t>Savage</t>
  </si>
  <si>
    <t>jeff.savage@sgsc.edu</t>
  </si>
  <si>
    <t>912-260-4222</t>
  </si>
  <si>
    <t>Dordt</t>
  </si>
  <si>
    <t>Sioux Center</t>
  </si>
  <si>
    <t>South Georgia State</t>
  </si>
  <si>
    <t>n2367</t>
  </si>
  <si>
    <t>$16,517/$22,592</t>
  </si>
  <si>
    <t>Roseberry</t>
  </si>
  <si>
    <t>J4339</t>
  </si>
  <si>
    <t>n2368</t>
  </si>
  <si>
    <t>Janice</t>
  </si>
  <si>
    <t>janicemsavage@gmail.com</t>
  </si>
  <si>
    <t>North Idaho College</t>
  </si>
  <si>
    <t>Shay</t>
  </si>
  <si>
    <t>n2411</t>
  </si>
  <si>
    <t>Fuson</t>
  </si>
  <si>
    <t>Shay.Fuson@nic.edu</t>
  </si>
  <si>
    <t>Graceland University</t>
  </si>
  <si>
    <t>(208) 769-7879</t>
  </si>
  <si>
    <t>Verwers</t>
  </si>
  <si>
    <t>tverwers@graceland.edu</t>
  </si>
  <si>
    <t>641-784-5319</t>
  </si>
  <si>
    <t>North Idaho</t>
  </si>
  <si>
    <t>Coeur d'Alene</t>
  </si>
  <si>
    <t>$14,754 (in-district)/$16,090/$19,626</t>
  </si>
  <si>
    <t>Graceland (IA)</t>
  </si>
  <si>
    <t>Lamoni</t>
  </si>
  <si>
    <t>Jordyn</t>
  </si>
  <si>
    <t>McCraken</t>
  </si>
  <si>
    <t>Jordyn.McCracken@nic.edu</t>
  </si>
  <si>
    <t>(208) 769-7830</t>
  </si>
  <si>
    <t>n2412</t>
  </si>
  <si>
    <t>dudek@graceland.edu</t>
  </si>
  <si>
    <t>Fierro</t>
  </si>
  <si>
    <t>n2435</t>
  </si>
  <si>
    <t>Grand View University</t>
  </si>
  <si>
    <t>Yacinich</t>
  </si>
  <si>
    <t>layacinich@grandview.edu</t>
  </si>
  <si>
    <t>515-263-2965</t>
  </si>
  <si>
    <t>J4378</t>
  </si>
  <si>
    <t>College of Southern Idaho</t>
  </si>
  <si>
    <t>Baumert</t>
  </si>
  <si>
    <t>nbaumert@csi.edu</t>
  </si>
  <si>
    <t>208-732-6494</t>
  </si>
  <si>
    <t>Grand View (IA)</t>
  </si>
  <si>
    <t>Southern Idaho</t>
  </si>
  <si>
    <t>Twin Falls</t>
  </si>
  <si>
    <t>n2436</t>
  </si>
  <si>
    <t>Willer</t>
  </si>
  <si>
    <t>$13,378 (in-district)/$14,378/$16,978</t>
  </si>
  <si>
    <t>Morningside College</t>
  </si>
  <si>
    <t>Jones-Sitzmann</t>
  </si>
  <si>
    <t>jonessitzmann@morningside.edu</t>
  </si>
  <si>
    <t>712-274-5223</t>
  </si>
  <si>
    <t>J4379</t>
  </si>
  <si>
    <t>Morningside</t>
  </si>
  <si>
    <t>Black Hawk College - Quad Cities</t>
  </si>
  <si>
    <t>Foland</t>
  </si>
  <si>
    <t>Calderon</t>
  </si>
  <si>
    <t>calderonc@bhc.edu</t>
  </si>
  <si>
    <t>309-796-5606</t>
  </si>
  <si>
    <t>Lyman</t>
  </si>
  <si>
    <t>Black Hawk</t>
  </si>
  <si>
    <t>Moline</t>
  </si>
  <si>
    <t>$16,559 (in-district)/$19,649/$19,799</t>
  </si>
  <si>
    <t>n2525</t>
  </si>
  <si>
    <t>Mount Mercy University</t>
  </si>
  <si>
    <t>Yoder</t>
  </si>
  <si>
    <t>lyoder@mtmercy.edu</t>
  </si>
  <si>
    <t>319-363-1323, x1576</t>
  </si>
  <si>
    <t>Mount Mercy</t>
  </si>
  <si>
    <t>n2526</t>
  </si>
  <si>
    <t>Olachnovitch</t>
  </si>
  <si>
    <t>Altemeier</t>
  </si>
  <si>
    <t>n2527</t>
  </si>
  <si>
    <t>gjohnson@mtmercy.edu</t>
  </si>
  <si>
    <t>n2528</t>
  </si>
  <si>
    <t>Carl Sandburg College</t>
  </si>
  <si>
    <t>Jader</t>
  </si>
  <si>
    <t>twinkler@sandburg.edu</t>
  </si>
  <si>
    <t>309.341.5345</t>
  </si>
  <si>
    <t>n2529</t>
  </si>
  <si>
    <t>Sandburg</t>
  </si>
  <si>
    <t>n2568</t>
  </si>
  <si>
    <t>Northwestern College - Iowa</t>
  </si>
  <si>
    <t>$12, 286 (in-district)/$14,554/$15,226</t>
  </si>
  <si>
    <t>Carl Sandburg</t>
  </si>
  <si>
    <t>shane.bouman@nwciowa.edu</t>
  </si>
  <si>
    <t>712-707-7298</t>
  </si>
  <si>
    <t>Northwestern (IA)</t>
  </si>
  <si>
    <t>J11260</t>
  </si>
  <si>
    <t>Orange City</t>
  </si>
  <si>
    <t>Danville Area Community College</t>
  </si>
  <si>
    <t>Shailen</t>
  </si>
  <si>
    <t>n2569</t>
  </si>
  <si>
    <t>Danville Area CC</t>
  </si>
  <si>
    <t>$11,528/$14,603</t>
  </si>
  <si>
    <t>n2570</t>
  </si>
  <si>
    <t>De Jong</t>
  </si>
  <si>
    <t>J4407</t>
  </si>
  <si>
    <t>Zust</t>
  </si>
  <si>
    <t>mcervantes@dacc.edu</t>
  </si>
  <si>
    <t>217-443-8550</t>
  </si>
  <si>
    <t>n2608</t>
  </si>
  <si>
    <t>St. Ambrose University</t>
  </si>
  <si>
    <t>Ferrill</t>
  </si>
  <si>
    <t>FerrillRonaldW@sau.edu</t>
  </si>
  <si>
    <t>563-333-5860</t>
  </si>
  <si>
    <t>J4408</t>
  </si>
  <si>
    <t>kcervantes@dacc.edu</t>
  </si>
  <si>
    <t>217-443-8561</t>
  </si>
  <si>
    <t>St. Ambrose</t>
  </si>
  <si>
    <t>J4409</t>
  </si>
  <si>
    <t>Wedel</t>
  </si>
  <si>
    <t>n2652</t>
  </si>
  <si>
    <t>Waldorf University</t>
  </si>
  <si>
    <t>Lexy</t>
  </si>
  <si>
    <t>Determan</t>
  </si>
  <si>
    <t>lexy.determan@waldorf.edu</t>
  </si>
  <si>
    <t>641-585-1655, x2205</t>
  </si>
  <si>
    <t>Waldorf (IA)</t>
  </si>
  <si>
    <t>Forest City</t>
  </si>
  <si>
    <t>J10760</t>
  </si>
  <si>
    <t>College of DuPage</t>
  </si>
  <si>
    <t>petersk245@cod.edu</t>
  </si>
  <si>
    <t>(630) 942-2756 (630) 942-2756</t>
  </si>
  <si>
    <t>Valadez</t>
  </si>
  <si>
    <t>samantha.valadez@waldorf.edu</t>
  </si>
  <si>
    <t>William Penn University</t>
  </si>
  <si>
    <t>DuPage</t>
  </si>
  <si>
    <t>Christner</t>
  </si>
  <si>
    <t>Glen Ellyn</t>
  </si>
  <si>
    <t>christnerm@wmpenn.edu</t>
  </si>
  <si>
    <t>641-673-1707</t>
  </si>
  <si>
    <t>$18,546/$24,156</t>
  </si>
  <si>
    <t>William Penn</t>
  </si>
  <si>
    <t>Oskaloosa</t>
  </si>
  <si>
    <t>J4433</t>
  </si>
  <si>
    <t>Connell</t>
  </si>
  <si>
    <t>connel@cod.edu</t>
  </si>
  <si>
    <t>(630) 942-2724</t>
  </si>
  <si>
    <t>Hemsley</t>
  </si>
  <si>
    <t>J4434</t>
  </si>
  <si>
    <t>Gemma</t>
  </si>
  <si>
    <t>Froehle</t>
  </si>
  <si>
    <t>gemmamiller@wmpenn.edu</t>
  </si>
  <si>
    <t>froehleb@cod.edu</t>
  </si>
  <si>
    <t>J4435</t>
  </si>
  <si>
    <t>Cecilia</t>
  </si>
  <si>
    <t>Portillo</t>
  </si>
  <si>
    <t>portilloc494@cod.edu</t>
  </si>
  <si>
    <t>Elgin Community College</t>
  </si>
  <si>
    <t>Karasewski</t>
  </si>
  <si>
    <t>jkarasewski@elgin.edu</t>
  </si>
  <si>
    <t>847-214-7515</t>
  </si>
  <si>
    <t>Elgin CC</t>
  </si>
  <si>
    <t>$13,662/$21,089</t>
  </si>
  <si>
    <t>n2727</t>
  </si>
  <si>
    <t>Baker University</t>
  </si>
  <si>
    <t>Goss</t>
  </si>
  <si>
    <t>dana.goss@bakeru.edu</t>
  </si>
  <si>
    <t>(785)-594-4567</t>
  </si>
  <si>
    <t>J10730</t>
  </si>
  <si>
    <t>Harper College</t>
  </si>
  <si>
    <t>Brandy</t>
  </si>
  <si>
    <t>Heraty</t>
  </si>
  <si>
    <t>Baker (KS)</t>
  </si>
  <si>
    <t>Baldwin City</t>
  </si>
  <si>
    <t>520-570</t>
  </si>
  <si>
    <t>n2764</t>
  </si>
  <si>
    <t>Harper (IL)</t>
  </si>
  <si>
    <t>Benedictine College</t>
  </si>
  <si>
    <t>Palatine</t>
  </si>
  <si>
    <t>phunt@benedictine.edu</t>
  </si>
  <si>
    <t>$20,241/$26,409</t>
  </si>
  <si>
    <t>Benedictine (KS)</t>
  </si>
  <si>
    <t>Atchison</t>
  </si>
  <si>
    <t>445-610</t>
  </si>
  <si>
    <t>J10780</t>
  </si>
  <si>
    <t>Szarabajka</t>
  </si>
  <si>
    <t>kszaraba@harpercollege.edu</t>
  </si>
  <si>
    <t>847-306-1547 847-306-1547</t>
  </si>
  <si>
    <t>n2793</t>
  </si>
  <si>
    <t>Bethany College - Kansas</t>
  </si>
  <si>
    <t>Cary</t>
  </si>
  <si>
    <t>carygj@bethanylb.edu</t>
  </si>
  <si>
    <t>(785) 227-3380, x8180</t>
  </si>
  <si>
    <t>J4467</t>
  </si>
  <si>
    <t>Bethany (KS)</t>
  </si>
  <si>
    <t>Lindsborg</t>
  </si>
  <si>
    <t>KCAC</t>
  </si>
  <si>
    <t>n2794</t>
  </si>
  <si>
    <t>Johnny</t>
  </si>
  <si>
    <t>rodriguezjw@bethanylb.edu</t>
  </si>
  <si>
    <t>J4468</t>
  </si>
  <si>
    <t>AC Isabelle has been removed.</t>
  </si>
  <si>
    <t>n2795</t>
  </si>
  <si>
    <t>Apdiel</t>
  </si>
  <si>
    <t>vazquezao@bethanylb.edu</t>
  </si>
  <si>
    <t>J4498</t>
  </si>
  <si>
    <t>Heartland Community College</t>
  </si>
  <si>
    <t>Leverton</t>
  </si>
  <si>
    <t>Steve.Leverton@heartland.edu</t>
  </si>
  <si>
    <t>Bethel College - Kansas</t>
  </si>
  <si>
    <t>Middleton</t>
  </si>
  <si>
    <t>dmiddleton@bethelks.edu</t>
  </si>
  <si>
    <t>316-284-5545</t>
  </si>
  <si>
    <t>Heartland CC</t>
  </si>
  <si>
    <t>Bethel (KS)</t>
  </si>
  <si>
    <t>North Newton</t>
  </si>
  <si>
    <t>499 average</t>
  </si>
  <si>
    <t>450 average</t>
  </si>
  <si>
    <t>$15,620/$19,670</t>
  </si>
  <si>
    <t>J4499</t>
  </si>
  <si>
    <t>smiddleton@bethelks.edu</t>
  </si>
  <si>
    <t>316-284-5218</t>
  </si>
  <si>
    <t>Jefferson</t>
  </si>
  <si>
    <t>Casey.Jefferson@heartland.edu</t>
  </si>
  <si>
    <t>309-826-4415</t>
  </si>
  <si>
    <t>Central Christian College of Kansas</t>
  </si>
  <si>
    <t>Annis</t>
  </si>
  <si>
    <t>J4500</t>
  </si>
  <si>
    <t>aaron.annis@centralchristian.edu</t>
  </si>
  <si>
    <t>Central Christian (KS)</t>
  </si>
  <si>
    <t>McPherson</t>
  </si>
  <si>
    <t>J4501</t>
  </si>
  <si>
    <t>Audrey</t>
  </si>
  <si>
    <t>Hanouw</t>
  </si>
  <si>
    <t>n2880</t>
  </si>
  <si>
    <t>Friends University</t>
  </si>
  <si>
    <t>Segovia</t>
  </si>
  <si>
    <t>segovia@friends.edu</t>
  </si>
  <si>
    <t>316-295-5763</t>
  </si>
  <si>
    <t>J4518</t>
  </si>
  <si>
    <t>Highland Community College - Illinois</t>
  </si>
  <si>
    <t>Friends</t>
  </si>
  <si>
    <t>Born</t>
  </si>
  <si>
    <t>cborn@ft.newyorklife.com</t>
  </si>
  <si>
    <t>815.238.0794</t>
  </si>
  <si>
    <t>430-490</t>
  </si>
  <si>
    <t>Highland CC (IL)</t>
  </si>
  <si>
    <t>Freeport</t>
  </si>
  <si>
    <t>n2881</t>
  </si>
  <si>
    <t>$12,023 (in-district)/$12,473</t>
  </si>
  <si>
    <t>n2882</t>
  </si>
  <si>
    <t>J4537</t>
  </si>
  <si>
    <t>Illinois Central College</t>
  </si>
  <si>
    <t>Heather.Doty@ICC.edu</t>
  </si>
  <si>
    <t>(309) 694-5494</t>
  </si>
  <si>
    <t>Illinois Central</t>
  </si>
  <si>
    <t>East Peoria</t>
  </si>
  <si>
    <t>n6618</t>
  </si>
  <si>
    <t>$16,800/$21,600</t>
  </si>
  <si>
    <t>Ashly</t>
  </si>
  <si>
    <t>Giddens</t>
  </si>
  <si>
    <t>J4538</t>
  </si>
  <si>
    <t>Holzhauer</t>
  </si>
  <si>
    <t>n6670</t>
  </si>
  <si>
    <t>Millspaugh</t>
  </si>
  <si>
    <t>J4539</t>
  </si>
  <si>
    <t>n2893</t>
  </si>
  <si>
    <t>Haskell Indian Nations University</t>
  </si>
  <si>
    <t>gtanner@haskell.edu</t>
  </si>
  <si>
    <t>785-749-8459 x233</t>
  </si>
  <si>
    <t>J4563</t>
  </si>
  <si>
    <t>Illinois Valley Community College</t>
  </si>
  <si>
    <t>Cory</t>
  </si>
  <si>
    <t>Tomasson</t>
  </si>
  <si>
    <t>Cory_Tomasson@ivcc.edu</t>
  </si>
  <si>
    <t>815-224-0471</t>
  </si>
  <si>
    <t>Illinois Valley CC</t>
  </si>
  <si>
    <t>Oglesby</t>
  </si>
  <si>
    <t>Haskell Indian Nations</t>
  </si>
  <si>
    <t>$16,380/$23,168</t>
  </si>
  <si>
    <t>J4577</t>
  </si>
  <si>
    <t>John A Logan College</t>
  </si>
  <si>
    <t>n2915</t>
  </si>
  <si>
    <t>taylororsburn@jalc.edu</t>
  </si>
  <si>
    <t>(618) 985-3741, x8436</t>
  </si>
  <si>
    <t>Kansas Wesleyan University</t>
  </si>
  <si>
    <t>Reichard</t>
  </si>
  <si>
    <t>taylor.reichard@kwu.edu</t>
  </si>
  <si>
    <t>785.833.4407</t>
  </si>
  <si>
    <t>John A. Logan</t>
  </si>
  <si>
    <t>Carterville</t>
  </si>
  <si>
    <t xml:space="preserve">Kansas Wesleyan </t>
  </si>
  <si>
    <t>$15,470/$17,060</t>
  </si>
  <si>
    <t>Salina</t>
  </si>
  <si>
    <t>John Wood Community College</t>
  </si>
  <si>
    <t>Merle</t>
  </si>
  <si>
    <t>mjones@jwcc.edu</t>
  </si>
  <si>
    <t>217.641.4979</t>
  </si>
  <si>
    <t>John Wood CC</t>
  </si>
  <si>
    <t>n2916</t>
  </si>
  <si>
    <t>Fitch</t>
  </si>
  <si>
    <t>lacey.fitch@kwu.edu</t>
  </si>
  <si>
    <t>$15,960/$19,260</t>
  </si>
  <si>
    <t>n2967</t>
  </si>
  <si>
    <t>McPherson College</t>
  </si>
  <si>
    <t>segoviat@mcpherson.edu</t>
  </si>
  <si>
    <t>620-242-0626</t>
  </si>
  <si>
    <t>J11268</t>
  </si>
  <si>
    <t>Joliet Junior College</t>
  </si>
  <si>
    <t>emarino@jjc.edu</t>
  </si>
  <si>
    <t>(815) 280-2591 (815) 280-2591</t>
  </si>
  <si>
    <t>Joliet JC</t>
  </si>
  <si>
    <t>$16,286/$23,044</t>
  </si>
  <si>
    <t>n2968</t>
  </si>
  <si>
    <t>wrighta@mcpherson.edu</t>
  </si>
  <si>
    <t>620-242-0590</t>
  </si>
  <si>
    <t>J4605</t>
  </si>
  <si>
    <t>O'Shea</t>
  </si>
  <si>
    <t>koshea@jjc.edu</t>
  </si>
  <si>
    <t>(815) 280-2591</t>
  </si>
  <si>
    <t>n2969</t>
  </si>
  <si>
    <t>J4606</t>
  </si>
  <si>
    <t>Interim HC John has been removed.</t>
  </si>
  <si>
    <t>J4607</t>
  </si>
  <si>
    <t>n2970</t>
  </si>
  <si>
    <t>Betker</t>
  </si>
  <si>
    <t>Recruiting Coor (West Coast)</t>
  </si>
  <si>
    <t>Volunteer AC Ali has been removed.</t>
  </si>
  <si>
    <t>n6964</t>
  </si>
  <si>
    <t>Saldivar</t>
  </si>
  <si>
    <t>saldivaa@mcpherson.edu</t>
  </si>
  <si>
    <t>Kankakee Community College</t>
  </si>
  <si>
    <t>kcooper@kcc.edu</t>
  </si>
  <si>
    <t>815-802-8606</t>
  </si>
  <si>
    <t>n3006</t>
  </si>
  <si>
    <t>MidAmerica Nazarene University</t>
  </si>
  <si>
    <t>rwade@mnu.edu</t>
  </si>
  <si>
    <t>913-971-3747</t>
  </si>
  <si>
    <t>Kankakee CC</t>
  </si>
  <si>
    <t>Kankakee</t>
  </si>
  <si>
    <t>$15,764/$20,796</t>
  </si>
  <si>
    <t>MidAmerica Nazarene</t>
  </si>
  <si>
    <t>Olathe</t>
  </si>
  <si>
    <t>J4624</t>
  </si>
  <si>
    <t>Kaskaskia College</t>
  </si>
  <si>
    <t>jbarnes@kaskaskia.edu</t>
  </si>
  <si>
    <t>217-855-3020</t>
  </si>
  <si>
    <t>n3007</t>
  </si>
  <si>
    <t>Amos</t>
  </si>
  <si>
    <t>Kaskaskia</t>
  </si>
  <si>
    <t>Centralia</t>
  </si>
  <si>
    <t>n3035</t>
  </si>
  <si>
    <t>Ottawa University</t>
  </si>
  <si>
    <t>$16,962/$20,022</t>
  </si>
  <si>
    <t>Kahnt</t>
  </si>
  <si>
    <t>jay.kahnt@ottawa.edu</t>
  </si>
  <si>
    <t>785-248-2622</t>
  </si>
  <si>
    <t>Ottawa (KS)</t>
  </si>
  <si>
    <t>Ottawa</t>
  </si>
  <si>
    <t>J4644</t>
  </si>
  <si>
    <t>Kishwaukee College</t>
  </si>
  <si>
    <t>Gregait</t>
  </si>
  <si>
    <t>tgregait@kish.edu</t>
  </si>
  <si>
    <t>815-825-9848</t>
  </si>
  <si>
    <t>n3036</t>
  </si>
  <si>
    <t>sam.mendez@ottawa.edu</t>
  </si>
  <si>
    <t>785-248-2621</t>
  </si>
  <si>
    <t>Kishwaukee</t>
  </si>
  <si>
    <t>Malta</t>
  </si>
  <si>
    <t>$15,150/$19,020</t>
  </si>
  <si>
    <t>Cadie</t>
  </si>
  <si>
    <t>J4645</t>
  </si>
  <si>
    <t>cadie.odonnell@ottawa.edu</t>
  </si>
  <si>
    <t>785-248-2623</t>
  </si>
  <si>
    <t>AC Isabel has been removed.</t>
  </si>
  <si>
    <t>Southwestern College - Kansas</t>
  </si>
  <si>
    <t>J10723</t>
  </si>
  <si>
    <t>Good</t>
  </si>
  <si>
    <t>College of Lake County</t>
  </si>
  <si>
    <t>amber.good@sckans.edu</t>
  </si>
  <si>
    <t>Galazkiewicz</t>
  </si>
  <si>
    <t>405-255-0417</t>
  </si>
  <si>
    <t>mgalazkiewicz@clcillinois.edu</t>
  </si>
  <si>
    <t>847-543-2592</t>
  </si>
  <si>
    <t>Lake County</t>
  </si>
  <si>
    <t>Grayslake</t>
  </si>
  <si>
    <t>$13,888/$18,844</t>
  </si>
  <si>
    <t>Southwestern (KS)</t>
  </si>
  <si>
    <t>Winfield</t>
  </si>
  <si>
    <t>J4655</t>
  </si>
  <si>
    <t>HC Sue, AC John have been removed.</t>
  </si>
  <si>
    <t>Lake Land College</t>
  </si>
  <si>
    <t>Nic</t>
  </si>
  <si>
    <t>Nelson</t>
  </si>
  <si>
    <t>gnelson@lakelandcollege.edu</t>
  </si>
  <si>
    <t>217.234.5332</t>
  </si>
  <si>
    <t>University of Saint Mary</t>
  </si>
  <si>
    <t>Hayley</t>
  </si>
  <si>
    <t>Siebman</t>
  </si>
  <si>
    <t>Hayley.Siebman@stmary.edu</t>
  </si>
  <si>
    <t>913-758-6135</t>
  </si>
  <si>
    <t>Lake Land (IL)</t>
  </si>
  <si>
    <t>Mattoon</t>
  </si>
  <si>
    <t>St. Mary (KS)</t>
  </si>
  <si>
    <t>Lewis &amp; Clark Community College</t>
  </si>
  <si>
    <t>Ronda</t>
  </si>
  <si>
    <t>rroberts@lc.edu</t>
  </si>
  <si>
    <t>(618) 468-6270</t>
  </si>
  <si>
    <t>Lewis &amp; Clark CC (IL)</t>
  </si>
  <si>
    <t>Godfrey</t>
  </si>
  <si>
    <t>$13,974/$19,398</t>
  </si>
  <si>
    <t>J4700</t>
  </si>
  <si>
    <t>Lincoln Land Community College</t>
  </si>
  <si>
    <t>Wisner</t>
  </si>
  <si>
    <t>rachel.wisner@llcc.edu</t>
  </si>
  <si>
    <t>217-786-2484</t>
  </si>
  <si>
    <t>Lincoln Land CC</t>
  </si>
  <si>
    <t>$15,769/$18,529</t>
  </si>
  <si>
    <t>Sterling College - Kansas</t>
  </si>
  <si>
    <t>Lincoln Trail College</t>
  </si>
  <si>
    <t>rodgersg@iecc.edu</t>
  </si>
  <si>
    <t>618-544-5299</t>
  </si>
  <si>
    <t>Lincoln Trail</t>
  </si>
  <si>
    <t>$12,487/$18,420</t>
  </si>
  <si>
    <t>Sterling (KS)</t>
  </si>
  <si>
    <t>McHenry County College</t>
  </si>
  <si>
    <t>wwarner@mchenry.edu</t>
  </si>
  <si>
    <t>McHenry CC</t>
  </si>
  <si>
    <t>Crystal Lake</t>
  </si>
  <si>
    <t>$19,886/$27,183</t>
  </si>
  <si>
    <t>Bati</t>
  </si>
  <si>
    <t>jessica.bati@sterling.edu</t>
  </si>
  <si>
    <t>760-220-6810</t>
  </si>
  <si>
    <t>Ladaa</t>
  </si>
  <si>
    <t>bladaa@mchenry.edu</t>
  </si>
  <si>
    <t>Byanka</t>
  </si>
  <si>
    <t>Diosdado</t>
  </si>
  <si>
    <t>J4751</t>
  </si>
  <si>
    <t>Moraine Valley Community College</t>
  </si>
  <si>
    <t>Sobol</t>
  </si>
  <si>
    <t>ssobol4@gmail.com</t>
  </si>
  <si>
    <t>(708) 974-5773</t>
  </si>
  <si>
    <t>n3167</t>
  </si>
  <si>
    <t>Moraine Valley CC</t>
  </si>
  <si>
    <t>Palos Hills</t>
  </si>
  <si>
    <t>Tabor College</t>
  </si>
  <si>
    <t>Brewer</t>
  </si>
  <si>
    <t>jeffbrewer@tabor.edu</t>
  </si>
  <si>
    <t>620-947-3121, x1640</t>
  </si>
  <si>
    <t>$18,017/$23,057</t>
  </si>
  <si>
    <t>J4752</t>
  </si>
  <si>
    <t>Bulthius</t>
  </si>
  <si>
    <t>(708) 974-5727</t>
  </si>
  <si>
    <t>Tabor (KS)</t>
  </si>
  <si>
    <t>Hillsboro</t>
  </si>
  <si>
    <t>J4753</t>
  </si>
  <si>
    <t>Vanek</t>
  </si>
  <si>
    <t>n3190</t>
  </si>
  <si>
    <t>Alice Lloyd College</t>
  </si>
  <si>
    <t>nathanhall@alc.edu</t>
  </si>
  <si>
    <t>(606) 477-1200</t>
  </si>
  <si>
    <t>Alice Lloyd</t>
  </si>
  <si>
    <t>Pippa Passes</t>
  </si>
  <si>
    <t>J11241</t>
  </si>
  <si>
    <t>Morton College</t>
  </si>
  <si>
    <t>Gaines</t>
  </si>
  <si>
    <t>Morton (IL)</t>
  </si>
  <si>
    <t>Cicero</t>
  </si>
  <si>
    <t>n3205</t>
  </si>
  <si>
    <t>Asbury University</t>
  </si>
  <si>
    <t>Zack</t>
  </si>
  <si>
    <t>$20,692/$24,788</t>
  </si>
  <si>
    <t>zack.parsons@asbury.edu</t>
  </si>
  <si>
    <t>Asbury</t>
  </si>
  <si>
    <t>Wilmore</t>
  </si>
  <si>
    <t>J11254</t>
  </si>
  <si>
    <t>49-610</t>
  </si>
  <si>
    <t>n3206</t>
  </si>
  <si>
    <t>J4777</t>
  </si>
  <si>
    <t>McNary</t>
  </si>
  <si>
    <t>Netzel</t>
  </si>
  <si>
    <t>paul.netzel@morton.edu</t>
  </si>
  <si>
    <t>331-210-8645</t>
  </si>
  <si>
    <t>n3207</t>
  </si>
  <si>
    <t>Oakton Community College</t>
  </si>
  <si>
    <t>Katherine</t>
  </si>
  <si>
    <t>Lankford</t>
  </si>
  <si>
    <t>klankford@oakton.edu</t>
  </si>
  <si>
    <t>Oakton CC</t>
  </si>
  <si>
    <t>Des Plaines</t>
  </si>
  <si>
    <t>$16,789/$22,914</t>
  </si>
  <si>
    <t>Brescia University</t>
  </si>
  <si>
    <t>traci.smith@brescia.edu</t>
  </si>
  <si>
    <t>270-686-4341</t>
  </si>
  <si>
    <t>J4828</t>
  </si>
  <si>
    <t>Olney Central College</t>
  </si>
  <si>
    <t>Short</t>
  </si>
  <si>
    <t>shortn@iecc.edu</t>
  </si>
  <si>
    <t>618-395-7777, x2223</t>
  </si>
  <si>
    <t>Olney Central</t>
  </si>
  <si>
    <t>Brescia</t>
  </si>
  <si>
    <t>405-515</t>
  </si>
  <si>
    <t>460-520</t>
  </si>
  <si>
    <t>$12,487 (in-district)/$18,420</t>
  </si>
  <si>
    <t>J4829</t>
  </si>
  <si>
    <t>n3264</t>
  </si>
  <si>
    <t>Campbellsville University</t>
  </si>
  <si>
    <t>Wathen</t>
  </si>
  <si>
    <t>slwathen@campbellsville.edu</t>
  </si>
  <si>
    <t>270-789-5335</t>
  </si>
  <si>
    <t>J4830</t>
  </si>
  <si>
    <t>Teddi</t>
  </si>
  <si>
    <t>Helsel</t>
  </si>
  <si>
    <t>Campbellsville</t>
  </si>
  <si>
    <t>473-568</t>
  </si>
  <si>
    <t>J4841</t>
  </si>
  <si>
    <t>Parkland College</t>
  </si>
  <si>
    <t>Paulson</t>
  </si>
  <si>
    <t>co-Head coach/Rec Coor</t>
  </si>
  <si>
    <t>dpaulson@parkland.edu</t>
  </si>
  <si>
    <t>217-351-2370</t>
  </si>
  <si>
    <t>Parkland</t>
  </si>
  <si>
    <t>n3265</t>
  </si>
  <si>
    <t>Borders</t>
  </si>
  <si>
    <t>$14,710/$21,100</t>
  </si>
  <si>
    <t>kborders@campbellsville.edu</t>
  </si>
  <si>
    <t>c: 615-207-1768</t>
  </si>
  <si>
    <t>J4842</t>
  </si>
  <si>
    <t>kpaulson@parkland.edu</t>
  </si>
  <si>
    <t>Mid-South</t>
  </si>
  <si>
    <t>n6913</t>
  </si>
  <si>
    <t>rlmiller@campbellsville.edu</t>
  </si>
  <si>
    <t>270-789-5335 270-789-5335</t>
  </si>
  <si>
    <t>J4857</t>
  </si>
  <si>
    <t>Prairie State College</t>
  </si>
  <si>
    <t>Kassee</t>
  </si>
  <si>
    <t>n3313</t>
  </si>
  <si>
    <t>University of the Cumberlands</t>
  </si>
  <si>
    <t>Dillender</t>
  </si>
  <si>
    <t>Prairie State</t>
  </si>
  <si>
    <t>bailey.dillender@ucumberlands.edu</t>
  </si>
  <si>
    <t>Chicago Heights</t>
  </si>
  <si>
    <t>606-539-4178</t>
  </si>
  <si>
    <t>$19,524 (in-district)/$24,132</t>
  </si>
  <si>
    <t>Cumberlands (KY)</t>
  </si>
  <si>
    <t>Williamsburg</t>
  </si>
  <si>
    <t>fwilkins2@prairiestate.edu</t>
  </si>
  <si>
    <t>(708) 709-3793</t>
  </si>
  <si>
    <t>J4870</t>
  </si>
  <si>
    <t>Rend Lake College</t>
  </si>
  <si>
    <t>Ellingsworth</t>
  </si>
  <si>
    <t>n3314</t>
  </si>
  <si>
    <t>ellingsworthd@rlc.edu</t>
  </si>
  <si>
    <t>618-437-5321, x1309, 618-736-2404</t>
  </si>
  <si>
    <t>Rend Lake</t>
  </si>
  <si>
    <t>Richards</t>
  </si>
  <si>
    <t>Ina</t>
  </si>
  <si>
    <t>alyssa.richards@ucumberlands.edu</t>
  </si>
  <si>
    <t>$17,800/$19,750</t>
  </si>
  <si>
    <t>J4871</t>
  </si>
  <si>
    <t>Jenkins</t>
  </si>
  <si>
    <t>jenkinse@rlc.edu</t>
  </si>
  <si>
    <t>618-437-5321, x1250</t>
  </si>
  <si>
    <t>Georgetown College</t>
  </si>
  <si>
    <t>thomas_thornton@georgetowncollege.edu</t>
  </si>
  <si>
    <t>502-863-7017</t>
  </si>
  <si>
    <t>J4889</t>
  </si>
  <si>
    <t>Rock Valley College</t>
  </si>
  <si>
    <t>Darin</t>
  </si>
  <si>
    <t>d.monroe@rockvalleycollege.edu</t>
  </si>
  <si>
    <t>(815) 921-3822</t>
  </si>
  <si>
    <t>Rock Valley</t>
  </si>
  <si>
    <t>Georgetown (KY)</t>
  </si>
  <si>
    <t>$15,060/$20,370</t>
  </si>
  <si>
    <t>J4890</t>
  </si>
  <si>
    <t>D.J.</t>
  </si>
  <si>
    <t>d.johnson@rockvalleycollege.edu</t>
  </si>
  <si>
    <t>(815) 921-3812</t>
  </si>
  <si>
    <t>J4891</t>
  </si>
  <si>
    <t>Vivi</t>
  </si>
  <si>
    <t>Marquez</t>
  </si>
  <si>
    <t>v.marquez@rockvalleycollege.edu</t>
  </si>
  <si>
    <t>815-921-3801</t>
  </si>
  <si>
    <t>J4914</t>
  </si>
  <si>
    <t>Sauk Valley Community College</t>
  </si>
  <si>
    <t>chelsea.c.eads@svcc.edu</t>
  </si>
  <si>
    <t>Sauk Valley CC</t>
  </si>
  <si>
    <t>$15,745 (in-district)/$21,597</t>
  </si>
  <si>
    <t>J4915</t>
  </si>
  <si>
    <t>bailey.oetting@svcc.edu</t>
  </si>
  <si>
    <t>Recruiting Asst</t>
  </si>
  <si>
    <t>Shawnee Community College</t>
  </si>
  <si>
    <t>Amis</t>
  </si>
  <si>
    <t>terrella@shawneecc.edu</t>
  </si>
  <si>
    <t>270-556-7810</t>
  </si>
  <si>
    <t>Kentucky Christian University</t>
  </si>
  <si>
    <t>mdmiller@kcu.edu</t>
  </si>
  <si>
    <t>606-923-8504</t>
  </si>
  <si>
    <t>Shawnee CC</t>
  </si>
  <si>
    <t>Ullin</t>
  </si>
  <si>
    <t>$24,720 (in-district)/$26,672</t>
  </si>
  <si>
    <t>Kentucky Christian</t>
  </si>
  <si>
    <t>Grayson</t>
  </si>
  <si>
    <t>520-540</t>
  </si>
  <si>
    <t>Luna</t>
  </si>
  <si>
    <t>rlcassidy@kcu.edu</t>
  </si>
  <si>
    <t>606-922-7734</t>
  </si>
  <si>
    <t>South Suburban College</t>
  </si>
  <si>
    <t>Crandol</t>
  </si>
  <si>
    <t>kcrandol@ssc.edu</t>
  </si>
  <si>
    <t>(708) 596-2000 ext. 2578</t>
  </si>
  <si>
    <t>sjvanover@kcu.edu</t>
  </si>
  <si>
    <t>606-922-7526</t>
  </si>
  <si>
    <t>South Suburban</t>
  </si>
  <si>
    <t>South Holland</t>
  </si>
  <si>
    <t>$11,383/$17,586</t>
  </si>
  <si>
    <t>Summer</t>
  </si>
  <si>
    <t>srcollins@kcu.edu</t>
  </si>
  <si>
    <t>B.K.</t>
  </si>
  <si>
    <t>Siedentoph</t>
  </si>
  <si>
    <t>c: 304-601-8972</t>
  </si>
  <si>
    <t>J11218</t>
  </si>
  <si>
    <t>Southeastern Illinois College</t>
  </si>
  <si>
    <t>Broy</t>
  </si>
  <si>
    <t>n3450</t>
  </si>
  <si>
    <t>Lindsey Wilson College</t>
  </si>
  <si>
    <t>Dews</t>
  </si>
  <si>
    <t>dewsd@lindsey.edu</t>
  </si>
  <si>
    <t>270-384-8076</t>
  </si>
  <si>
    <t>Southeastern Illinois</t>
  </si>
  <si>
    <t>Harrisburg</t>
  </si>
  <si>
    <t>$16,525 (in-district)/$18,475</t>
  </si>
  <si>
    <t>Lindsey Wilson</t>
  </si>
  <si>
    <t>J4957</t>
  </si>
  <si>
    <t>Calcaterra</t>
  </si>
  <si>
    <t>m.calcaterra@sic.edu</t>
  </si>
  <si>
    <t>618 252-5000, x2212</t>
  </si>
  <si>
    <t>J4962</t>
  </si>
  <si>
    <t>Southwestern Illinois College</t>
  </si>
  <si>
    <t>n3451</t>
  </si>
  <si>
    <t>Juenger</t>
  </si>
  <si>
    <t>michael.juenger@swic.edu</t>
  </si>
  <si>
    <t>618.222.5370</t>
  </si>
  <si>
    <t>hawkinsw@lindsey.edu</t>
  </si>
  <si>
    <t>270-384-8598</t>
  </si>
  <si>
    <t>Southwestern Illinois</t>
  </si>
  <si>
    <t>$13,776/$22,476</t>
  </si>
  <si>
    <t>n3484</t>
  </si>
  <si>
    <t>Midway University</t>
  </si>
  <si>
    <t>Swisher</t>
  </si>
  <si>
    <t>J4963</t>
  </si>
  <si>
    <t>tswisher@midway.edu</t>
  </si>
  <si>
    <t>859.846.5834</t>
  </si>
  <si>
    <t>Spoon River College</t>
  </si>
  <si>
    <t>Midway (KY)</t>
  </si>
  <si>
    <t>Bassett</t>
  </si>
  <si>
    <t>Midway</t>
  </si>
  <si>
    <t>john.bassett@src.edu</t>
  </si>
  <si>
    <t>(309) 649-6303</t>
  </si>
  <si>
    <t>340-380</t>
  </si>
  <si>
    <t>Spoon River</t>
  </si>
  <si>
    <t>$17,400/$22,290</t>
  </si>
  <si>
    <t>River States</t>
  </si>
  <si>
    <t>n3485</t>
  </si>
  <si>
    <t>Cathey</t>
  </si>
  <si>
    <t>tcathey@midway.edu</t>
  </si>
  <si>
    <t>J4986</t>
  </si>
  <si>
    <t>Triton College</t>
  </si>
  <si>
    <t>christinachristopher@triton.edu</t>
  </si>
  <si>
    <t>708-456-0300, x3800</t>
  </si>
  <si>
    <t>n6880</t>
  </si>
  <si>
    <t>Danaria</t>
  </si>
  <si>
    <t>dlewis@midway.edu</t>
  </si>
  <si>
    <t>Triton</t>
  </si>
  <si>
    <t>River Grove</t>
  </si>
  <si>
    <t>$14,570/$20,060</t>
  </si>
  <si>
    <t>n6957</t>
  </si>
  <si>
    <t>rachel.riley@midway.edu</t>
  </si>
  <si>
    <t>J4987</t>
  </si>
  <si>
    <t>n7027</t>
  </si>
  <si>
    <t>Woodcock</t>
  </si>
  <si>
    <t>midwayusoftball@gmail.com</t>
  </si>
  <si>
    <t>J4988</t>
  </si>
  <si>
    <t>n3526</t>
  </si>
  <si>
    <t>University of Pikeville</t>
  </si>
  <si>
    <t>Staggs</t>
  </si>
  <si>
    <t>robertstaggs@upike.edu</t>
  </si>
  <si>
    <t>606-218-5357</t>
  </si>
  <si>
    <t>J4989</t>
  </si>
  <si>
    <t>Gianna</t>
  </si>
  <si>
    <t>Drager</t>
  </si>
  <si>
    <t>Pikeville</t>
  </si>
  <si>
    <t>J11243</t>
  </si>
  <si>
    <t>Wabash Valley College</t>
  </si>
  <si>
    <t>Wabash Valley</t>
  </si>
  <si>
    <t>Mt. Carmel</t>
  </si>
  <si>
    <t>n3527</t>
  </si>
  <si>
    <t>aprilcharles@upike.edu</t>
  </si>
  <si>
    <t>606-218-5383</t>
  </si>
  <si>
    <t>J11281</t>
  </si>
  <si>
    <t>Union College - Kentucky</t>
  </si>
  <si>
    <t>Priar</t>
  </si>
  <si>
    <t>amorris@unionky.edu</t>
  </si>
  <si>
    <t>606.546.1366</t>
  </si>
  <si>
    <t>J5011</t>
  </si>
  <si>
    <t>Schnarre</t>
  </si>
  <si>
    <t>schnarrep@iecc.edu</t>
  </si>
  <si>
    <t>Union (KY)</t>
  </si>
  <si>
    <t>1-618-262-8641</t>
  </si>
  <si>
    <t>Barbourville</t>
  </si>
  <si>
    <t>J5012</t>
  </si>
  <si>
    <t>Asa</t>
  </si>
  <si>
    <t>Deffendall</t>
  </si>
  <si>
    <t>deffendalla@iecc.edu</t>
  </si>
  <si>
    <t>1-618-263-5072</t>
  </si>
  <si>
    <t>laura.villagrana@unionky.edu</t>
  </si>
  <si>
    <t>J5013</t>
  </si>
  <si>
    <t>Louisiana State University - Alexandria</t>
  </si>
  <si>
    <t>Colvin</t>
  </si>
  <si>
    <t>adamb@lsua.edu</t>
  </si>
  <si>
    <t>colvinm@iecc.edu</t>
  </si>
  <si>
    <t>318-473-6486</t>
  </si>
  <si>
    <t>LSU-Alexandria</t>
  </si>
  <si>
    <t>J5024</t>
  </si>
  <si>
    <t>Alexandria</t>
  </si>
  <si>
    <t>Waubonsee Community College</t>
  </si>
  <si>
    <t>Corning</t>
  </si>
  <si>
    <t>kcorning@waubonsee.edu</t>
  </si>
  <si>
    <t>429-540</t>
  </si>
  <si>
    <t>630-466-2785</t>
  </si>
  <si>
    <t>330-580</t>
  </si>
  <si>
    <t>$19,170/$26,436</t>
  </si>
  <si>
    <t>Annalyn</t>
  </si>
  <si>
    <t>annalynb@lsua.edu</t>
  </si>
  <si>
    <t>Waubonsee CC</t>
  </si>
  <si>
    <t>Sugar Grove</t>
  </si>
  <si>
    <t>$16,708 (in-district)/$20,914</t>
  </si>
  <si>
    <t>Aleshia</t>
  </si>
  <si>
    <t>J5025</t>
  </si>
  <si>
    <t>Spitzzeri</t>
  </si>
  <si>
    <t>jspitzzeri1@waubonsee.edu</t>
  </si>
  <si>
    <t>630-466-2524</t>
  </si>
  <si>
    <t>n3688</t>
  </si>
  <si>
    <t>Washington Adventist University</t>
  </si>
  <si>
    <t>William</t>
  </si>
  <si>
    <t>wjackson@wau.edu</t>
  </si>
  <si>
    <t>410-215-3500</t>
  </si>
  <si>
    <t>J5026</t>
  </si>
  <si>
    <t>Washington Adventist</t>
  </si>
  <si>
    <t>Takoma Park</t>
  </si>
  <si>
    <t>360-520</t>
  </si>
  <si>
    <t>360-480</t>
  </si>
  <si>
    <t>14-21</t>
  </si>
  <si>
    <t>J5027</t>
  </si>
  <si>
    <t>n3699</t>
  </si>
  <si>
    <t>Fisher College</t>
  </si>
  <si>
    <t>HC Katie has been removed.</t>
  </si>
  <si>
    <t>J5048</t>
  </si>
  <si>
    <t>Ancilla College</t>
  </si>
  <si>
    <t>Anders, Jr.</t>
  </si>
  <si>
    <t>Fisher (MA)</t>
  </si>
  <si>
    <t>Tom.Anders@ancilla.edu</t>
  </si>
  <si>
    <t>Ancilla</t>
  </si>
  <si>
    <t>J5080</t>
  </si>
  <si>
    <t>Des Moines Area Community College</t>
  </si>
  <si>
    <t>n3700</t>
  </si>
  <si>
    <t>Ligouri</t>
  </si>
  <si>
    <t>rjligouri@gmail.com</t>
  </si>
  <si>
    <t>515-371-4846</t>
  </si>
  <si>
    <t>emorton@fisher.edu</t>
  </si>
  <si>
    <t>Des Moines Area CC</t>
  </si>
  <si>
    <t>n3713</t>
  </si>
  <si>
    <t>Aquinas College - Michigan</t>
  </si>
  <si>
    <t>Koch</t>
  </si>
  <si>
    <t>bsk001@aquinas.edu</t>
  </si>
  <si>
    <t>(616) 822-4567</t>
  </si>
  <si>
    <t>$17,311/$21,721</t>
  </si>
  <si>
    <t>J5081</t>
  </si>
  <si>
    <t>Thana</t>
  </si>
  <si>
    <t>Heller</t>
  </si>
  <si>
    <t>tmheller@dmacc.edu</t>
  </si>
  <si>
    <t>515-971-4381</t>
  </si>
  <si>
    <t>Aquinas</t>
  </si>
  <si>
    <t>J5082</t>
  </si>
  <si>
    <t>n3714</t>
  </si>
  <si>
    <t>Jacki</t>
  </si>
  <si>
    <t>Plough</t>
  </si>
  <si>
    <t>plougjac@aquinas.edu</t>
  </si>
  <si>
    <t>n3715</t>
  </si>
  <si>
    <t>J5083</t>
  </si>
  <si>
    <t>Bolibaugh</t>
  </si>
  <si>
    <t>mjbolibaugh@dmacc.edu</t>
  </si>
  <si>
    <t>c: 563-580-9321</t>
  </si>
  <si>
    <t>n3716</t>
  </si>
  <si>
    <t>J5101</t>
  </si>
  <si>
    <t>Ellsworth Community College</t>
  </si>
  <si>
    <t>Forsyth</t>
  </si>
  <si>
    <t>Nate.Forsyth@iavalley.edu</t>
  </si>
  <si>
    <t>641-648-8516</t>
  </si>
  <si>
    <t>Ellsworth CC</t>
  </si>
  <si>
    <t>n3717</t>
  </si>
  <si>
    <t>Iowa Falls</t>
  </si>
  <si>
    <t>Galster</t>
  </si>
  <si>
    <t>$17,086/$17,974</t>
  </si>
  <si>
    <t>n3718</t>
  </si>
  <si>
    <t>J5102</t>
  </si>
  <si>
    <t>Takas</t>
  </si>
  <si>
    <t>Burt</t>
  </si>
  <si>
    <t>Makayla.Burt@iavalley.edu</t>
  </si>
  <si>
    <t>641-648-8627</t>
  </si>
  <si>
    <t>J5103</t>
  </si>
  <si>
    <t>Kaestner</t>
  </si>
  <si>
    <t>n3719</t>
  </si>
  <si>
    <t>J11270</t>
  </si>
  <si>
    <t>Indian Hills Community College</t>
  </si>
  <si>
    <t>Jennifer.Marshall@indianhills.edu</t>
  </si>
  <si>
    <t>(641) 683-5248</t>
  </si>
  <si>
    <t>Indian Hills</t>
  </si>
  <si>
    <t>Ottumwa</t>
  </si>
  <si>
    <t>$14,043/$15,843</t>
  </si>
  <si>
    <t>J5112</t>
  </si>
  <si>
    <t>Lindsay.Diehl@indianhills.edu</t>
  </si>
  <si>
    <t>(641) 683-5299</t>
  </si>
  <si>
    <t>n7010</t>
  </si>
  <si>
    <t>VanHorn</t>
  </si>
  <si>
    <t>J5113</t>
  </si>
  <si>
    <t>Bengtson</t>
  </si>
  <si>
    <t>Kylie.Bengtson@indianhills.edu</t>
  </si>
  <si>
    <t>(641) 683-5169</t>
  </si>
  <si>
    <t>n3761</t>
  </si>
  <si>
    <t>Cleary University</t>
  </si>
  <si>
    <t>tbailey@cleary.edu</t>
  </si>
  <si>
    <t>c: 517-672-8158</t>
  </si>
  <si>
    <t>J5144</t>
  </si>
  <si>
    <t>Iowa Central Community College</t>
  </si>
  <si>
    <t>Sandquist</t>
  </si>
  <si>
    <t>sandquist@iowacentral.edu</t>
  </si>
  <si>
    <t>515-574-1347</t>
  </si>
  <si>
    <t>Cleary (MI)</t>
  </si>
  <si>
    <t>Howell</t>
  </si>
  <si>
    <t>Iowa Central CC</t>
  </si>
  <si>
    <t>Fort Dodge</t>
  </si>
  <si>
    <t>$15,924/$18,159</t>
  </si>
  <si>
    <t>n3762</t>
  </si>
  <si>
    <t>Shawnanna</t>
  </si>
  <si>
    <t>smeadows@cleary.edu</t>
  </si>
  <si>
    <t>J5145</t>
  </si>
  <si>
    <t>Bo</t>
  </si>
  <si>
    <t>Tjebben</t>
  </si>
  <si>
    <t>n3763</t>
  </si>
  <si>
    <t>tjebben@iowacentral.edu</t>
  </si>
  <si>
    <t>515-574-1345</t>
  </si>
  <si>
    <t>Malbone</t>
  </si>
  <si>
    <t>jmalbone821@my.cleary.edu</t>
  </si>
  <si>
    <t>J5146</t>
  </si>
  <si>
    <t>Schnetzer</t>
  </si>
  <si>
    <t>n7088</t>
  </si>
  <si>
    <t>Dormire</t>
  </si>
  <si>
    <t>kdormire909@cleary.edu</t>
  </si>
  <si>
    <t>J5147</t>
  </si>
  <si>
    <t>Posey</t>
  </si>
  <si>
    <t>n3784</t>
  </si>
  <si>
    <t>Concordia University - Ann Arbor</t>
  </si>
  <si>
    <t>Cavanagh</t>
  </si>
  <si>
    <t>hailey.cavanagh@cuaa.edu</t>
  </si>
  <si>
    <t>734-995-7345</t>
  </si>
  <si>
    <t>J5182</t>
  </si>
  <si>
    <t>Iowa Lakes Community College - Estherville Campus</t>
  </si>
  <si>
    <t>klarson@iowalakes.edu</t>
  </si>
  <si>
    <t>712-362-8367</t>
  </si>
  <si>
    <t>Concordia (MI)</t>
  </si>
  <si>
    <t>Iowa Lakes CC</t>
  </si>
  <si>
    <t>Emmetsburg</t>
  </si>
  <si>
    <t>$17,200/$17,552</t>
  </si>
  <si>
    <t>n3805</t>
  </si>
  <si>
    <t>Cornerstone University</t>
  </si>
  <si>
    <t>jim.farrell@cornerstone.edu</t>
  </si>
  <si>
    <t>616-318-6959</t>
  </si>
  <si>
    <t>J5216</t>
  </si>
  <si>
    <t>Iowa Western Community College</t>
  </si>
  <si>
    <t>Greer</t>
  </si>
  <si>
    <t>bgreer@iwcc.edu</t>
  </si>
  <si>
    <t>712-325-3711</t>
  </si>
  <si>
    <t>Cornerstone</t>
  </si>
  <si>
    <t>Iowa Western CC</t>
  </si>
  <si>
    <t>Council Bluffs</t>
  </si>
  <si>
    <t>$18,678/$18,838</t>
  </si>
  <si>
    <t>n3806</t>
  </si>
  <si>
    <t>Zainea</t>
  </si>
  <si>
    <t>kim.zainea@cornerstone.edu</t>
  </si>
  <si>
    <t>J5217</t>
  </si>
  <si>
    <t>616-949-5300</t>
  </si>
  <si>
    <t>Bilger</t>
  </si>
  <si>
    <t>mbilger@iwcc.edu</t>
  </si>
  <si>
    <t>n3807</t>
  </si>
  <si>
    <t>J5218</t>
  </si>
  <si>
    <t>Heidi</t>
  </si>
  <si>
    <t>Walburg</t>
  </si>
  <si>
    <t>Shannan</t>
  </si>
  <si>
    <t>heidi.walburg@cornerstone.edu</t>
  </si>
  <si>
    <t>sjones@iwcc.edu</t>
  </si>
  <si>
    <t>n3855</t>
  </si>
  <si>
    <t>Lawrence Technological University</t>
  </si>
  <si>
    <t>J11230</t>
  </si>
  <si>
    <t>kbaird1@ltu.edu</t>
  </si>
  <si>
    <t>248-204-7926</t>
  </si>
  <si>
    <t>Kirkwood Community College</t>
  </si>
  <si>
    <t>Lawrence Tech</t>
  </si>
  <si>
    <t>Southfield</t>
  </si>
  <si>
    <t>Kirkwood CC</t>
  </si>
  <si>
    <t>$15,854/$16,694</t>
  </si>
  <si>
    <t>n3856</t>
  </si>
  <si>
    <t>J5250</t>
  </si>
  <si>
    <t>Cupp</t>
  </si>
  <si>
    <t>scupp@ltu.edu</t>
  </si>
  <si>
    <t>Frese</t>
  </si>
  <si>
    <t>eric.frese@kirkwood.edu</t>
  </si>
  <si>
    <t>319-398-5586</t>
  </si>
  <si>
    <t>J5251</t>
  </si>
  <si>
    <t>Arran</t>
  </si>
  <si>
    <t>Weeces</t>
  </si>
  <si>
    <t>n3857</t>
  </si>
  <si>
    <t>J5263</t>
  </si>
  <si>
    <t>Ritz</t>
  </si>
  <si>
    <t>Marshalltown Community College</t>
  </si>
  <si>
    <t>jritz@ltu.edu</t>
  </si>
  <si>
    <t>Russ.jones@iavalley.edu</t>
  </si>
  <si>
    <t>c: 515-450-1164</t>
  </si>
  <si>
    <t>Marshalltown CC</t>
  </si>
  <si>
    <t>Marshalltown</t>
  </si>
  <si>
    <t>$17,494/$17,782</t>
  </si>
  <si>
    <t>n6947</t>
  </si>
  <si>
    <t>lpond@ltu.edu</t>
  </si>
  <si>
    <t>J5264</t>
  </si>
  <si>
    <t>Frantz</t>
  </si>
  <si>
    <t>641-844-5674</t>
  </si>
  <si>
    <t>n3896</t>
  </si>
  <si>
    <t>Madonna University</t>
  </si>
  <si>
    <t>jabraham@madonna.edu</t>
  </si>
  <si>
    <t>(734) 432-5612</t>
  </si>
  <si>
    <t>J5281</t>
  </si>
  <si>
    <t>North Iowa Area Community College</t>
  </si>
  <si>
    <t>Gratz</t>
  </si>
  <si>
    <t>dan.gratz@niacc.edu</t>
  </si>
  <si>
    <t>c: 608-347-5277</t>
  </si>
  <si>
    <t>Madonna</t>
  </si>
  <si>
    <t>Livonia</t>
  </si>
  <si>
    <t>North Iowa Area CC</t>
  </si>
  <si>
    <t>Mason City</t>
  </si>
  <si>
    <t>$15,174/$17,284</t>
  </si>
  <si>
    <t>n3897</t>
  </si>
  <si>
    <t>J5282</t>
  </si>
  <si>
    <t>Hopper</t>
  </si>
  <si>
    <t>Deven</t>
  </si>
  <si>
    <t>deven.boland@niacc.edu</t>
  </si>
  <si>
    <t>c: 608-415-9542</t>
  </si>
  <si>
    <t>J5283</t>
  </si>
  <si>
    <t>n3898</t>
  </si>
  <si>
    <t>Baum</t>
  </si>
  <si>
    <t>J5284</t>
  </si>
  <si>
    <t>Halie</t>
  </si>
  <si>
    <t>halie.greenwood@niacc.edu</t>
  </si>
  <si>
    <t>c: 641-903-9716</t>
  </si>
  <si>
    <t>n3899</t>
  </si>
  <si>
    <t>J5315</t>
  </si>
  <si>
    <t>Southeastern Community College - Iowa</t>
  </si>
  <si>
    <t>Flores</t>
  </si>
  <si>
    <t>mflores@scciowa.edu</t>
  </si>
  <si>
    <t>(319) 208-5122</t>
  </si>
  <si>
    <t>Southeastern CC (IA)</t>
  </si>
  <si>
    <t>West Burlington</t>
  </si>
  <si>
    <t>$15,634/$15,784</t>
  </si>
  <si>
    <t>n3947</t>
  </si>
  <si>
    <t>University of Michigan - Dearborn</t>
  </si>
  <si>
    <t>Vince</t>
  </si>
  <si>
    <t>Alessandrini</t>
  </si>
  <si>
    <t>vallessa@umich.edu</t>
  </si>
  <si>
    <t>313-593-3534</t>
  </si>
  <si>
    <t>J5316</t>
  </si>
  <si>
    <t>Heath</t>
  </si>
  <si>
    <t>lheath@scciowa.edu</t>
  </si>
  <si>
    <t>(319)-759-5395</t>
  </si>
  <si>
    <t>Michigan-Dearborn</t>
  </si>
  <si>
    <t>Dearborn</t>
  </si>
  <si>
    <t>520-670</t>
  </si>
  <si>
    <t>$24,760/$37,000</t>
  </si>
  <si>
    <t>Southwestern Community College</t>
  </si>
  <si>
    <t>Weinmeister</t>
  </si>
  <si>
    <t>weinmeister@swcciowa.edu</t>
  </si>
  <si>
    <t>o: 641.782.1358; c: 970.203.5960</t>
  </si>
  <si>
    <t>n3948</t>
  </si>
  <si>
    <t>Southwestern CC (IA)</t>
  </si>
  <si>
    <t>Creston</t>
  </si>
  <si>
    <t>$14,154/$14,364</t>
  </si>
  <si>
    <t>n3949</t>
  </si>
  <si>
    <t>McArtor</t>
  </si>
  <si>
    <t>Tackaberry</t>
  </si>
  <si>
    <t>mcartor@swcciowa.edu</t>
  </si>
  <si>
    <t>641.782.7081</t>
  </si>
  <si>
    <t>atacka@umich.edu</t>
  </si>
  <si>
    <t>J5352</t>
  </si>
  <si>
    <t>Allen Community College</t>
  </si>
  <si>
    <t>nicholas@allencc.edu</t>
  </si>
  <si>
    <t>620-901-6348</t>
  </si>
  <si>
    <t>n3950</t>
  </si>
  <si>
    <t>Lanny</t>
  </si>
  <si>
    <t>lphall@umich.edu</t>
  </si>
  <si>
    <t>Allen County CC (KS)</t>
  </si>
  <si>
    <t>Iola</t>
  </si>
  <si>
    <t>J5353</t>
  </si>
  <si>
    <t>Tai</t>
  </si>
  <si>
    <t>Stormie</t>
  </si>
  <si>
    <t>Sharpley</t>
  </si>
  <si>
    <t>Bush</t>
  </si>
  <si>
    <t>bush@allencc.edu</t>
  </si>
  <si>
    <t>tsharpley@rc.edu</t>
  </si>
  <si>
    <t>313-215-4585</t>
  </si>
  <si>
    <t>Rochester (MI)</t>
  </si>
  <si>
    <t>Rochester Hills</t>
  </si>
  <si>
    <t>390-580</t>
  </si>
  <si>
    <t>395-555</t>
  </si>
  <si>
    <t>J5377</t>
  </si>
  <si>
    <t>Barton Community College</t>
  </si>
  <si>
    <t>Gunelson</t>
  </si>
  <si>
    <t>gunelsont@bartonccc.edu</t>
  </si>
  <si>
    <t>(620) 792-9248</t>
  </si>
  <si>
    <t>Barton County CC</t>
  </si>
  <si>
    <t>Great Bend</t>
  </si>
  <si>
    <t>$16,726/$17,718</t>
  </si>
  <si>
    <t>n4021</t>
  </si>
  <si>
    <t>Siena Heights University</t>
  </si>
  <si>
    <t>Klutsarits</t>
  </si>
  <si>
    <t>lklutsar@sienaheights.edu</t>
  </si>
  <si>
    <t>(517) 264-7874</t>
  </si>
  <si>
    <t>J5378</t>
  </si>
  <si>
    <t>Stoltz</t>
  </si>
  <si>
    <t>StoltzT@bartonccc.edu</t>
  </si>
  <si>
    <t>(620) 792-9293</t>
  </si>
  <si>
    <t>Siena Heights</t>
  </si>
  <si>
    <t>J5417</t>
  </si>
  <si>
    <t>Butler Community College</t>
  </si>
  <si>
    <t>Chance</t>
  </si>
  <si>
    <t>dchance@butlercc.edu</t>
  </si>
  <si>
    <t>(316) 322-3299</t>
  </si>
  <si>
    <t>n4022</t>
  </si>
  <si>
    <t>rmz73@hotmail.com</t>
  </si>
  <si>
    <t>(517) 264-7838</t>
  </si>
  <si>
    <t>Butler CC (KS)</t>
  </si>
  <si>
    <t>El Dorado</t>
  </si>
  <si>
    <t>$12,073 (in-district)/$12,403/$14,203</t>
  </si>
  <si>
    <t>n4023</t>
  </si>
  <si>
    <t>J5418</t>
  </si>
  <si>
    <t>O'Hotzke</t>
  </si>
  <si>
    <t>Sigler</t>
  </si>
  <si>
    <t>zsigler@butlercc.edu</t>
  </si>
  <si>
    <t>(316) 322-3290</t>
  </si>
  <si>
    <t>J5419</t>
  </si>
  <si>
    <t>n4070</t>
  </si>
  <si>
    <t>Spring Arbor University</t>
  </si>
  <si>
    <t>deb.thompson@arbor.edu</t>
  </si>
  <si>
    <t>517 750-6507</t>
  </si>
  <si>
    <t>J5420</t>
  </si>
  <si>
    <t>msanders4@butlercc.edu</t>
  </si>
  <si>
    <t>(316) 733-3395</t>
  </si>
  <si>
    <t>Spring Arbor</t>
  </si>
  <si>
    <t>J5446</t>
  </si>
  <si>
    <t>Cloud County Community College</t>
  </si>
  <si>
    <t>Acree</t>
  </si>
  <si>
    <t>aacree@cloud.edu</t>
  </si>
  <si>
    <t>800-729-5101, x296</t>
  </si>
  <si>
    <t>420-610</t>
  </si>
  <si>
    <t>Cloud County CC</t>
  </si>
  <si>
    <t>Concordia</t>
  </si>
  <si>
    <t>$11,170 (in-district)/$11,320/$11,470</t>
  </si>
  <si>
    <t>n4071</t>
  </si>
  <si>
    <t>Withrow</t>
  </si>
  <si>
    <t>craig.withrow@arbor.edu</t>
  </si>
  <si>
    <t>J5447</t>
  </si>
  <si>
    <t>Tristen</t>
  </si>
  <si>
    <t>Leiszler</t>
  </si>
  <si>
    <t>J5481</t>
  </si>
  <si>
    <t>Coffeyville Community College</t>
  </si>
  <si>
    <t>Shiloh</t>
  </si>
  <si>
    <t>Blockburger</t>
  </si>
  <si>
    <t>blockburger.shiloh@coffeyville.edu</t>
  </si>
  <si>
    <t>620.252.7013</t>
  </si>
  <si>
    <t>Blue Mountain College</t>
  </si>
  <si>
    <t>Hardwick</t>
  </si>
  <si>
    <t>khardwick@bmc.edu</t>
  </si>
  <si>
    <t>Coffeyville CC</t>
  </si>
  <si>
    <t>Coffeyville</t>
  </si>
  <si>
    <t>$11,254/$12,822</t>
  </si>
  <si>
    <t>Blue Mountain (MS)</t>
  </si>
  <si>
    <t>Blue Mountain</t>
  </si>
  <si>
    <t>480-540</t>
  </si>
  <si>
    <t>420-660</t>
  </si>
  <si>
    <t>J5482</t>
  </si>
  <si>
    <t>Joely</t>
  </si>
  <si>
    <t>rogers.joely@coffeyville.edu</t>
  </si>
  <si>
    <t>drowland@bmc.edu</t>
  </si>
  <si>
    <t>662.685.4771</t>
  </si>
  <si>
    <t>J5510</t>
  </si>
  <si>
    <t>Colby Community College</t>
  </si>
  <si>
    <t>Kinnett</t>
  </si>
  <si>
    <t>steve.kinnett@colbycc.edu</t>
  </si>
  <si>
    <t>785-460-5507</t>
  </si>
  <si>
    <t>Colby CC</t>
  </si>
  <si>
    <t>Colby</t>
  </si>
  <si>
    <t>Elantra</t>
  </si>
  <si>
    <t>$13,140/$13,290/$14,910</t>
  </si>
  <si>
    <t>ecox@bmc.edu</t>
  </si>
  <si>
    <t>J5511</t>
  </si>
  <si>
    <t>McLaughlin</t>
  </si>
  <si>
    <t>mary.mclaughlin@colbycc.edu</t>
  </si>
  <si>
    <t>785-460-5448</t>
  </si>
  <si>
    <t>Rust College</t>
  </si>
  <si>
    <t>Stubbs</t>
  </si>
  <si>
    <t>sstubbs@rustcollege.edu</t>
  </si>
  <si>
    <t>662-252-8000, x4402</t>
  </si>
  <si>
    <t>Holly Springs</t>
  </si>
  <si>
    <t>J5512</t>
  </si>
  <si>
    <t>katelyn.medina@trojans.colbycc.edu</t>
  </si>
  <si>
    <t>Rust</t>
  </si>
  <si>
    <t>William Carey University</t>
  </si>
  <si>
    <t>cfletcher@wmcarey.edu</t>
  </si>
  <si>
    <t>601-318-6551</t>
  </si>
  <si>
    <t>J5526</t>
  </si>
  <si>
    <t>Cowley County Community College</t>
  </si>
  <si>
    <t>Jenny.Hoyt@cowley.edu</t>
  </si>
  <si>
    <t>620.441.5263</t>
  </si>
  <si>
    <t>William Carey (MS)</t>
  </si>
  <si>
    <t>Cowley CC</t>
  </si>
  <si>
    <t>Arkansas City</t>
  </si>
  <si>
    <t>$14,159/$14,649/$15,926</t>
  </si>
  <si>
    <t>J5527</t>
  </si>
  <si>
    <t>AC Haley has been removed.</t>
  </si>
  <si>
    <t>rwilliams@wmcarey.edu</t>
  </si>
  <si>
    <t>601-318-6617</t>
  </si>
  <si>
    <t>J5528</t>
  </si>
  <si>
    <t>Beltz</t>
  </si>
  <si>
    <t>tori.beltz@cowley.edu</t>
  </si>
  <si>
    <t>Avila University</t>
  </si>
  <si>
    <t>dana.goss@avila.edu</t>
  </si>
  <si>
    <t>816-501-2418</t>
  </si>
  <si>
    <t>J5558</t>
  </si>
  <si>
    <t>Dodge City Community College</t>
  </si>
  <si>
    <t>Howie</t>
  </si>
  <si>
    <t>hsmith@dc3.edu</t>
  </si>
  <si>
    <t>620-227-9256</t>
  </si>
  <si>
    <t>Avila</t>
  </si>
  <si>
    <t>Kansas City (MO)</t>
  </si>
  <si>
    <t>Dodge City CC</t>
  </si>
  <si>
    <t>Dodge City</t>
  </si>
  <si>
    <t>$13,028 (in-district)/$14,138/$14,378</t>
  </si>
  <si>
    <t>Suzie</t>
  </si>
  <si>
    <t>Muenz</t>
  </si>
  <si>
    <t>Suzie.Muenz@avila.edu</t>
  </si>
  <si>
    <t>J5559</t>
  </si>
  <si>
    <t>kreed@dc3.edu</t>
  </si>
  <si>
    <t>620-227-9218</t>
  </si>
  <si>
    <t>king433913@avila.edu</t>
  </si>
  <si>
    <t>J5588</t>
  </si>
  <si>
    <t>Fort Scott Community College</t>
  </si>
  <si>
    <t>Kae</t>
  </si>
  <si>
    <t>kaelanib@fortscott.edu</t>
  </si>
  <si>
    <t>c: 918-961-1283</t>
  </si>
  <si>
    <t>n4200</t>
  </si>
  <si>
    <t>Fort Scott CC</t>
  </si>
  <si>
    <t>Fort Scott</t>
  </si>
  <si>
    <t>Central Methodist University</t>
  </si>
  <si>
    <t>$13,767 (in-district)/$13,857/$15,537</t>
  </si>
  <si>
    <t>preardon@centralmethodist.edu</t>
  </si>
  <si>
    <t>(660) 248-6627</t>
  </si>
  <si>
    <t>J5589</t>
  </si>
  <si>
    <t>katelynnt@fortscott.edu</t>
  </si>
  <si>
    <t>c: 918-829-5572</t>
  </si>
  <si>
    <t>Central Methodist</t>
  </si>
  <si>
    <t>J5613</t>
  </si>
  <si>
    <t>Garden City Community College</t>
  </si>
  <si>
    <t>Gundy</t>
  </si>
  <si>
    <t>rebecca.holland@gcccks.edu</t>
  </si>
  <si>
    <t>620-276-0345</t>
  </si>
  <si>
    <t>400-460</t>
  </si>
  <si>
    <t>Garden City CC</t>
  </si>
  <si>
    <t>$13,610/$14,218</t>
  </si>
  <si>
    <t>J5614</t>
  </si>
  <si>
    <t>n4201</t>
  </si>
  <si>
    <t>Jankiewicz</t>
  </si>
  <si>
    <t>erin.jankiewicz@gcccks.edu</t>
  </si>
  <si>
    <t>Gene</t>
  </si>
  <si>
    <t>620-276-0361</t>
  </si>
  <si>
    <t>freardon@centralmethodist.edu</t>
  </si>
  <si>
    <t>(660) 248-6348</t>
  </si>
  <si>
    <t>J5633</t>
  </si>
  <si>
    <t>Hesston College</t>
  </si>
  <si>
    <t>christie.bell@hesston.edu</t>
  </si>
  <si>
    <t>620-327-8175</t>
  </si>
  <si>
    <t>n4202</t>
  </si>
  <si>
    <t>PC/AC (OF)</t>
  </si>
  <si>
    <t>jlynch@centralmethodist.edu</t>
  </si>
  <si>
    <t>Hesston</t>
  </si>
  <si>
    <t>Heart of America</t>
  </si>
  <si>
    <t>n6881</t>
  </si>
  <si>
    <t>Lilly</t>
  </si>
  <si>
    <t>alilly@centralmethodist.edu</t>
  </si>
  <si>
    <t>J5634</t>
  </si>
  <si>
    <t>Selena</t>
  </si>
  <si>
    <t>Selena.lopez@hesston.edu</t>
  </si>
  <si>
    <t>620-327-8178</t>
  </si>
  <si>
    <t>n6954</t>
  </si>
  <si>
    <t>areardon@centralmethodist.edu</t>
  </si>
  <si>
    <t>J5665</t>
  </si>
  <si>
    <t>Highland Community College - Kansas</t>
  </si>
  <si>
    <t>hjordan@highlandcc.edu</t>
  </si>
  <si>
    <t>785-442-6070</t>
  </si>
  <si>
    <t>n4243</t>
  </si>
  <si>
    <t>Columbia College - Missouri</t>
  </si>
  <si>
    <t>Wendy</t>
  </si>
  <si>
    <t>Spratt</t>
  </si>
  <si>
    <t>wsspratt@ccis.edu</t>
  </si>
  <si>
    <t>573-875-7414</t>
  </si>
  <si>
    <t>Highland CC (KS)</t>
  </si>
  <si>
    <t>Highland</t>
  </si>
  <si>
    <t>Columbia (MO)</t>
  </si>
  <si>
    <t>445-595</t>
  </si>
  <si>
    <t>J5666</t>
  </si>
  <si>
    <t>sjordan@highlandcc.edu</t>
  </si>
  <si>
    <t>n4244</t>
  </si>
  <si>
    <t>Debbie</t>
  </si>
  <si>
    <t>Jameson</t>
  </si>
  <si>
    <t>dljameson@ccis.edu</t>
  </si>
  <si>
    <t>573-424-9013</t>
  </si>
  <si>
    <t>J5696</t>
  </si>
  <si>
    <t>Hutchinson Community College</t>
  </si>
  <si>
    <t>rosej@hutchcc.edu</t>
  </si>
  <si>
    <t>620-728-8126</t>
  </si>
  <si>
    <t>Cottey College</t>
  </si>
  <si>
    <t>Skapin</t>
  </si>
  <si>
    <t>mskapin@cottey.edu</t>
  </si>
  <si>
    <t>417-667-8181, x2277</t>
  </si>
  <si>
    <t>Cottey</t>
  </si>
  <si>
    <t>Nevada</t>
  </si>
  <si>
    <t>2.6 minimum</t>
  </si>
  <si>
    <t>Hutchinson CC (KS)</t>
  </si>
  <si>
    <t>$13,914 (in-district)/$14,234/$15,226</t>
  </si>
  <si>
    <t>cnovak@cottey.edu</t>
  </si>
  <si>
    <t>J5697</t>
  </si>
  <si>
    <t>rainesa@hutchcc.edu</t>
  </si>
  <si>
    <t>620-728-8168</t>
  </si>
  <si>
    <t>n4279</t>
  </si>
  <si>
    <t>Culver-Stockton College</t>
  </si>
  <si>
    <t>J5698</t>
  </si>
  <si>
    <t>aguirrer@hutchcc.edu</t>
  </si>
  <si>
    <t>c: 620-694-2452</t>
  </si>
  <si>
    <t>Culver-Stockton</t>
  </si>
  <si>
    <t>J5733</t>
  </si>
  <si>
    <t>Independence Community College</t>
  </si>
  <si>
    <t>sallen@indycc.edu</t>
  </si>
  <si>
    <t>n4280</t>
  </si>
  <si>
    <t>Anjay</t>
  </si>
  <si>
    <t>aclark@culver.edu</t>
  </si>
  <si>
    <t>Independence CC</t>
  </si>
  <si>
    <t>Independence</t>
  </si>
  <si>
    <t>$11,542 (in-district)/$11,734/$13,014</t>
  </si>
  <si>
    <t>n4315</t>
  </si>
  <si>
    <t>Evangel University</t>
  </si>
  <si>
    <t>Halbrook</t>
  </si>
  <si>
    <t>halbrookja@evangel.edu</t>
  </si>
  <si>
    <t>J5750</t>
  </si>
  <si>
    <t>(417) 865-2815, x7265</t>
  </si>
  <si>
    <t>Johnson County Community College</t>
  </si>
  <si>
    <t>Aubrey</t>
  </si>
  <si>
    <t>Brattin</t>
  </si>
  <si>
    <t>abrattin@jccc.edu</t>
  </si>
  <si>
    <t>913-469-8500, x3540</t>
  </si>
  <si>
    <t>Evangel</t>
  </si>
  <si>
    <t>Johnson County CC</t>
  </si>
  <si>
    <t>Overland Park</t>
  </si>
  <si>
    <t>$21,972 (in-district)/$22,482</t>
  </si>
  <si>
    <t>n4316</t>
  </si>
  <si>
    <t>J5751</t>
  </si>
  <si>
    <t>kwill102@jccc.edu</t>
  </si>
  <si>
    <t>913-469-8500, x3743</t>
  </si>
  <si>
    <t>n4317</t>
  </si>
  <si>
    <t>J5752</t>
  </si>
  <si>
    <t>halbrookj@evangel.edu</t>
  </si>
  <si>
    <t>(417) 865-2815, x7470</t>
  </si>
  <si>
    <t>Lonnie</t>
  </si>
  <si>
    <t>Groves</t>
  </si>
  <si>
    <t>dgroves4@jccc.edu</t>
  </si>
  <si>
    <t>913-469-8500, x4625</t>
  </si>
  <si>
    <t>Hannibal-LaGrange University</t>
  </si>
  <si>
    <t>J5769</t>
  </si>
  <si>
    <t>Hurst</t>
  </si>
  <si>
    <t>Kansas City Kansas Community College</t>
  </si>
  <si>
    <t>dhurst@hlg.edu</t>
  </si>
  <si>
    <t>573-629-3215</t>
  </si>
  <si>
    <t>Lross@kckcc.edu</t>
  </si>
  <si>
    <t>913-288-7356</t>
  </si>
  <si>
    <t>Hannibal-LaGrange</t>
  </si>
  <si>
    <t>Hannibal</t>
  </si>
  <si>
    <t>Kansas City Kansas CC</t>
  </si>
  <si>
    <t>420-620</t>
  </si>
  <si>
    <t>$19,668/$24,468</t>
  </si>
  <si>
    <t>J5770</t>
  </si>
  <si>
    <t>Haye</t>
  </si>
  <si>
    <t>Strohman</t>
  </si>
  <si>
    <t>jstrohman@kckcc.edu</t>
  </si>
  <si>
    <t>913-288-7363</t>
  </si>
  <si>
    <t>Harris-Stowe State University</t>
  </si>
  <si>
    <t xml:space="preserve">Larry </t>
  </si>
  <si>
    <t>younglar@hssu.edu</t>
  </si>
  <si>
    <t>J5782</t>
  </si>
  <si>
    <t>Labette Community College</t>
  </si>
  <si>
    <t>ryanp@labette.edu</t>
  </si>
  <si>
    <t>(620) 820-1019</t>
  </si>
  <si>
    <t>Labette CC</t>
  </si>
  <si>
    <t>J5793</t>
  </si>
  <si>
    <t>Neosho County Community College</t>
  </si>
  <si>
    <t>kalexander@neosho.edu</t>
  </si>
  <si>
    <t>620.432.0310</t>
  </si>
  <si>
    <t>Neosho County CC</t>
  </si>
  <si>
    <t>Chanute</t>
  </si>
  <si>
    <t>(314) 480-4402</t>
  </si>
  <si>
    <t>J5794</t>
  </si>
  <si>
    <t>Burnett</t>
  </si>
  <si>
    <t>bburnett@neosho.edu</t>
  </si>
  <si>
    <t>Harris-Stowe</t>
  </si>
  <si>
    <t>620.432.0426</t>
  </si>
  <si>
    <t>370-500</t>
  </si>
  <si>
    <t>360-550</t>
  </si>
  <si>
    <t>14-19</t>
  </si>
  <si>
    <t>$16,734/$21,367</t>
  </si>
  <si>
    <t>J5812</t>
  </si>
  <si>
    <t>Northwest Kansas Technical College</t>
  </si>
  <si>
    <t>Kaup</t>
  </si>
  <si>
    <t>drew.kaup@nwktc.edu</t>
  </si>
  <si>
    <t>785-890-1525</t>
  </si>
  <si>
    <t>Northwest Kansas Technical</t>
  </si>
  <si>
    <t>Goodland</t>
  </si>
  <si>
    <t>n4373</t>
  </si>
  <si>
    <t>Missouri Baptist University</t>
  </si>
  <si>
    <t>Messer-Brooks</t>
  </si>
  <si>
    <t>Kenneth.Messer-Brooks@mobap.edu</t>
  </si>
  <si>
    <t>(314) 392-2394</t>
  </si>
  <si>
    <t>J5813</t>
  </si>
  <si>
    <t>Kuhlman</t>
  </si>
  <si>
    <t>dallas.kuhlman@nwktc.edu</t>
  </si>
  <si>
    <t>Missouri Baptist</t>
  </si>
  <si>
    <t>J5824</t>
  </si>
  <si>
    <t>Pratt Community College</t>
  </si>
  <si>
    <t>Melvin</t>
  </si>
  <si>
    <t>melvinj@prattcc.edu</t>
  </si>
  <si>
    <t>(620) 450-2198</t>
  </si>
  <si>
    <t>n4403</t>
  </si>
  <si>
    <t>Pratt CC (KS)</t>
  </si>
  <si>
    <t>Missouri Valley College</t>
  </si>
  <si>
    <t>Marcum</t>
  </si>
  <si>
    <t>marcumj@moval.edu</t>
  </si>
  <si>
    <t>660-831-4111</t>
  </si>
  <si>
    <t>$12,994 (in-district)/$13,094/$13,482</t>
  </si>
  <si>
    <t>J5825</t>
  </si>
  <si>
    <t>Burkhalter</t>
  </si>
  <si>
    <t>savannahb@prattcc.edu</t>
  </si>
  <si>
    <t>J5840</t>
  </si>
  <si>
    <t>n4404</t>
  </si>
  <si>
    <t>Seward County Community College &amp; Area Technical School</t>
  </si>
  <si>
    <t>Wondrasek</t>
  </si>
  <si>
    <t>Jannusch</t>
  </si>
  <si>
    <t>ryan.wondrasek@sccc.edu</t>
  </si>
  <si>
    <t>jannuschk@moval.edu</t>
  </si>
  <si>
    <t>(620) 417-1561</t>
  </si>
  <si>
    <t>660-831-4267</t>
  </si>
  <si>
    <t>Seward County CC</t>
  </si>
  <si>
    <t>Liberal</t>
  </si>
  <si>
    <t>$12,178 (in-district)/$12,306/$13,394</t>
  </si>
  <si>
    <t>Park University</t>
  </si>
  <si>
    <t>Derry</t>
  </si>
  <si>
    <t>lderry@park.edu</t>
  </si>
  <si>
    <t>(816) 584-6443</t>
  </si>
  <si>
    <t>J5841</t>
  </si>
  <si>
    <t>Voboril</t>
  </si>
  <si>
    <t>Park (MO)</t>
  </si>
  <si>
    <t>aubrey.voboril@sccc.edu</t>
  </si>
  <si>
    <t>(620) 417-1562</t>
  </si>
  <si>
    <t>Parkville</t>
  </si>
  <si>
    <t>J5842</t>
  </si>
  <si>
    <t>KC</t>
  </si>
  <si>
    <t>Beardsley</t>
  </si>
  <si>
    <t>kc.beardsley@sccc.edu</t>
  </si>
  <si>
    <t>mgray@park.edu</t>
  </si>
  <si>
    <t>(816) 584-6441</t>
  </si>
  <si>
    <t>J5861</t>
  </si>
  <si>
    <t>Baton Rouge Community College</t>
  </si>
  <si>
    <t>Bolton</t>
  </si>
  <si>
    <t>boltona@mybrcc.edu</t>
  </si>
  <si>
    <t>225-216-8263</t>
  </si>
  <si>
    <t>Ensor</t>
  </si>
  <si>
    <t>Baton Rouge CC</t>
  </si>
  <si>
    <t>$18,433/$22,511</t>
  </si>
  <si>
    <t>St. Louis College of Pharmacy</t>
  </si>
  <si>
    <t>Patrico</t>
  </si>
  <si>
    <t>michelle.patrico@stlcop.edu</t>
  </si>
  <si>
    <t>314-446-8498</t>
  </si>
  <si>
    <t>J5862</t>
  </si>
  <si>
    <t>AC Tammy has been removed.</t>
  </si>
  <si>
    <t>533-582</t>
  </si>
  <si>
    <t>588-683</t>
  </si>
  <si>
    <t>J5872</t>
  </si>
  <si>
    <t>Nordberg</t>
  </si>
  <si>
    <t>anordberg@bpcc.edu</t>
  </si>
  <si>
    <t>Charleville</t>
  </si>
  <si>
    <t>318-678-6320</t>
  </si>
  <si>
    <t>scott.charleville@stlcop.edu</t>
  </si>
  <si>
    <t>Bossier Parish CC</t>
  </si>
  <si>
    <t>Bossier City</t>
  </si>
  <si>
    <t>$18,680/$23,190</t>
  </si>
  <si>
    <t>Stephens College</t>
  </si>
  <si>
    <t>Michels</t>
  </si>
  <si>
    <t>emichels@stephens.edu</t>
  </si>
  <si>
    <t>573-441-4196</t>
  </si>
  <si>
    <t>J5873</t>
  </si>
  <si>
    <t>Bossier Parish Community College</t>
  </si>
  <si>
    <t>cuwilliams@bpcc.edu</t>
  </si>
  <si>
    <t>J5892</t>
  </si>
  <si>
    <t>Louisiana State University - Eunice</t>
  </si>
  <si>
    <t>Stephens (MO)</t>
  </si>
  <si>
    <t>mcollins@lsue.edu</t>
  </si>
  <si>
    <t>337-550-1435</t>
  </si>
  <si>
    <t>458-615</t>
  </si>
  <si>
    <t>LSU-Eunice</t>
  </si>
  <si>
    <t>Eunice</t>
  </si>
  <si>
    <t>jhenderson@stephens.edu</t>
  </si>
  <si>
    <t>J5893</t>
  </si>
  <si>
    <t>Kirstyn</t>
  </si>
  <si>
    <t>kjoiner@lsue.edu</t>
  </si>
  <si>
    <t>337-457-6143</t>
  </si>
  <si>
    <t>Looney</t>
  </si>
  <si>
    <t>J5894</t>
  </si>
  <si>
    <t>Soileau</t>
  </si>
  <si>
    <t>n4504</t>
  </si>
  <si>
    <t>William Woods University</t>
  </si>
  <si>
    <t>Gastineau</t>
  </si>
  <si>
    <t>tracy.gastineau@WilliamWoods.edu</t>
  </si>
  <si>
    <t>573.592.4326</t>
  </si>
  <si>
    <t>Allegany College of Maryland</t>
  </si>
  <si>
    <t>Bittner</t>
  </si>
  <si>
    <t>dbittner2@allegany.edu</t>
  </si>
  <si>
    <t>301-707-1186</t>
  </si>
  <si>
    <t>Allegany (MD)</t>
  </si>
  <si>
    <t>William Woods</t>
  </si>
  <si>
    <t>Cumberland</t>
  </si>
  <si>
    <t>$19,498 (in-district)/$22,738/$24,088</t>
  </si>
  <si>
    <t>n4505</t>
  </si>
  <si>
    <t>mraley@allegany.edu</t>
  </si>
  <si>
    <t>Roop</t>
  </si>
  <si>
    <t>Kaleigh.Roop@williamwoods.edu</t>
  </si>
  <si>
    <t>573.592.1628</t>
  </si>
  <si>
    <t>Leasure</t>
  </si>
  <si>
    <t>Frontier</t>
  </si>
  <si>
    <t>jleasure@allegany.edu</t>
  </si>
  <si>
    <t>n4535</t>
  </si>
  <si>
    <t>Carroll College</t>
  </si>
  <si>
    <t>apjackson@carroll.edu</t>
  </si>
  <si>
    <t>(406)447-5452</t>
  </si>
  <si>
    <t>Carroll (MT)</t>
  </si>
  <si>
    <t>Helena</t>
  </si>
  <si>
    <t>n4536</t>
  </si>
  <si>
    <t>Birnel</t>
  </si>
  <si>
    <t>sbirnel@carroll.edu</t>
  </si>
  <si>
    <t>n4537</t>
  </si>
  <si>
    <t>240-362-8893</t>
  </si>
  <si>
    <t>Hawe</t>
  </si>
  <si>
    <t>gfrantz@allegany.edu</t>
  </si>
  <si>
    <t>n4538</t>
  </si>
  <si>
    <t>Bayer</t>
  </si>
  <si>
    <t>n4621</t>
  </si>
  <si>
    <t>University of Providence</t>
  </si>
  <si>
    <t>Egan</t>
  </si>
  <si>
    <t>joey.egan@uprovidence.edu</t>
  </si>
  <si>
    <t>(406) 791-5931</t>
  </si>
  <si>
    <t>301-707-9862</t>
  </si>
  <si>
    <t>Providence (MT) (Formerly Great Falls)</t>
  </si>
  <si>
    <t>Great Falls</t>
  </si>
  <si>
    <t>J5920</t>
  </si>
  <si>
    <t>Anne Arundel Community College</t>
  </si>
  <si>
    <t>Klingensmith</t>
  </si>
  <si>
    <t>guy.klingensmith@verizon.net</t>
  </si>
  <si>
    <t>n4622</t>
  </si>
  <si>
    <t>410-409-0297</t>
  </si>
  <si>
    <t>brittani.bush@uprovidence.edu</t>
  </si>
  <si>
    <t>(406) 791-5932</t>
  </si>
  <si>
    <t>Anne Arundel CC</t>
  </si>
  <si>
    <t>$21,273 (in-district)/$24,273/$29,043</t>
  </si>
  <si>
    <t>n4688</t>
  </si>
  <si>
    <t>Bellevue University</t>
  </si>
  <si>
    <t>Michala</t>
  </si>
  <si>
    <t>Cimino</t>
  </si>
  <si>
    <t>michala.cimino@bellevue.edu</t>
  </si>
  <si>
    <t>402-557-7274</t>
  </si>
  <si>
    <t>J5921</t>
  </si>
  <si>
    <t>nunez.b@outlook.com</t>
  </si>
  <si>
    <t>c: 410-507-1228</t>
  </si>
  <si>
    <t>Bellevue (NE)</t>
  </si>
  <si>
    <t>Bellevue</t>
  </si>
  <si>
    <t>J5922</t>
  </si>
  <si>
    <t>Endley-Abbott</t>
  </si>
  <si>
    <t>n4689</t>
  </si>
  <si>
    <t>Cheshier</t>
  </si>
  <si>
    <t>kelly.cheshier@bellevue.edu</t>
  </si>
  <si>
    <t>J5923</t>
  </si>
  <si>
    <t>Nutwell</t>
  </si>
  <si>
    <t>n4690</t>
  </si>
  <si>
    <t>Scarpello</t>
  </si>
  <si>
    <t>J10715</t>
  </si>
  <si>
    <t>The Community College of Baltimore County - Catonsville Campus</t>
  </si>
  <si>
    <t>Dubbs</t>
  </si>
  <si>
    <t>CCBC-Catonsville</t>
  </si>
  <si>
    <t>Catonsville</t>
  </si>
  <si>
    <t>n4691</t>
  </si>
  <si>
    <t>$18,869 (in-district)/$21,813/$25,083</t>
  </si>
  <si>
    <t>Aimee</t>
  </si>
  <si>
    <t>Supanchick</t>
  </si>
  <si>
    <t>J5960</t>
  </si>
  <si>
    <t>North Star</t>
  </si>
  <si>
    <t>Slater</t>
  </si>
  <si>
    <t>cardinalssoftball@ccbcmd.edu</t>
  </si>
  <si>
    <t>n6829</t>
  </si>
  <si>
    <t>443-840-4197</t>
  </si>
  <si>
    <t>Simon</t>
  </si>
  <si>
    <t>Falcon</t>
  </si>
  <si>
    <t>sfalcon@bellevue.edu</t>
  </si>
  <si>
    <t>402-557-7155</t>
  </si>
  <si>
    <t>Concordia University - Nebraska</t>
  </si>
  <si>
    <t>Semler</t>
  </si>
  <si>
    <t>shawn.semler@cune.edu</t>
  </si>
  <si>
    <t>402-643-7311</t>
  </si>
  <si>
    <t>J5961</t>
  </si>
  <si>
    <t>Concordia (NE)</t>
  </si>
  <si>
    <t>J5962</t>
  </si>
  <si>
    <t>Seward</t>
  </si>
  <si>
    <t>440-535</t>
  </si>
  <si>
    <t>450-568</t>
  </si>
  <si>
    <t>J5963</t>
  </si>
  <si>
    <t>Kidwell</t>
  </si>
  <si>
    <t>Barkel</t>
  </si>
  <si>
    <t>elizabeth.barkel_ga@cune.edu</t>
  </si>
  <si>
    <t>J5994</t>
  </si>
  <si>
    <t>The Community College of Baltimore County -- Dundalk Campus</t>
  </si>
  <si>
    <t>Westermeyer</t>
  </si>
  <si>
    <t>lionssoftball@ccbcmd.edu</t>
  </si>
  <si>
    <t>443-840-3703</t>
  </si>
  <si>
    <t>Breeana</t>
  </si>
  <si>
    <t>breeana.martinez_ga@cune.edu</t>
  </si>
  <si>
    <t>CCBC-Dundalk</t>
  </si>
  <si>
    <t>Dundalk</t>
  </si>
  <si>
    <t>J10731</t>
  </si>
  <si>
    <t>n4748</t>
  </si>
  <si>
    <t>Cecil College</t>
  </si>
  <si>
    <t>Doane University</t>
  </si>
  <si>
    <t>Hollenbach</t>
  </si>
  <si>
    <t>Aurelia</t>
  </si>
  <si>
    <t>Gamch</t>
  </si>
  <si>
    <t>holl3182@cecil.edu</t>
  </si>
  <si>
    <t>(484) 748-1292</t>
  </si>
  <si>
    <t>aurelia.gamch@doane.edu</t>
  </si>
  <si>
    <t>Cecil (MD)</t>
  </si>
  <si>
    <t>402-826-6735</t>
  </si>
  <si>
    <t>North East</t>
  </si>
  <si>
    <t>$15,770 (in-district)/$18,470/$19,820</t>
  </si>
  <si>
    <t>Doane (NE)</t>
  </si>
  <si>
    <t>Crete</t>
  </si>
  <si>
    <t>J6031</t>
  </si>
  <si>
    <t>Great Plains</t>
  </si>
  <si>
    <t>n6912</t>
  </si>
  <si>
    <t>Mendlik</t>
  </si>
  <si>
    <t>shelby.mendlik@doane.edu</t>
  </si>
  <si>
    <t>J10750</t>
  </si>
  <si>
    <t>Chesapeake College</t>
  </si>
  <si>
    <t>Chesapeake (MD)</t>
  </si>
  <si>
    <t>Wye Mills</t>
  </si>
  <si>
    <t>$3,820 (in-district)/$5,512/$7,360</t>
  </si>
  <si>
    <t>n6974</t>
  </si>
  <si>
    <t>erin.skinner@doane.edu</t>
  </si>
  <si>
    <t>J10751</t>
  </si>
  <si>
    <t>n4771</t>
  </si>
  <si>
    <t>Hastings College</t>
  </si>
  <si>
    <t>J10778</t>
  </si>
  <si>
    <t>tbaker@hastings.edu</t>
  </si>
  <si>
    <t>402-461-7395</t>
  </si>
  <si>
    <t>J6051</t>
  </si>
  <si>
    <t>Hastings (NE)</t>
  </si>
  <si>
    <t>Durrie</t>
  </si>
  <si>
    <t>dhayes@chesapeake.edu</t>
  </si>
  <si>
    <t>410-822-5400 ext. 5750</t>
  </si>
  <si>
    <t>460-500</t>
  </si>
  <si>
    <t>n4796</t>
  </si>
  <si>
    <t>Midland University</t>
  </si>
  <si>
    <t>Heard</t>
  </si>
  <si>
    <t>heard@midlandu.edu</t>
  </si>
  <si>
    <t>402-941-6038</t>
  </si>
  <si>
    <t>J6065</t>
  </si>
  <si>
    <t>Frederick Community College</t>
  </si>
  <si>
    <t>Frederick Softball</t>
  </si>
  <si>
    <t>softball@frederick.edu</t>
  </si>
  <si>
    <t>Midland (NE)</t>
  </si>
  <si>
    <t>Frederick CC</t>
  </si>
  <si>
    <t>$15,550/$18,910</t>
  </si>
  <si>
    <t>n4830</t>
  </si>
  <si>
    <t>J6066</t>
  </si>
  <si>
    <t>Peru State College</t>
  </si>
  <si>
    <t>JL</t>
  </si>
  <si>
    <t>Thomason</t>
  </si>
  <si>
    <t>jthomason@peru.edu</t>
  </si>
  <si>
    <t>c: 850-240-1229</t>
  </si>
  <si>
    <t>chdavis@frederick.edu</t>
  </si>
  <si>
    <t>301-473-1135</t>
  </si>
  <si>
    <t>Peru State (NE)</t>
  </si>
  <si>
    <t>J6067</t>
  </si>
  <si>
    <t>Peru</t>
  </si>
  <si>
    <t>cpd624@gmail.com</t>
  </si>
  <si>
    <t>n4831</t>
  </si>
  <si>
    <t>J6068</t>
  </si>
  <si>
    <t>Whitley</t>
  </si>
  <si>
    <t>Albury</t>
  </si>
  <si>
    <t>whitley.albury@peru.edu</t>
  </si>
  <si>
    <t>c: 731-501-9190</t>
  </si>
  <si>
    <t>301-846-2500</t>
  </si>
  <si>
    <t>J11213</t>
  </si>
  <si>
    <t>n6930</t>
  </si>
  <si>
    <t>Garrett College</t>
  </si>
  <si>
    <t>Avery</t>
  </si>
  <si>
    <t>Nolin</t>
  </si>
  <si>
    <t>william.avery@garrettcollege.edu</t>
  </si>
  <si>
    <t>301-387-3163</t>
  </si>
  <si>
    <t>$15,780 (in-district)/$19,196/$20,316</t>
  </si>
  <si>
    <t>n4836</t>
  </si>
  <si>
    <t>College of Saint Mary</t>
  </si>
  <si>
    <t>Carolyn</t>
  </si>
  <si>
    <t>Todd Bray</t>
  </si>
  <si>
    <t>cbray@csm.edu</t>
  </si>
  <si>
    <t>402-399-6287</t>
  </si>
  <si>
    <t>St. Mary (NE)</t>
  </si>
  <si>
    <t>J6081</t>
  </si>
  <si>
    <t>n4848</t>
  </si>
  <si>
    <t>Roni</t>
  </si>
  <si>
    <t>HC Terry has been removed.</t>
  </si>
  <si>
    <t>rsmiller@york.edu</t>
  </si>
  <si>
    <t>402-363-5717</t>
  </si>
  <si>
    <t>J6082</t>
  </si>
  <si>
    <t>York (NE)</t>
  </si>
  <si>
    <t>AC John has been removed.</t>
  </si>
  <si>
    <t>J6090</t>
  </si>
  <si>
    <t>Hagerstown Community College</t>
  </si>
  <si>
    <t>n4849</t>
  </si>
  <si>
    <t>kdmiller@york.edu</t>
  </si>
  <si>
    <t>Hagerstown CC</t>
  </si>
  <si>
    <t>Hagerstown</t>
  </si>
  <si>
    <t>$18,934/$20,650</t>
  </si>
  <si>
    <t>J11295</t>
  </si>
  <si>
    <t>Harford Community College</t>
  </si>
  <si>
    <t>n4877</t>
  </si>
  <si>
    <t>Harford CC</t>
  </si>
  <si>
    <t>University of the Southwest</t>
  </si>
  <si>
    <t>Bel Air</t>
  </si>
  <si>
    <t>ldobbins@usw.edu</t>
  </si>
  <si>
    <t>575-492-2156</t>
  </si>
  <si>
    <t>Southwest (NM)</t>
  </si>
  <si>
    <t>J6111</t>
  </si>
  <si>
    <t>361-515</t>
  </si>
  <si>
    <t>381-455</t>
  </si>
  <si>
    <t>n4878</t>
  </si>
  <si>
    <t>J6112</t>
  </si>
  <si>
    <t>Volunteer AC Ron has been removed.</t>
  </si>
  <si>
    <t>Fenner</t>
  </si>
  <si>
    <t>lfenner@harford.edu</t>
  </si>
  <si>
    <t>443-412-2576</t>
  </si>
  <si>
    <t>Red River</t>
  </si>
  <si>
    <t>n6977</t>
  </si>
  <si>
    <t>J6113</t>
  </si>
  <si>
    <t>7coachsmith@gmail.com</t>
  </si>
  <si>
    <t>leslee@harford.edu</t>
  </si>
  <si>
    <t>443-412-2445</t>
  </si>
  <si>
    <t>n6990</t>
  </si>
  <si>
    <t>Surrento</t>
  </si>
  <si>
    <t>1061000@usw.edu</t>
  </si>
  <si>
    <t>J6187</t>
  </si>
  <si>
    <t>Montgomery College</t>
  </si>
  <si>
    <t>Hoffmann</t>
  </si>
  <si>
    <t>Jennifer.hoffmann@montgomerycollege.edu</t>
  </si>
  <si>
    <t>240-763-2870</t>
  </si>
  <si>
    <t>n4899</t>
  </si>
  <si>
    <t>Germantown</t>
  </si>
  <si>
    <t>Montreat College</t>
  </si>
  <si>
    <t>Maston</t>
  </si>
  <si>
    <t>heather.maston@montreat.edu</t>
  </si>
  <si>
    <t>828-669-8012 X3428</t>
  </si>
  <si>
    <t>$24,410/$28,220</t>
  </si>
  <si>
    <t>Montreat</t>
  </si>
  <si>
    <t>J6188</t>
  </si>
  <si>
    <t>CoachHoffmann41@gmail.com</t>
  </si>
  <si>
    <t>n4900</t>
  </si>
  <si>
    <t>Melina</t>
  </si>
  <si>
    <t>melina.wilkinson@montreat.edu</t>
  </si>
  <si>
    <t>J6189</t>
  </si>
  <si>
    <t>Iacino</t>
  </si>
  <si>
    <t>rickiacino63@aol.com</t>
  </si>
  <si>
    <t>c: 301-801-5830</t>
  </si>
  <si>
    <t>n4934</t>
  </si>
  <si>
    <t>St. Andrews University</t>
  </si>
  <si>
    <t>burrises@sa.edu</t>
  </si>
  <si>
    <t>910-277-5428</t>
  </si>
  <si>
    <t>J6190</t>
  </si>
  <si>
    <t>lewbel30@aol.com</t>
  </si>
  <si>
    <t>240-567-4157</t>
  </si>
  <si>
    <t>J6191</t>
  </si>
  <si>
    <t>St. Andrews (NC)</t>
  </si>
  <si>
    <t>Laurinburg</t>
  </si>
  <si>
    <t>Recruiter</t>
  </si>
  <si>
    <t>katesnyder33@yahoo.com</t>
  </si>
  <si>
    <t>c: 240-793-2871</t>
  </si>
  <si>
    <t>480-490</t>
  </si>
  <si>
    <t>J6192</t>
  </si>
  <si>
    <t>n4935</t>
  </si>
  <si>
    <t>Cross</t>
  </si>
  <si>
    <t>dmiacino7@gmail.com</t>
  </si>
  <si>
    <t>crossmk@sa.edu</t>
  </si>
  <si>
    <t>c: 202-306-3335</t>
  </si>
  <si>
    <t>910-277-5334</t>
  </si>
  <si>
    <t>J6220</t>
  </si>
  <si>
    <t>Prince George's Community College</t>
  </si>
  <si>
    <t>Bullock</t>
  </si>
  <si>
    <t>301-546-0510</t>
  </si>
  <si>
    <t>Dickinson State University</t>
  </si>
  <si>
    <t>Fleury</t>
  </si>
  <si>
    <t>Kristen.Fleury@dickinsonstate.edu</t>
  </si>
  <si>
    <t>701-483-2567</t>
  </si>
  <si>
    <t>Prince George's CC</t>
  </si>
  <si>
    <t>Largo</t>
  </si>
  <si>
    <t>Dickinson State</t>
  </si>
  <si>
    <t>Dickinson</t>
  </si>
  <si>
    <t>$16,050 (in-district)/$18,162</t>
  </si>
  <si>
    <t>400-580</t>
  </si>
  <si>
    <t>$17,507/$20,077</t>
  </si>
  <si>
    <t>J11288</t>
  </si>
  <si>
    <t>College of Southern Maryland</t>
  </si>
  <si>
    <t>Ruble</t>
  </si>
  <si>
    <t>Southern Maryland</t>
  </si>
  <si>
    <t>La Plata</t>
  </si>
  <si>
    <t>$19,274/$21,434</t>
  </si>
  <si>
    <t>J6233</t>
  </si>
  <si>
    <t>RGleason@csmd.edu</t>
  </si>
  <si>
    <t>J6234</t>
  </si>
  <si>
    <t>Whelan</t>
  </si>
  <si>
    <t>awhelan@csmd.edu</t>
  </si>
  <si>
    <t>n4982</t>
  </si>
  <si>
    <t>University of Jamestown</t>
  </si>
  <si>
    <t>Gall</t>
  </si>
  <si>
    <t>kgall@uj.edu</t>
  </si>
  <si>
    <t>(701) 252-3467, x5337</t>
  </si>
  <si>
    <t>J6313</t>
  </si>
  <si>
    <t>Northern Essex Community College</t>
  </si>
  <si>
    <t>Haeli</t>
  </si>
  <si>
    <t>hcampbell@necc.mass.edu</t>
  </si>
  <si>
    <t>Jamestown (ND)</t>
  </si>
  <si>
    <t>Jamestown</t>
  </si>
  <si>
    <t>Northern Essex CC</t>
  </si>
  <si>
    <t>Haverhill</t>
  </si>
  <si>
    <t>$19,522/$25,306</t>
  </si>
  <si>
    <t>n5017</t>
  </si>
  <si>
    <t>Mayville State University</t>
  </si>
  <si>
    <t>Tomblin</t>
  </si>
  <si>
    <t>ashley.vandeveen@mayvillestate.edu</t>
  </si>
  <si>
    <t>701-788-4603</t>
  </si>
  <si>
    <t>J6314</t>
  </si>
  <si>
    <t>haelicampbell@gmail.com</t>
  </si>
  <si>
    <t>J6315</t>
  </si>
  <si>
    <t>Mayville State</t>
  </si>
  <si>
    <t>Mayville</t>
  </si>
  <si>
    <t>Rking1@necc.mass.edu</t>
  </si>
  <si>
    <t>310-440</t>
  </si>
  <si>
    <t>383-475</t>
  </si>
  <si>
    <t>$17,524/$20,343</t>
  </si>
  <si>
    <t>n5018</t>
  </si>
  <si>
    <t>Alpena Community College</t>
  </si>
  <si>
    <t>Christin</t>
  </si>
  <si>
    <t>Bilden</t>
  </si>
  <si>
    <t>Sobeck</t>
  </si>
  <si>
    <t>sonja.c.bilden@mayvillestate.edu</t>
  </si>
  <si>
    <t>sobeckc@alpenacc.edu</t>
  </si>
  <si>
    <t>989.916.5203</t>
  </si>
  <si>
    <t>Alpena CC</t>
  </si>
  <si>
    <t>Alpena</t>
  </si>
  <si>
    <t>$12,190 (in-district)/$14,350/$14,350</t>
  </si>
  <si>
    <t>n5019</t>
  </si>
  <si>
    <t>Rabe</t>
  </si>
  <si>
    <t>megan.rabe@mayvillestate.edu</t>
  </si>
  <si>
    <t>shawcj@alpenacc.edu</t>
  </si>
  <si>
    <t>n5020</t>
  </si>
  <si>
    <t>Gurgian</t>
  </si>
  <si>
    <t>nina.gurgian@mayvillestate.edu</t>
  </si>
  <si>
    <t>701-788-5234</t>
  </si>
  <si>
    <t>Mary Ellen</t>
  </si>
  <si>
    <t>Wozniak</t>
  </si>
  <si>
    <t>J6366</t>
  </si>
  <si>
    <t>Valley City State University</t>
  </si>
  <si>
    <t>Delta College - Michigan</t>
  </si>
  <si>
    <t>Mattson</t>
  </si>
  <si>
    <t>Ornelas</t>
  </si>
  <si>
    <t>mark.mattson@vcsu.edu</t>
  </si>
  <si>
    <t>701-845-7156</t>
  </si>
  <si>
    <t>andrewornelas@delta.edu</t>
  </si>
  <si>
    <t>989-686-9303</t>
  </si>
  <si>
    <t>Delta (MI)</t>
  </si>
  <si>
    <t>$11,963/$14,078</t>
  </si>
  <si>
    <t>Valley City State</t>
  </si>
  <si>
    <t>Valley City</t>
  </si>
  <si>
    <t>J6367</t>
  </si>
  <si>
    <t>$18,206/$27,026</t>
  </si>
  <si>
    <t>Stroup</t>
  </si>
  <si>
    <t>elizabethstroup@delta.edu</t>
  </si>
  <si>
    <t>Barbi</t>
  </si>
  <si>
    <t>barbara.mattson@vcsu.edu</t>
  </si>
  <si>
    <t>Glen Oaks Community College</t>
  </si>
  <si>
    <t>n5089</t>
  </si>
  <si>
    <t>Lourdes University</t>
  </si>
  <si>
    <t>Jo Ann</t>
  </si>
  <si>
    <t>Glen Oaks CC</t>
  </si>
  <si>
    <t>Centreville</t>
  </si>
  <si>
    <t>jgordon@lourdes.edu</t>
  </si>
  <si>
    <t>419-824-3897</t>
  </si>
  <si>
    <t>$12,962 (in-district)/$14,474</t>
  </si>
  <si>
    <t>Lourdes</t>
  </si>
  <si>
    <t>Sylvania</t>
  </si>
  <si>
    <t>Kevin Lewis contact form: https://www.glenoaks.edu/edu-team/kevin-lewis/</t>
  </si>
  <si>
    <t>J6382</t>
  </si>
  <si>
    <t>n6717</t>
  </si>
  <si>
    <t>Gogebic Community College</t>
  </si>
  <si>
    <t>Tami</t>
  </si>
  <si>
    <t>Aho</t>
  </si>
  <si>
    <t>tsummers@lourdes.edu</t>
  </si>
  <si>
    <t>NoelA@gogebic.edu</t>
  </si>
  <si>
    <t>419-517-8984 419-517-8984</t>
  </si>
  <si>
    <t>(906) 307-1244</t>
  </si>
  <si>
    <t>Gogebic CC</t>
  </si>
  <si>
    <t>Ironwood</t>
  </si>
  <si>
    <t>n5120</t>
  </si>
  <si>
    <t>Mount Vernon Nazarene University</t>
  </si>
  <si>
    <t>Jeana</t>
  </si>
  <si>
    <t>$14,796 (in-district)/$16,222/$17,121</t>
  </si>
  <si>
    <t>Howald</t>
  </si>
  <si>
    <t>jeana.howald@mvnu.edu</t>
  </si>
  <si>
    <t>740-392-6868 x 3103</t>
  </si>
  <si>
    <t>J6395</t>
  </si>
  <si>
    <t>Grand Rapids Community College</t>
  </si>
  <si>
    <t>Skudre</t>
  </si>
  <si>
    <t>brianskudre@grcc.edu</t>
  </si>
  <si>
    <t>Mount Vernon Nazarene</t>
  </si>
  <si>
    <t>616-234-3990</t>
  </si>
  <si>
    <t>Grand Rapids CC</t>
  </si>
  <si>
    <t>$14,780/$18,590</t>
  </si>
  <si>
    <t>n5121</t>
  </si>
  <si>
    <t>Regina</t>
  </si>
  <si>
    <t>J11451</t>
  </si>
  <si>
    <t>Andi</t>
  </si>
  <si>
    <t>Chipman</t>
  </si>
  <si>
    <t>n5122</t>
  </si>
  <si>
    <t>J11452</t>
  </si>
  <si>
    <t>Stoepker</t>
  </si>
  <si>
    <t>n5123</t>
  </si>
  <si>
    <t>michael.simmons@mvnu.edu</t>
  </si>
  <si>
    <t>J11453</t>
  </si>
  <si>
    <t>Kietzman</t>
  </si>
  <si>
    <t>n5161</t>
  </si>
  <si>
    <t>University of Northwestern Ohio</t>
  </si>
  <si>
    <t>tcoffman@unoh.edu</t>
  </si>
  <si>
    <t>419-998-8438</t>
  </si>
  <si>
    <t>J6405</t>
  </si>
  <si>
    <t>Henry Ford College</t>
  </si>
  <si>
    <t>sjbrown@hfcc.edu</t>
  </si>
  <si>
    <t>313-657-3200</t>
  </si>
  <si>
    <t>Northwestern Ohio</t>
  </si>
  <si>
    <t>Lima</t>
  </si>
  <si>
    <t>Henry Ford CC</t>
  </si>
  <si>
    <t>$14,489/$16,121</t>
  </si>
  <si>
    <t>n5162</t>
  </si>
  <si>
    <t>J6406</t>
  </si>
  <si>
    <t>Jeffery</t>
  </si>
  <si>
    <t>triepenhoff@unoh.edu</t>
  </si>
  <si>
    <t>Laufenberg</t>
  </si>
  <si>
    <t>419-998-8484</t>
  </si>
  <si>
    <t>jlaufenberg@hfcc.edu</t>
  </si>
  <si>
    <t>n5163</t>
  </si>
  <si>
    <t>J6416</t>
  </si>
  <si>
    <t>Jackson College</t>
  </si>
  <si>
    <t>Kirkpatrick</t>
  </si>
  <si>
    <t>Vandenburgh</t>
  </si>
  <si>
    <t>kmkirkpatrick@unoh.edu</t>
  </si>
  <si>
    <t>VandenbJamieA01@jccmi.edu</t>
  </si>
  <si>
    <t>517.990.1419</t>
  </si>
  <si>
    <t>Jackson (MI)</t>
  </si>
  <si>
    <t>$17,146 (in-district)/$18,586/$20,386</t>
  </si>
  <si>
    <t>J6417</t>
  </si>
  <si>
    <t>Mick</t>
  </si>
  <si>
    <t>Ream</t>
  </si>
  <si>
    <t>mick_ream@hotmail.com</t>
  </si>
  <si>
    <t>c: 517-449-6668</t>
  </si>
  <si>
    <t>Ohio Christian University</t>
  </si>
  <si>
    <t>Huff</t>
  </si>
  <si>
    <t>jhuff@ohiochristian.edu</t>
  </si>
  <si>
    <t>740-477-4504</t>
  </si>
  <si>
    <t>Ohio Christian</t>
  </si>
  <si>
    <t>Circleville</t>
  </si>
  <si>
    <t>1,010-1,110 composite average</t>
  </si>
  <si>
    <t>J6418</t>
  </si>
  <si>
    <t>BatesTamaraJ@jccmi.edu</t>
  </si>
  <si>
    <t>517-206-2208</t>
  </si>
  <si>
    <t>n5200</t>
  </si>
  <si>
    <t>University of Rio Grande</t>
  </si>
  <si>
    <t>chammond@rio.edu</t>
  </si>
  <si>
    <t>740-245-7490</t>
  </si>
  <si>
    <t>J6434</t>
  </si>
  <si>
    <t>Kalamazoo Valley Community College</t>
  </si>
  <si>
    <t>VanderBor</t>
  </si>
  <si>
    <t>mvanderbor@kvcc.edu</t>
  </si>
  <si>
    <t>(269) 488-4126</t>
  </si>
  <si>
    <t>Rio Grande</t>
  </si>
  <si>
    <t>Kalamazoo Valley CC</t>
  </si>
  <si>
    <t>$11,110/$13,270</t>
  </si>
  <si>
    <t>n5201</t>
  </si>
  <si>
    <t>Ashlee</t>
  </si>
  <si>
    <t>Brill</t>
  </si>
  <si>
    <t>abrill@rio.edu</t>
  </si>
  <si>
    <t>J6435</t>
  </si>
  <si>
    <t>Vanfleet</t>
  </si>
  <si>
    <t>n5224</t>
  </si>
  <si>
    <t>J6436</t>
  </si>
  <si>
    <t>Shawnee State University</t>
  </si>
  <si>
    <t>Whittaker</t>
  </si>
  <si>
    <t>swhittaker@shawnee.edu</t>
  </si>
  <si>
    <t>740-351-3691</t>
  </si>
  <si>
    <t>J6449</t>
  </si>
  <si>
    <t>Lake Michigan College</t>
  </si>
  <si>
    <t>Jewell</t>
  </si>
  <si>
    <t>Shawnee State</t>
  </si>
  <si>
    <t>JJewell@lakemichigancollege.edu</t>
  </si>
  <si>
    <t>Portsmouth</t>
  </si>
  <si>
    <t>(269) 927-4830</t>
  </si>
  <si>
    <t>Lake Michigan</t>
  </si>
  <si>
    <t>Benton Harbor</t>
  </si>
  <si>
    <t>$22,011/$28,791</t>
  </si>
  <si>
    <t>$17,430 (in-district)/$19,020</t>
  </si>
  <si>
    <t>n5225</t>
  </si>
  <si>
    <t>Wolfenbarker</t>
  </si>
  <si>
    <t>J6450</t>
  </si>
  <si>
    <t>LJewell@lakemichigancollege.edu</t>
  </si>
  <si>
    <t>n5226</t>
  </si>
  <si>
    <t>J6451</t>
  </si>
  <si>
    <t>J6463</t>
  </si>
  <si>
    <t>Lansing Community College</t>
  </si>
  <si>
    <t>n5227</t>
  </si>
  <si>
    <t>Kibby</t>
  </si>
  <si>
    <t>marckibby@hotmail.com</t>
  </si>
  <si>
    <t>517.490.3621</t>
  </si>
  <si>
    <t>Lansing CC</t>
  </si>
  <si>
    <t>Lansing</t>
  </si>
  <si>
    <t>$12,870/$15,840</t>
  </si>
  <si>
    <t>n5228</t>
  </si>
  <si>
    <t>J6464</t>
  </si>
  <si>
    <t>n5229</t>
  </si>
  <si>
    <t>AC Daniel has been removed.</t>
  </si>
  <si>
    <t>J6465</t>
  </si>
  <si>
    <t>Chaffee</t>
  </si>
  <si>
    <t>n6774</t>
  </si>
  <si>
    <t>Bergan</t>
  </si>
  <si>
    <t>J6466</t>
  </si>
  <si>
    <t>Hengesbach</t>
  </si>
  <si>
    <t>n5267</t>
  </si>
  <si>
    <t>Bacone College</t>
  </si>
  <si>
    <t>J6467</t>
  </si>
  <si>
    <t>taylora@bacone.edu</t>
  </si>
  <si>
    <t>918-685-0427</t>
  </si>
  <si>
    <t>Bacone</t>
  </si>
  <si>
    <t>Muskogee</t>
  </si>
  <si>
    <t>Macomb Community College</t>
  </si>
  <si>
    <t>Beard</t>
  </si>
  <si>
    <t>beardJ107@macomb.edu</t>
  </si>
  <si>
    <t>586.445.7300, x3552</t>
  </si>
  <si>
    <t>n5282</t>
  </si>
  <si>
    <t>Langston University</t>
  </si>
  <si>
    <t>Hosea</t>
  </si>
  <si>
    <t>hoseab@langston.edu</t>
  </si>
  <si>
    <t>(405) 466-3529</t>
  </si>
  <si>
    <t>Macomb CC</t>
  </si>
  <si>
    <t>$13,686/$16,259</t>
  </si>
  <si>
    <t>Langston (OK)</t>
  </si>
  <si>
    <t>Langston</t>
  </si>
  <si>
    <t>$20,184/$27,523</t>
  </si>
  <si>
    <t>Cathie</t>
  </si>
  <si>
    <t>n5296</t>
  </si>
  <si>
    <t>Mid-America Christian University</t>
  </si>
  <si>
    <t>Wakefield</t>
  </si>
  <si>
    <t>robert.wakefield@macu.edu</t>
  </si>
  <si>
    <t>405-692-3285</t>
  </si>
  <si>
    <t>Nowowiecki</t>
  </si>
  <si>
    <t>Mid-America Christian</t>
  </si>
  <si>
    <t>Mott Community College</t>
  </si>
  <si>
    <t>Studaker</t>
  </si>
  <si>
    <t>studakerrod@gmail.com</t>
  </si>
  <si>
    <t>c: (989) 860-3931; o: (810) 762-0418</t>
  </si>
  <si>
    <t>n5297</t>
  </si>
  <si>
    <t>michael.wakefield@macu.edu</t>
  </si>
  <si>
    <t>405-703-8212</t>
  </si>
  <si>
    <t>@themick8</t>
  </si>
  <si>
    <t>Mott CC</t>
  </si>
  <si>
    <t>Flint</t>
  </si>
  <si>
    <t>$16,964/$18,240</t>
  </si>
  <si>
    <t>n5298</t>
  </si>
  <si>
    <t>Hoss</t>
  </si>
  <si>
    <t>rodney.studaker@mcc.edu</t>
  </si>
  <si>
    <t>n5315</t>
  </si>
  <si>
    <t>Oklahoma City University</t>
  </si>
  <si>
    <t>pmcspadden@okcu.edu</t>
  </si>
  <si>
    <t>(405) 208-5308</t>
  </si>
  <si>
    <t>J6501</t>
  </si>
  <si>
    <t>Muskegon Community College</t>
  </si>
  <si>
    <t>Dalson</t>
  </si>
  <si>
    <t>kevin.dalson@muskegoncc.edu</t>
  </si>
  <si>
    <t>231-777-0610</t>
  </si>
  <si>
    <t>Muskegon CC</t>
  </si>
  <si>
    <t>Muskegon</t>
  </si>
  <si>
    <t>$12,760/$16,280</t>
  </si>
  <si>
    <t>490-598</t>
  </si>
  <si>
    <t>Oakland Community College</t>
  </si>
  <si>
    <t>Corona</t>
  </si>
  <si>
    <t>n5316</t>
  </si>
  <si>
    <t>jlcorona@oaklandcc.edu</t>
  </si>
  <si>
    <t>(248) 232-4513</t>
  </si>
  <si>
    <t>Bobbi</t>
  </si>
  <si>
    <t>Oakland CC (MI)</t>
  </si>
  <si>
    <t>bbridges@okcu.edu</t>
  </si>
  <si>
    <t>Bloomfield Hills</t>
  </si>
  <si>
    <t>(405) 208-5976</t>
  </si>
  <si>
    <t>n5337</t>
  </si>
  <si>
    <t>J6522</t>
  </si>
  <si>
    <t>Oklahoma Panhandle State University</t>
  </si>
  <si>
    <t>Schoolcraft College</t>
  </si>
  <si>
    <t>Rey</t>
  </si>
  <si>
    <t>Linares</t>
  </si>
  <si>
    <t>chad.kerr@opsu.edu</t>
  </si>
  <si>
    <t>rlinares@schoolcraft.edu</t>
  </si>
  <si>
    <t>c: 214.551.2973</t>
  </si>
  <si>
    <t>(734) 462-7289</t>
  </si>
  <si>
    <t>Oklahoma Panhandle State</t>
  </si>
  <si>
    <t>Goodwell</t>
  </si>
  <si>
    <t>Schoolcraft (MI)</t>
  </si>
  <si>
    <t>$17,335/$18,274</t>
  </si>
  <si>
    <t>$16,145/$17,525</t>
  </si>
  <si>
    <t>n5338</t>
  </si>
  <si>
    <t>St. Clair County Community College</t>
  </si>
  <si>
    <t>rmatthews@sc4.edu</t>
  </si>
  <si>
    <t>(810) 989-5670</t>
  </si>
  <si>
    <t>St. Clair County CC</t>
  </si>
  <si>
    <t>Port Huron</t>
  </si>
  <si>
    <t>n5358</t>
  </si>
  <si>
    <t>Oklahoma Wesleyan University</t>
  </si>
  <si>
    <t>Bogear</t>
  </si>
  <si>
    <t>$12,788 (in-district)/$15,857</t>
  </si>
  <si>
    <t>gbogear.ga@okwu.edu</t>
  </si>
  <si>
    <t>c: (916) 239-9593</t>
  </si>
  <si>
    <t>Winans</t>
  </si>
  <si>
    <t>Oklahoma Wesleyan</t>
  </si>
  <si>
    <t>Bartlesville</t>
  </si>
  <si>
    <t>n5384</t>
  </si>
  <si>
    <t>Southwestern Christian University</t>
  </si>
  <si>
    <t>kent.williams@swcu.edu</t>
  </si>
  <si>
    <t>Southwestern Christian (OK)</t>
  </si>
  <si>
    <t>J6558</t>
  </si>
  <si>
    <t>Anoka-Ramsey Community College</t>
  </si>
  <si>
    <t>350-510</t>
  </si>
  <si>
    <t>Alto</t>
  </si>
  <si>
    <t>David.Alto@anokaramsey.edu</t>
  </si>
  <si>
    <t>763-433-1843</t>
  </si>
  <si>
    <t>Anoka-Ramsey CC</t>
  </si>
  <si>
    <t>Coon Rapids</t>
  </si>
  <si>
    <t>n5385</t>
  </si>
  <si>
    <t>McCraw</t>
  </si>
  <si>
    <t>chris.mccraw@swcu.edu</t>
  </si>
  <si>
    <t>J6559</t>
  </si>
  <si>
    <t>Bienfang</t>
  </si>
  <si>
    <t>Kimberly.Bienfang@anokaramsey.edu</t>
  </si>
  <si>
    <t>University of Science &amp; Arts of Oklahoma</t>
  </si>
  <si>
    <t>763-433-1483</t>
  </si>
  <si>
    <t>Jadyn</t>
  </si>
  <si>
    <t>Wallis</t>
  </si>
  <si>
    <t>jwallis@usao.edu</t>
  </si>
  <si>
    <t>405-574-1260</t>
  </si>
  <si>
    <t>U of Science and Arts of Oklahoma</t>
  </si>
  <si>
    <t>Chickasha</t>
  </si>
  <si>
    <t>395-500</t>
  </si>
  <si>
    <t>J6580</t>
  </si>
  <si>
    <t>Central Lakes College - Brainerd</t>
  </si>
  <si>
    <t>raustin@clcmn.edu</t>
  </si>
  <si>
    <t>$18,050/$28,400</t>
  </si>
  <si>
    <t>Central Lakes</t>
  </si>
  <si>
    <t>Brainerd</t>
  </si>
  <si>
    <t>J6581</t>
  </si>
  <si>
    <t>Prieto</t>
  </si>
  <si>
    <t>fprieto@usao.edu</t>
  </si>
  <si>
    <t>Dakota County Technical College</t>
  </si>
  <si>
    <t>Karlie</t>
  </si>
  <si>
    <t>Velasco</t>
  </si>
  <si>
    <t>tom.cross@dctc.edu</t>
  </si>
  <si>
    <t>651-423-8677</t>
  </si>
  <si>
    <t>Dakota County Tech</t>
  </si>
  <si>
    <t>Rosemount</t>
  </si>
  <si>
    <t>Dakota</t>
  </si>
  <si>
    <t>Clouse</t>
  </si>
  <si>
    <t>n5444</t>
  </si>
  <si>
    <t>Leitner</t>
  </si>
  <si>
    <t>Corban University</t>
  </si>
  <si>
    <t>rmartin@corban.edu</t>
  </si>
  <si>
    <t>Corban</t>
  </si>
  <si>
    <t>J6602</t>
  </si>
  <si>
    <t>Fond du Lac Tribal &amp; Community College</t>
  </si>
  <si>
    <t>n5445</t>
  </si>
  <si>
    <t>Liane</t>
  </si>
  <si>
    <t>LiSmith@corban.edu</t>
  </si>
  <si>
    <t>Cloquet</t>
  </si>
  <si>
    <t>n6805</t>
  </si>
  <si>
    <t>Mahina</t>
  </si>
  <si>
    <t>Chong</t>
  </si>
  <si>
    <t>Hibbing Community College - A Technical &amp; Community College</t>
  </si>
  <si>
    <t>Schweiss</t>
  </si>
  <si>
    <t>jenna.schweiss@hibbing.edu</t>
  </si>
  <si>
    <t>(218) 262-6709</t>
  </si>
  <si>
    <t>Hibbing CC</t>
  </si>
  <si>
    <t>Hibbing</t>
  </si>
  <si>
    <t>$16,762/$17,933</t>
  </si>
  <si>
    <t>n6836</t>
  </si>
  <si>
    <t>Itasca Community College</t>
  </si>
  <si>
    <t>kyle.erickson@itascacc.edu</t>
  </si>
  <si>
    <t>218-256-2336</t>
  </si>
  <si>
    <t>n6882</t>
  </si>
  <si>
    <t>Lingmai</t>
  </si>
  <si>
    <t>Itasca CC (MN)</t>
  </si>
  <si>
    <t>n7021</t>
  </si>
  <si>
    <t>$16,395/$17,566</t>
  </si>
  <si>
    <t>Mesabi Range College</t>
  </si>
  <si>
    <t>b.scott@mesabirange.edu</t>
  </si>
  <si>
    <t>218-749-7757</t>
  </si>
  <si>
    <t>n5497</t>
  </si>
  <si>
    <t>Eastern Oregon University</t>
  </si>
  <si>
    <t>christn@eou.edu</t>
  </si>
  <si>
    <t>541-962-3808</t>
  </si>
  <si>
    <t>Mesabi Range</t>
  </si>
  <si>
    <t>$14,095/$15,266</t>
  </si>
  <si>
    <t>Eastern Oregon</t>
  </si>
  <si>
    <t>La Grande</t>
  </si>
  <si>
    <t>$21,314/$31,955</t>
  </si>
  <si>
    <t>J6640</t>
  </si>
  <si>
    <t>Minnesota State Community &amp; Technical College</t>
  </si>
  <si>
    <t>steve.king@minnesota.edu</t>
  </si>
  <si>
    <t>(218) 736-1648</t>
  </si>
  <si>
    <t>n5498</t>
  </si>
  <si>
    <t>Minnesota State Comm &amp; Tech</t>
  </si>
  <si>
    <t>Kline</t>
  </si>
  <si>
    <t>Fergus Falls</t>
  </si>
  <si>
    <t>J6657</t>
  </si>
  <si>
    <t>n6584</t>
  </si>
  <si>
    <t>Minnesota West Community &amp; Technical College</t>
  </si>
  <si>
    <t>Gunnink</t>
  </si>
  <si>
    <t>Tanner.gunnink@mnwest.edu</t>
  </si>
  <si>
    <t>Minnesota West Comm &amp; Tech</t>
  </si>
  <si>
    <t>n6663</t>
  </si>
  <si>
    <t>$17,140/$22,236</t>
  </si>
  <si>
    <t>J6673</t>
  </si>
  <si>
    <t>Northland Community &amp; Technical College</t>
  </si>
  <si>
    <t>paul.peterson@northlandcollege.edu</t>
  </si>
  <si>
    <t>218-683-8556</t>
  </si>
  <si>
    <t>n6752</t>
  </si>
  <si>
    <t>Northland (MN)</t>
  </si>
  <si>
    <t>Thief River Falls</t>
  </si>
  <si>
    <t>Northland Comm &amp; Tech (MN)</t>
  </si>
  <si>
    <t>n5543</t>
  </si>
  <si>
    <t>Northwest Christian University</t>
  </si>
  <si>
    <t>Duroe</t>
  </si>
  <si>
    <t>kduroe@nwcu.edu</t>
  </si>
  <si>
    <t>541-684-7220</t>
  </si>
  <si>
    <t>J6674</t>
  </si>
  <si>
    <t>Lara</t>
  </si>
  <si>
    <t>amanda.lara@northlandcollege.edu</t>
  </si>
  <si>
    <t>Northwest Christian (OR)</t>
  </si>
  <si>
    <t>433-540</t>
  </si>
  <si>
    <t>Rainy River Community College</t>
  </si>
  <si>
    <t>Dieter</t>
  </si>
  <si>
    <t>Humbert</t>
  </si>
  <si>
    <t>n5544</t>
  </si>
  <si>
    <t>218.285.2258; 218.285.3380</t>
  </si>
  <si>
    <t>Rainy River CC</t>
  </si>
  <si>
    <t>International Falls</t>
  </si>
  <si>
    <t>$14,877/$16,047</t>
  </si>
  <si>
    <t>n5545</t>
  </si>
  <si>
    <t>Connie</t>
  </si>
  <si>
    <t>Gilhuber</t>
  </si>
  <si>
    <t>Hasbargen</t>
  </si>
  <si>
    <t>Ridgewater College</t>
  </si>
  <si>
    <t>Datriana</t>
  </si>
  <si>
    <t>datriana.jensen@ridgewater.edu</t>
  </si>
  <si>
    <t>320-222-7575</t>
  </si>
  <si>
    <t>n6686</t>
  </si>
  <si>
    <t>Ridgewater</t>
  </si>
  <si>
    <t>Willmar</t>
  </si>
  <si>
    <t>n5579</t>
  </si>
  <si>
    <t>Oregon Institute of Technology</t>
  </si>
  <si>
    <t>Greg.Stewart@oit.edu</t>
  </si>
  <si>
    <t>541-885-1629</t>
  </si>
  <si>
    <t>Riverland Community College</t>
  </si>
  <si>
    <t>Siskow</t>
  </si>
  <si>
    <t>Amanda.Siskow@riverland.edu</t>
  </si>
  <si>
    <t>507-433-0588</t>
  </si>
  <si>
    <t>Riverland CC</t>
  </si>
  <si>
    <t>Oregon Tech</t>
  </si>
  <si>
    <t>Klamath Falls</t>
  </si>
  <si>
    <t>$23,664/$41,365</t>
  </si>
  <si>
    <t>J6716</t>
  </si>
  <si>
    <t>Rochester Community &amp; Technical College</t>
  </si>
  <si>
    <t>Ronnenberg</t>
  </si>
  <si>
    <t>cori.ronnenberg@rctc.edu</t>
  </si>
  <si>
    <t>507-285-7562</t>
  </si>
  <si>
    <t>Rochester Comm &amp; Tech</t>
  </si>
  <si>
    <t>n5580</t>
  </si>
  <si>
    <t>Leveque</t>
  </si>
  <si>
    <t>J6717</t>
  </si>
  <si>
    <t>Lenz</t>
  </si>
  <si>
    <t>Haley.Lenz@rctc.edu</t>
  </si>
  <si>
    <t>507-285-7255</t>
  </si>
  <si>
    <t>n6605</t>
  </si>
  <si>
    <t>Vermilion Community College</t>
  </si>
  <si>
    <t>Marcus</t>
  </si>
  <si>
    <t>Waugh</t>
  </si>
  <si>
    <t>n6697</t>
  </si>
  <si>
    <t>marcus.waugh@vcc.edu</t>
  </si>
  <si>
    <t>c: 218-235-1659</t>
  </si>
  <si>
    <t>Vermilion CC</t>
  </si>
  <si>
    <t>Ely</t>
  </si>
  <si>
    <t>$15,682/$16,851</t>
  </si>
  <si>
    <t>n5616</t>
  </si>
  <si>
    <t>Southern Oregon University</t>
  </si>
  <si>
    <t>J6746</t>
  </si>
  <si>
    <t>Southern Oregon</t>
  </si>
  <si>
    <t>Coahoma Community College</t>
  </si>
  <si>
    <t>esmith@coahomacc.edu</t>
  </si>
  <si>
    <t>$25,530/$40,177</t>
  </si>
  <si>
    <t>Coahoma CC</t>
  </si>
  <si>
    <t>n5617</t>
  </si>
  <si>
    <t>Clarksdale</t>
  </si>
  <si>
    <t>Mayben</t>
  </si>
  <si>
    <t>maybenm1@sou.edu</t>
  </si>
  <si>
    <t>J6747</t>
  </si>
  <si>
    <t>Brinston</t>
  </si>
  <si>
    <t>n5618</t>
  </si>
  <si>
    <t>Duane</t>
  </si>
  <si>
    <t>Pardue</t>
  </si>
  <si>
    <t>pardued@sou.edu</t>
  </si>
  <si>
    <t>J10721</t>
  </si>
  <si>
    <t>n5619</t>
  </si>
  <si>
    <t>Copiah-Lincoln Community College</t>
  </si>
  <si>
    <t>Harlee</t>
  </si>
  <si>
    <t>donovanh@sou.edu</t>
  </si>
  <si>
    <t>Copiah-Lincoln CC</t>
  </si>
  <si>
    <t>Wesson</t>
  </si>
  <si>
    <t>$10,180/$12,180</t>
  </si>
  <si>
    <t>n5646</t>
  </si>
  <si>
    <t>Warner Pacific University</t>
  </si>
  <si>
    <t>Ohta</t>
  </si>
  <si>
    <t>nohta@warnerpacific.edu</t>
  </si>
  <si>
    <t>503-750-5964</t>
  </si>
  <si>
    <t>J6765</t>
  </si>
  <si>
    <t>Meleah</t>
  </si>
  <si>
    <t>meleah.howard@colin.edu</t>
  </si>
  <si>
    <t>601.757.6668</t>
  </si>
  <si>
    <t>Warner Pacific</t>
  </si>
  <si>
    <t>410-515</t>
  </si>
  <si>
    <t>405-505</t>
  </si>
  <si>
    <t>J6766</t>
  </si>
  <si>
    <t>AC Duane has been removed.</t>
  </si>
  <si>
    <t>Carlow University</t>
  </si>
  <si>
    <t>Zinsmeister</t>
  </si>
  <si>
    <t>grzinsmeister@carlow.edu</t>
  </si>
  <si>
    <t>412.623.1296</t>
  </si>
  <si>
    <t>Carlow</t>
  </si>
  <si>
    <t>J6786</t>
  </si>
  <si>
    <t>East Central Community College</t>
  </si>
  <si>
    <t>lwhite@eccc.edu</t>
  </si>
  <si>
    <t>601-635-6301</t>
  </si>
  <si>
    <t>Point Park University</t>
  </si>
  <si>
    <t>Coultas</t>
  </si>
  <si>
    <t>mcoultas@pointpark.edu</t>
  </si>
  <si>
    <t>412-392-8144</t>
  </si>
  <si>
    <t>East Central CC (MS)</t>
  </si>
  <si>
    <t>$10,580/$12,680</t>
  </si>
  <si>
    <t>Point Park</t>
  </si>
  <si>
    <t>J6787</t>
  </si>
  <si>
    <t>McTaggart</t>
  </si>
  <si>
    <t>rmctaggart@eccc.edu</t>
  </si>
  <si>
    <t>601-635-6416</t>
  </si>
  <si>
    <t>Ferrari</t>
  </si>
  <si>
    <t>rferrari@pointpark.edu</t>
  </si>
  <si>
    <t>J6806</t>
  </si>
  <si>
    <t>East Mississippi Community College</t>
  </si>
  <si>
    <t>McNair</t>
  </si>
  <si>
    <t>Bachman</t>
  </si>
  <si>
    <t>jmcnair@eastms.edu</t>
  </si>
  <si>
    <t>bbachman@pointpark.edu</t>
  </si>
  <si>
    <t>662-476-5043</t>
  </si>
  <si>
    <t>East Mississippi CC</t>
  </si>
  <si>
    <t>Scooba</t>
  </si>
  <si>
    <t>$12,055/$14,455</t>
  </si>
  <si>
    <t>J6807</t>
  </si>
  <si>
    <t>knicholson@eastms.edu</t>
  </si>
  <si>
    <t>662-476-5033</t>
  </si>
  <si>
    <t>n5723</t>
  </si>
  <si>
    <t>Allen University</t>
  </si>
  <si>
    <t>tmatthews@allenuniversity.edu</t>
  </si>
  <si>
    <t>803-376-5747</t>
  </si>
  <si>
    <t>J6826</t>
  </si>
  <si>
    <t>Hinds Community College</t>
  </si>
  <si>
    <t>Grzanich</t>
  </si>
  <si>
    <t>MEGrzanich@hindscc.edu</t>
  </si>
  <si>
    <t>601.857.3634</t>
  </si>
  <si>
    <t>Allen (SC)</t>
  </si>
  <si>
    <t>Hinds CC</t>
  </si>
  <si>
    <t>Appalachian (AAC)</t>
  </si>
  <si>
    <t>n7018</t>
  </si>
  <si>
    <t>$11,190/$13,990</t>
  </si>
  <si>
    <t>J6827</t>
  </si>
  <si>
    <t>courtney.carson2@hindscc.edu</t>
  </si>
  <si>
    <t>c: 225-335-8662</t>
  </si>
  <si>
    <t>n5731</t>
  </si>
  <si>
    <t>Columbia College - South Carolina</t>
  </si>
  <si>
    <t>Soos</t>
  </si>
  <si>
    <t>bshearin@columbiasc.edu</t>
  </si>
  <si>
    <t>803.786.3289</t>
  </si>
  <si>
    <t>Columbia (SC)</t>
  </si>
  <si>
    <t>J6828</t>
  </si>
  <si>
    <t>Plummer</t>
  </si>
  <si>
    <t>n5732</t>
  </si>
  <si>
    <t>J11221</t>
  </si>
  <si>
    <t>Holmes Community College</t>
  </si>
  <si>
    <t>mosmith@columbiasc.edu</t>
  </si>
  <si>
    <t>803.786.3288</t>
  </si>
  <si>
    <t>rcasey@holmescc.edu</t>
  </si>
  <si>
    <t>662-472-9132</t>
  </si>
  <si>
    <t>Holmes CC</t>
  </si>
  <si>
    <t>Morris College</t>
  </si>
  <si>
    <t>HC Gilbert has been removed.</t>
  </si>
  <si>
    <t>$10,790/$13,370</t>
  </si>
  <si>
    <t>Morris (SC)</t>
  </si>
  <si>
    <t>Sumter</t>
  </si>
  <si>
    <t>J6854</t>
  </si>
  <si>
    <t>HC Christa has been removed.</t>
  </si>
  <si>
    <t>n5757</t>
  </si>
  <si>
    <t>University of South Carolina - Beaufort</t>
  </si>
  <si>
    <t>Wigness</t>
  </si>
  <si>
    <t>bwigness@uscb.edu</t>
  </si>
  <si>
    <t>843.208.8068</t>
  </si>
  <si>
    <t>J6855</t>
  </si>
  <si>
    <t>Karisa</t>
  </si>
  <si>
    <t>kcoleman@holmescc.edu</t>
  </si>
  <si>
    <t>662-472-9149</t>
  </si>
  <si>
    <t>South Carolina-Beaufort</t>
  </si>
  <si>
    <t>Beaufort</t>
  </si>
  <si>
    <t>J6879</t>
  </si>
  <si>
    <t>$23,664/$34,128</t>
  </si>
  <si>
    <t>Itawamba Community College -- Fulton Campus</t>
  </si>
  <si>
    <t>ankirk@iccms.edu</t>
  </si>
  <si>
    <t>662-862-8159</t>
  </si>
  <si>
    <t>n5758</t>
  </si>
  <si>
    <t>simmonac@uscb.edu</t>
  </si>
  <si>
    <t>843.208.8060</t>
  </si>
  <si>
    <t>Itawamba CC</t>
  </si>
  <si>
    <t>$10,420/$12,620</t>
  </si>
  <si>
    <t>n5759</t>
  </si>
  <si>
    <t>J6880</t>
  </si>
  <si>
    <t>hbthompson@iccms.edu</t>
  </si>
  <si>
    <t>662-862-8170</t>
  </si>
  <si>
    <t>Voorhees College</t>
  </si>
  <si>
    <t>Derrick</t>
  </si>
  <si>
    <t>dmitchell@voorhees.edu</t>
  </si>
  <si>
    <t>(803) 780-1047</t>
  </si>
  <si>
    <t>J6903</t>
  </si>
  <si>
    <t>Jones County Junior College</t>
  </si>
  <si>
    <t>Voorhees</t>
  </si>
  <si>
    <t>chris.robinson@jcjc.edu</t>
  </si>
  <si>
    <t>Denmark</t>
  </si>
  <si>
    <t>601-477-4264</t>
  </si>
  <si>
    <t>350 average</t>
  </si>
  <si>
    <t>330 average</t>
  </si>
  <si>
    <t>15 average</t>
  </si>
  <si>
    <t>Jones County JC (MS)</t>
  </si>
  <si>
    <t>Ellisville</t>
  </si>
  <si>
    <t>n5793</t>
  </si>
  <si>
    <t>Dakota State University</t>
  </si>
  <si>
    <t>Fricke</t>
  </si>
  <si>
    <t>$11,888/$13,888</t>
  </si>
  <si>
    <t>rachel.fricke@dsu.edu</t>
  </si>
  <si>
    <t>605-256-5846</t>
  </si>
  <si>
    <t>Dakota State</t>
  </si>
  <si>
    <t>430-585</t>
  </si>
  <si>
    <t>$20,769/$23,685</t>
  </si>
  <si>
    <t>J6904</t>
  </si>
  <si>
    <t>n5794</t>
  </si>
  <si>
    <t>Herrington</t>
  </si>
  <si>
    <t>bob.herrington@jcjc.edu</t>
  </si>
  <si>
    <t>alexandra.holland@dsu.edu</t>
  </si>
  <si>
    <t>605-256-5229</t>
  </si>
  <si>
    <t>n5817</t>
  </si>
  <si>
    <t>J6905</t>
  </si>
  <si>
    <t>Dakota Wesleyan University</t>
  </si>
  <si>
    <t>Kieff</t>
  </si>
  <si>
    <t>Ed.Kieff@dwu.edu</t>
  </si>
  <si>
    <t>tori.dew@jcjc.edu</t>
  </si>
  <si>
    <t>605-212-5916</t>
  </si>
  <si>
    <t>Dakota Wesleyan</t>
  </si>
  <si>
    <t>J6923</t>
  </si>
  <si>
    <t>Meridian Community College</t>
  </si>
  <si>
    <t>frobins2@meridiancc.edu</t>
  </si>
  <si>
    <t>601-484-8890</t>
  </si>
  <si>
    <t>Meridian CC</t>
  </si>
  <si>
    <t>Meridian</t>
  </si>
  <si>
    <t>n5818</t>
  </si>
  <si>
    <t>$11,260/$12,560</t>
  </si>
  <si>
    <t>Lien</t>
  </si>
  <si>
    <t>Derek.Lien@dwu.edu</t>
  </si>
  <si>
    <t>J6924</t>
  </si>
  <si>
    <t>Londen</t>
  </si>
  <si>
    <t>Ladner</t>
  </si>
  <si>
    <t>lladner@meridiancc.edu</t>
  </si>
  <si>
    <t>601-484-8721</t>
  </si>
  <si>
    <t>n5844</t>
  </si>
  <si>
    <t>Mount Marty College</t>
  </si>
  <si>
    <t>Bruckner</t>
  </si>
  <si>
    <t>tate.bruckner@mtmc.edu</t>
  </si>
  <si>
    <t>605-660-0015</t>
  </si>
  <si>
    <t>J6949</t>
  </si>
  <si>
    <t>Mississippi Delta Community College</t>
  </si>
  <si>
    <t>Grinstead</t>
  </si>
  <si>
    <t>Mount Marty</t>
  </si>
  <si>
    <t>Yankton</t>
  </si>
  <si>
    <t>bgrinstead@msdelta.edu</t>
  </si>
  <si>
    <t>662-246-6262</t>
  </si>
  <si>
    <t>Mississippi Delta CC</t>
  </si>
  <si>
    <t>$8,730/$10,338</t>
  </si>
  <si>
    <t>n5845</t>
  </si>
  <si>
    <t>Ramon</t>
  </si>
  <si>
    <t>J6950</t>
  </si>
  <si>
    <t>sgreen@msdelta.edu</t>
  </si>
  <si>
    <t>n5870</t>
  </si>
  <si>
    <t>J6968</t>
  </si>
  <si>
    <t>Presentation College</t>
  </si>
  <si>
    <t>Cerenio-Jordan</t>
  </si>
  <si>
    <t>Mississippi Gulf Coast Community College</t>
  </si>
  <si>
    <t>Mari.Jordan@Presentation.edu</t>
  </si>
  <si>
    <t>Neel</t>
  </si>
  <si>
    <t>605-229-8365</t>
  </si>
  <si>
    <t>richard.neel@mgccc.edu</t>
  </si>
  <si>
    <t>601-528-8496</t>
  </si>
  <si>
    <t>Presentation (SD)</t>
  </si>
  <si>
    <t>Mississippi Gulf Coast CC</t>
  </si>
  <si>
    <t>Perkinston</t>
  </si>
  <si>
    <t>350-480</t>
  </si>
  <si>
    <t>$11,322/$14,122</t>
  </si>
  <si>
    <t>J6969</t>
  </si>
  <si>
    <t>Bethel University - Tennessee</t>
  </si>
  <si>
    <t>Adcock</t>
  </si>
  <si>
    <t>amber.adcock@mgccc.edu</t>
  </si>
  <si>
    <t>601-528-8405</t>
  </si>
  <si>
    <t>Weeks</t>
  </si>
  <si>
    <t>weeksj@bethelu.edu</t>
  </si>
  <si>
    <t>(731) 352-4084</t>
  </si>
  <si>
    <t>J6970</t>
  </si>
  <si>
    <t>Bethel (TN)</t>
  </si>
  <si>
    <t>danielle.barton@mgccc.edu</t>
  </si>
  <si>
    <t>c: 228-224-2240</t>
  </si>
  <si>
    <t>y (Cumberland Presbyterian)</t>
  </si>
  <si>
    <t>405-500</t>
  </si>
  <si>
    <t>J6995</t>
  </si>
  <si>
    <t>Northeast Mississippi Community College</t>
  </si>
  <si>
    <t>Ivy</t>
  </si>
  <si>
    <t>Kane</t>
  </si>
  <si>
    <t>jwlong@nemcc.edu</t>
  </si>
  <si>
    <t>kanei@bethelu.edu</t>
  </si>
  <si>
    <t>662-720-7305</t>
  </si>
  <si>
    <t>Northeast Mississippi CC</t>
  </si>
  <si>
    <t>n5916</t>
  </si>
  <si>
    <t>Booneville</t>
  </si>
  <si>
    <t>Bryan College - Tennessee</t>
  </si>
  <si>
    <t>Ritchhart</t>
  </si>
  <si>
    <t>mark.ritchhart@bryan.edu</t>
  </si>
  <si>
    <t>423-775-7492</t>
  </si>
  <si>
    <t>$12,304/$14,554</t>
  </si>
  <si>
    <t>J6996</t>
  </si>
  <si>
    <t>Bryan (TN)</t>
  </si>
  <si>
    <t>klconnell@nemcc.edu</t>
  </si>
  <si>
    <t>662-720-7218</t>
  </si>
  <si>
    <t>485-712</t>
  </si>
  <si>
    <t>470-637</t>
  </si>
  <si>
    <t>J7011</t>
  </si>
  <si>
    <t>n5917</t>
  </si>
  <si>
    <t>Northwest Mississippi Community College</t>
  </si>
  <si>
    <t>Bramlett</t>
  </si>
  <si>
    <t>Qualls</t>
  </si>
  <si>
    <t>hannah.qualls@bryan.edu</t>
  </si>
  <si>
    <t>cbramlett@northwestms.edu</t>
  </si>
  <si>
    <t>(662) 560-1238</t>
  </si>
  <si>
    <t>Northwest Mississippi CC</t>
  </si>
  <si>
    <t>n5918</t>
  </si>
  <si>
    <t>Senatobia</t>
  </si>
  <si>
    <t>Massengale</t>
  </si>
  <si>
    <t>peteym37@att.net</t>
  </si>
  <si>
    <t>423-394-0649</t>
  </si>
  <si>
    <t>$8,501/$10,901</t>
  </si>
  <si>
    <t>J7012</t>
  </si>
  <si>
    <t>duyoung@northwestms.edu</t>
  </si>
  <si>
    <t>Cumberland University</t>
  </si>
  <si>
    <t>hstanfill@cumberland.edu</t>
  </si>
  <si>
    <t>(615) 547-1324</t>
  </si>
  <si>
    <t>J7033</t>
  </si>
  <si>
    <t>Pearl River Community College</t>
  </si>
  <si>
    <t>cmeeks@prcc.edu</t>
  </si>
  <si>
    <t>(601) 403-1177</t>
  </si>
  <si>
    <t>Pearl River CC</t>
  </si>
  <si>
    <t>Poplarville</t>
  </si>
  <si>
    <t>$8,759/$11,157</t>
  </si>
  <si>
    <t>Cumberland (TN)</t>
  </si>
  <si>
    <t>J7034</t>
  </si>
  <si>
    <t>Sparks</t>
  </si>
  <si>
    <t>J7055</t>
  </si>
  <si>
    <t>Southwest Mississippi Community College</t>
  </si>
  <si>
    <t>Shea</t>
  </si>
  <si>
    <t>mjohnson@smcc.edu</t>
  </si>
  <si>
    <t>Theall</t>
  </si>
  <si>
    <t>(601) 276-4842</t>
  </si>
  <si>
    <t>stheall@cumberland.edu</t>
  </si>
  <si>
    <t>(615) 453-6361</t>
  </si>
  <si>
    <t>Southwest Mississippi CC</t>
  </si>
  <si>
    <t>$9,250/$11,950</t>
  </si>
  <si>
    <t>J7056</t>
  </si>
  <si>
    <t>hprice@smcc.edu</t>
  </si>
  <si>
    <t>(601) 276-2009</t>
  </si>
  <si>
    <t>Imani</t>
  </si>
  <si>
    <t>Torregano</t>
  </si>
  <si>
    <t>imanitorregano@cumberland.edu</t>
  </si>
  <si>
    <t>J7061</t>
  </si>
  <si>
    <t>Wallach</t>
  </si>
  <si>
    <t>brad.wallach@eastcentral.edu</t>
  </si>
  <si>
    <t>636-584-6749</t>
  </si>
  <si>
    <t>Fisk University</t>
  </si>
  <si>
    <t>Fisk (TN)</t>
  </si>
  <si>
    <t>East Central (MO)</t>
  </si>
  <si>
    <t>$21,147 (in-district)/$21,987/$23,355</t>
  </si>
  <si>
    <t>East Central College (MO)</t>
  </si>
  <si>
    <t>Freed-Hardeman University</t>
  </si>
  <si>
    <t>Humphry</t>
  </si>
  <si>
    <t>thumphry@fhu.edu</t>
  </si>
  <si>
    <t>731-989-6906</t>
  </si>
  <si>
    <t>J7062</t>
  </si>
  <si>
    <t>Marvin</t>
  </si>
  <si>
    <t>Medcalf</t>
  </si>
  <si>
    <t>marvin.medcalf@eastcentral.edu</t>
  </si>
  <si>
    <t>Freed-Hardeman</t>
  </si>
  <si>
    <t>480-558</t>
  </si>
  <si>
    <t>435-518</t>
  </si>
  <si>
    <t>J10774</t>
  </si>
  <si>
    <t>Smetzer</t>
  </si>
  <si>
    <t>jsmetzer@jeffco.edu</t>
  </si>
  <si>
    <t>636-481-3351</t>
  </si>
  <si>
    <t>Jefferson (MO)</t>
  </si>
  <si>
    <t>n6005</t>
  </si>
  <si>
    <t>Martin Methodist College</t>
  </si>
  <si>
    <t>Brandie</t>
  </si>
  <si>
    <t>bpaul@martinmethodist.edu</t>
  </si>
  <si>
    <t>931-363-9879</t>
  </si>
  <si>
    <t>J7072</t>
  </si>
  <si>
    <t>acook2@jeffco.edu</t>
  </si>
  <si>
    <t>636-481-3379</t>
  </si>
  <si>
    <t>Martin Methodist</t>
  </si>
  <si>
    <t>Pulaski</t>
  </si>
  <si>
    <t>n6026</t>
  </si>
  <si>
    <t>Milligan College</t>
  </si>
  <si>
    <t>weholly@milligan.edu</t>
  </si>
  <si>
    <t>(423) 461-8951</t>
  </si>
  <si>
    <t>J7073</t>
  </si>
  <si>
    <t>kschmid3@jeffco.edu</t>
  </si>
  <si>
    <t>500-570</t>
  </si>
  <si>
    <t>J7074</t>
  </si>
  <si>
    <t>cstarke1@jeffco.edu</t>
  </si>
  <si>
    <t>n6027</t>
  </si>
  <si>
    <t>Holly Jr.</t>
  </si>
  <si>
    <t>wholly@milligan.edu</t>
  </si>
  <si>
    <t>Metropolitan Community College - Maple Woods</t>
  </si>
  <si>
    <t>Kary</t>
  </si>
  <si>
    <t>Kankey</t>
  </si>
  <si>
    <t>kary.kankey@mcckc.edu</t>
  </si>
  <si>
    <t>816 604-3505</t>
  </si>
  <si>
    <t>Metropolitain CC-Maple Woods</t>
  </si>
  <si>
    <t>Tennessee Wesleyan University</t>
  </si>
  <si>
    <t>Toby</t>
  </si>
  <si>
    <t>tbrooks@tnwesleyan.edu</t>
  </si>
  <si>
    <t>423-746-5254</t>
  </si>
  <si>
    <t>$5,910/$7,530</t>
  </si>
  <si>
    <t>Tennessee Wesleyan</t>
  </si>
  <si>
    <t>Autumn</t>
  </si>
  <si>
    <t>autumn.hughes@mcckc.edu</t>
  </si>
  <si>
    <t>Kaylin</t>
  </si>
  <si>
    <t>lprice@tnwesleyan.edu</t>
  </si>
  <si>
    <t>J7084</t>
  </si>
  <si>
    <t>University of Houston - Victoria</t>
  </si>
  <si>
    <t>Ortiz</t>
  </si>
  <si>
    <t>ortizln@uhv.edu</t>
  </si>
  <si>
    <t>J7085</t>
  </si>
  <si>
    <t>361-485-4417</t>
  </si>
  <si>
    <t>Houston-Victoria</t>
  </si>
  <si>
    <t>J7086</t>
  </si>
  <si>
    <t>$19,709/$31,949</t>
  </si>
  <si>
    <t>Mineral Area College</t>
  </si>
  <si>
    <t>Mac</t>
  </si>
  <si>
    <t>dguemmer@mineralarea.edu</t>
  </si>
  <si>
    <t>christensenm@uhv.edu</t>
  </si>
  <si>
    <t>573-518-2109</t>
  </si>
  <si>
    <t>361-485-4425</t>
  </si>
  <si>
    <t>Mineral Area</t>
  </si>
  <si>
    <t>Park Hills</t>
  </si>
  <si>
    <t>$15,424 (in-district)/$16,444/$17,914</t>
  </si>
  <si>
    <t>n6098</t>
  </si>
  <si>
    <t>Huston-Tillotson University</t>
  </si>
  <si>
    <t>Roxanne</t>
  </si>
  <si>
    <t>rorodriguez@htu.edu</t>
  </si>
  <si>
    <t>512.505.3056</t>
  </si>
  <si>
    <t>Wolk</t>
  </si>
  <si>
    <t>twolk@mineralarea.edu</t>
  </si>
  <si>
    <t>J7109</t>
  </si>
  <si>
    <t>Huston-Tillostson</t>
  </si>
  <si>
    <t>340-460</t>
  </si>
  <si>
    <t>13-18</t>
  </si>
  <si>
    <t>Huston-Tillotson</t>
  </si>
  <si>
    <t>J7110</t>
  </si>
  <si>
    <t>Jarvis Christian College</t>
  </si>
  <si>
    <t>trobinson@jarvis.edu</t>
  </si>
  <si>
    <t>J7135</t>
  </si>
  <si>
    <t>North Central Missouri College</t>
  </si>
  <si>
    <t>Jarvis Christian</t>
  </si>
  <si>
    <t>Richman</t>
  </si>
  <si>
    <t>srichman@mail.ncmissouri.edu</t>
  </si>
  <si>
    <t>660-359-3948 ext 1409</t>
  </si>
  <si>
    <t>300-400</t>
  </si>
  <si>
    <t>n6127</t>
  </si>
  <si>
    <t>North Central Missouri</t>
  </si>
  <si>
    <t>Our Lady of the Lake University</t>
  </si>
  <si>
    <t>Trenton</t>
  </si>
  <si>
    <t>Lenington</t>
  </si>
  <si>
    <t>blenington@ollusa.edu</t>
  </si>
  <si>
    <t>c: 734-678-2194; o: 210-431-4107</t>
  </si>
  <si>
    <t>$13,830 (in-district)/$14,820/$15,990</t>
  </si>
  <si>
    <t>J7136</t>
  </si>
  <si>
    <t>Our Lady of the Lake</t>
  </si>
  <si>
    <t>svandyke@mail.ncmissouri.edu</t>
  </si>
  <si>
    <t>660-359-3948 ext 1480</t>
  </si>
  <si>
    <t>J7141</t>
  </si>
  <si>
    <t>St. Charles Community College</t>
  </si>
  <si>
    <t>n6128</t>
  </si>
  <si>
    <t>Huffstickler</t>
  </si>
  <si>
    <t>shuffstickler@stchas.edu</t>
  </si>
  <si>
    <t>636.922.8487</t>
  </si>
  <si>
    <t>agarcia.0280@gmail.com</t>
  </si>
  <si>
    <t>210-431-4107</t>
  </si>
  <si>
    <t>St. Charles CC (MO)</t>
  </si>
  <si>
    <t>Cottleville</t>
  </si>
  <si>
    <t>$15,844/$17,068</t>
  </si>
  <si>
    <t>Southwestern Assemblies of God University</t>
  </si>
  <si>
    <t>swatson@sagu.edu</t>
  </si>
  <si>
    <t>972-825-4865</t>
  </si>
  <si>
    <t>J7142</t>
  </si>
  <si>
    <t>Blayke</t>
  </si>
  <si>
    <t>McKissic</t>
  </si>
  <si>
    <t>bmckissic@stchas.edu</t>
  </si>
  <si>
    <t>Southwestern Assemblies of God</t>
  </si>
  <si>
    <t>Waxahachie</t>
  </si>
  <si>
    <t>J7157</t>
  </si>
  <si>
    <t>St. Louis Community College - Meramec</t>
  </si>
  <si>
    <t>Swiderski</t>
  </si>
  <si>
    <t>kswiderski1@stlcc.edu</t>
  </si>
  <si>
    <t>314-984-7789</t>
  </si>
  <si>
    <t>St. Louis CC</t>
  </si>
  <si>
    <t>$13,180 (in-district)/$14,560</t>
  </si>
  <si>
    <t>Gignac</t>
  </si>
  <si>
    <t>agignac@sagu.edu</t>
  </si>
  <si>
    <t>J7158</t>
  </si>
  <si>
    <t>jswiderski@stlcc.edu</t>
  </si>
  <si>
    <t>314-984-7396</t>
  </si>
  <si>
    <t>n6179</t>
  </si>
  <si>
    <t>University of St. Thomas - Texas</t>
  </si>
  <si>
    <t>Froboese</t>
  </si>
  <si>
    <t>froboea@stthom.edu</t>
  </si>
  <si>
    <t>713-525-6973</t>
  </si>
  <si>
    <t>J7159</t>
  </si>
  <si>
    <t>kwilliams1@stlcc.edu</t>
  </si>
  <si>
    <t>St. Thomas (TX)</t>
  </si>
  <si>
    <t>J7160</t>
  </si>
  <si>
    <t>Woodruff</t>
  </si>
  <si>
    <t>Texas A&amp;M University - Texarkana</t>
  </si>
  <si>
    <t>mstone@tamut.edu</t>
  </si>
  <si>
    <t>903-334-6759</t>
  </si>
  <si>
    <t>J7176</t>
  </si>
  <si>
    <t>State Fair Community College</t>
  </si>
  <si>
    <t>Talbot</t>
  </si>
  <si>
    <t>ltalbot@sfccmo.edu</t>
  </si>
  <si>
    <t>c: (573)-301-2768</t>
  </si>
  <si>
    <t>Texas A&amp;M-Texarkana</t>
  </si>
  <si>
    <t>Texarkana</t>
  </si>
  <si>
    <t>490-550</t>
  </si>
  <si>
    <t>20-22</t>
  </si>
  <si>
    <t>$19,992/$31,038</t>
  </si>
  <si>
    <t>State Fair CC</t>
  </si>
  <si>
    <t>Sedalia</t>
  </si>
  <si>
    <t>$9,414 (in-district)/$10,614/$12,054</t>
  </si>
  <si>
    <t>Nipper</t>
  </si>
  <si>
    <t>J7177</t>
  </si>
  <si>
    <t>Rupard</t>
  </si>
  <si>
    <t>mrupard@sfccmo.edu</t>
  </si>
  <si>
    <t>n6217</t>
  </si>
  <si>
    <t>Texas College</t>
  </si>
  <si>
    <t>Darnell</t>
  </si>
  <si>
    <t>dwalker@texascollege.edu</t>
  </si>
  <si>
    <t>903-593-8311</t>
  </si>
  <si>
    <t>J7192</t>
  </si>
  <si>
    <t>Three Rivers Community College - Missouri</t>
  </si>
  <si>
    <t>Null</t>
  </si>
  <si>
    <t>jnull@trcc.edu</t>
  </si>
  <si>
    <t>573-840-9611</t>
  </si>
  <si>
    <t>Three Rivers CC</t>
  </si>
  <si>
    <t>Poplar Bluff</t>
  </si>
  <si>
    <t>$16,882 (in-district)/$18,532/$19,672</t>
  </si>
  <si>
    <t>n7013</t>
  </si>
  <si>
    <t>J7193</t>
  </si>
  <si>
    <t>Gwin</t>
  </si>
  <si>
    <t>jgwin@trcc.edu</t>
  </si>
  <si>
    <t>n6253</t>
  </si>
  <si>
    <t>Texas Wesleyan University</t>
  </si>
  <si>
    <t>J7202</t>
  </si>
  <si>
    <t>sgower@txwes.edu</t>
  </si>
  <si>
    <t>817-531-4852</t>
  </si>
  <si>
    <t>Dawson Community College</t>
  </si>
  <si>
    <t>LeProwse</t>
  </si>
  <si>
    <t>jleprowse@dawson.edu</t>
  </si>
  <si>
    <t>406-377-9466</t>
  </si>
  <si>
    <t>Texas Wesleyan</t>
  </si>
  <si>
    <t>Fort Worth</t>
  </si>
  <si>
    <t>460-530</t>
  </si>
  <si>
    <t>465-540</t>
  </si>
  <si>
    <t>Dawson CC</t>
  </si>
  <si>
    <t>Glendive</t>
  </si>
  <si>
    <t>$14,805 (in-district)/$16,245/$18,825</t>
  </si>
  <si>
    <t>n6254</t>
  </si>
  <si>
    <t>Esparza</t>
  </si>
  <si>
    <t>fesparza@txwes.edu</t>
  </si>
  <si>
    <t>J7203</t>
  </si>
  <si>
    <t>Lagmay</t>
  </si>
  <si>
    <t>tjohnson@dawson.edu</t>
  </si>
  <si>
    <t>c: 256-473-3150</t>
  </si>
  <si>
    <t>n6324</t>
  </si>
  <si>
    <t>College of St. Joseph</t>
  </si>
  <si>
    <t>802-773-5900</t>
  </si>
  <si>
    <t>St. Joseph (VT)</t>
  </si>
  <si>
    <t>Rutland</t>
  </si>
  <si>
    <t>J7204</t>
  </si>
  <si>
    <t>Svenvold</t>
  </si>
  <si>
    <t>n6351</t>
  </si>
  <si>
    <t>Bluefield College</t>
  </si>
  <si>
    <t>Willie</t>
  </si>
  <si>
    <t>J7214</t>
  </si>
  <si>
    <t>Miles Community College</t>
  </si>
  <si>
    <t>wsparks@bluefield.edu</t>
  </si>
  <si>
    <t>Juarez</t>
  </si>
  <si>
    <t>juarezs@milescc.edu</t>
  </si>
  <si>
    <t>406-874-6289</t>
  </si>
  <si>
    <t>Miles CC</t>
  </si>
  <si>
    <t>Miles City</t>
  </si>
  <si>
    <t>Bluefield (VA)</t>
  </si>
  <si>
    <t>$13,240 (in-district)/$14,470/$17,560</t>
  </si>
  <si>
    <t>J7215</t>
  </si>
  <si>
    <t>dicke@milescc.edu</t>
  </si>
  <si>
    <t>n6352</t>
  </si>
  <si>
    <t>abailey@bluefield.edu</t>
  </si>
  <si>
    <t>276-326-4603</t>
  </si>
  <si>
    <t>J7216</t>
  </si>
  <si>
    <t>n6392</t>
  </si>
  <si>
    <t>Northwest University</t>
  </si>
  <si>
    <t>Fink</t>
  </si>
  <si>
    <t>pam.fink@northwestu.edu</t>
  </si>
  <si>
    <t>425-889-7813</t>
  </si>
  <si>
    <t>J7222</t>
  </si>
  <si>
    <t>Central Community College</t>
  </si>
  <si>
    <t>caitlinsimon@cccneb.edu</t>
  </si>
  <si>
    <t>402-562-1234</t>
  </si>
  <si>
    <t>Central CC-Columbus (NE)</t>
  </si>
  <si>
    <t>Grand Island</t>
  </si>
  <si>
    <t>Northwest (WA)</t>
  </si>
  <si>
    <t>$12,822/$14,082</t>
  </si>
  <si>
    <t>480-597</t>
  </si>
  <si>
    <t>462-577</t>
  </si>
  <si>
    <t>J7223</t>
  </si>
  <si>
    <t>n6393</t>
  </si>
  <si>
    <t>william.dillon@northwestu.edu</t>
  </si>
  <si>
    <t>J7238</t>
  </si>
  <si>
    <t>McCook Community College</t>
  </si>
  <si>
    <t>Joshua</t>
  </si>
  <si>
    <t>barnesj@mpcc.edu</t>
  </si>
  <si>
    <t>n6394</t>
  </si>
  <si>
    <t>Pearse</t>
  </si>
  <si>
    <t>Cascade</t>
  </si>
  <si>
    <t>n6813</t>
  </si>
  <si>
    <t>Hayden</t>
  </si>
  <si>
    <t>n6439</t>
  </si>
  <si>
    <t>West Virginia University Institute of Technology</t>
  </si>
  <si>
    <t>Affholter</t>
  </si>
  <si>
    <t>akaffholter@mail.wvu.edu</t>
  </si>
  <si>
    <t>304-929-1515</t>
  </si>
  <si>
    <t>McCook CC</t>
  </si>
  <si>
    <t>McCook</t>
  </si>
  <si>
    <t>West Virginia Tech</t>
  </si>
  <si>
    <t>Beckley</t>
  </si>
  <si>
    <t>370-520</t>
  </si>
  <si>
    <t>$19,982/$30,062</t>
  </si>
  <si>
    <t>J7239</t>
  </si>
  <si>
    <t>n6440</t>
  </si>
  <si>
    <t>J7240</t>
  </si>
  <si>
    <t>n6467</t>
  </si>
  <si>
    <t>Cardinal Stritch University</t>
  </si>
  <si>
    <t>Hannagan</t>
  </si>
  <si>
    <t>khannagan@stritch.edu</t>
  </si>
  <si>
    <t>414-410-4879</t>
  </si>
  <si>
    <t>J7255</t>
  </si>
  <si>
    <t>North Platte Community College</t>
  </si>
  <si>
    <t>higginsj@mpcc.edu</t>
  </si>
  <si>
    <t>308-535-3622; 308-535-3713</t>
  </si>
  <si>
    <t>North Platte CC</t>
  </si>
  <si>
    <t>Cardinal Stritch</t>
  </si>
  <si>
    <t>North Platte</t>
  </si>
  <si>
    <t>460-553</t>
  </si>
  <si>
    <t>470-530</t>
  </si>
  <si>
    <t>$12,700/$13,450</t>
  </si>
  <si>
    <t>J7256</t>
  </si>
  <si>
    <t>n6498</t>
  </si>
  <si>
    <t>Rylee</t>
  </si>
  <si>
    <t>Holy Family College</t>
  </si>
  <si>
    <t>Shillcox</t>
  </si>
  <si>
    <t>kirk.shillcox@holyfamilycollege.edu</t>
  </si>
  <si>
    <t>920-686-6141</t>
  </si>
  <si>
    <t>Holy Family (WI)</t>
  </si>
  <si>
    <t>Manitowoc</t>
  </si>
  <si>
    <t>J7270</t>
  </si>
  <si>
    <t>500 average</t>
  </si>
  <si>
    <t>Northeast Community College</t>
  </si>
  <si>
    <t>550 average</t>
  </si>
  <si>
    <t>14-22</t>
  </si>
  <si>
    <t>Woodhead</t>
  </si>
  <si>
    <t>Iris@northeast.edu</t>
  </si>
  <si>
    <t>402-844-7300</t>
  </si>
  <si>
    <t>Northeast CC (NE)</t>
  </si>
  <si>
    <t>$14,312/$15,392</t>
  </si>
  <si>
    <t>J7271</t>
  </si>
  <si>
    <t>Dahlheim</t>
  </si>
  <si>
    <t>greggd@northeast.edu</t>
  </si>
  <si>
    <t>n6499</t>
  </si>
  <si>
    <t>Louis</t>
  </si>
  <si>
    <t>Vigue</t>
  </si>
  <si>
    <t>louis.vigue@holyfamilycollege.edu</t>
  </si>
  <si>
    <t>J7289</t>
  </si>
  <si>
    <t>Southeast Community College Area</t>
  </si>
  <si>
    <t>DeBoer</t>
  </si>
  <si>
    <t>jdeboer@southeast.edu</t>
  </si>
  <si>
    <t>c: 402-806-0518</t>
  </si>
  <si>
    <t>Viterbo University</t>
  </si>
  <si>
    <t>Brandi</t>
  </si>
  <si>
    <t>Alonzo</t>
  </si>
  <si>
    <t>bvalonzo@viterbo.edu</t>
  </si>
  <si>
    <t>608-796-3129</t>
  </si>
  <si>
    <t>Viterbo</t>
  </si>
  <si>
    <t>Southeast CC (NE)</t>
  </si>
  <si>
    <t>$13,564/$14,279</t>
  </si>
  <si>
    <t>Caldiero</t>
  </si>
  <si>
    <t>jdcaldiero@viterbo.edu</t>
  </si>
  <si>
    <t>J7290</t>
  </si>
  <si>
    <t>aybarra@southeast.edu</t>
  </si>
  <si>
    <t>Kaiser</t>
  </si>
  <si>
    <t>J7300</t>
  </si>
  <si>
    <t>Western Nebraska Community College</t>
  </si>
  <si>
    <t>grovesk@wncc.edu</t>
  </si>
  <si>
    <t>(308) 635-6189</t>
  </si>
  <si>
    <t>Western Nebraska CC</t>
  </si>
  <si>
    <t>Holldorf</t>
  </si>
  <si>
    <t>Scottsbluff</t>
  </si>
  <si>
    <t>$13,934/$14,162</t>
  </si>
  <si>
    <t>J10820</t>
  </si>
  <si>
    <t>College of Southern Nevada</t>
  </si>
  <si>
    <t>Southern Nevada</t>
  </si>
  <si>
    <t>$16,762/$23,407</t>
  </si>
  <si>
    <t>J10892</t>
  </si>
  <si>
    <t>J7313</t>
  </si>
  <si>
    <t>Ashley.Johnston@csn.edu</t>
  </si>
  <si>
    <t>702-651-3156</t>
  </si>
  <si>
    <t>J7314</t>
  </si>
  <si>
    <t>Stritz</t>
  </si>
  <si>
    <t>tiffany.stritz@csn.edu</t>
  </si>
  <si>
    <t>702-651-3549</t>
  </si>
  <si>
    <t>J7344</t>
  </si>
  <si>
    <t>Bergen Community College</t>
  </si>
  <si>
    <t>Bergen CC Softball</t>
  </si>
  <si>
    <t>softball@bergen.edu</t>
  </si>
  <si>
    <t>201-447-7183</t>
  </si>
  <si>
    <t>Bergen CC (NJ)</t>
  </si>
  <si>
    <t>Paramus</t>
  </si>
  <si>
    <t>$22,462 (in-district)/$25,978/$26,338</t>
  </si>
  <si>
    <t>J7345</t>
  </si>
  <si>
    <t>J7346</t>
  </si>
  <si>
    <t>J7370</t>
  </si>
  <si>
    <t>Brookdale Community College</t>
  </si>
  <si>
    <t>Scannapieco</t>
  </si>
  <si>
    <t>tscannapieco@brookdalecc.edu</t>
  </si>
  <si>
    <t>732-552-5308</t>
  </si>
  <si>
    <t>Brookdale CC</t>
  </si>
  <si>
    <t>Lincroft</t>
  </si>
  <si>
    <t>$20,509 (in-district)/$23,287/$23,887</t>
  </si>
  <si>
    <t>J7371</t>
  </si>
  <si>
    <t>bosoftball@aol.com</t>
  </si>
  <si>
    <t>J7372</t>
  </si>
  <si>
    <t>jgleason@brookdalecc.edu</t>
  </si>
  <si>
    <t>J7373</t>
  </si>
  <si>
    <t>J7397</t>
  </si>
  <si>
    <t>Camden County College</t>
  </si>
  <si>
    <t>Reitano</t>
  </si>
  <si>
    <t>creitano@camdencc.edu</t>
  </si>
  <si>
    <t>(267) 872-0469</t>
  </si>
  <si>
    <t>Camden County CC</t>
  </si>
  <si>
    <t>Blackwood</t>
  </si>
  <si>
    <t>$15,356 (in-district)/$15,476</t>
  </si>
  <si>
    <t>J7398</t>
  </si>
  <si>
    <t>sportsfan2200@msn.com</t>
  </si>
  <si>
    <t>J7399</t>
  </si>
  <si>
    <t>Dwyer</t>
  </si>
  <si>
    <t>cdwyer@camdencc.edu</t>
  </si>
  <si>
    <t>County College of Morris</t>
  </si>
  <si>
    <t>Wardlow</t>
  </si>
  <si>
    <t>softball@ccm.edu</t>
  </si>
  <si>
    <t>973-328-5254</t>
  </si>
  <si>
    <t>CC of Morris</t>
  </si>
  <si>
    <t>Randolph</t>
  </si>
  <si>
    <t>$21,660 (in-district)/$25,350/$28,500</t>
  </si>
  <si>
    <t>J7436</t>
  </si>
  <si>
    <t>Cumberland County College</t>
  </si>
  <si>
    <t>Magic</t>
  </si>
  <si>
    <t>Mears</t>
  </si>
  <si>
    <t>softball@cccnj.edu</t>
  </si>
  <si>
    <t>Cumberland CC</t>
  </si>
  <si>
    <t>Vineland</t>
  </si>
  <si>
    <t>$20,458 (in-district)/$20,758</t>
  </si>
  <si>
    <t>J7437</t>
  </si>
  <si>
    <t>Marsha</t>
  </si>
  <si>
    <t>J7462</t>
  </si>
  <si>
    <t>Mercer County Community College</t>
  </si>
  <si>
    <t>Zegarski</t>
  </si>
  <si>
    <t>zegarskr@mccc.edu</t>
  </si>
  <si>
    <t>609-570-3778</t>
  </si>
  <si>
    <t>Mercer County CC</t>
  </si>
  <si>
    <t>West Windsor Township</t>
  </si>
  <si>
    <t>$17,166/$18,330</t>
  </si>
  <si>
    <t>J7474</t>
  </si>
  <si>
    <t>Middlesex County College</t>
  </si>
  <si>
    <t>Muldowney</t>
  </si>
  <si>
    <t>jmuldowney@middlesexcc.edu</t>
  </si>
  <si>
    <t>Middlesex CC</t>
  </si>
  <si>
    <t>Bedford</t>
  </si>
  <si>
    <t>$18,570/$23,514</t>
  </si>
  <si>
    <t>J7475</t>
  </si>
  <si>
    <t>Razzano</t>
  </si>
  <si>
    <t>J10863</t>
  </si>
  <si>
    <t>Ocean County College</t>
  </si>
  <si>
    <t>Konopka</t>
  </si>
  <si>
    <t>softball@ocean.edu</t>
  </si>
  <si>
    <t>732.255.0400 x7196</t>
  </si>
  <si>
    <t>Ocean County</t>
  </si>
  <si>
    <t>Toms River</t>
  </si>
  <si>
    <t>$31,661/$32,351</t>
  </si>
  <si>
    <t>J7489</t>
  </si>
  <si>
    <t>Strittmatter</t>
  </si>
  <si>
    <t>J7519</t>
  </si>
  <si>
    <t>Raritan Valley Community College</t>
  </si>
  <si>
    <t>Meister</t>
  </si>
  <si>
    <t>Donald.Meister@raritanval.edu</t>
  </si>
  <si>
    <t>908-526-1200, x8253</t>
  </si>
  <si>
    <t>Raritan Valley CC</t>
  </si>
  <si>
    <t>Branchburg</t>
  </si>
  <si>
    <t>$18,149/$18,989</t>
  </si>
  <si>
    <t>J7520</t>
  </si>
  <si>
    <t>Rowan College at Burlington County</t>
  </si>
  <si>
    <t>jcosta@rcbc.edu</t>
  </si>
  <si>
    <t>856-242-5393</t>
  </si>
  <si>
    <t>Pemberton</t>
  </si>
  <si>
    <t>$18,675/$19,155</t>
  </si>
  <si>
    <t>Cascio</t>
  </si>
  <si>
    <t>J10882</t>
  </si>
  <si>
    <t>Rowan College at Gloucester County</t>
  </si>
  <si>
    <t>$18,855/$19,635</t>
  </si>
  <si>
    <t>J7550</t>
  </si>
  <si>
    <t>DePasquale​</t>
  </si>
  <si>
    <t>sdepasqu@rcgc.edu​</t>
  </si>
  <si>
    <t>856-415-2207</t>
  </si>
  <si>
    <t>J7551</t>
  </si>
  <si>
    <t>J7585</t>
  </si>
  <si>
    <t>Sussex County Community College</t>
  </si>
  <si>
    <t>Sussex County CC</t>
  </si>
  <si>
    <t>$19,493 (in-district)/$21,593</t>
  </si>
  <si>
    <t>J7586</t>
  </si>
  <si>
    <t>Jamie Lee</t>
  </si>
  <si>
    <t>jsmith1@sussex.edu</t>
  </si>
  <si>
    <t>J7719</t>
  </si>
  <si>
    <t>SUNY Cayuga Community College</t>
  </si>
  <si>
    <t>315-294-8848</t>
  </si>
  <si>
    <t>Cayuga CC</t>
  </si>
  <si>
    <t>$17,102/$21,601</t>
  </si>
  <si>
    <t>J7720</t>
  </si>
  <si>
    <t>Amoia</t>
  </si>
  <si>
    <t>softball@cayuga-cc.edu</t>
  </si>
  <si>
    <t>J7721</t>
  </si>
  <si>
    <t>Plish</t>
  </si>
  <si>
    <t>J7738</t>
  </si>
  <si>
    <t>Columbia-Greene Community College</t>
  </si>
  <si>
    <t>Dedrick</t>
  </si>
  <si>
    <t>peter.dedrick@sunycgcc.edu</t>
  </si>
  <si>
    <t>518-828-4181, x3210</t>
  </si>
  <si>
    <t>Columbia-Greene CC</t>
  </si>
  <si>
    <t>Hudson</t>
  </si>
  <si>
    <t>$15,694/$20,086</t>
  </si>
  <si>
    <t>J7739</t>
  </si>
  <si>
    <t>Broast</t>
  </si>
  <si>
    <t>cody.broast@sunycgcc.edu</t>
  </si>
  <si>
    <t>J7740</t>
  </si>
  <si>
    <t>Popp</t>
  </si>
  <si>
    <t>tori.popp@sunycgcc.edu</t>
  </si>
  <si>
    <t>J7752</t>
  </si>
  <si>
    <t>Corning Community College</t>
  </si>
  <si>
    <t>johnson_s@corning-cc.edu</t>
  </si>
  <si>
    <t>607-962-9318</t>
  </si>
  <si>
    <t>Corning CC</t>
  </si>
  <si>
    <t>$16,896/$21,210</t>
  </si>
  <si>
    <t>J7753</t>
  </si>
  <si>
    <t>Hockeborn</t>
  </si>
  <si>
    <t>J7754</t>
  </si>
  <si>
    <t>J7798</t>
  </si>
  <si>
    <t>SUNY Erie Community College</t>
  </si>
  <si>
    <t>Pullo</t>
  </si>
  <si>
    <t>ascpullom@ecc.edu</t>
  </si>
  <si>
    <t>(716) 851-1289</t>
  </si>
  <si>
    <t>Erie CC (NY)</t>
  </si>
  <si>
    <t>Williamsville</t>
  </si>
  <si>
    <t>$15,000/$19,733</t>
  </si>
  <si>
    <t>J10880</t>
  </si>
  <si>
    <t>Finger Lakes Community College</t>
  </si>
  <si>
    <t>Morley</t>
  </si>
  <si>
    <t>cmorley@frontiernet.net</t>
  </si>
  <si>
    <t>585-415-7528</t>
  </si>
  <si>
    <t>Finger Lakes CC</t>
  </si>
  <si>
    <t>Canandaigua</t>
  </si>
  <si>
    <t>$18,358/$22,726</t>
  </si>
  <si>
    <t>J7835</t>
  </si>
  <si>
    <t>Hoover</t>
  </si>
  <si>
    <t>Jerry.Hoover@FLCC.edu</t>
  </si>
  <si>
    <t>J7836</t>
  </si>
  <si>
    <t>Morely</t>
  </si>
  <si>
    <t>CMORELY@mwcsd.org</t>
  </si>
  <si>
    <t>J7837</t>
  </si>
  <si>
    <t>a053hall@gmail.com</t>
  </si>
  <si>
    <t>585-880-2327</t>
  </si>
  <si>
    <t>J10917</t>
  </si>
  <si>
    <t>SUNY Fulton-Montgomery Community College</t>
  </si>
  <si>
    <t>Towne</t>
  </si>
  <si>
    <t>daniel.towne@fmcc.edu</t>
  </si>
  <si>
    <t>518-736-3622 ext. 8051</t>
  </si>
  <si>
    <t>Fulton-Montgomery CC</t>
  </si>
  <si>
    <t>$20,220/$24,420</t>
  </si>
  <si>
    <t>J7869</t>
  </si>
  <si>
    <t>J10908</t>
  </si>
  <si>
    <t>SUNY Genesee Community College</t>
  </si>
  <si>
    <t>Spurling</t>
  </si>
  <si>
    <t>tnspurling@genesee.edu</t>
  </si>
  <si>
    <t>(585) 343-0055 ext 6524</t>
  </si>
  <si>
    <t>Genesee CC</t>
  </si>
  <si>
    <t>$15,960/$16,560</t>
  </si>
  <si>
    <t>J7888</t>
  </si>
  <si>
    <t>J7889</t>
  </si>
  <si>
    <t>J7920</t>
  </si>
  <si>
    <t>SUNY Herkimer County Community College</t>
  </si>
  <si>
    <t>P.J.</t>
  </si>
  <si>
    <t>Anadio</t>
  </si>
  <si>
    <t>anadiopr@herkimer.edu</t>
  </si>
  <si>
    <t>(315) 866-0300, x8805</t>
  </si>
  <si>
    <t>Herkimer County CC</t>
  </si>
  <si>
    <t>Herkimer</t>
  </si>
  <si>
    <t>$17,380/$20,410</t>
  </si>
  <si>
    <t>J7960</t>
  </si>
  <si>
    <t>SUNY Hudson Valley Community College</t>
  </si>
  <si>
    <t>Rafferty</t>
  </si>
  <si>
    <t>g.rafferty@hvcc.edu</t>
  </si>
  <si>
    <t>(518) 629-7328</t>
  </si>
  <si>
    <t>Hudson Valley CC</t>
  </si>
  <si>
    <t>$15,582/$19,882</t>
  </si>
  <si>
    <t>J7961</t>
  </si>
  <si>
    <t>Brinkman</t>
  </si>
  <si>
    <t>c.brinkman@hvcc.edu</t>
  </si>
  <si>
    <t>J7962</t>
  </si>
  <si>
    <t>Tedisco</t>
  </si>
  <si>
    <t>r.tedisco@hvcc.edu</t>
  </si>
  <si>
    <t>J8017</t>
  </si>
  <si>
    <t>SUNY Mohawk Valley Community College</t>
  </si>
  <si>
    <t>Brittnee</t>
  </si>
  <si>
    <t>Mexico</t>
  </si>
  <si>
    <t>bmexico@mvcc.edu</t>
  </si>
  <si>
    <t>(315) 731-5811</t>
  </si>
  <si>
    <t>Mohawk Valley CC</t>
  </si>
  <si>
    <t>J8018</t>
  </si>
  <si>
    <t>Amee</t>
  </si>
  <si>
    <t>Zbytniewski</t>
  </si>
  <si>
    <t>J8052</t>
  </si>
  <si>
    <t>Monroe College - Bronx</t>
  </si>
  <si>
    <t>Santillo</t>
  </si>
  <si>
    <t>ssantillo@monroecollege.edu</t>
  </si>
  <si>
    <t>914-740-6496</t>
  </si>
  <si>
    <t>Monroe (NY)</t>
  </si>
  <si>
    <t>J8053</t>
  </si>
  <si>
    <t>Gurganus</t>
  </si>
  <si>
    <t>jgurganus@monroecollege.edu</t>
  </si>
  <si>
    <t>SUNY Orange County Community College</t>
  </si>
  <si>
    <t>Butenhoff</t>
  </si>
  <si>
    <t>amber.butenhoff@sunyorange.edu</t>
  </si>
  <si>
    <t>845-341-4242</t>
  </si>
  <si>
    <t>SUNY-Orange</t>
  </si>
  <si>
    <t>$16,594/$21,230</t>
  </si>
  <si>
    <t>J8097</t>
  </si>
  <si>
    <t>Nassau Community College</t>
  </si>
  <si>
    <t>Cardino</t>
  </si>
  <si>
    <t>megan.cardino@ncc.edu</t>
  </si>
  <si>
    <t>Nassau CC</t>
  </si>
  <si>
    <t>$24,398/$29,266</t>
  </si>
  <si>
    <t>J8098</t>
  </si>
  <si>
    <t>Wenk</t>
  </si>
  <si>
    <t>J8175</t>
  </si>
  <si>
    <t>SUNY Adirondack Community College</t>
  </si>
  <si>
    <t>softball@sunyacc.edu</t>
  </si>
  <si>
    <t>c: 518-321-4800</t>
  </si>
  <si>
    <t>SUNY-Adirondack</t>
  </si>
  <si>
    <t>Queensbury</t>
  </si>
  <si>
    <t>$18,458/$22,634</t>
  </si>
  <si>
    <t>J8176</t>
  </si>
  <si>
    <t>celestej@sunyacc.edu</t>
  </si>
  <si>
    <t>J8177</t>
  </si>
  <si>
    <t>Hank</t>
  </si>
  <si>
    <t>Pelton</t>
  </si>
  <si>
    <t>chasesportshp@gmail.com</t>
  </si>
  <si>
    <t>c: 518-361-4354</t>
  </si>
  <si>
    <t>J8178</t>
  </si>
  <si>
    <t>Peltonh@sunyacc.edu</t>
  </si>
  <si>
    <t>J8179</t>
  </si>
  <si>
    <t>Spragueb@sunyacc.edu</t>
  </si>
  <si>
    <t>J8199</t>
  </si>
  <si>
    <t>SUNY Broome Community College</t>
  </si>
  <si>
    <t>Huggler</t>
  </si>
  <si>
    <t>hugglermj@sunybroome.edu</t>
  </si>
  <si>
    <t>607-778-5271</t>
  </si>
  <si>
    <t>SUNY-Broome</t>
  </si>
  <si>
    <t>$19,191/$23,609</t>
  </si>
  <si>
    <t>J8200</t>
  </si>
  <si>
    <t>607-778-5003</t>
  </si>
  <si>
    <t>J8201</t>
  </si>
  <si>
    <t>Krewson</t>
  </si>
  <si>
    <t>J8230</t>
  </si>
  <si>
    <t>SUNY Dutchess Community College</t>
  </si>
  <si>
    <t>LaBarbera</t>
  </si>
  <si>
    <t>bryan.labarbera@sunydutchess.edu</t>
  </si>
  <si>
    <t>SUNY-Dutchess</t>
  </si>
  <si>
    <t>$19,084/$22,612</t>
  </si>
  <si>
    <t>J8231</t>
  </si>
  <si>
    <t>Votta</t>
  </si>
  <si>
    <t>alfred.votta@sunydutchess.edu</t>
  </si>
  <si>
    <t>J8232</t>
  </si>
  <si>
    <t>J8248</t>
  </si>
  <si>
    <t>SUNY Jamestown Community College</t>
  </si>
  <si>
    <t>Balling</t>
  </si>
  <si>
    <t>kballing1@yahoo.com</t>
  </si>
  <si>
    <t>716.485.6890</t>
  </si>
  <si>
    <t>SUNY-Jamestown CC (NY)</t>
  </si>
  <si>
    <t>$18,950/$23,580</t>
  </si>
  <si>
    <t>J8249</t>
  </si>
  <si>
    <t>Overturf</t>
  </si>
  <si>
    <t>overtusl01@sunyjcc.edu</t>
  </si>
  <si>
    <t>716 640 1825</t>
  </si>
  <si>
    <t>J8250</t>
  </si>
  <si>
    <t>Tabatha</t>
  </si>
  <si>
    <t>Strenstrom</t>
  </si>
  <si>
    <t>stenstts01@sunyjcc.edu</t>
  </si>
  <si>
    <t>716.338.8042</t>
  </si>
  <si>
    <t>J8268</t>
  </si>
  <si>
    <t>SUNY Jefferson Community College</t>
  </si>
  <si>
    <t>Labiendo</t>
  </si>
  <si>
    <t>plabiendo@sunyjefferson.edu</t>
  </si>
  <si>
    <t>315-955-2202</t>
  </si>
  <si>
    <t>SUNY-Jefferson CC (NY)</t>
  </si>
  <si>
    <t>$20,817/$23,313</t>
  </si>
  <si>
    <t>J8269</t>
  </si>
  <si>
    <t>Taneisha</t>
  </si>
  <si>
    <t>Richey</t>
  </si>
  <si>
    <t>315-786-2232</t>
  </si>
  <si>
    <t>J8287</t>
  </si>
  <si>
    <t>SUNY Monroe Community College</t>
  </si>
  <si>
    <t>HC Robb has been removed.</t>
  </si>
  <si>
    <t>SUNY-Monroe CC</t>
  </si>
  <si>
    <t>$17,359/$21,459</t>
  </si>
  <si>
    <t>J8288</t>
  </si>
  <si>
    <t>J8289</t>
  </si>
  <si>
    <t>AC Renee has been removed.</t>
  </si>
  <si>
    <t>J8290</t>
  </si>
  <si>
    <t>Binn</t>
  </si>
  <si>
    <t>ebinn@monroecc.edu</t>
  </si>
  <si>
    <t>Clarke</t>
  </si>
  <si>
    <t>jclarke21@monroecc.edu</t>
  </si>
  <si>
    <t>Samuelson</t>
  </si>
  <si>
    <t>J8327</t>
  </si>
  <si>
    <t>SUNY Niagara County Community College</t>
  </si>
  <si>
    <t>Beutel</t>
  </si>
  <si>
    <t>nbeutel@niagaracc.suny.edu</t>
  </si>
  <si>
    <t>716-807-7216</t>
  </si>
  <si>
    <t>SUNY-Niagara County CC</t>
  </si>
  <si>
    <t>Sanborn</t>
  </si>
  <si>
    <t>$18,091/$24,211</t>
  </si>
  <si>
    <t>J8328</t>
  </si>
  <si>
    <t>Clingersmith</t>
  </si>
  <si>
    <t>sclingersmith@yahoo.com</t>
  </si>
  <si>
    <t>716-531-3056</t>
  </si>
  <si>
    <t>J8329</t>
  </si>
  <si>
    <t>Meyers</t>
  </si>
  <si>
    <t>gmeyers57.gm@gmail.com</t>
  </si>
  <si>
    <t>716-239-3377</t>
  </si>
  <si>
    <t>J8330</t>
  </si>
  <si>
    <t>Mbedford1436@gmail.com</t>
  </si>
  <si>
    <t>716-417-7742</t>
  </si>
  <si>
    <t>J11334</t>
  </si>
  <si>
    <t>Onondaga Community College</t>
  </si>
  <si>
    <t>SUNY-Onondaga CC</t>
  </si>
  <si>
    <t>$17,036/$21,606</t>
  </si>
  <si>
    <t>J8353</t>
  </si>
  <si>
    <t>r.s.bates@sunyocc.edu</t>
  </si>
  <si>
    <t>315-521-8429</t>
  </si>
  <si>
    <t>J8354</t>
  </si>
  <si>
    <t>Burdsall</t>
  </si>
  <si>
    <t>J8356</t>
  </si>
  <si>
    <t>Cassella</t>
  </si>
  <si>
    <t>J8415</t>
  </si>
  <si>
    <t>Suffolk County Community College</t>
  </si>
  <si>
    <t>Kosina</t>
  </si>
  <si>
    <t>kosinaj@sunysuffolk.edu</t>
  </si>
  <si>
    <t>631-451-4881</t>
  </si>
  <si>
    <t>SUNY-Suffolk CC</t>
  </si>
  <si>
    <t>$16,620/$21,390</t>
  </si>
  <si>
    <t>J8416</t>
  </si>
  <si>
    <t>Klammer</t>
  </si>
  <si>
    <t>631-451-4380</t>
  </si>
  <si>
    <t>J8417</t>
  </si>
  <si>
    <t>lawrenc@sunysuffolk.edu</t>
  </si>
  <si>
    <t>J8452</t>
  </si>
  <si>
    <t>SUNY Ulster County Community College</t>
  </si>
  <si>
    <t>Long Jr.</t>
  </si>
  <si>
    <t xml:space="preserve">longmi@sunyulster.edu </t>
  </si>
  <si>
    <t>o: 845-688-6007</t>
  </si>
  <si>
    <t>SUNY-Ulster</t>
  </si>
  <si>
    <t>Stone Ridge</t>
  </si>
  <si>
    <t>$13,956/$18,286</t>
  </si>
  <si>
    <t>J8470</t>
  </si>
  <si>
    <t>SUNY Tompkins Cortland Community College</t>
  </si>
  <si>
    <t>Maranda</t>
  </si>
  <si>
    <t>Kinsman</t>
  </si>
  <si>
    <t>MKK009@tompkinscortland.edu</t>
  </si>
  <si>
    <t>607.844.8222, x4494</t>
  </si>
  <si>
    <t>Tompkins Cortland CC</t>
  </si>
  <si>
    <t>Dryden</t>
  </si>
  <si>
    <t>$19,072/$24,162</t>
  </si>
  <si>
    <t>J8471</t>
  </si>
  <si>
    <t>AC Brett has been removed.</t>
  </si>
  <si>
    <t>Brunswick Community College</t>
  </si>
  <si>
    <t>Bernadette</t>
  </si>
  <si>
    <t>Cardon</t>
  </si>
  <si>
    <t>cardonb@brunswickcc.edu</t>
  </si>
  <si>
    <t>c: 425-330-1646</t>
  </si>
  <si>
    <t>Brunswick CC</t>
  </si>
  <si>
    <t>Bolivia</t>
  </si>
  <si>
    <t>$16,042/$22,186</t>
  </si>
  <si>
    <t>Caldwell Community College &amp; Technical Institute</t>
  </si>
  <si>
    <t>striplett@cccti.edu</t>
  </si>
  <si>
    <t>828.320.5699</t>
  </si>
  <si>
    <t>Caldwell CC &amp; Tech. Institute</t>
  </si>
  <si>
    <t>$20,128/$26,272</t>
  </si>
  <si>
    <t>J8523</t>
  </si>
  <si>
    <t>Catawba Valley Community College</t>
  </si>
  <si>
    <t>Bumgarner</t>
  </si>
  <si>
    <t>jbumgarner918@cvcc.edu</t>
  </si>
  <si>
    <t>828-446-5493</t>
  </si>
  <si>
    <t>Catawba Valley CC</t>
  </si>
  <si>
    <t>$21,099/$26,475</t>
  </si>
  <si>
    <t>J8524</t>
  </si>
  <si>
    <t>Blochaviak</t>
  </si>
  <si>
    <t>mblochaviak183@cvcc.edu</t>
  </si>
  <si>
    <t>J8525</t>
  </si>
  <si>
    <t>ttriplett308@cvcc.edu</t>
  </si>
  <si>
    <t>J8567</t>
  </si>
  <si>
    <t>Louisburg College</t>
  </si>
  <si>
    <t>elee@louisburg.edu</t>
  </si>
  <si>
    <t>919-497-3301</t>
  </si>
  <si>
    <t>Louisburg</t>
  </si>
  <si>
    <t>14-18</t>
  </si>
  <si>
    <t>J8568</t>
  </si>
  <si>
    <t>Lippard</t>
  </si>
  <si>
    <t>slippard@louisburg.edu</t>
  </si>
  <si>
    <t>919-497-1100</t>
  </si>
  <si>
    <t>J8580</t>
  </si>
  <si>
    <t>Pitt Community College</t>
  </si>
  <si>
    <t>Pitt CC (NC)</t>
  </si>
  <si>
    <t>Winterville</t>
  </si>
  <si>
    <t>$19,279/$23,887</t>
  </si>
  <si>
    <t>J8581</t>
  </si>
  <si>
    <t>charrell@email.pittcc.edu</t>
  </si>
  <si>
    <t>Surry Community College</t>
  </si>
  <si>
    <t>Blaine</t>
  </si>
  <si>
    <t>Bullington</t>
  </si>
  <si>
    <t>bullingtonb15@yahoo.com</t>
  </si>
  <si>
    <t>Surry CC</t>
  </si>
  <si>
    <t>$16,695/$22,839</t>
  </si>
  <si>
    <t>bowmann@surrytel.com</t>
  </si>
  <si>
    <t>Shore</t>
  </si>
  <si>
    <t>J10901</t>
  </si>
  <si>
    <t>Wake Technical Community College</t>
  </si>
  <si>
    <t>Albert</t>
  </si>
  <si>
    <t>acrose@waketech.edu</t>
  </si>
  <si>
    <t>c: 919-610-9146</t>
  </si>
  <si>
    <t>Wake Tech</t>
  </si>
  <si>
    <t>$18,290/$24,434</t>
  </si>
  <si>
    <t>J8613</t>
  </si>
  <si>
    <t>J8645</t>
  </si>
  <si>
    <t>Dakota College at Bottineau</t>
  </si>
  <si>
    <t>michael.smith.12@dakotacollege.edu</t>
  </si>
  <si>
    <t>701-228-5434</t>
  </si>
  <si>
    <t>Bottineau</t>
  </si>
  <si>
    <t>$15,834/$17,569</t>
  </si>
  <si>
    <t>J8646</t>
  </si>
  <si>
    <t>Getzloff</t>
  </si>
  <si>
    <t>myron.getzloff@dakotacollege.edu</t>
  </si>
  <si>
    <t>701.228.5439</t>
  </si>
  <si>
    <t>J8655</t>
  </si>
  <si>
    <t>Lake Region State College</t>
  </si>
  <si>
    <t>Kory</t>
  </si>
  <si>
    <t>Boehmer</t>
  </si>
  <si>
    <t>Kory.Boehmer@lrsc.edu</t>
  </si>
  <si>
    <t>701-662-1551</t>
  </si>
  <si>
    <t>Lake Region State</t>
  </si>
  <si>
    <t>Devils Lake</t>
  </si>
  <si>
    <t>J8656</t>
  </si>
  <si>
    <t>Ledochowski</t>
  </si>
  <si>
    <t>jade.ledochowski@lrsc.edu</t>
  </si>
  <si>
    <t>J8673</t>
  </si>
  <si>
    <t>North Dakota State College of Science</t>
  </si>
  <si>
    <t>Oehlke</t>
  </si>
  <si>
    <t>michael.oehlke@ndscs.edu</t>
  </si>
  <si>
    <t>701-367-3545</t>
  </si>
  <si>
    <t>Wahpeton</t>
  </si>
  <si>
    <t>$15,395/$22,757</t>
  </si>
  <si>
    <t>J11347</t>
  </si>
  <si>
    <t>Williston State College</t>
  </si>
  <si>
    <t>rylee.hernandez@willistonstate.edu</t>
  </si>
  <si>
    <t>701.774.6225</t>
  </si>
  <si>
    <t>Williston State</t>
  </si>
  <si>
    <t>Williston</t>
  </si>
  <si>
    <t>J8683</t>
  </si>
  <si>
    <t>HC Dan has been removed.</t>
  </si>
  <si>
    <t>J8699</t>
  </si>
  <si>
    <t>Clark State Community College</t>
  </si>
  <si>
    <t>Wamsley</t>
  </si>
  <si>
    <t>wamsleyc@clarkstate.edu</t>
  </si>
  <si>
    <t>937.672.8438</t>
  </si>
  <si>
    <t>Clark State CC</t>
  </si>
  <si>
    <t>$14,991/$17,903</t>
  </si>
  <si>
    <t>J8700</t>
  </si>
  <si>
    <t>clarkstatesoftball@gmail.com</t>
  </si>
  <si>
    <t>Cuyahoga Community College</t>
  </si>
  <si>
    <t>Komlos</t>
  </si>
  <si>
    <t>bryan.komlos2@tri-c.edu</t>
  </si>
  <si>
    <t>216-633-9562</t>
  </si>
  <si>
    <t>Cuyahoga CC</t>
  </si>
  <si>
    <t>$12,676 (in-district)/$13,493</t>
  </si>
  <si>
    <t>Iarussi</t>
  </si>
  <si>
    <t>Gigliotti</t>
  </si>
  <si>
    <t>J8745</t>
  </si>
  <si>
    <t>Edison State Community College</t>
  </si>
  <si>
    <t>New</t>
  </si>
  <si>
    <t>dnew@edisonohio.edu</t>
  </si>
  <si>
    <t>937.778.7932</t>
  </si>
  <si>
    <t>Edison State CC</t>
  </si>
  <si>
    <t>Piqua</t>
  </si>
  <si>
    <t>$16,629/$20,238</t>
  </si>
  <si>
    <t>J8746</t>
  </si>
  <si>
    <t>Replogle</t>
  </si>
  <si>
    <t>J8759</t>
  </si>
  <si>
    <t>Lakeland Community College</t>
  </si>
  <si>
    <t>Morganti</t>
  </si>
  <si>
    <t>jmorganti3@lakelandcc.edu</t>
  </si>
  <si>
    <t>440-487-9443</t>
  </si>
  <si>
    <t>Lakeland CC (OH)</t>
  </si>
  <si>
    <t>Kirtland</t>
  </si>
  <si>
    <t>$14,227/$15,076</t>
  </si>
  <si>
    <t>J8760</t>
  </si>
  <si>
    <t>jmorganti.lakelandsoftball@gmail.com</t>
  </si>
  <si>
    <t>J8761</t>
  </si>
  <si>
    <t>AC Emiley has been removed.</t>
  </si>
  <si>
    <t>J8762</t>
  </si>
  <si>
    <t>Verde</t>
  </si>
  <si>
    <t>cverde2@lakelandcc.edu</t>
  </si>
  <si>
    <t>440-525-7843</t>
  </si>
  <si>
    <t>J11353</t>
  </si>
  <si>
    <t>Lorain County Community College</t>
  </si>
  <si>
    <t>Ebenger-Balla</t>
  </si>
  <si>
    <t>Lorain County CC</t>
  </si>
  <si>
    <t>Elyria</t>
  </si>
  <si>
    <t>$10,347 (in-district)/$10,949</t>
  </si>
  <si>
    <t>J8772</t>
  </si>
  <si>
    <t>wmatthsb@gmail.com</t>
  </si>
  <si>
    <t>440-309-6938</t>
  </si>
  <si>
    <t>J8774</t>
  </si>
  <si>
    <t>Owens Community College</t>
  </si>
  <si>
    <t>Parisho</t>
  </si>
  <si>
    <t>john_parisho@owens.edu</t>
  </si>
  <si>
    <t>567-661-7936</t>
  </si>
  <si>
    <t>Owens CC (OH)</t>
  </si>
  <si>
    <t>Perrysburg</t>
  </si>
  <si>
    <t>$13,403/$17,065</t>
  </si>
  <si>
    <t>J8784</t>
  </si>
  <si>
    <t>567-661-7937</t>
  </si>
  <si>
    <t>J8785</t>
  </si>
  <si>
    <t>Brososky</t>
  </si>
  <si>
    <t>charles_brososky@owens.edu</t>
  </si>
  <si>
    <t>J8800</t>
  </si>
  <si>
    <t>Sinclair Community College</t>
  </si>
  <si>
    <t>Beachler</t>
  </si>
  <si>
    <t>steven.beachler@sinclair.edu</t>
  </si>
  <si>
    <t>(937) 512-2442</t>
  </si>
  <si>
    <t>Sinclair CC (OH)</t>
  </si>
  <si>
    <t>$11,368/$12,496</t>
  </si>
  <si>
    <t>J8801</t>
  </si>
  <si>
    <t>Trevor</t>
  </si>
  <si>
    <t>Nenninger</t>
  </si>
  <si>
    <t>Trevor.Nenninger@sinclair.edu</t>
  </si>
  <si>
    <t>J8802</t>
  </si>
  <si>
    <t>Rebekkah</t>
  </si>
  <si>
    <t>Potter</t>
  </si>
  <si>
    <t>rebekkah.potter@sinclair.edu</t>
  </si>
  <si>
    <t>J8803</t>
  </si>
  <si>
    <t>Fine</t>
  </si>
  <si>
    <t>chris.fine3869@sinclair.edu</t>
  </si>
  <si>
    <t>J8809</t>
  </si>
  <si>
    <t>Carl Albert State College</t>
  </si>
  <si>
    <t>Pollard</t>
  </si>
  <si>
    <t>mpollard@carlalbert.edu</t>
  </si>
  <si>
    <t>918-647-1281</t>
  </si>
  <si>
    <t>Carl Albert</t>
  </si>
  <si>
    <t>Poteau</t>
  </si>
  <si>
    <t>$12,189/$15,557</t>
  </si>
  <si>
    <t>J8810</t>
  </si>
  <si>
    <t>Whitecotton</t>
  </si>
  <si>
    <t>sdwhitecotton@carlalbert.edu</t>
  </si>
  <si>
    <t>J8817</t>
  </si>
  <si>
    <t>Connors State College</t>
  </si>
  <si>
    <t>bryan.k.howard@connorsstate.edu</t>
  </si>
  <si>
    <t>Connors State</t>
  </si>
  <si>
    <t>17,509/21,271</t>
  </si>
  <si>
    <t>J8825</t>
  </si>
  <si>
    <t>Eastern Oklahoma State College</t>
  </si>
  <si>
    <t>Whisenhunt</t>
  </si>
  <si>
    <t>kwhisenhunt@eosc.edu</t>
  </si>
  <si>
    <t>918.465.1706</t>
  </si>
  <si>
    <t>Eastern Oklahoma State</t>
  </si>
  <si>
    <t>Wilburton</t>
  </si>
  <si>
    <t>$13,941/$17,557</t>
  </si>
  <si>
    <t>J8826</t>
  </si>
  <si>
    <t>awhisenhunt1562@eosc.edu</t>
  </si>
  <si>
    <t>918.839.1562</t>
  </si>
  <si>
    <t>J11357</t>
  </si>
  <si>
    <t>Murray State College</t>
  </si>
  <si>
    <t>ccrawford@mscok.edu</t>
  </si>
  <si>
    <t>Murray State (OK)</t>
  </si>
  <si>
    <t>Tishomingo</t>
  </si>
  <si>
    <t>$16,764/$22,224</t>
  </si>
  <si>
    <t>J11358</t>
  </si>
  <si>
    <t>Tanna</t>
  </si>
  <si>
    <t>Huie</t>
  </si>
  <si>
    <t>thuie@mscok.edu</t>
  </si>
  <si>
    <t>J8840</t>
  </si>
  <si>
    <t>Mullens</t>
  </si>
  <si>
    <t>amullens@mscok.edu</t>
  </si>
  <si>
    <t>(580) 387-7587</t>
  </si>
  <si>
    <t>J8865</t>
  </si>
  <si>
    <t>Northeastern Oklahoma A&amp;M College</t>
  </si>
  <si>
    <t>Iverson</t>
  </si>
  <si>
    <t>eiverson@neo.edu</t>
  </si>
  <si>
    <t>918-540-6173</t>
  </si>
  <si>
    <t>Northeastern Oklahoma A&amp;M</t>
  </si>
  <si>
    <t>$15,198/$20,838</t>
  </si>
  <si>
    <t>J8866</t>
  </si>
  <si>
    <t>Cain</t>
  </si>
  <si>
    <t>butch.cain@neo.edu</t>
  </si>
  <si>
    <t>918-540-6359</t>
  </si>
  <si>
    <t>J8867</t>
  </si>
  <si>
    <t>Strack</t>
  </si>
  <si>
    <t>J8868</t>
  </si>
  <si>
    <t>Harli</t>
  </si>
  <si>
    <t>harliwheeler@neo.ed</t>
  </si>
  <si>
    <t>918-540-6486</t>
  </si>
  <si>
    <t>J8884</t>
  </si>
  <si>
    <t>Northern Oklahoma College - Enid</t>
  </si>
  <si>
    <t>megan.hill@noc.edu</t>
  </si>
  <si>
    <t>580.548.2388</t>
  </si>
  <si>
    <t>Northern Oklahoma-Enid</t>
  </si>
  <si>
    <t>Enid</t>
  </si>
  <si>
    <t>$13,075/$18,685</t>
  </si>
  <si>
    <t>J8885</t>
  </si>
  <si>
    <t>J8886</t>
  </si>
  <si>
    <t>alison.mark@noc.edu</t>
  </si>
  <si>
    <t>580.548.2292</t>
  </si>
  <si>
    <t>J8887</t>
  </si>
  <si>
    <t>Tomas</t>
  </si>
  <si>
    <t>J8896</t>
  </si>
  <si>
    <t>Northern Oklahoma College</t>
  </si>
  <si>
    <t>Wilde</t>
  </si>
  <si>
    <t>tori.wilde@noc.edu</t>
  </si>
  <si>
    <t>580.628.6774</t>
  </si>
  <si>
    <t>Northern Oklahoma-Tonkawa</t>
  </si>
  <si>
    <t>Tonkawa</t>
  </si>
  <si>
    <t>J8913</t>
  </si>
  <si>
    <t>Seminole State College</t>
  </si>
  <si>
    <t>a.flores@sscok.edu</t>
  </si>
  <si>
    <t>(405) 382-9533</t>
  </si>
  <si>
    <t>Seminole State (OK)</t>
  </si>
  <si>
    <t>Seminole</t>
  </si>
  <si>
    <t>$18,230/$23,825</t>
  </si>
  <si>
    <t>J8914</t>
  </si>
  <si>
    <t>TJ</t>
  </si>
  <si>
    <t>Western Oklahoma State College</t>
  </si>
  <si>
    <t>Stidham</t>
  </si>
  <si>
    <t>genny.stidham@wosc.edu</t>
  </si>
  <si>
    <t>(580) 477-7887</t>
  </si>
  <si>
    <t>Western Oklahoma State</t>
  </si>
  <si>
    <t>Altus</t>
  </si>
  <si>
    <t>$14,641/$18,705</t>
  </si>
  <si>
    <t>J8932</t>
  </si>
  <si>
    <t>Blue Mountain Community College</t>
  </si>
  <si>
    <t>srichards@bluecc.edu</t>
  </si>
  <si>
    <t>541-278-5895</t>
  </si>
  <si>
    <t>Blue Mountain CC (OR)</t>
  </si>
  <si>
    <t>$17,291/$28,355</t>
  </si>
  <si>
    <t>J8933</t>
  </si>
  <si>
    <t>Shayne</t>
  </si>
  <si>
    <t>Arndt</t>
  </si>
  <si>
    <t>sarndt@bluecc.edu</t>
  </si>
  <si>
    <t>541-278-5962</t>
  </si>
  <si>
    <t>J8934</t>
  </si>
  <si>
    <t>Moffitt</t>
  </si>
  <si>
    <t>rmoffitt@bluecc.edu</t>
  </si>
  <si>
    <t>Chemeketa Community College</t>
  </si>
  <si>
    <t>Witt</t>
  </si>
  <si>
    <t>kevin.witt@chemeketa.edu</t>
  </si>
  <si>
    <t>c: 971.240.8250</t>
  </si>
  <si>
    <t>Chemeketa CC</t>
  </si>
  <si>
    <t>$16,602/$23,892</t>
  </si>
  <si>
    <t>Clackamas Community College</t>
  </si>
  <si>
    <t>Buel</t>
  </si>
  <si>
    <t>jessicab@clackamas.edu</t>
  </si>
  <si>
    <t>503-594-3602</t>
  </si>
  <si>
    <t>Clackamas CC</t>
  </si>
  <si>
    <t>Oregon City</t>
  </si>
  <si>
    <t>$16,562/$24,077</t>
  </si>
  <si>
    <t>Mt. Hood Community College</t>
  </si>
  <si>
    <t>Brittany.Hendrickson@mhcc.edu</t>
  </si>
  <si>
    <t>503-491-7122</t>
  </si>
  <si>
    <t>Mt. Hood CC</t>
  </si>
  <si>
    <t>Gresham</t>
  </si>
  <si>
    <t>$17,418/$22,503</t>
  </si>
  <si>
    <t>Sammi</t>
  </si>
  <si>
    <t>Brandstetter</t>
  </si>
  <si>
    <t>J9050</t>
  </si>
  <si>
    <t>Southwestern Oregon Community College</t>
  </si>
  <si>
    <t>Corriea</t>
  </si>
  <si>
    <t>mcorriea@socc.edu</t>
  </si>
  <si>
    <t>541.888.7207</t>
  </si>
  <si>
    <t>Southwestern Oregon CC</t>
  </si>
  <si>
    <t>Coos Bay</t>
  </si>
  <si>
    <t>J9070</t>
  </si>
  <si>
    <t>Treasure Valley Community College</t>
  </si>
  <si>
    <t>Ogawa</t>
  </si>
  <si>
    <t>gogawa@tvcc.cc</t>
  </si>
  <si>
    <t>208.739.8748</t>
  </si>
  <si>
    <t>Treasure Valley</t>
  </si>
  <si>
    <t>Ontario</t>
  </si>
  <si>
    <t>$20,046/$20,496</t>
  </si>
  <si>
    <t>J9071</t>
  </si>
  <si>
    <t>Moeller</t>
  </si>
  <si>
    <t>208.741.0096</t>
  </si>
  <si>
    <t>J9110</t>
  </si>
  <si>
    <t>Bucks County Community College</t>
  </si>
  <si>
    <t>Collier</t>
  </si>
  <si>
    <t>bucks.softball@bucks.edu</t>
  </si>
  <si>
    <t>(215) 430-1969</t>
  </si>
  <si>
    <t>Bucks County CC</t>
  </si>
  <si>
    <t>Newtown</t>
  </si>
  <si>
    <t>$17,688 (in-district)/$21,408/$25,128</t>
  </si>
  <si>
    <t>J9111</t>
  </si>
  <si>
    <t>Butler County Community College</t>
  </si>
  <si>
    <t>Beebe</t>
  </si>
  <si>
    <t>daniel.beebe@bc3.edu</t>
  </si>
  <si>
    <t>724.290.4820</t>
  </si>
  <si>
    <t>Butler County CC (PA)</t>
  </si>
  <si>
    <t>$10,540 (in-district)/$13,660/$16,780</t>
  </si>
  <si>
    <t>J9142</t>
  </si>
  <si>
    <t>Community College of Allegheny County</t>
  </si>
  <si>
    <t>Rebmann</t>
  </si>
  <si>
    <t>crebmann@ccac.edu</t>
  </si>
  <si>
    <t>(412) 519-7904</t>
  </si>
  <si>
    <t>CC of Allegheny County</t>
  </si>
  <si>
    <t>$16,991 (in-district)/$20,380/$23,611</t>
  </si>
  <si>
    <t>J9146</t>
  </si>
  <si>
    <t>Community College of Beaver County</t>
  </si>
  <si>
    <t>Beaver County Softball</t>
  </si>
  <si>
    <t>General</t>
  </si>
  <si>
    <t>softball@ccbc.edu</t>
  </si>
  <si>
    <t>724-480-3562</t>
  </si>
  <si>
    <t>CC of Beaver County</t>
  </si>
  <si>
    <t>Monaca</t>
  </si>
  <si>
    <t>$16,785 (in-district)/$22,125/$27,465</t>
  </si>
  <si>
    <t>J9147</t>
  </si>
  <si>
    <t>J11364</t>
  </si>
  <si>
    <t>Lackawanna College</t>
  </si>
  <si>
    <t>Lackawanna (PA)</t>
  </si>
  <si>
    <t>J9209</t>
  </si>
  <si>
    <t>Pittsman</t>
  </si>
  <si>
    <t>PittsmanJ@lackawanna.edu</t>
  </si>
  <si>
    <t>570-885-3928</t>
  </si>
  <si>
    <t>J9210</t>
  </si>
  <si>
    <t>David.benson@falcons.lackawanna.edu</t>
  </si>
  <si>
    <t>570-961-0700</t>
  </si>
  <si>
    <t>J9211</t>
  </si>
  <si>
    <t>Orlowski</t>
  </si>
  <si>
    <t>Orlowskir@lackawanna.edu</t>
  </si>
  <si>
    <t>J9212</t>
  </si>
  <si>
    <t>Rudzinski</t>
  </si>
  <si>
    <t>tom.rudzinski@falcons.lackawanna.edu</t>
  </si>
  <si>
    <t>J9213</t>
  </si>
  <si>
    <t>Leppo</t>
  </si>
  <si>
    <t>J9214</t>
  </si>
  <si>
    <t>Verrastro</t>
  </si>
  <si>
    <t>J9230</t>
  </si>
  <si>
    <t>Lehigh Carbon Community College</t>
  </si>
  <si>
    <t>Kutteroff</t>
  </si>
  <si>
    <t>softball@lccc.edu</t>
  </si>
  <si>
    <t>610-799-1155</t>
  </si>
  <si>
    <t>Lehigh Carbon</t>
  </si>
  <si>
    <t>Schnecksville</t>
  </si>
  <si>
    <t>$13,190 (in-district)/$16,460/$19,730</t>
  </si>
  <si>
    <t>J9231</t>
  </si>
  <si>
    <t>Sechler</t>
  </si>
  <si>
    <t>J9232</t>
  </si>
  <si>
    <t>J9233</t>
  </si>
  <si>
    <t>Luzerne County Community College</t>
  </si>
  <si>
    <t>Raughley</t>
  </si>
  <si>
    <t>mraughley@luzerne.edu</t>
  </si>
  <si>
    <t>(570) 740-0429</t>
  </si>
  <si>
    <t>Luzerne County CC</t>
  </si>
  <si>
    <t>Nanticoke</t>
  </si>
  <si>
    <t>$13,560 (in-district)/$17,700/$21,840</t>
  </si>
  <si>
    <t>J9271</t>
  </si>
  <si>
    <t>Mercyhurst University - North East</t>
  </si>
  <si>
    <t>Dewey</t>
  </si>
  <si>
    <t>bdewey@mercyhurst.edu</t>
  </si>
  <si>
    <t>814-725-6105</t>
  </si>
  <si>
    <t>Mercyhurst-North East</t>
  </si>
  <si>
    <t>J9272</t>
  </si>
  <si>
    <t>J9284</t>
  </si>
  <si>
    <t>Montgomery County Community College</t>
  </si>
  <si>
    <t>enovak@mc3.edu</t>
  </si>
  <si>
    <t>Montgomery County CC</t>
  </si>
  <si>
    <t>Blue Bell</t>
  </si>
  <si>
    <t>$17,220 (in-district)/$21,840/$26,460</t>
  </si>
  <si>
    <t>J9285</t>
  </si>
  <si>
    <t>enovak20@yahoo.com</t>
  </si>
  <si>
    <t>J9286</t>
  </si>
  <si>
    <t>Bass</t>
  </si>
  <si>
    <t>J9305</t>
  </si>
  <si>
    <t>Northampton County Area Community College</t>
  </si>
  <si>
    <t>Wilmott</t>
  </si>
  <si>
    <t>rwilmott@northampton.edu</t>
  </si>
  <si>
    <t>484-239-8730</t>
  </si>
  <si>
    <t>$19,354 (in-district)/$24,364/$28,744</t>
  </si>
  <si>
    <t>J9306</t>
  </si>
  <si>
    <t>fastpitcher1@aol.com</t>
  </si>
  <si>
    <t>J9307</t>
  </si>
  <si>
    <t>Cabrera</t>
  </si>
  <si>
    <t>jcabrera@northampton.edu</t>
  </si>
  <si>
    <t>610-861-5369</t>
  </si>
  <si>
    <t>J9308</t>
  </si>
  <si>
    <t>J9336</t>
  </si>
  <si>
    <t>Westmoreland County Community College</t>
  </si>
  <si>
    <t>Bartlow</t>
  </si>
  <si>
    <t>bartlowt@westmoreland.edu</t>
  </si>
  <si>
    <t>Westmoreland County CC</t>
  </si>
  <si>
    <t>Youngwood</t>
  </si>
  <si>
    <t>$14,950/$18,610</t>
  </si>
  <si>
    <t>J9337</t>
  </si>
  <si>
    <t>Terlizzi</t>
  </si>
  <si>
    <t>724-925-4132</t>
  </si>
  <si>
    <t>J10877</t>
  </si>
  <si>
    <t>Community College of Rhode Island</t>
  </si>
  <si>
    <t>Mercier</t>
  </si>
  <si>
    <t>401-825-1244</t>
  </si>
  <si>
    <t>CC of Rhode Island</t>
  </si>
  <si>
    <t>Warwick</t>
  </si>
  <si>
    <t>$19,288/$26,518</t>
  </si>
  <si>
    <t>J9351</t>
  </si>
  <si>
    <t>Warrington</t>
  </si>
  <si>
    <t>klwarrington@ccri.edu</t>
  </si>
  <si>
    <t>J9352</t>
  </si>
  <si>
    <t>J9386</t>
  </si>
  <si>
    <t>University of South Carolina - Salkehatchie</t>
  </si>
  <si>
    <t>Bellamy</t>
  </si>
  <si>
    <t>KBellamy@mailbox.sc.edu</t>
  </si>
  <si>
    <t>(803) 812-7455</t>
  </si>
  <si>
    <t>South Carolina-Salkehatchie</t>
  </si>
  <si>
    <t>$22,057/$32,089</t>
  </si>
  <si>
    <t>J9401</t>
  </si>
  <si>
    <t>Spartanburg Methodist College</t>
  </si>
  <si>
    <t>hillc@smcsc.edu</t>
  </si>
  <si>
    <t>864-587-4399</t>
  </si>
  <si>
    <t>Spartanburg Methodist</t>
  </si>
  <si>
    <t>J9402</t>
  </si>
  <si>
    <t>cbhill13@gmail.com</t>
  </si>
  <si>
    <t>J9403</t>
  </si>
  <si>
    <t>mcdanielj@smcsc.edu</t>
  </si>
  <si>
    <t>Chattanooga State Community College</t>
  </si>
  <si>
    <t>Blythe</t>
  </si>
  <si>
    <t>blythe.golden@chattanoogastate.edu</t>
  </si>
  <si>
    <t>423-697-2415</t>
  </si>
  <si>
    <t>Chattanooga State CC</t>
  </si>
  <si>
    <t>$16,963/$28,627</t>
  </si>
  <si>
    <t>Cleveland State Community College</t>
  </si>
  <si>
    <t>Jaecks</t>
  </si>
  <si>
    <t>sjaecks@clevelandstatecc.edu</t>
  </si>
  <si>
    <t>423-400-3103</t>
  </si>
  <si>
    <t>Cleveland State CC (TN)</t>
  </si>
  <si>
    <t>$15,064/$26,728</t>
  </si>
  <si>
    <t>Jennah</t>
  </si>
  <si>
    <t>McElheney</t>
  </si>
  <si>
    <t>jmcelheney@clevelandstatecc.edu</t>
  </si>
  <si>
    <t>c: (709) 410-8719</t>
  </si>
  <si>
    <t>Columbia State Community College</t>
  </si>
  <si>
    <t>llindsey10@ColumbiaState.edu</t>
  </si>
  <si>
    <t>931.540.2632</t>
  </si>
  <si>
    <t>Columbia State CC</t>
  </si>
  <si>
    <t>$20,013/$31,677</t>
  </si>
  <si>
    <t>Dyersburg State Community College</t>
  </si>
  <si>
    <t>gwhite@dscc.edu</t>
  </si>
  <si>
    <t>731-286-3274</t>
  </si>
  <si>
    <t>Dyersburg State CC</t>
  </si>
  <si>
    <t>Dyersburg</t>
  </si>
  <si>
    <t>$16,919/$29,165</t>
  </si>
  <si>
    <t>J9459</t>
  </si>
  <si>
    <t>Hiwassee College</t>
  </si>
  <si>
    <t>Ethan</t>
  </si>
  <si>
    <t>Carroll</t>
  </si>
  <si>
    <t>carrollet@hiwassee.edu</t>
  </si>
  <si>
    <t>(865)-224-9177</t>
  </si>
  <si>
    <t>Hiwassee</t>
  </si>
  <si>
    <t>Madisonville</t>
  </si>
  <si>
    <t>2.25 minimum</t>
  </si>
  <si>
    <t>420-480</t>
  </si>
  <si>
    <t>J9460</t>
  </si>
  <si>
    <t>Pollock</t>
  </si>
  <si>
    <t>J9461</t>
  </si>
  <si>
    <t>Jackson State Community College</t>
  </si>
  <si>
    <t>Winders</t>
  </si>
  <si>
    <t>cwinders@jscc.edu</t>
  </si>
  <si>
    <t>Jackson State CC (TN)</t>
  </si>
  <si>
    <t>$20,723/$28,643</t>
  </si>
  <si>
    <t>Caribeth</t>
  </si>
  <si>
    <t>Motlow State Community College</t>
  </si>
  <si>
    <t>Morey</t>
  </si>
  <si>
    <t>jmorey@mscc.edu</t>
  </si>
  <si>
    <t>931-393-1617</t>
  </si>
  <si>
    <t>Motlow State CC</t>
  </si>
  <si>
    <t>$13,051/$20,971</t>
  </si>
  <si>
    <t>Roane State Community College</t>
  </si>
  <si>
    <t>Hackworth</t>
  </si>
  <si>
    <t>hackworthjl@roanestate.edu</t>
  </si>
  <si>
    <t>865-354-3000, x4929</t>
  </si>
  <si>
    <t>Roane State CC</t>
  </si>
  <si>
    <t>Harriman</t>
  </si>
  <si>
    <t>$13,976/$25,640</t>
  </si>
  <si>
    <t>Hamsley</t>
  </si>
  <si>
    <t>AC Rickey has been removed.</t>
  </si>
  <si>
    <t>J9503</t>
  </si>
  <si>
    <t>Southwest Tennessee Community College</t>
  </si>
  <si>
    <t>Gentry</t>
  </si>
  <si>
    <t>mgentry@southwest.tn.edu</t>
  </si>
  <si>
    <t>901-333-4114</t>
  </si>
  <si>
    <t>Southwest Tennessee CC</t>
  </si>
  <si>
    <t>$16,069/$27,733</t>
  </si>
  <si>
    <t>J9504</t>
  </si>
  <si>
    <t>J9505</t>
  </si>
  <si>
    <t>Allensworth</t>
  </si>
  <si>
    <t>J9518</t>
  </si>
  <si>
    <t>Volunteer State Community College</t>
  </si>
  <si>
    <t>John.Lynn@volstate.edu</t>
  </si>
  <si>
    <t>615-230-3700</t>
  </si>
  <si>
    <t>Volunteer State CC</t>
  </si>
  <si>
    <t>Gallatin</t>
  </si>
  <si>
    <t>$20,677/$32,341</t>
  </si>
  <si>
    <t>J9519</t>
  </si>
  <si>
    <t>James.Buckner@volstate.edu</t>
  </si>
  <si>
    <t>615-230-3328</t>
  </si>
  <si>
    <t>J9530</t>
  </si>
  <si>
    <t>Walters State Community College</t>
  </si>
  <si>
    <t>Sauceman</t>
  </si>
  <si>
    <t>larry.sauceman@ws.edu</t>
  </si>
  <si>
    <t>423-318-2745</t>
  </si>
  <si>
    <t>Walters State CC</t>
  </si>
  <si>
    <t>$12,632/$24,296</t>
  </si>
  <si>
    <t>J9531</t>
  </si>
  <si>
    <t>mitch.taylor@ws.edu</t>
  </si>
  <si>
    <t>J9532</t>
  </si>
  <si>
    <t>mitchtaylor44@yahoo.com</t>
  </si>
  <si>
    <t>J11371</t>
  </si>
  <si>
    <t>Angelina College</t>
  </si>
  <si>
    <t>Molli</t>
  </si>
  <si>
    <t>mmorgan@angelina.edu</t>
  </si>
  <si>
    <t>Lufkin</t>
  </si>
  <si>
    <t>$12,590 (in-district)/$13,880/$15,260</t>
  </si>
  <si>
    <t>J9542</t>
  </si>
  <si>
    <t>jbarnes@angelina.edu</t>
  </si>
  <si>
    <t>936-633-5347</t>
  </si>
  <si>
    <t>J9563</t>
  </si>
  <si>
    <t>Blinn College</t>
  </si>
  <si>
    <t>Church</t>
  </si>
  <si>
    <t>rchurch@blinn.edu</t>
  </si>
  <si>
    <t>979-830-4033</t>
  </si>
  <si>
    <t>Blinn</t>
  </si>
  <si>
    <t>Brenham</t>
  </si>
  <si>
    <t>$16,874 (in-district)/$18,242/$21,914</t>
  </si>
  <si>
    <t>J9564</t>
  </si>
  <si>
    <t>Jami</t>
  </si>
  <si>
    <t>Jami.Ingram@blinn.edu</t>
  </si>
  <si>
    <t>979-830-4386</t>
  </si>
  <si>
    <t>J9611</t>
  </si>
  <si>
    <t>Cisco College</t>
  </si>
  <si>
    <t>Prickett</t>
  </si>
  <si>
    <t>joel.prickett@cisco.edu</t>
  </si>
  <si>
    <t>254-442-5015</t>
  </si>
  <si>
    <t>Cisco (TX)</t>
  </si>
  <si>
    <t>Cisco</t>
  </si>
  <si>
    <t>$3,810 (in-district)/$4,710/$4,710</t>
  </si>
  <si>
    <t>J9612</t>
  </si>
  <si>
    <t>Staten</t>
  </si>
  <si>
    <t>tara.staten@cisco.edu</t>
  </si>
  <si>
    <t>254-442-5180</t>
  </si>
  <si>
    <t>J9624</t>
  </si>
  <si>
    <t>Clarendon College</t>
  </si>
  <si>
    <t>Candace</t>
  </si>
  <si>
    <t>Abrams</t>
  </si>
  <si>
    <t>candace.abrams@clarendoncollege.edu</t>
  </si>
  <si>
    <t>(806) 874-3571, x140</t>
  </si>
  <si>
    <t>Clarendon</t>
  </si>
  <si>
    <t>$12,300 (in-district)/$12,852/$13,596</t>
  </si>
  <si>
    <t>J9625</t>
  </si>
  <si>
    <t>taylor.swisher@clarendoncollege.edu</t>
  </si>
  <si>
    <t>(806) 874-3571, x135</t>
  </si>
  <si>
    <t>J9634</t>
  </si>
  <si>
    <t>Coastal Bend College</t>
  </si>
  <si>
    <t>aqcastro@coastalbend.edu</t>
  </si>
  <si>
    <t>361-354-2750</t>
  </si>
  <si>
    <t>Coastal Bend (TX)</t>
  </si>
  <si>
    <t>Beeville</t>
  </si>
  <si>
    <t>$11,800 (in-district)/$13,660/$14,110</t>
  </si>
  <si>
    <t>J9664</t>
  </si>
  <si>
    <t>Frank Phillips College</t>
  </si>
  <si>
    <t>Koetting</t>
  </si>
  <si>
    <t>mkoetting@fpctx.edu</t>
  </si>
  <si>
    <t>806-457-4200 #730</t>
  </si>
  <si>
    <t>Frank Phillips</t>
  </si>
  <si>
    <t>Borger</t>
  </si>
  <si>
    <t>$11,379 (in-district)/$12,129/$12,369</t>
  </si>
  <si>
    <t>J9665</t>
  </si>
  <si>
    <t>kjames@fpctx.edu</t>
  </si>
  <si>
    <t>J9672</t>
  </si>
  <si>
    <t>Grayson College</t>
  </si>
  <si>
    <t>McBrayer</t>
  </si>
  <si>
    <t>mcbrayerm@grayson.edu</t>
  </si>
  <si>
    <t>(903) 463-8753</t>
  </si>
  <si>
    <t>$12,353 (in-district)/$13,265/$14,369</t>
  </si>
  <si>
    <t>J9673</t>
  </si>
  <si>
    <t>jason@grayson.edu</t>
  </si>
  <si>
    <t>(903) 463-8645</t>
  </si>
  <si>
    <t>J9681</t>
  </si>
  <si>
    <t>Hill College</t>
  </si>
  <si>
    <t>Ebner</t>
  </si>
  <si>
    <t>lebner@hillcollege.edu</t>
  </si>
  <si>
    <t>254-659-7971</t>
  </si>
  <si>
    <t>Hill (TX)</t>
  </si>
  <si>
    <t>Cleburne</t>
  </si>
  <si>
    <t>$11,520 (in-district)/$11,820/$12,220</t>
  </si>
  <si>
    <t>J9682</t>
  </si>
  <si>
    <t>mwilkins@hillcollege.edu</t>
  </si>
  <si>
    <t>254-659-7970</t>
  </si>
  <si>
    <t>Howard Community College</t>
  </si>
  <si>
    <t>kraines@howardcollege.edu</t>
  </si>
  <si>
    <t>(432) 264-5058</t>
  </si>
  <si>
    <t>Howard (TX)</t>
  </si>
  <si>
    <t>Big Spring</t>
  </si>
  <si>
    <t>$11,050 (in-district)/$12,460/$13,910</t>
  </si>
  <si>
    <t>aclopez@howardcollege.edu</t>
  </si>
  <si>
    <t>J9698</t>
  </si>
  <si>
    <t>Kilgore College</t>
  </si>
  <si>
    <t>lmessina@kilgore.edu</t>
  </si>
  <si>
    <t>$14,888 (in-district)/$16,616/$17,816</t>
  </si>
  <si>
    <t>Trish</t>
  </si>
  <si>
    <t>trobinson@kilgore.edu</t>
  </si>
  <si>
    <t>agonzales@kilgore.edu</t>
  </si>
  <si>
    <t>awilliams1@kilgore.edu</t>
  </si>
  <si>
    <t>J9730</t>
  </si>
  <si>
    <t>Lamar State College</t>
  </si>
  <si>
    <t>Vance</t>
  </si>
  <si>
    <t>edwardsmv@lamarpa.edu</t>
  </si>
  <si>
    <t>409-984-6293</t>
  </si>
  <si>
    <t>Lamar State</t>
  </si>
  <si>
    <t>Port Arthur</t>
  </si>
  <si>
    <t>$19,508/$31,748</t>
  </si>
  <si>
    <t>J9731</t>
  </si>
  <si>
    <t>bakerbr@lamarpa.edu</t>
  </si>
  <si>
    <t>409-984-6297</t>
  </si>
  <si>
    <t>J9745</t>
  </si>
  <si>
    <t>McLennan Community College</t>
  </si>
  <si>
    <t>cberry@mclennan.edu</t>
  </si>
  <si>
    <t>254-299-8822</t>
  </si>
  <si>
    <t>McLennan CC</t>
  </si>
  <si>
    <t>$15,423 (in-district)/$15,855</t>
  </si>
  <si>
    <t>J9746</t>
  </si>
  <si>
    <t>jsmith@mclennan.edu</t>
  </si>
  <si>
    <t>254-299-8875</t>
  </si>
  <si>
    <t>J9755</t>
  </si>
  <si>
    <t>Midland College</t>
  </si>
  <si>
    <t>aevans@midland.edu</t>
  </si>
  <si>
    <t>(432) 685-5560</t>
  </si>
  <si>
    <t>Midland (TX)</t>
  </si>
  <si>
    <t>$12,365 (in-district)/$13,865/$15,065</t>
  </si>
  <si>
    <t>J9756</t>
  </si>
  <si>
    <t>eramsey@midland.edu</t>
  </si>
  <si>
    <t>(432) 685-4710</t>
  </si>
  <si>
    <t>J9789</t>
  </si>
  <si>
    <t>Navarro College</t>
  </si>
  <si>
    <t>Karenke-Burke</t>
  </si>
  <si>
    <t>jessica.karenke@navarrocollege.edu</t>
  </si>
  <si>
    <t>903-875-7486</t>
  </si>
  <si>
    <t>Navarro (TX)</t>
  </si>
  <si>
    <t>Corsicana</t>
  </si>
  <si>
    <t>$17,512 (in-district)/$18,982/$20,512</t>
  </si>
  <si>
    <t>J9790</t>
  </si>
  <si>
    <t>AC Valerie has been removed.</t>
  </si>
  <si>
    <t>J9808</t>
  </si>
  <si>
    <t>Northeast Texas Community College</t>
  </si>
  <si>
    <t>jkeith@ntcc.edu</t>
  </si>
  <si>
    <t>c: 254-631-5790</t>
  </si>
  <si>
    <t>Northeast Texas CC</t>
  </si>
  <si>
    <t>$16,731 (in-district)/$18,591/$20,039</t>
  </si>
  <si>
    <t>J9809</t>
  </si>
  <si>
    <t>Kallee</t>
  </si>
  <si>
    <t>kwilkins@ntcc.edu</t>
  </si>
  <si>
    <t>817-602-7138</t>
  </si>
  <si>
    <t>J9824</t>
  </si>
  <si>
    <t>Odessa College</t>
  </si>
  <si>
    <t>jjackson@odessa.edu</t>
  </si>
  <si>
    <t>432-335-6793</t>
  </si>
  <si>
    <t>$11,336 (in-district)/$12,392/$13,760</t>
  </si>
  <si>
    <t>J9825</t>
  </si>
  <si>
    <t>Jaegers</t>
  </si>
  <si>
    <t>mjaegers@odessa.edu</t>
  </si>
  <si>
    <t>432-335-6715</t>
  </si>
  <si>
    <t>J10864</t>
  </si>
  <si>
    <t>Paris Junior College</t>
  </si>
  <si>
    <t>Krutsch</t>
  </si>
  <si>
    <t>rkrutsch@parisjc.edu</t>
  </si>
  <si>
    <t>Paris JC (TX)</t>
  </si>
  <si>
    <t>Paris</t>
  </si>
  <si>
    <t>$13,697 (in-district)/$15,047/$16,547</t>
  </si>
  <si>
    <t>J9845</t>
  </si>
  <si>
    <t>Lane Hartmann</t>
  </si>
  <si>
    <t>alanehartmann@parisjc.edu</t>
  </si>
  <si>
    <t>903-782-0348</t>
  </si>
  <si>
    <t>J9846</t>
  </si>
  <si>
    <t>mwilliams@parisjc.edu</t>
  </si>
  <si>
    <t>J11373</t>
  </si>
  <si>
    <t>Ranger College</t>
  </si>
  <si>
    <t>Farfan</t>
  </si>
  <si>
    <t>afarfan@rangercollege.edu</t>
  </si>
  <si>
    <t>(254) 647-3629</t>
  </si>
  <si>
    <t>Ranger</t>
  </si>
  <si>
    <t>$10,823/$12,113/$13,223</t>
  </si>
  <si>
    <t>J9859</t>
  </si>
  <si>
    <t>HC Sara has been removed.</t>
  </si>
  <si>
    <t>J9860</t>
  </si>
  <si>
    <t>AC Ben has been removed.</t>
  </si>
  <si>
    <t>J11446</t>
  </si>
  <si>
    <t>Richland College</t>
  </si>
  <si>
    <t>Richland (TX)</t>
  </si>
  <si>
    <t>$16,694/$18,254</t>
  </si>
  <si>
    <t>San Jacinto College</t>
  </si>
  <si>
    <t>Saenz</t>
  </si>
  <si>
    <t>kelly.saenz@sjcd.edu</t>
  </si>
  <si>
    <t>281-922-3413</t>
  </si>
  <si>
    <t>San Jacinto CC</t>
  </si>
  <si>
    <t>$15,396 (in-district)/$16,476</t>
  </si>
  <si>
    <t>Walters</t>
  </si>
  <si>
    <t>Kelsey.McClain@sjcd.edu</t>
  </si>
  <si>
    <t>(281) 998-6150, x3407</t>
  </si>
  <si>
    <t>J9907</t>
  </si>
  <si>
    <t>Temple College</t>
  </si>
  <si>
    <t>Kadie</t>
  </si>
  <si>
    <t>Berlin-George</t>
  </si>
  <si>
    <t>kadie.berlin@templejc.edu</t>
  </si>
  <si>
    <t>254-298-8528</t>
  </si>
  <si>
    <t>Temple (TX)</t>
  </si>
  <si>
    <t>Temple</t>
  </si>
  <si>
    <t>$14,483/$15,467</t>
  </si>
  <si>
    <t>J9908</t>
  </si>
  <si>
    <t>Maurice</t>
  </si>
  <si>
    <t>J9919</t>
  </si>
  <si>
    <t>Trinity Valley Community College</t>
  </si>
  <si>
    <t>Kathleen</t>
  </si>
  <si>
    <t>kathleen.rodriguez@tvcc.edu</t>
  </si>
  <si>
    <t>c: 903-670-2650</t>
  </si>
  <si>
    <t>Trinity Valley CC (TX)</t>
  </si>
  <si>
    <t>$14,451 (in-district)/$16,311/$16,911</t>
  </si>
  <si>
    <t>J9920</t>
  </si>
  <si>
    <t>james.rodriguez@tvcc.edu</t>
  </si>
  <si>
    <t>c: 915-691-5142</t>
  </si>
  <si>
    <t>Tyler Junior College</t>
  </si>
  <si>
    <t>Trenia</t>
  </si>
  <si>
    <t>Tillis Hoard</t>
  </si>
  <si>
    <t>903-510-2316</t>
  </si>
  <si>
    <t>Tyler JC (TX)</t>
  </si>
  <si>
    <t>$16,125 (in-district)/$17,775/$18.465</t>
  </si>
  <si>
    <t>Bryant.Porter@tjc.edu</t>
  </si>
  <si>
    <t>903-510-2022</t>
  </si>
  <si>
    <t>eric.henderson@tjc.edu</t>
  </si>
  <si>
    <t>903-510-3159</t>
  </si>
  <si>
    <t>J11384</t>
  </si>
  <si>
    <t>Weatherford College</t>
  </si>
  <si>
    <t>Haylee</t>
  </si>
  <si>
    <t>hwilliams@wc.edu</t>
  </si>
  <si>
    <t>817-598-6208</t>
  </si>
  <si>
    <t>$14,271 (in-district)/$15,591/$17,111</t>
  </si>
  <si>
    <t>J9957</t>
  </si>
  <si>
    <t>J9958</t>
  </si>
  <si>
    <t>Flanagan</t>
  </si>
  <si>
    <t>cflanagan@wc.edu</t>
  </si>
  <si>
    <t>817-598-8845</t>
  </si>
  <si>
    <t>J9966</t>
  </si>
  <si>
    <t>Western Texas College</t>
  </si>
  <si>
    <t>rmcnary@wtc.edu</t>
  </si>
  <si>
    <t>325-574-7690</t>
  </si>
  <si>
    <t>Western Texas</t>
  </si>
  <si>
    <t>$12,418 (in-district)/$13,328/$14,216</t>
  </si>
  <si>
    <t>J9967</t>
  </si>
  <si>
    <t>AC Rachel has been removed.</t>
  </si>
  <si>
    <t>J10000</t>
  </si>
  <si>
    <t>Salt Lake Community College</t>
  </si>
  <si>
    <t>Horn Garrison</t>
  </si>
  <si>
    <t>Salt Lake CC</t>
  </si>
  <si>
    <t>$18,940/$26,978</t>
  </si>
  <si>
    <t>J10001</t>
  </si>
  <si>
    <t>AC Jack has been removed.</t>
  </si>
  <si>
    <t>J11387</t>
  </si>
  <si>
    <t>Rae</t>
  </si>
  <si>
    <t>J11388</t>
  </si>
  <si>
    <t>J9996</t>
  </si>
  <si>
    <t>Cyndee</t>
  </si>
  <si>
    <t>cyndee.bennett@slcc.edu</t>
  </si>
  <si>
    <t>801-957-4745</t>
  </si>
  <si>
    <t>J9997</t>
  </si>
  <si>
    <t>Bendt</t>
  </si>
  <si>
    <t>tara.bendt@slcc.edu</t>
  </si>
  <si>
    <t>801-957-4819</t>
  </si>
  <si>
    <t>J9998</t>
  </si>
  <si>
    <t>Shober</t>
  </si>
  <si>
    <t>J9999</t>
  </si>
  <si>
    <t>DeLeon</t>
  </si>
  <si>
    <t>J10025</t>
  </si>
  <si>
    <t>Snow College</t>
  </si>
  <si>
    <t>Larsen</t>
  </si>
  <si>
    <t>Chad.Larsen@snow.edu</t>
  </si>
  <si>
    <t>435-469-1167</t>
  </si>
  <si>
    <t>Snow (UT)</t>
  </si>
  <si>
    <t>Ephraim</t>
  </si>
  <si>
    <t>$14,492/$22,970</t>
  </si>
  <si>
    <t>J10026</t>
  </si>
  <si>
    <t>Alley</t>
  </si>
  <si>
    <t>Gee</t>
  </si>
  <si>
    <t>alley.gee@snow.edu</t>
  </si>
  <si>
    <t>435-610-0084</t>
  </si>
  <si>
    <t>J10041</t>
  </si>
  <si>
    <t>Utah State University Eastern</t>
  </si>
  <si>
    <t>Shurtliff</t>
  </si>
  <si>
    <t>shelby.shurtliff@usu.edu</t>
  </si>
  <si>
    <t>Utah State-Eastern</t>
  </si>
  <si>
    <t>J10042</t>
  </si>
  <si>
    <t>Blackhurst</t>
  </si>
  <si>
    <t>J10063</t>
  </si>
  <si>
    <t>Bryant &amp; Stratton College - Virginia</t>
  </si>
  <si>
    <t>Genevieve</t>
  </si>
  <si>
    <t>gaweaver@bryantstratton.edu</t>
  </si>
  <si>
    <t>(757) 254-1850</t>
  </si>
  <si>
    <t>Bryant &amp; Stratton (VA)</t>
  </si>
  <si>
    <t>Hampton &amp; Virginia Beach</t>
  </si>
  <si>
    <t>J10064</t>
  </si>
  <si>
    <t>Yonetti</t>
  </si>
  <si>
    <t>Gwaltney</t>
  </si>
  <si>
    <t>Ypgwaltney@bryantstratton.edu</t>
  </si>
  <si>
    <t>757-499-7900</t>
  </si>
  <si>
    <t>J10065</t>
  </si>
  <si>
    <t>esriley@bryantstratton.edu</t>
  </si>
  <si>
    <t>J10066</t>
  </si>
  <si>
    <t>Nixon</t>
  </si>
  <si>
    <t>danixon@bryantstratton.edu</t>
  </si>
  <si>
    <t>J10086</t>
  </si>
  <si>
    <t>Patrick Henry Community College</t>
  </si>
  <si>
    <t>Robbi</t>
  </si>
  <si>
    <t>rcampbell@patrickhenry.edu</t>
  </si>
  <si>
    <t>276-229-5022</t>
  </si>
  <si>
    <t>Patrick Henry CC</t>
  </si>
  <si>
    <t>Marinsville</t>
  </si>
  <si>
    <t>$17,074/$22,372</t>
  </si>
  <si>
    <t>J10087</t>
  </si>
  <si>
    <t>bwoods@patrickhenry.edu</t>
  </si>
  <si>
    <t>276-229-1005</t>
  </si>
  <si>
    <t>J10088</t>
  </si>
  <si>
    <t>Conklin</t>
  </si>
  <si>
    <t>tconklin@patrickhenry.edu</t>
  </si>
  <si>
    <t>J10108</t>
  </si>
  <si>
    <t>Bellevue College</t>
  </si>
  <si>
    <t>Parris</t>
  </si>
  <si>
    <t>Mamon</t>
  </si>
  <si>
    <t>pmamon@bellevuecollege.edu</t>
  </si>
  <si>
    <t>425-564-2395</t>
  </si>
  <si>
    <t>Bellevue (WA)</t>
  </si>
  <si>
    <t>$18,000/$23,344</t>
  </si>
  <si>
    <t>J10109</t>
  </si>
  <si>
    <t>Fusco</t>
  </si>
  <si>
    <t>J10136</t>
  </si>
  <si>
    <t>Big Bend Community College</t>
  </si>
  <si>
    <t>Garoutte</t>
  </si>
  <si>
    <t>michaelg@bigbend.edu</t>
  </si>
  <si>
    <t>c: (509) 312-9983; o: 509-793-2232</t>
  </si>
  <si>
    <t>Big Bend CC</t>
  </si>
  <si>
    <t>Moses Lake</t>
  </si>
  <si>
    <t>J10137</t>
  </si>
  <si>
    <t>Van Wey</t>
  </si>
  <si>
    <t>J10143</t>
  </si>
  <si>
    <t>Centralia College</t>
  </si>
  <si>
    <t>Aden</t>
  </si>
  <si>
    <t>katie.aden@centralia.edu</t>
  </si>
  <si>
    <t>360-623-8733</t>
  </si>
  <si>
    <t>$18,564/$18,976</t>
  </si>
  <si>
    <t>J10160</t>
  </si>
  <si>
    <t>Clark College</t>
  </si>
  <si>
    <t>Blehm</t>
  </si>
  <si>
    <t>bblehm@clark.edu</t>
  </si>
  <si>
    <t>c: 360-600-1408</t>
  </si>
  <si>
    <t>Clark CC (WA)</t>
  </si>
  <si>
    <t>$17,874/$23,217</t>
  </si>
  <si>
    <t>J10161</t>
  </si>
  <si>
    <t>Muffett</t>
  </si>
  <si>
    <t>wmuffett@clark.edu</t>
  </si>
  <si>
    <t>c: 503-807-2139</t>
  </si>
  <si>
    <t>J10162</t>
  </si>
  <si>
    <t>Toone</t>
  </si>
  <si>
    <t>c: 206-427-6981</t>
  </si>
  <si>
    <t>J10189</t>
  </si>
  <si>
    <t>Columbia Basin College</t>
  </si>
  <si>
    <t>Montessa</t>
  </si>
  <si>
    <t>Califano</t>
  </si>
  <si>
    <t>mcalifano@columbiabasin.edu</t>
  </si>
  <si>
    <t>(509) 542-4460</t>
  </si>
  <si>
    <t>Columbia Basin</t>
  </si>
  <si>
    <t>Pasco</t>
  </si>
  <si>
    <t>$17,750/$20,023</t>
  </si>
  <si>
    <t>J10190</t>
  </si>
  <si>
    <t>ahall@columbiabasin.edu</t>
  </si>
  <si>
    <t>J10221</t>
  </si>
  <si>
    <t>Edmonds Community College</t>
  </si>
  <si>
    <t>ashley.lokey@edcc.edu&amp;su</t>
  </si>
  <si>
    <t>c: 415.609.7767</t>
  </si>
  <si>
    <t>Edmonds CC</t>
  </si>
  <si>
    <t>Lynnwood</t>
  </si>
  <si>
    <t>$16,531/$22,241</t>
  </si>
  <si>
    <t>J10222</t>
  </si>
  <si>
    <t>Corujo</t>
  </si>
  <si>
    <t>J10223</t>
  </si>
  <si>
    <t>AC Antionette has been removed.</t>
  </si>
  <si>
    <t>J10224</t>
  </si>
  <si>
    <t xml:space="preserve">Bill </t>
  </si>
  <si>
    <t>J11392</t>
  </si>
  <si>
    <t>Bolasky</t>
  </si>
  <si>
    <t>J10244</t>
  </si>
  <si>
    <t>Everett Community College</t>
  </si>
  <si>
    <t>fpcatch4@comcast.net</t>
  </si>
  <si>
    <t>o: 425-388-9329; c: 425-879-3711</t>
  </si>
  <si>
    <t>Everett CC</t>
  </si>
  <si>
    <t>Everett</t>
  </si>
  <si>
    <t>$18,058/$23,403</t>
  </si>
  <si>
    <t>J10245</t>
  </si>
  <si>
    <t>rismith@everettcc.edu</t>
  </si>
  <si>
    <t>425-388-9329</t>
  </si>
  <si>
    <t>J10265</t>
  </si>
  <si>
    <t>Grays Harbor College</t>
  </si>
  <si>
    <t>Cummings</t>
  </si>
  <si>
    <t>mkcummings@msn.com</t>
  </si>
  <si>
    <t>Grays Harbor</t>
  </si>
  <si>
    <t>$17,333/$22,678</t>
  </si>
  <si>
    <t>J10284</t>
  </si>
  <si>
    <t>Highline College</t>
  </si>
  <si>
    <t>jevans@highline.edu</t>
  </si>
  <si>
    <t>Highline</t>
  </si>
  <si>
    <t>J10285</t>
  </si>
  <si>
    <t>J10286</t>
  </si>
  <si>
    <t>Bajo</t>
  </si>
  <si>
    <t>J10287</t>
  </si>
  <si>
    <t>J10307</t>
  </si>
  <si>
    <t>Lower Columbia College</t>
  </si>
  <si>
    <t>tfuller@lowercolumbia.edu</t>
  </si>
  <si>
    <t>360-442-2482</t>
  </si>
  <si>
    <t>Lower Columbia</t>
  </si>
  <si>
    <t>$19,941/$20,475</t>
  </si>
  <si>
    <t>J10308</t>
  </si>
  <si>
    <t>dandrew@lowercolumbia.edu</t>
  </si>
  <si>
    <t>360-751-5575</t>
  </si>
  <si>
    <t>J10309</t>
  </si>
  <si>
    <t>Matagora</t>
  </si>
  <si>
    <t>J10310</t>
  </si>
  <si>
    <t>Olympic College</t>
  </si>
  <si>
    <t>360-475-7753</t>
  </si>
  <si>
    <t>Olympic</t>
  </si>
  <si>
    <t>Bremerton</t>
  </si>
  <si>
    <t>$17,217/$17,663</t>
  </si>
  <si>
    <t>Buss</t>
  </si>
  <si>
    <t>ebuss@olympic.edu</t>
  </si>
  <si>
    <t>360-475-7828</t>
  </si>
  <si>
    <t>Darrell</t>
  </si>
  <si>
    <t>Clauson</t>
  </si>
  <si>
    <t>AC Holly has been removed.</t>
  </si>
  <si>
    <t>Peninsula College</t>
  </si>
  <si>
    <t>Crumb</t>
  </si>
  <si>
    <t>acrumb@pencol.edu</t>
  </si>
  <si>
    <t>(360) 417-5697</t>
  </si>
  <si>
    <t>Peninsula</t>
  </si>
  <si>
    <t>Port Angeles</t>
  </si>
  <si>
    <t>$18,519/$18,926</t>
  </si>
  <si>
    <t>Gabi</t>
  </si>
  <si>
    <t>Fenumia'i</t>
  </si>
  <si>
    <t>gfenumiai@pencol.edu</t>
  </si>
  <si>
    <t>(360) 417-6223</t>
  </si>
  <si>
    <t>J10360</t>
  </si>
  <si>
    <t>Pierce College at Fort Steilacoom</t>
  </si>
  <si>
    <t>mnelson@pierce.ctc.edu</t>
  </si>
  <si>
    <t>253-279-9261</t>
  </si>
  <si>
    <t>Pierce CC (WA)</t>
  </si>
  <si>
    <t>$17,266/$17,674</t>
  </si>
  <si>
    <t>J10361</t>
  </si>
  <si>
    <t>Charron</t>
  </si>
  <si>
    <t>vcharron@pierce.ctc.edu</t>
  </si>
  <si>
    <t>J10362</t>
  </si>
  <si>
    <t>Edmonston</t>
  </si>
  <si>
    <t>medmonston@pierce.ctc.edu</t>
  </si>
  <si>
    <t>253-310-3818</t>
  </si>
  <si>
    <t>J10363</t>
  </si>
  <si>
    <t>Aryn</t>
  </si>
  <si>
    <t>Knutsen</t>
  </si>
  <si>
    <t>aknutsen@pierce.ctc.edu</t>
  </si>
  <si>
    <t>J10384</t>
  </si>
  <si>
    <t>Shoreline Community College</t>
  </si>
  <si>
    <t>Reindel</t>
  </si>
  <si>
    <t>breindel@shoreline.edu</t>
  </si>
  <si>
    <t>c: 206-407-8788; o: 206-546-4649</t>
  </si>
  <si>
    <t>Shoreline CC</t>
  </si>
  <si>
    <t>Shoreline</t>
  </si>
  <si>
    <t>$17,575/$20,301</t>
  </si>
  <si>
    <t>J10386</t>
  </si>
  <si>
    <t>Dracobly</t>
  </si>
  <si>
    <t>mdracobly@shoreline.edu</t>
  </si>
  <si>
    <t>206-546-4649</t>
  </si>
  <si>
    <t>J10404</t>
  </si>
  <si>
    <t>Skagit Valley College</t>
  </si>
  <si>
    <t>Lisa.Bennett@skagit.edu</t>
  </si>
  <si>
    <t>360-416-7693; 425-615-8383</t>
  </si>
  <si>
    <t>Skagit Valley</t>
  </si>
  <si>
    <t>$18,000/$18,500</t>
  </si>
  <si>
    <t>Spokane Falls Community College</t>
  </si>
  <si>
    <t>(509) 533-3647</t>
  </si>
  <si>
    <t>Spokane CC</t>
  </si>
  <si>
    <t>$17,712/$22,649</t>
  </si>
  <si>
    <t>Bodecker</t>
  </si>
  <si>
    <t>509-533-3633</t>
  </si>
  <si>
    <t>Maddie.Johnson@ccs.spokane.edu</t>
  </si>
  <si>
    <t>509-533-3647</t>
  </si>
  <si>
    <t>Lindsie</t>
  </si>
  <si>
    <t>Scholwinski</t>
  </si>
  <si>
    <t>Lindsie.Scholwinski@ccs.spokane.edu</t>
  </si>
  <si>
    <t>(509) 533-3649</t>
  </si>
  <si>
    <t>Skaife</t>
  </si>
  <si>
    <t>Janet.Skaife@ccs.spokane.edu</t>
  </si>
  <si>
    <t>509-533-3638</t>
  </si>
  <si>
    <t>Stephani</t>
  </si>
  <si>
    <t>Stephani.Wood@ccs.spokane.edu</t>
  </si>
  <si>
    <t>509-533-3690</t>
  </si>
  <si>
    <t>J10475</t>
  </si>
  <si>
    <t>Walla Walla Community College</t>
  </si>
  <si>
    <t>logan.parker@wwcc.edu</t>
  </si>
  <si>
    <t>(509) 527-4326</t>
  </si>
  <si>
    <t>Walla Walla CC</t>
  </si>
  <si>
    <t>Walla Walla</t>
  </si>
  <si>
    <t>$17,803/$19,270</t>
  </si>
  <si>
    <t>J10491</t>
  </si>
  <si>
    <t>Wenatchee Valley College</t>
  </si>
  <si>
    <t>Wyatt</t>
  </si>
  <si>
    <t>lwyatt@wvc.edu</t>
  </si>
  <si>
    <t>509.682.6885</t>
  </si>
  <si>
    <t>Wenatchee Valley</t>
  </si>
  <si>
    <t>Wenatchee</t>
  </si>
  <si>
    <t>$14,313/$14,720</t>
  </si>
  <si>
    <t>J10492</t>
  </si>
  <si>
    <t>Lafferty</t>
  </si>
  <si>
    <t>J10493</t>
  </si>
  <si>
    <t>Ranzy</t>
  </si>
  <si>
    <t>J10494</t>
  </si>
  <si>
    <t>Cassi</t>
  </si>
  <si>
    <t>Ellis</t>
  </si>
  <si>
    <t>J10495</t>
  </si>
  <si>
    <t>Pflugrath</t>
  </si>
  <si>
    <t>Whatcom Community College</t>
  </si>
  <si>
    <t>aslater@whatcom.edu</t>
  </si>
  <si>
    <t>360.383.3757</t>
  </si>
  <si>
    <t>Whatcom</t>
  </si>
  <si>
    <t>Bellingham</t>
  </si>
  <si>
    <t>$16,127/$21,429</t>
  </si>
  <si>
    <t>J10514</t>
  </si>
  <si>
    <t>Yakima Valley College</t>
  </si>
  <si>
    <t>Bodeen</t>
  </si>
  <si>
    <t>cbodeen@yvcc.edu</t>
  </si>
  <si>
    <t>509-574-4725</t>
  </si>
  <si>
    <t>Yakima Valley</t>
  </si>
  <si>
    <t>Yakima</t>
  </si>
  <si>
    <t>$16,041/$16,448</t>
  </si>
  <si>
    <t>J10515</t>
  </si>
  <si>
    <t>Krebs</t>
  </si>
  <si>
    <t>J10534</t>
  </si>
  <si>
    <t>West Virginia University Potomac State College</t>
  </si>
  <si>
    <t>Rotruck</t>
  </si>
  <si>
    <t>car0013@mail.wvu.edu</t>
  </si>
  <si>
    <t>304-813-1078</t>
  </si>
  <si>
    <t>Potomac State (WV)</t>
  </si>
  <si>
    <t>Keyser</t>
  </si>
  <si>
    <t>$15,476/$21,836</t>
  </si>
  <si>
    <t>J10801</t>
  </si>
  <si>
    <t>304-813-1538</t>
  </si>
  <si>
    <t>J10865</t>
  </si>
  <si>
    <t>Leighty</t>
  </si>
  <si>
    <t>301-707-6032</t>
  </si>
  <si>
    <t>J10915</t>
  </si>
  <si>
    <t>304-790-1028</t>
  </si>
  <si>
    <t>J10554</t>
  </si>
  <si>
    <t>Bryant &amp; Stratton College - Milwaukee</t>
  </si>
  <si>
    <t>dherman@bryantstratton.edu</t>
  </si>
  <si>
    <t>414-302-7007, x574</t>
  </si>
  <si>
    <t>Bryant &amp; Stratton (WI)</t>
  </si>
  <si>
    <t>Wauwatosa</t>
  </si>
  <si>
    <t>J10555</t>
  </si>
  <si>
    <t>dhwilliams@bryantstratton.edu</t>
  </si>
  <si>
    <t>608-212-8228</t>
  </si>
  <si>
    <t>J10556</t>
  </si>
  <si>
    <t>Witkowski</t>
  </si>
  <si>
    <t>blwitkowski@bryantstratton.edu</t>
  </si>
  <si>
    <t>608-516-8759</t>
  </si>
  <si>
    <t>J10557</t>
  </si>
  <si>
    <t>Marquea</t>
  </si>
  <si>
    <t>Goike</t>
  </si>
  <si>
    <t>mgoike@bryantstratton.edu</t>
  </si>
  <si>
    <t>414-302-7000</t>
  </si>
  <si>
    <t>J10583</t>
  </si>
  <si>
    <t>Madison College</t>
  </si>
  <si>
    <t>Kalinowski</t>
  </si>
  <si>
    <t>lkalinowski@madisoncollege.edu</t>
  </si>
  <si>
    <t>(608) 245-2105</t>
  </si>
  <si>
    <t>$18,657/$20,612</t>
  </si>
  <si>
    <t>J10584</t>
  </si>
  <si>
    <t>Bridge</t>
  </si>
  <si>
    <t>mbridge@madisoncollege.edu</t>
  </si>
  <si>
    <t>(608) 852-6521</t>
  </si>
  <si>
    <t>J10585</t>
  </si>
  <si>
    <t>Ruchti</t>
  </si>
  <si>
    <t>truchti@madisoncollege.edu</t>
  </si>
  <si>
    <t>(608) 206-3471</t>
  </si>
  <si>
    <t>J10586</t>
  </si>
  <si>
    <t>Wickert</t>
  </si>
  <si>
    <t>jwickert@madisoncollege.edu</t>
  </si>
  <si>
    <t>(608) 228-3834</t>
  </si>
  <si>
    <t>J10587</t>
  </si>
  <si>
    <t>Jost</t>
  </si>
  <si>
    <t>BMJost@madisoncollege.edu</t>
  </si>
  <si>
    <t>(608) 225-4133</t>
  </si>
  <si>
    <t>J10616</t>
  </si>
  <si>
    <t>Milwaukee Area Technical College</t>
  </si>
  <si>
    <t>wagnertl@matc.edu</t>
  </si>
  <si>
    <t>c: 414-704-7350</t>
  </si>
  <si>
    <t>Milwaukee Area Tech</t>
  </si>
  <si>
    <t>$17,529/$19,484</t>
  </si>
  <si>
    <t>Western Technical College - Wisconsin</t>
  </si>
  <si>
    <t>Thill</t>
  </si>
  <si>
    <t>thillb@westerntc.edu</t>
  </si>
  <si>
    <t>Western Tech</t>
  </si>
  <si>
    <t>$15,116/$17,506</t>
  </si>
  <si>
    <t>Wingert</t>
  </si>
  <si>
    <t>Wyoming</t>
  </si>
  <si>
    <t>Western Wyoming Community College</t>
  </si>
  <si>
    <t>Swenson</t>
  </si>
  <si>
    <t>mswenson@westernwyoming.edu</t>
  </si>
  <si>
    <t>(307) 382-1853</t>
  </si>
  <si>
    <t>Western Wyoming CC</t>
  </si>
  <si>
    <t>WY</t>
  </si>
  <si>
    <t>Rock Springs</t>
  </si>
  <si>
    <t>$9,972/$14,244</t>
  </si>
  <si>
    <t>Giles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</si>
</sst>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"/>
    <numFmt numFmtId="165" formatCode="&quot;$&quot;#,##0.00"/>
    <numFmt numFmtId="166" formatCode="m\-d"/>
  </numFmts>
  <fonts count="100" x14ac:knownFonts="1">
    <font>
      <sz val="10"/>
      <color rgb="FF000000"/>
      <name val="Arial"/>
    </font>
    <font>
      <sz val="10"/>
      <name val="Arial"/>
      <family val="2"/>
    </font>
    <font>
      <sz val="10"/>
      <color rgb="FF000000"/>
      <name val="Arial"/>
      <family val="2"/>
    </font>
    <font>
      <b/>
      <u/>
      <sz val="24"/>
      <color rgb="FF000000"/>
      <name val="Calibri"/>
      <family val="2"/>
    </font>
    <font>
      <b/>
      <u/>
      <sz val="24"/>
      <color rgb="FF000000"/>
      <name val="Calibri"/>
      <family val="2"/>
    </font>
    <font>
      <b/>
      <sz val="24"/>
      <color rgb="FF000000"/>
      <name val="Calibri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name val="Arial"/>
      <family val="2"/>
    </font>
    <font>
      <b/>
      <u/>
      <sz val="10"/>
      <name val="Arial"/>
      <family val="2"/>
    </font>
    <font>
      <b/>
      <u/>
      <sz val="10"/>
      <name val="Arial"/>
      <family val="2"/>
    </font>
    <font>
      <b/>
      <u/>
      <sz val="1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name val="Arial"/>
      <family val="2"/>
    </font>
    <font>
      <b/>
      <u/>
      <sz val="10"/>
      <color rgb="FF000000"/>
      <name val="Arial"/>
      <family val="2"/>
    </font>
    <font>
      <b/>
      <u/>
      <sz val="1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rgb="FF000000"/>
      <name val="Calibri"/>
      <family val="2"/>
    </font>
    <font>
      <b/>
      <u/>
      <sz val="1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sz val="11"/>
      <color rgb="FF000000"/>
      <name val="Calibri"/>
      <family val="2"/>
    </font>
    <font>
      <b/>
      <u/>
      <sz val="10"/>
      <color rgb="FF000000"/>
      <name val="Arial"/>
      <family val="2"/>
    </font>
    <font>
      <u/>
      <sz val="10"/>
      <color rgb="FF1155CC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name val="Arial"/>
      <family val="2"/>
    </font>
    <font>
      <b/>
      <u/>
      <sz val="1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name val="Arial"/>
      <family val="2"/>
    </font>
    <font>
      <b/>
      <u/>
      <sz val="10"/>
      <name val="Arial"/>
      <family val="2"/>
    </font>
    <font>
      <b/>
      <u/>
      <sz val="11"/>
      <color rgb="FF000000"/>
      <name val="Calibri"/>
      <family val="2"/>
    </font>
    <font>
      <u/>
      <sz val="11"/>
      <color rgb="FF000000"/>
      <name val="Calibri"/>
      <family val="2"/>
    </font>
    <font>
      <u/>
      <sz val="10"/>
      <color rgb="FF1155CC"/>
      <name val="Arial"/>
      <family val="2"/>
    </font>
    <font>
      <u/>
      <sz val="10"/>
      <color rgb="FF1155CC"/>
      <name val="Arial"/>
      <family val="2"/>
    </font>
    <font>
      <b/>
      <u/>
      <sz val="11"/>
      <color rgb="FF000000"/>
      <name val="Calibri"/>
      <family val="2"/>
    </font>
    <font>
      <u/>
      <sz val="10"/>
      <color rgb="FF1155CC"/>
      <name val="Arial"/>
      <family val="2"/>
    </font>
    <font>
      <u/>
      <sz val="10"/>
      <color rgb="FF1155CC"/>
      <name val="Arial"/>
      <family val="2"/>
    </font>
    <font>
      <u/>
      <sz val="10"/>
      <color rgb="FF000000"/>
      <name val="Arial"/>
      <family val="2"/>
    </font>
    <font>
      <b/>
      <sz val="10"/>
      <name val="Arial"/>
      <family val="2"/>
    </font>
    <font>
      <b/>
      <u/>
      <sz val="10"/>
      <color rgb="FF000000"/>
      <name val="Arial"/>
      <family val="2"/>
    </font>
    <font>
      <b/>
      <u/>
      <sz val="10"/>
      <name val="Arial"/>
      <family val="2"/>
    </font>
    <font>
      <u/>
      <sz val="10"/>
      <color rgb="FF0000FF"/>
      <name val="Arial"/>
      <family val="2"/>
    </font>
    <font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u/>
      <sz val="10"/>
      <color rgb="FF1155CC"/>
      <name val="Arial"/>
      <family val="2"/>
    </font>
    <font>
      <u/>
      <sz val="10"/>
      <color rgb="FF1155CC"/>
      <name val="Arial"/>
      <family val="2"/>
    </font>
    <font>
      <u/>
      <sz val="10"/>
      <color rgb="FF1155CC"/>
      <name val="Arial"/>
      <family val="2"/>
    </font>
    <font>
      <u/>
      <sz val="10"/>
      <color rgb="FF1155CC"/>
      <name val="Arial"/>
      <family val="2"/>
    </font>
    <font>
      <b/>
      <u/>
      <sz val="10"/>
      <color rgb="FF000000"/>
      <name val="Arial"/>
      <family val="2"/>
    </font>
    <font>
      <u/>
      <sz val="10"/>
      <color rgb="FF000000"/>
      <name val="Arial"/>
      <family val="2"/>
    </font>
    <font>
      <u/>
      <sz val="11"/>
      <color rgb="FF000000"/>
      <name val="Calibri"/>
      <family val="2"/>
    </font>
    <font>
      <u/>
      <sz val="10"/>
      <color rgb="FF1155CC"/>
      <name val="Arial"/>
      <family val="2"/>
    </font>
    <font>
      <b/>
      <u/>
      <sz val="11"/>
      <color rgb="FF000000"/>
      <name val="Calibri"/>
      <family val="2"/>
    </font>
    <font>
      <u/>
      <sz val="11"/>
      <color rgb="FF000000"/>
      <name val="Calibri"/>
      <family val="2"/>
    </font>
    <font>
      <b/>
      <u/>
      <sz val="10"/>
      <name val="Arial"/>
      <family val="2"/>
    </font>
    <font>
      <b/>
      <u/>
      <sz val="10"/>
      <name val="Arial"/>
      <family val="2"/>
    </font>
    <font>
      <u/>
      <sz val="10"/>
      <color rgb="FF1155CC"/>
      <name val="Arial"/>
      <family val="2"/>
    </font>
    <font>
      <sz val="11"/>
      <color rgb="FF000000"/>
      <name val="Arial"/>
      <family val="2"/>
    </font>
    <font>
      <u/>
      <sz val="10"/>
      <color rgb="FF000000"/>
      <name val="Arial"/>
      <family val="2"/>
    </font>
    <font>
      <u/>
      <sz val="10"/>
      <color rgb="FF1155CC"/>
      <name val="Arial"/>
      <family val="2"/>
    </font>
    <font>
      <b/>
      <sz val="11"/>
      <name val="Calibri"/>
      <family val="2"/>
    </font>
    <font>
      <b/>
      <u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u/>
      <sz val="11"/>
      <color rgb="FF000000"/>
      <name val="Calibri"/>
      <family val="2"/>
    </font>
    <font>
      <b/>
      <u/>
      <sz val="10"/>
      <name val="Arial"/>
      <family val="2"/>
    </font>
    <font>
      <u/>
      <sz val="10"/>
      <color rgb="FF000000"/>
      <name val="Arial"/>
      <family val="2"/>
    </font>
    <font>
      <sz val="10"/>
      <color rgb="FF1155CC"/>
      <name val="Arial"/>
      <family val="2"/>
    </font>
    <font>
      <u/>
      <sz val="10"/>
      <color rgb="FF000000"/>
      <name val="Arial"/>
      <family val="2"/>
    </font>
    <font>
      <u/>
      <sz val="10"/>
      <color rgb="FF1155CC"/>
      <name val="Arial"/>
      <family val="2"/>
    </font>
    <font>
      <u/>
      <sz val="10"/>
      <color rgb="FF000000"/>
      <name val="Arial"/>
      <family val="2"/>
    </font>
    <font>
      <b/>
      <u/>
      <sz val="10"/>
      <name val="Arial"/>
      <family val="2"/>
    </font>
    <font>
      <u/>
      <sz val="10"/>
      <color rgb="FF0000FF"/>
      <name val="Arial"/>
      <family val="2"/>
    </font>
    <font>
      <b/>
      <u/>
      <sz val="10"/>
      <color rgb="FF000000"/>
      <name val="Arial"/>
      <family val="2"/>
    </font>
    <font>
      <u/>
      <sz val="10"/>
      <color rgb="FF0000FF"/>
      <name val="Arial"/>
      <family val="2"/>
    </font>
    <font>
      <u/>
      <sz val="10"/>
      <color rgb="FF0000FF"/>
      <name val="Arial"/>
      <family val="2"/>
    </font>
    <font>
      <sz val="10"/>
      <color rgb="FF0000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A4C2F4"/>
        <bgColor rgb="FFA4C2F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9">
    <xf numFmtId="0" fontId="0" fillId="0" borderId="0" xfId="0" applyFont="1" applyAlignment="1"/>
    <xf numFmtId="0" fontId="5" fillId="0" borderId="1" xfId="0" applyFont="1" applyBorder="1" applyAlignment="1">
      <alignment horizontal="center"/>
    </xf>
    <xf numFmtId="0" fontId="2" fillId="0" borderId="1" xfId="0" applyFont="1" applyBorder="1" applyAlignment="1"/>
    <xf numFmtId="0" fontId="0" fillId="0" borderId="1" xfId="0" applyFont="1" applyBorder="1" applyAlignment="1"/>
    <xf numFmtId="9" fontId="2" fillId="0" borderId="1" xfId="0" applyNumberFormat="1" applyFont="1" applyBorder="1" applyAlignment="1"/>
    <xf numFmtId="10" fontId="2" fillId="0" borderId="1" xfId="0" applyNumberFormat="1" applyFont="1" applyBorder="1" applyAlignment="1"/>
    <xf numFmtId="164" fontId="2" fillId="0" borderId="1" xfId="0" applyNumberFormat="1" applyFont="1" applyBorder="1" applyAlignment="1"/>
    <xf numFmtId="0" fontId="6" fillId="0" borderId="1" xfId="0" applyFont="1" applyBorder="1" applyAlignment="1"/>
    <xf numFmtId="3" fontId="2" fillId="0" borderId="1" xfId="0" applyNumberFormat="1" applyFont="1" applyBorder="1" applyAlignment="1"/>
    <xf numFmtId="0" fontId="9" fillId="0" borderId="1" xfId="0" applyFont="1" applyBorder="1" applyAlignment="1"/>
    <xf numFmtId="0" fontId="11" fillId="0" borderId="1" xfId="0" applyFont="1" applyBorder="1" applyAlignment="1"/>
    <xf numFmtId="0" fontId="19" fillId="0" borderId="1" xfId="0" applyFont="1" applyBorder="1" applyAlignment="1"/>
    <xf numFmtId="164" fontId="21" fillId="0" borderId="1" xfId="0" applyNumberFormat="1" applyFont="1" applyBorder="1" applyAlignment="1"/>
    <xf numFmtId="9" fontId="23" fillId="0" borderId="1" xfId="0" applyNumberFormat="1" applyFont="1" applyBorder="1" applyAlignment="1"/>
    <xf numFmtId="9" fontId="25" fillId="0" borderId="1" xfId="0" applyNumberFormat="1" applyFont="1" applyBorder="1" applyAlignment="1"/>
    <xf numFmtId="10" fontId="27" fillId="0" borderId="1" xfId="0" applyNumberFormat="1" applyFont="1" applyBorder="1" applyAlignment="1"/>
    <xf numFmtId="164" fontId="31" fillId="0" borderId="1" xfId="0" applyNumberFormat="1" applyFont="1" applyBorder="1" applyAlignment="1"/>
    <xf numFmtId="3" fontId="35" fillId="0" borderId="1" xfId="0" applyNumberFormat="1" applyFont="1" applyBorder="1" applyAlignment="1"/>
    <xf numFmtId="3" fontId="36" fillId="0" borderId="1" xfId="0" applyNumberFormat="1" applyFont="1" applyBorder="1" applyAlignment="1"/>
    <xf numFmtId="0" fontId="37" fillId="0" borderId="1" xfId="0" applyFont="1" applyBorder="1" applyAlignment="1"/>
    <xf numFmtId="0" fontId="38" fillId="0" borderId="1" xfId="0" applyFont="1" applyBorder="1" applyAlignment="1"/>
    <xf numFmtId="0" fontId="39" fillId="0" borderId="1" xfId="0" applyFont="1" applyBorder="1" applyAlignment="1"/>
    <xf numFmtId="0" fontId="40" fillId="2" borderId="1" xfId="0" applyFont="1" applyFill="1" applyBorder="1" applyAlignment="1"/>
    <xf numFmtId="164" fontId="41" fillId="0" borderId="1" xfId="0" applyNumberFormat="1" applyFont="1" applyBorder="1" applyAlignment="1"/>
    <xf numFmtId="9" fontId="43" fillId="0" borderId="1" xfId="0" applyNumberFormat="1" applyFont="1" applyBorder="1" applyAlignment="1"/>
    <xf numFmtId="9" fontId="45" fillId="0" borderId="1" xfId="0" applyNumberFormat="1" applyFont="1" applyBorder="1" applyAlignment="1"/>
    <xf numFmtId="3" fontId="46" fillId="0" borderId="1" xfId="0" applyNumberFormat="1" applyFont="1" applyBorder="1" applyAlignment="1"/>
    <xf numFmtId="165" fontId="50" fillId="0" borderId="1" xfId="0" applyNumberFormat="1" applyFont="1" applyBorder="1" applyAlignment="1"/>
    <xf numFmtId="165" fontId="51" fillId="2" borderId="1" xfId="0" applyNumberFormat="1" applyFont="1" applyFill="1" applyBorder="1" applyAlignment="1"/>
    <xf numFmtId="0" fontId="52" fillId="0" borderId="1" xfId="0" applyFont="1" applyBorder="1" applyAlignment="1"/>
    <xf numFmtId="0" fontId="53" fillId="0" borderId="1" xfId="0" applyFont="1" applyBorder="1" applyAlignment="1"/>
    <xf numFmtId="0" fontId="15" fillId="0" borderId="1" xfId="0" applyFont="1" applyBorder="1" applyAlignment="1"/>
    <xf numFmtId="0" fontId="54" fillId="0" borderId="1" xfId="0" applyFont="1" applyBorder="1" applyAlignment="1"/>
    <xf numFmtId="0" fontId="34" fillId="0" borderId="1" xfId="0" applyFont="1" applyBorder="1" applyAlignment="1"/>
    <xf numFmtId="0" fontId="55" fillId="0" borderId="1" xfId="0" applyFont="1" applyBorder="1" applyAlignment="1"/>
    <xf numFmtId="0" fontId="34" fillId="2" borderId="1" xfId="0" applyFont="1" applyFill="1" applyBorder="1" applyAlignment="1"/>
    <xf numFmtId="0" fontId="2" fillId="2" borderId="1" xfId="0" applyFont="1" applyFill="1" applyBorder="1" applyAlignment="1"/>
    <xf numFmtId="0" fontId="2" fillId="0" borderId="1" xfId="0" applyFont="1" applyBorder="1" applyAlignment="1">
      <alignment horizontal="right"/>
    </xf>
    <xf numFmtId="10" fontId="2" fillId="0" borderId="1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42" fillId="2" borderId="1" xfId="0" applyFont="1" applyFill="1" applyBorder="1" applyAlignment="1"/>
    <xf numFmtId="0" fontId="57" fillId="0" borderId="1" xfId="0" applyFont="1" applyBorder="1" applyAlignment="1"/>
    <xf numFmtId="3" fontId="2" fillId="0" borderId="1" xfId="0" applyNumberFormat="1" applyFont="1" applyBorder="1" applyAlignment="1">
      <alignment horizontal="right"/>
    </xf>
    <xf numFmtId="0" fontId="58" fillId="2" borderId="1" xfId="0" applyFont="1" applyFill="1" applyBorder="1" applyAlignment="1"/>
    <xf numFmtId="0" fontId="6" fillId="0" borderId="1" xfId="0" applyFont="1" applyBorder="1" applyAlignment="1">
      <alignment horizontal="right"/>
    </xf>
    <xf numFmtId="164" fontId="56" fillId="0" borderId="1" xfId="0" applyNumberFormat="1" applyFont="1" applyBorder="1" applyAlignment="1"/>
    <xf numFmtId="0" fontId="59" fillId="2" borderId="1" xfId="0" applyFont="1" applyFill="1" applyBorder="1" applyAlignment="1"/>
    <xf numFmtId="164" fontId="6" fillId="2" borderId="1" xfId="0" applyNumberFormat="1" applyFont="1" applyFill="1" applyBorder="1" applyAlignment="1"/>
    <xf numFmtId="164" fontId="6" fillId="0" borderId="1" xfId="0" applyNumberFormat="1" applyFont="1" applyBorder="1" applyAlignment="1"/>
    <xf numFmtId="9" fontId="6" fillId="0" borderId="1" xfId="0" applyNumberFormat="1" applyFont="1" applyBorder="1" applyAlignment="1"/>
    <xf numFmtId="4" fontId="6" fillId="0" borderId="1" xfId="0" applyNumberFormat="1" applyFont="1" applyBorder="1" applyAlignment="1">
      <alignment horizontal="right"/>
    </xf>
    <xf numFmtId="10" fontId="6" fillId="0" borderId="1" xfId="0" applyNumberFormat="1" applyFont="1" applyBorder="1" applyAlignment="1">
      <alignment horizontal="right"/>
    </xf>
    <xf numFmtId="3" fontId="42" fillId="2" borderId="1" xfId="0" applyNumberFormat="1" applyFont="1" applyFill="1" applyBorder="1" applyAlignment="1"/>
    <xf numFmtId="3" fontId="60" fillId="0" borderId="1" xfId="0" applyNumberFormat="1" applyFont="1" applyBorder="1" applyAlignment="1"/>
    <xf numFmtId="3" fontId="6" fillId="0" borderId="1" xfId="0" applyNumberFormat="1" applyFont="1" applyBorder="1" applyAlignment="1">
      <alignment horizontal="right"/>
    </xf>
    <xf numFmtId="3" fontId="6" fillId="0" borderId="1" xfId="0" applyNumberFormat="1" applyFont="1" applyBorder="1" applyAlignment="1"/>
    <xf numFmtId="1" fontId="6" fillId="0" borderId="1" xfId="0" applyNumberFormat="1" applyFont="1" applyBorder="1" applyAlignment="1">
      <alignment horizontal="right"/>
    </xf>
    <xf numFmtId="0" fontId="6" fillId="2" borderId="1" xfId="0" applyFont="1" applyFill="1" applyBorder="1" applyAlignment="1"/>
    <xf numFmtId="0" fontId="6" fillId="2" borderId="1" xfId="0" applyFont="1" applyFill="1" applyBorder="1" applyAlignment="1">
      <alignment horizontal="right"/>
    </xf>
    <xf numFmtId="1" fontId="6" fillId="2" borderId="1" xfId="0" applyNumberFormat="1" applyFont="1" applyFill="1" applyBorder="1" applyAlignment="1"/>
    <xf numFmtId="164" fontId="2" fillId="2" borderId="1" xfId="0" applyNumberFormat="1" applyFont="1" applyFill="1" applyBorder="1" applyAlignment="1"/>
    <xf numFmtId="9" fontId="6" fillId="0" borderId="1" xfId="0" applyNumberFormat="1" applyFont="1" applyBorder="1" applyAlignment="1">
      <alignment horizontal="right"/>
    </xf>
    <xf numFmtId="3" fontId="62" fillId="0" borderId="1" xfId="0" applyNumberFormat="1" applyFont="1" applyBorder="1" applyAlignment="1"/>
    <xf numFmtId="4" fontId="6" fillId="0" borderId="1" xfId="0" applyNumberFormat="1" applyFont="1" applyBorder="1" applyAlignment="1"/>
    <xf numFmtId="0" fontId="32" fillId="2" borderId="1" xfId="0" applyFont="1" applyFill="1" applyBorder="1" applyAlignment="1"/>
    <xf numFmtId="9" fontId="2" fillId="0" borderId="1" xfId="0" applyNumberFormat="1" applyFont="1" applyBorder="1" applyAlignment="1">
      <alignment horizontal="right"/>
    </xf>
    <xf numFmtId="3" fontId="67" fillId="2" borderId="1" xfId="0" applyNumberFormat="1" applyFont="1" applyFill="1" applyBorder="1" applyAlignment="1"/>
    <xf numFmtId="3" fontId="65" fillId="0" borderId="1" xfId="0" applyNumberFormat="1" applyFont="1" applyBorder="1" applyAlignment="1"/>
    <xf numFmtId="0" fontId="68" fillId="2" borderId="1" xfId="0" applyFont="1" applyFill="1" applyBorder="1" applyAlignment="1"/>
    <xf numFmtId="164" fontId="69" fillId="0" borderId="1" xfId="0" applyNumberFormat="1" applyFont="1" applyBorder="1" applyAlignment="1"/>
    <xf numFmtId="0" fontId="70" fillId="0" borderId="1" xfId="0" applyFont="1" applyBorder="1" applyAlignment="1"/>
    <xf numFmtId="164" fontId="6" fillId="0" borderId="1" xfId="0" applyNumberFormat="1" applyFont="1" applyBorder="1" applyAlignment="1">
      <alignment horizontal="right"/>
    </xf>
    <xf numFmtId="164" fontId="42" fillId="2" borderId="1" xfId="0" applyNumberFormat="1" applyFont="1" applyFill="1" applyBorder="1" applyAlignment="1"/>
    <xf numFmtId="10" fontId="6" fillId="0" borderId="1" xfId="0" applyNumberFormat="1" applyFont="1" applyBorder="1" applyAlignment="1"/>
    <xf numFmtId="0" fontId="71" fillId="0" borderId="1" xfId="0" applyFont="1" applyBorder="1" applyAlignment="1"/>
    <xf numFmtId="164" fontId="62" fillId="0" borderId="1" xfId="0" applyNumberFormat="1" applyFont="1" applyBorder="1" applyAlignment="1"/>
    <xf numFmtId="3" fontId="17" fillId="0" borderId="1" xfId="0" applyNumberFormat="1" applyFont="1" applyBorder="1" applyAlignment="1"/>
    <xf numFmtId="164" fontId="7" fillId="2" borderId="1" xfId="0" applyNumberFormat="1" applyFont="1" applyFill="1" applyBorder="1" applyAlignment="1"/>
    <xf numFmtId="0" fontId="62" fillId="0" borderId="1" xfId="0" applyFont="1" applyBorder="1" applyAlignment="1"/>
    <xf numFmtId="0" fontId="62" fillId="2" borderId="1" xfId="0" applyFont="1" applyFill="1" applyBorder="1" applyAlignment="1"/>
    <xf numFmtId="9" fontId="34" fillId="2" borderId="1" xfId="0" applyNumberFormat="1" applyFont="1" applyFill="1" applyBorder="1" applyAlignment="1">
      <alignment horizontal="right"/>
    </xf>
    <xf numFmtId="9" fontId="2" fillId="2" borderId="1" xfId="0" applyNumberFormat="1" applyFont="1" applyFill="1" applyBorder="1" applyAlignment="1">
      <alignment horizontal="right"/>
    </xf>
    <xf numFmtId="0" fontId="7" fillId="2" borderId="1" xfId="0" applyFont="1" applyFill="1" applyBorder="1" applyAlignment="1"/>
    <xf numFmtId="0" fontId="34" fillId="2" borderId="1" xfId="0" applyFont="1" applyFill="1" applyBorder="1" applyAlignment="1">
      <alignment horizontal="right"/>
    </xf>
    <xf numFmtId="3" fontId="7" fillId="0" borderId="1" xfId="0" applyNumberFormat="1" applyFont="1" applyBorder="1" applyAlignment="1"/>
    <xf numFmtId="1" fontId="6" fillId="0" borderId="1" xfId="0" applyNumberFormat="1" applyFont="1" applyBorder="1" applyAlignment="1"/>
    <xf numFmtId="0" fontId="2" fillId="2" borderId="1" xfId="0" applyFont="1" applyFill="1" applyBorder="1" applyAlignment="1">
      <alignment horizontal="right"/>
    </xf>
    <xf numFmtId="3" fontId="6" fillId="2" borderId="1" xfId="0" applyNumberFormat="1" applyFont="1" applyFill="1" applyBorder="1" applyAlignment="1"/>
    <xf numFmtId="0" fontId="64" fillId="2" borderId="1" xfId="0" applyFont="1" applyFill="1" applyBorder="1" applyAlignment="1"/>
    <xf numFmtId="0" fontId="73" fillId="0" borderId="1" xfId="0" applyFont="1" applyBorder="1" applyAlignment="1"/>
    <xf numFmtId="3" fontId="7" fillId="2" borderId="1" xfId="0" applyNumberFormat="1" applyFont="1" applyFill="1" applyBorder="1" applyAlignment="1"/>
    <xf numFmtId="4" fontId="2" fillId="0" borderId="1" xfId="0" applyNumberFormat="1" applyFont="1" applyBorder="1" applyAlignment="1">
      <alignment horizontal="right"/>
    </xf>
    <xf numFmtId="3" fontId="62" fillId="2" borderId="1" xfId="0" applyNumberFormat="1" applyFont="1" applyFill="1" applyBorder="1" applyAlignment="1"/>
    <xf numFmtId="0" fontId="76" fillId="3" borderId="1" xfId="0" applyFont="1" applyFill="1" applyBorder="1" applyAlignment="1"/>
    <xf numFmtId="9" fontId="2" fillId="2" borderId="1" xfId="0" applyNumberFormat="1" applyFont="1" applyFill="1" applyBorder="1" applyAlignment="1"/>
    <xf numFmtId="0" fontId="61" fillId="0" borderId="1" xfId="0" applyFont="1" applyBorder="1" applyAlignment="1"/>
    <xf numFmtId="164" fontId="83" fillId="0" borderId="1" xfId="0" applyNumberFormat="1" applyFont="1" applyBorder="1" applyAlignment="1"/>
    <xf numFmtId="3" fontId="84" fillId="0" borderId="1" xfId="0" applyNumberFormat="1" applyFont="1" applyBorder="1" applyAlignment="1"/>
    <xf numFmtId="0" fontId="4" fillId="0" borderId="1" xfId="0" applyFont="1" applyBorder="1" applyAlignment="1">
      <alignment horizontal="center"/>
    </xf>
    <xf numFmtId="0" fontId="12" fillId="0" borderId="1" xfId="0" applyFont="1" applyBorder="1" applyAlignment="1"/>
    <xf numFmtId="9" fontId="13" fillId="0" borderId="1" xfId="0" applyNumberFormat="1" applyFont="1" applyBorder="1" applyAlignment="1"/>
    <xf numFmtId="0" fontId="16" fillId="0" borderId="1" xfId="0" applyFont="1" applyBorder="1" applyAlignment="1"/>
    <xf numFmtId="0" fontId="20" fillId="0" borderId="1" xfId="0" applyFont="1" applyBorder="1" applyAlignment="1"/>
    <xf numFmtId="164" fontId="22" fillId="2" borderId="1" xfId="0" applyNumberFormat="1" applyFont="1" applyFill="1" applyBorder="1" applyAlignment="1"/>
    <xf numFmtId="9" fontId="24" fillId="2" borderId="1" xfId="0" applyNumberFormat="1" applyFont="1" applyFill="1" applyBorder="1" applyAlignment="1"/>
    <xf numFmtId="164" fontId="26" fillId="0" borderId="1" xfId="0" applyNumberFormat="1" applyFont="1" applyBorder="1" applyAlignment="1"/>
    <xf numFmtId="0" fontId="28" fillId="0" borderId="1" xfId="0" applyFont="1" applyBorder="1" applyAlignment="1"/>
    <xf numFmtId="165" fontId="30" fillId="0" borderId="1" xfId="0" applyNumberFormat="1" applyFont="1" applyBorder="1" applyAlignment="1"/>
    <xf numFmtId="164" fontId="34" fillId="2" borderId="1" xfId="0" applyNumberFormat="1" applyFont="1" applyFill="1" applyBorder="1" applyAlignment="1"/>
    <xf numFmtId="3" fontId="44" fillId="0" borderId="1" xfId="0" applyNumberFormat="1" applyFont="1" applyBorder="1" applyAlignment="1"/>
    <xf numFmtId="0" fontId="48" fillId="0" borderId="1" xfId="0" applyFont="1" applyBorder="1" applyAlignment="1"/>
    <xf numFmtId="1" fontId="6" fillId="2" borderId="1" xfId="0" applyNumberFormat="1" applyFont="1" applyFill="1" applyBorder="1" applyAlignment="1">
      <alignment horizontal="right"/>
    </xf>
    <xf numFmtId="0" fontId="34" fillId="0" borderId="1" xfId="0" applyFont="1" applyBorder="1" applyAlignment="1">
      <alignment horizontal="right"/>
    </xf>
    <xf numFmtId="165" fontId="6" fillId="0" borderId="1" xfId="0" applyNumberFormat="1" applyFont="1" applyBorder="1" applyAlignment="1">
      <alignment horizontal="right"/>
    </xf>
    <xf numFmtId="164" fontId="75" fillId="0" borderId="1" xfId="0" applyNumberFormat="1" applyFont="1" applyBorder="1" applyAlignment="1"/>
    <xf numFmtId="166" fontId="6" fillId="0" borderId="1" xfId="0" applyNumberFormat="1" applyFont="1" applyBorder="1" applyAlignment="1"/>
    <xf numFmtId="166" fontId="2" fillId="0" borderId="1" xfId="0" applyNumberFormat="1" applyFont="1" applyBorder="1" applyAlignment="1"/>
    <xf numFmtId="166" fontId="2" fillId="0" borderId="1" xfId="0" applyNumberFormat="1" applyFont="1" applyBorder="1" applyAlignment="1">
      <alignment horizontal="right"/>
    </xf>
    <xf numFmtId="9" fontId="6" fillId="2" borderId="1" xfId="0" applyNumberFormat="1" applyFont="1" applyFill="1" applyBorder="1" applyAlignment="1"/>
    <xf numFmtId="1" fontId="2" fillId="0" borderId="1" xfId="0" applyNumberFormat="1" applyFont="1" applyBorder="1" applyAlignment="1"/>
    <xf numFmtId="0" fontId="3" fillId="0" borderId="1" xfId="0" applyFont="1" applyBorder="1" applyAlignment="1">
      <alignment horizontal="center"/>
    </xf>
    <xf numFmtId="164" fontId="8" fillId="0" borderId="1" xfId="0" applyNumberFormat="1" applyFont="1" applyBorder="1" applyAlignment="1"/>
    <xf numFmtId="9" fontId="10" fillId="0" borderId="1" xfId="0" applyNumberFormat="1" applyFont="1" applyBorder="1" applyAlignment="1"/>
    <xf numFmtId="10" fontId="14" fillId="0" borderId="1" xfId="0" applyNumberFormat="1" applyFont="1" applyBorder="1" applyAlignment="1"/>
    <xf numFmtId="164" fontId="18" fillId="0" borderId="1" xfId="0" applyNumberFormat="1" applyFont="1" applyBorder="1" applyAlignment="1"/>
    <xf numFmtId="9" fontId="29" fillId="0" borderId="1" xfId="0" applyNumberFormat="1" applyFont="1" applyBorder="1" applyAlignment="1"/>
    <xf numFmtId="165" fontId="33" fillId="0" borderId="1" xfId="0" applyNumberFormat="1" applyFont="1" applyBorder="1" applyAlignment="1"/>
    <xf numFmtId="0" fontId="47" fillId="2" borderId="1" xfId="0" applyFont="1" applyFill="1" applyBorder="1" applyAlignment="1"/>
    <xf numFmtId="0" fontId="49" fillId="0" borderId="1" xfId="0" applyFont="1" applyBorder="1" applyAlignment="1"/>
    <xf numFmtId="0" fontId="63" fillId="2" borderId="1" xfId="0" applyFont="1" applyFill="1" applyBorder="1" applyAlignment="1"/>
    <xf numFmtId="0" fontId="66" fillId="0" borderId="1" xfId="0" applyFont="1" applyBorder="1" applyAlignment="1"/>
    <xf numFmtId="11" fontId="72" fillId="0" borderId="1" xfId="0" applyNumberFormat="1" applyFont="1" applyBorder="1" applyAlignment="1"/>
    <xf numFmtId="11" fontId="2" fillId="2" borderId="1" xfId="0" applyNumberFormat="1" applyFont="1" applyFill="1" applyBorder="1" applyAlignment="1"/>
    <xf numFmtId="11" fontId="2" fillId="0" borderId="1" xfId="0" applyNumberFormat="1" applyFont="1" applyBorder="1" applyAlignment="1"/>
    <xf numFmtId="11" fontId="2" fillId="0" borderId="1" xfId="0" applyNumberFormat="1" applyFont="1" applyBorder="1" applyAlignment="1">
      <alignment horizontal="right"/>
    </xf>
    <xf numFmtId="11" fontId="6" fillId="0" borderId="1" xfId="0" applyNumberFormat="1" applyFont="1" applyBorder="1" applyAlignment="1"/>
    <xf numFmtId="11" fontId="6" fillId="0" borderId="1" xfId="0" applyNumberFormat="1" applyFont="1" applyBorder="1" applyAlignment="1">
      <alignment horizontal="right"/>
    </xf>
    <xf numFmtId="1" fontId="1" fillId="0" borderId="1" xfId="0" applyNumberFormat="1" applyFont="1" applyBorder="1"/>
    <xf numFmtId="0" fontId="74" fillId="0" borderId="1" xfId="0" applyFont="1" applyBorder="1" applyAlignment="1"/>
    <xf numFmtId="0" fontId="77" fillId="0" borderId="1" xfId="0" applyFont="1" applyBorder="1" applyAlignment="1"/>
    <xf numFmtId="11" fontId="34" fillId="0" borderId="1" xfId="0" applyNumberFormat="1" applyFont="1" applyBorder="1" applyAlignment="1"/>
    <xf numFmtId="164" fontId="34" fillId="0" borderId="1" xfId="0" applyNumberFormat="1" applyFont="1" applyBorder="1" applyAlignment="1"/>
    <xf numFmtId="164" fontId="78" fillId="0" borderId="1" xfId="0" applyNumberFormat="1" applyFont="1" applyBorder="1" applyAlignment="1"/>
    <xf numFmtId="0" fontId="80" fillId="0" borderId="1" xfId="0" applyFont="1" applyBorder="1" applyAlignment="1"/>
    <xf numFmtId="0" fontId="79" fillId="0" borderId="1" xfId="0" applyFont="1" applyBorder="1" applyAlignment="1"/>
    <xf numFmtId="164" fontId="81" fillId="2" borderId="1" xfId="0" applyNumberFormat="1" applyFont="1" applyFill="1" applyBorder="1" applyAlignment="1"/>
    <xf numFmtId="164" fontId="82" fillId="0" borderId="1" xfId="0" applyNumberFormat="1" applyFont="1" applyBorder="1" applyAlignment="1"/>
    <xf numFmtId="0" fontId="87" fillId="0" borderId="1" xfId="0" applyFont="1" applyBorder="1" applyAlignment="1"/>
    <xf numFmtId="164" fontId="90" fillId="0" borderId="1" xfId="0" applyNumberFormat="1" applyFont="1" applyBorder="1" applyAlignment="1"/>
    <xf numFmtId="3" fontId="42" fillId="0" borderId="1" xfId="0" applyNumberFormat="1" applyFont="1" applyBorder="1" applyAlignment="1"/>
    <xf numFmtId="164" fontId="95" fillId="0" borderId="1" xfId="0" applyNumberFormat="1" applyFont="1" applyBorder="1" applyAlignment="1"/>
    <xf numFmtId="164" fontId="97" fillId="0" borderId="1" xfId="0" applyNumberFormat="1" applyFont="1" applyBorder="1" applyAlignment="1"/>
    <xf numFmtId="164" fontId="98" fillId="0" borderId="1" xfId="0" applyNumberFormat="1" applyFont="1" applyBorder="1" applyAlignment="1"/>
    <xf numFmtId="164" fontId="99" fillId="0" borderId="1" xfId="0" applyNumberFormat="1" applyFont="1" applyBorder="1" applyAlignment="1"/>
    <xf numFmtId="0" fontId="85" fillId="0" borderId="1" xfId="0" applyFont="1" applyBorder="1" applyAlignment="1"/>
    <xf numFmtId="0" fontId="86" fillId="2" borderId="1" xfId="0" applyFont="1" applyFill="1" applyBorder="1" applyAlignment="1"/>
    <xf numFmtId="3" fontId="88" fillId="0" borderId="1" xfId="0" applyNumberFormat="1" applyFont="1" applyBorder="1" applyAlignment="1"/>
    <xf numFmtId="3" fontId="6" fillId="4" borderId="1" xfId="0" applyNumberFormat="1" applyFont="1" applyFill="1" applyBorder="1" applyAlignment="1"/>
    <xf numFmtId="0" fontId="89" fillId="0" borderId="1" xfId="0" applyFont="1" applyBorder="1" applyAlignment="1"/>
    <xf numFmtId="164" fontId="91" fillId="0" borderId="1" xfId="0" applyNumberFormat="1" applyFont="1" applyBorder="1" applyAlignment="1"/>
    <xf numFmtId="164" fontId="92" fillId="0" borderId="1" xfId="0" applyNumberFormat="1" applyFont="1" applyBorder="1" applyAlignment="1"/>
    <xf numFmtId="164" fontId="93" fillId="0" borderId="1" xfId="0" applyNumberFormat="1" applyFont="1" applyBorder="1" applyAlignment="1"/>
    <xf numFmtId="0" fontId="1" fillId="0" borderId="1" xfId="0" applyFont="1" applyBorder="1"/>
    <xf numFmtId="0" fontId="94" fillId="0" borderId="1" xfId="0" applyFont="1" applyBorder="1" applyAlignment="1"/>
    <xf numFmtId="164" fontId="96" fillId="0" borderId="1" xfId="0" applyNumberFormat="1" applyFont="1" applyBorder="1" applyAlignment="1"/>
    <xf numFmtId="164" fontId="1" fillId="0" borderId="1" xfId="0" applyNumberFormat="1" applyFont="1" applyBorder="1"/>
    <xf numFmtId="9" fontId="1" fillId="0" borderId="1" xfId="0" applyNumberFormat="1" applyFont="1" applyBorder="1"/>
    <xf numFmtId="3" fontId="1" fillId="0" borderId="1" xfId="0" applyNumberFormat="1" applyFont="1" applyBorder="1"/>
    <xf numFmtId="10" fontId="1" fillId="0" borderId="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gojagsports.com/staff-directory/ed-monroe/56" TargetMode="External"/><Relationship Id="rId2" Type="http://schemas.openxmlformats.org/officeDocument/2006/relationships/hyperlink" Target="https://mail.google.com/mail/?view=cm&amp;fs=1&amp;tf=1&amp;to=john_garris@subr.edu" TargetMode="External"/><Relationship Id="rId1" Type="http://schemas.openxmlformats.org/officeDocument/2006/relationships/hyperlink" Target="https://gojagsports.com/staff-directory/john-garris/43" TargetMode="External"/><Relationship Id="rId4" Type="http://schemas.openxmlformats.org/officeDocument/2006/relationships/hyperlink" Target="https://mail.google.com/mail/?view=cm&amp;fs=1&amp;tf=1&amp;to=Edwin_monroe@subr.ed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ail.google.com/mail/?view=cm&amp;fs=1&amp;tf=1&amp;to=johnsonj4@lakeland.edu" TargetMode="External"/><Relationship Id="rId1" Type="http://schemas.openxmlformats.org/officeDocument/2006/relationships/hyperlink" Target="https://mail.google.com/mail/?view=cm&amp;fs=1&amp;tf=1&amp;to=Stockalper@hendrix.ed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mail.google.com/mail/?view=cm&amp;fs=1&amp;tf=1&amp;to=gfrantz@allegany.edu" TargetMode="External"/><Relationship Id="rId1" Type="http://schemas.openxmlformats.org/officeDocument/2006/relationships/hyperlink" Target="https://mail.google.com/mail/?view=cm&amp;fs=1&amp;tf=1&amp;to=jleasure@allegany.ed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mail.google.com/mail/?view=cm&amp;fs=1&amp;tf=1&amp;to=younglar@hssu.edu" TargetMode="External"/><Relationship Id="rId2" Type="http://schemas.openxmlformats.org/officeDocument/2006/relationships/hyperlink" Target="https://mail.google.com/mail/?view=cm&amp;fs=1&amp;tf=1&amp;to=gemmamiller@wmpenn.edu" TargetMode="External"/><Relationship Id="rId1" Type="http://schemas.openxmlformats.org/officeDocument/2006/relationships/hyperlink" Target="https://mail.google.com/mail/?view=cm&amp;fs=1&amp;tf=1&amp;to=lowilliams@bpc.ed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J1147"/>
  <sheetViews>
    <sheetView workbookViewId="0">
      <selection activeCell="H5" sqref="H5"/>
    </sheetView>
  </sheetViews>
  <sheetFormatPr baseColWidth="10" defaultColWidth="14.5" defaultRowHeight="15.75" customHeight="1" x14ac:dyDescent="0.15"/>
  <cols>
    <col min="1" max="1" width="25" style="3" customWidth="1"/>
    <col min="2" max="2" width="5.6640625" style="3" customWidth="1"/>
    <col min="3" max="3" width="8.5" style="3" customWidth="1"/>
    <col min="4" max="4" width="9.83203125" style="3" customWidth="1"/>
    <col min="5" max="6" width="10.83203125" style="3" customWidth="1"/>
    <col min="7" max="7" width="13.5" style="3" customWidth="1"/>
    <col min="8" max="8" width="49.5" style="3" customWidth="1"/>
    <col min="9" max="9" width="34.83203125" style="3" customWidth="1"/>
    <col min="10" max="10" width="18.83203125" style="3" customWidth="1"/>
    <col min="11" max="11" width="21.6640625" style="3" customWidth="1"/>
    <col min="12" max="12" width="37.5" style="3" customWidth="1"/>
    <col min="13" max="13" width="43.5" style="3" customWidth="1"/>
    <col min="14" max="14" width="21.83203125" style="3" customWidth="1"/>
    <col min="15" max="15" width="19" style="3" customWidth="1"/>
    <col min="16" max="16" width="27.33203125" style="3" customWidth="1"/>
    <col min="17" max="17" width="5.83203125" style="3" customWidth="1"/>
    <col min="18" max="18" width="16.5" style="3" customWidth="1"/>
    <col min="19" max="19" width="16.6640625" style="3" customWidth="1"/>
    <col min="20" max="20" width="20.1640625" style="3" customWidth="1"/>
    <col min="21" max="21" width="37" style="3" customWidth="1"/>
    <col min="22" max="22" width="19.6640625" style="3" customWidth="1"/>
    <col min="23" max="23" width="14.33203125" style="3" customWidth="1"/>
    <col min="24" max="25" width="25.6640625" style="3" customWidth="1"/>
    <col min="26" max="26" width="19.83203125" style="3" customWidth="1"/>
    <col min="27" max="27" width="16" style="3" customWidth="1"/>
    <col min="28" max="28" width="43.5" style="3" customWidth="1"/>
    <col min="29" max="29" width="32.83203125" style="3" customWidth="1"/>
    <col min="30" max="30" width="14" style="3" customWidth="1"/>
    <col min="31" max="31" width="17.1640625" style="3" customWidth="1"/>
    <col min="32" max="32" width="17.33203125" style="3" customWidth="1"/>
    <col min="33" max="33" width="24.5" style="3" customWidth="1"/>
    <col min="34" max="34" width="14.6640625" style="3" customWidth="1"/>
    <col min="35" max="35" width="4.1640625" style="3" customWidth="1"/>
    <col min="36" max="36" width="2.83203125" style="3" customWidth="1"/>
    <col min="37" max="16384" width="14.5" style="3"/>
  </cols>
  <sheetData>
    <row r="1" spans="1:36" ht="48" customHeight="1" x14ac:dyDescent="0.35">
      <c r="A1" s="1" t="s">
        <v>1</v>
      </c>
      <c r="B1" s="1"/>
      <c r="C1" s="1"/>
      <c r="D1" s="1"/>
      <c r="E1" s="1"/>
      <c r="F1" s="1"/>
      <c r="G1" s="1"/>
      <c r="H1" s="1"/>
      <c r="I1" s="1"/>
      <c r="J1" s="2"/>
      <c r="L1" s="2"/>
      <c r="N1" s="2"/>
      <c r="O1" s="2"/>
      <c r="P1" s="2"/>
      <c r="Q1" s="2"/>
      <c r="R1" s="2"/>
      <c r="S1" s="2"/>
      <c r="T1" s="2"/>
      <c r="U1" s="4"/>
      <c r="V1" s="2"/>
      <c r="W1" s="2"/>
      <c r="X1" s="2"/>
      <c r="Y1" s="2"/>
      <c r="Z1" s="2"/>
      <c r="AA1" s="2"/>
      <c r="AB1" s="5"/>
      <c r="AC1" s="6"/>
      <c r="AD1" s="2"/>
      <c r="AE1" s="7"/>
      <c r="AF1" s="8"/>
      <c r="AG1" s="8"/>
      <c r="AH1" s="2"/>
      <c r="AI1" s="2"/>
      <c r="AJ1" s="2"/>
    </row>
    <row r="2" spans="1:36" ht="15.75" customHeight="1" x14ac:dyDescent="0.1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10" t="s">
        <v>3</v>
      </c>
      <c r="R2" s="11"/>
      <c r="S2" s="12"/>
      <c r="T2" s="13" t="s">
        <v>4</v>
      </c>
      <c r="U2" s="14"/>
      <c r="V2" s="9"/>
      <c r="W2" s="10" t="s">
        <v>5</v>
      </c>
      <c r="X2" s="11"/>
      <c r="Y2" s="11"/>
      <c r="Z2" s="9"/>
      <c r="AA2" s="15" t="s">
        <v>6</v>
      </c>
      <c r="AB2" s="16"/>
      <c r="AC2" s="16"/>
      <c r="AD2" s="11"/>
      <c r="AE2" s="17"/>
      <c r="AF2" s="18" t="s">
        <v>7</v>
      </c>
      <c r="AG2" s="11"/>
      <c r="AH2" s="11"/>
      <c r="AI2" s="9"/>
      <c r="AJ2" s="2"/>
    </row>
    <row r="3" spans="1:36" ht="15.75" customHeight="1" x14ac:dyDescent="0.15">
      <c r="A3" s="19" t="s">
        <v>8</v>
      </c>
      <c r="B3" s="10" t="s">
        <v>9</v>
      </c>
      <c r="C3" s="20" t="s">
        <v>10</v>
      </c>
      <c r="D3" s="20" t="s">
        <v>12</v>
      </c>
      <c r="E3" s="20" t="s">
        <v>11</v>
      </c>
      <c r="F3" s="20" t="s">
        <v>13</v>
      </c>
      <c r="G3" s="20" t="s">
        <v>14</v>
      </c>
      <c r="H3" s="9" t="s">
        <v>15</v>
      </c>
      <c r="I3" s="9" t="s">
        <v>16</v>
      </c>
      <c r="J3" s="9" t="s">
        <v>17</v>
      </c>
      <c r="K3" s="19" t="s">
        <v>18</v>
      </c>
      <c r="L3" s="19" t="s">
        <v>19</v>
      </c>
      <c r="M3" s="21" t="s">
        <v>20</v>
      </c>
      <c r="N3" s="9" t="s">
        <v>21</v>
      </c>
      <c r="O3" s="9" t="s">
        <v>22</v>
      </c>
      <c r="P3" s="22" t="s">
        <v>15</v>
      </c>
      <c r="Q3" s="22" t="s">
        <v>9</v>
      </c>
      <c r="R3" s="19" t="s">
        <v>23</v>
      </c>
      <c r="S3" s="23" t="s">
        <v>24</v>
      </c>
      <c r="T3" s="24" t="s">
        <v>25</v>
      </c>
      <c r="U3" s="25" t="s">
        <v>26</v>
      </c>
      <c r="V3" s="19" t="s">
        <v>27</v>
      </c>
      <c r="W3" s="19" t="s">
        <v>28</v>
      </c>
      <c r="X3" s="19" t="s">
        <v>29</v>
      </c>
      <c r="Y3" s="19" t="s">
        <v>30</v>
      </c>
      <c r="Z3" s="19" t="s">
        <v>31</v>
      </c>
      <c r="AA3" s="26" t="s">
        <v>32</v>
      </c>
      <c r="AB3" s="27" t="s">
        <v>33</v>
      </c>
      <c r="AC3" s="28" t="s">
        <v>15</v>
      </c>
      <c r="AD3" s="19" t="s">
        <v>34</v>
      </c>
      <c r="AE3" s="26" t="s">
        <v>35</v>
      </c>
      <c r="AF3" s="26" t="s">
        <v>36</v>
      </c>
      <c r="AG3" s="19" t="s">
        <v>37</v>
      </c>
      <c r="AH3" s="29" t="s">
        <v>38</v>
      </c>
      <c r="AI3" s="30"/>
      <c r="AJ3" s="31"/>
    </row>
    <row r="4" spans="1:36" ht="15" x14ac:dyDescent="0.2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4"/>
      <c r="N4" s="33"/>
      <c r="O4" s="35"/>
      <c r="P4" s="36"/>
      <c r="Q4" s="2"/>
      <c r="R4" s="2"/>
      <c r="S4" s="4"/>
      <c r="T4" s="2"/>
      <c r="U4" s="2"/>
      <c r="V4" s="37"/>
      <c r="W4" s="2"/>
      <c r="X4" s="2"/>
      <c r="Y4" s="2"/>
      <c r="Z4" s="38"/>
      <c r="AA4" s="39"/>
      <c r="AB4" s="40"/>
      <c r="AC4" s="41"/>
      <c r="AD4" s="42"/>
      <c r="AE4" s="37"/>
      <c r="AF4" s="2"/>
      <c r="AG4" s="2"/>
      <c r="AH4" s="2"/>
      <c r="AI4" s="2"/>
      <c r="AJ4" s="2"/>
    </row>
    <row r="5" spans="1:36" ht="15" x14ac:dyDescent="0.2">
      <c r="A5" s="43" t="s">
        <v>64</v>
      </c>
      <c r="B5" s="33" t="s">
        <v>66</v>
      </c>
      <c r="C5" s="7" t="s">
        <v>67</v>
      </c>
      <c r="D5" s="7" t="s">
        <v>68</v>
      </c>
      <c r="E5" s="44">
        <v>5</v>
      </c>
      <c r="F5" s="7"/>
      <c r="G5" s="7"/>
      <c r="H5" s="2" t="s">
        <v>69</v>
      </c>
      <c r="I5" s="7" t="s">
        <v>70</v>
      </c>
      <c r="J5" s="7" t="s">
        <v>71</v>
      </c>
      <c r="K5" s="7" t="s">
        <v>48</v>
      </c>
      <c r="L5" s="7" t="s">
        <v>72</v>
      </c>
      <c r="M5" s="7"/>
      <c r="N5" s="45" t="str">
        <f t="shared" ref="N5:N10" si="0">HYPERLINK("twitter.com/UCF_Softball","@UCF_Softball")</f>
        <v>@UCF_Softball</v>
      </c>
      <c r="O5" s="46" t="str">
        <f t="shared" ref="O5:O10" si="1">HYPERLINK("https://college.jumpforward.com/questionnaire.aspx?iid=382&amp;sportid=31","Questionnaire")</f>
        <v>Questionnaire</v>
      </c>
      <c r="P5" s="7" t="s">
        <v>82</v>
      </c>
      <c r="Q5" s="47" t="s">
        <v>66</v>
      </c>
      <c r="R5" s="48" t="s">
        <v>84</v>
      </c>
      <c r="S5" s="48" t="s">
        <v>62</v>
      </c>
      <c r="T5" s="49" t="s">
        <v>74</v>
      </c>
      <c r="U5" s="49" t="s">
        <v>75</v>
      </c>
      <c r="V5" s="48"/>
      <c r="W5" s="50">
        <v>3.92</v>
      </c>
      <c r="X5" s="7" t="s">
        <v>85</v>
      </c>
      <c r="Y5" s="49" t="s">
        <v>86</v>
      </c>
      <c r="Z5" s="49" t="s">
        <v>87</v>
      </c>
      <c r="AA5" s="51">
        <v>0.49990000000000001</v>
      </c>
      <c r="AB5" s="48" t="s">
        <v>88</v>
      </c>
      <c r="AC5" s="52" t="s">
        <v>82</v>
      </c>
      <c r="AD5" s="53" t="str">
        <f t="shared" ref="AD5:AD10" si="2">HYPERLINK("http://catalog.ucf.edu/programs/degree-programs","Link")</f>
        <v>Link</v>
      </c>
      <c r="AE5" s="54">
        <v>55723</v>
      </c>
      <c r="AF5" s="54">
        <v>171</v>
      </c>
      <c r="AG5" s="55"/>
      <c r="AH5" s="56">
        <v>132903</v>
      </c>
      <c r="AI5" s="56"/>
      <c r="AJ5" s="56"/>
    </row>
    <row r="6" spans="1:36" ht="15" x14ac:dyDescent="0.2">
      <c r="A6" s="43" t="s">
        <v>64</v>
      </c>
      <c r="B6" s="33" t="s">
        <v>66</v>
      </c>
      <c r="C6" s="7" t="s">
        <v>67</v>
      </c>
      <c r="D6" s="7" t="s">
        <v>89</v>
      </c>
      <c r="E6" s="44">
        <v>5</v>
      </c>
      <c r="F6" s="7"/>
      <c r="G6" s="7"/>
      <c r="H6" s="2" t="s">
        <v>69</v>
      </c>
      <c r="I6" s="7" t="s">
        <v>92</v>
      </c>
      <c r="J6" s="7" t="s">
        <v>93</v>
      </c>
      <c r="K6" s="7" t="s">
        <v>55</v>
      </c>
      <c r="L6" s="7" t="s">
        <v>97</v>
      </c>
      <c r="M6" s="7" t="s">
        <v>99</v>
      </c>
      <c r="N6" s="45" t="str">
        <f t="shared" si="0"/>
        <v>@UCF_Softball</v>
      </c>
      <c r="O6" s="46" t="str">
        <f t="shared" si="1"/>
        <v>Questionnaire</v>
      </c>
      <c r="P6" s="7" t="s">
        <v>82</v>
      </c>
      <c r="Q6" s="47" t="s">
        <v>66</v>
      </c>
      <c r="R6" s="48" t="s">
        <v>84</v>
      </c>
      <c r="S6" s="48" t="s">
        <v>62</v>
      </c>
      <c r="T6" s="49" t="s">
        <v>74</v>
      </c>
      <c r="U6" s="49" t="s">
        <v>75</v>
      </c>
      <c r="V6" s="48"/>
      <c r="W6" s="50">
        <v>3.92</v>
      </c>
      <c r="X6" s="7" t="s">
        <v>85</v>
      </c>
      <c r="Y6" s="49" t="s">
        <v>86</v>
      </c>
      <c r="Z6" s="49" t="s">
        <v>87</v>
      </c>
      <c r="AA6" s="51">
        <v>0.49990000000000001</v>
      </c>
      <c r="AB6" s="48" t="s">
        <v>88</v>
      </c>
      <c r="AC6" s="52" t="s">
        <v>82</v>
      </c>
      <c r="AD6" s="53" t="str">
        <f t="shared" si="2"/>
        <v>Link</v>
      </c>
      <c r="AE6" s="54">
        <v>55723</v>
      </c>
      <c r="AF6" s="54">
        <v>171</v>
      </c>
      <c r="AG6" s="55"/>
      <c r="AH6" s="56">
        <v>132903</v>
      </c>
      <c r="AI6" s="56"/>
      <c r="AJ6" s="56"/>
    </row>
    <row r="7" spans="1:36" ht="15" x14ac:dyDescent="0.2">
      <c r="A7" s="43" t="s">
        <v>64</v>
      </c>
      <c r="B7" s="33" t="s">
        <v>66</v>
      </c>
      <c r="C7" s="7" t="s">
        <v>67</v>
      </c>
      <c r="D7" s="7" t="s">
        <v>104</v>
      </c>
      <c r="E7" s="44">
        <v>5</v>
      </c>
      <c r="F7" s="7"/>
      <c r="G7" s="7"/>
      <c r="H7" s="2" t="s">
        <v>69</v>
      </c>
      <c r="I7" s="7" t="s">
        <v>107</v>
      </c>
      <c r="J7" s="7" t="s">
        <v>108</v>
      </c>
      <c r="K7" s="7" t="s">
        <v>55</v>
      </c>
      <c r="L7" s="7" t="s">
        <v>110</v>
      </c>
      <c r="M7" s="7"/>
      <c r="N7" s="45" t="str">
        <f t="shared" si="0"/>
        <v>@UCF_Softball</v>
      </c>
      <c r="O7" s="46" t="str">
        <f t="shared" si="1"/>
        <v>Questionnaire</v>
      </c>
      <c r="P7" s="7" t="s">
        <v>82</v>
      </c>
      <c r="Q7" s="47" t="s">
        <v>66</v>
      </c>
      <c r="R7" s="48" t="s">
        <v>84</v>
      </c>
      <c r="S7" s="48" t="s">
        <v>62</v>
      </c>
      <c r="T7" s="49" t="s">
        <v>74</v>
      </c>
      <c r="U7" s="49" t="s">
        <v>75</v>
      </c>
      <c r="V7" s="48"/>
      <c r="W7" s="50">
        <v>3.92</v>
      </c>
      <c r="X7" s="7" t="s">
        <v>85</v>
      </c>
      <c r="Y7" s="49" t="s">
        <v>86</v>
      </c>
      <c r="Z7" s="49" t="s">
        <v>87</v>
      </c>
      <c r="AA7" s="51">
        <v>0.49990000000000001</v>
      </c>
      <c r="AB7" s="48" t="s">
        <v>88</v>
      </c>
      <c r="AC7" s="52" t="s">
        <v>82</v>
      </c>
      <c r="AD7" s="53" t="str">
        <f t="shared" si="2"/>
        <v>Link</v>
      </c>
      <c r="AE7" s="54">
        <v>55723</v>
      </c>
      <c r="AF7" s="54">
        <v>171</v>
      </c>
      <c r="AG7" s="55"/>
      <c r="AH7" s="56">
        <v>132903</v>
      </c>
      <c r="AI7" s="56"/>
      <c r="AJ7" s="56"/>
    </row>
    <row r="8" spans="1:36" ht="15" x14ac:dyDescent="0.2">
      <c r="A8" s="43" t="s">
        <v>64</v>
      </c>
      <c r="B8" s="33" t="s">
        <v>66</v>
      </c>
      <c r="C8" s="7" t="s">
        <v>67</v>
      </c>
      <c r="D8" s="7" t="s">
        <v>123</v>
      </c>
      <c r="E8" s="44">
        <v>5</v>
      </c>
      <c r="F8" s="7"/>
      <c r="G8" s="7" t="s">
        <v>126</v>
      </c>
      <c r="H8" s="2" t="s">
        <v>69</v>
      </c>
      <c r="I8" s="7" t="s">
        <v>127</v>
      </c>
      <c r="J8" s="7"/>
      <c r="K8" s="7"/>
      <c r="L8" s="7"/>
      <c r="M8" s="7"/>
      <c r="N8" s="45" t="str">
        <f t="shared" si="0"/>
        <v>@UCF_Softball</v>
      </c>
      <c r="O8" s="46" t="str">
        <f t="shared" si="1"/>
        <v>Questionnaire</v>
      </c>
      <c r="P8" s="7" t="s">
        <v>82</v>
      </c>
      <c r="Q8" s="47" t="s">
        <v>66</v>
      </c>
      <c r="R8" s="48" t="s">
        <v>84</v>
      </c>
      <c r="S8" s="48" t="s">
        <v>62</v>
      </c>
      <c r="T8" s="49" t="s">
        <v>74</v>
      </c>
      <c r="U8" s="49" t="s">
        <v>75</v>
      </c>
      <c r="V8" s="48"/>
      <c r="W8" s="50">
        <v>3.92</v>
      </c>
      <c r="X8" s="7" t="s">
        <v>85</v>
      </c>
      <c r="Y8" s="49" t="s">
        <v>86</v>
      </c>
      <c r="Z8" s="49" t="s">
        <v>87</v>
      </c>
      <c r="AA8" s="51">
        <v>0.49990000000000001</v>
      </c>
      <c r="AB8" s="48" t="s">
        <v>88</v>
      </c>
      <c r="AC8" s="52" t="s">
        <v>82</v>
      </c>
      <c r="AD8" s="53" t="str">
        <f t="shared" si="2"/>
        <v>Link</v>
      </c>
      <c r="AE8" s="54">
        <v>55723</v>
      </c>
      <c r="AF8" s="54">
        <v>171</v>
      </c>
      <c r="AG8" s="55"/>
      <c r="AH8" s="56">
        <v>132903</v>
      </c>
      <c r="AI8" s="56"/>
      <c r="AJ8" s="56"/>
    </row>
    <row r="9" spans="1:36" ht="15" x14ac:dyDescent="0.2">
      <c r="A9" s="43" t="s">
        <v>64</v>
      </c>
      <c r="B9" s="33" t="s">
        <v>66</v>
      </c>
      <c r="C9" s="7" t="s">
        <v>67</v>
      </c>
      <c r="D9" s="57" t="s">
        <v>128</v>
      </c>
      <c r="E9" s="58">
        <v>5</v>
      </c>
      <c r="F9" s="7" t="s">
        <v>116</v>
      </c>
      <c r="G9" s="7"/>
      <c r="H9" s="2" t="s">
        <v>69</v>
      </c>
      <c r="I9" s="7" t="s">
        <v>135</v>
      </c>
      <c r="J9" s="7" t="s">
        <v>136</v>
      </c>
      <c r="K9" s="7" t="s">
        <v>55</v>
      </c>
      <c r="L9" s="57"/>
      <c r="M9" s="57"/>
      <c r="N9" s="45" t="str">
        <f t="shared" si="0"/>
        <v>@UCF_Softball</v>
      </c>
      <c r="O9" s="46" t="str">
        <f t="shared" si="1"/>
        <v>Questionnaire</v>
      </c>
      <c r="P9" s="7" t="s">
        <v>82</v>
      </c>
      <c r="Q9" s="47" t="s">
        <v>66</v>
      </c>
      <c r="R9" s="48" t="s">
        <v>84</v>
      </c>
      <c r="S9" s="48" t="s">
        <v>62</v>
      </c>
      <c r="T9" s="49" t="s">
        <v>74</v>
      </c>
      <c r="U9" s="49" t="s">
        <v>75</v>
      </c>
      <c r="V9" s="48"/>
      <c r="W9" s="50">
        <v>3.92</v>
      </c>
      <c r="X9" s="7" t="s">
        <v>85</v>
      </c>
      <c r="Y9" s="49" t="s">
        <v>86</v>
      </c>
      <c r="Z9" s="49" t="s">
        <v>87</v>
      </c>
      <c r="AA9" s="51">
        <v>0.49990000000000001</v>
      </c>
      <c r="AB9" s="48" t="s">
        <v>88</v>
      </c>
      <c r="AC9" s="52" t="s">
        <v>82</v>
      </c>
      <c r="AD9" s="53" t="str">
        <f t="shared" si="2"/>
        <v>Link</v>
      </c>
      <c r="AE9" s="54">
        <v>55723</v>
      </c>
      <c r="AF9" s="54">
        <v>171</v>
      </c>
      <c r="AG9" s="55"/>
      <c r="AH9" s="56">
        <v>132903</v>
      </c>
      <c r="AI9" s="59"/>
      <c r="AJ9" s="59"/>
    </row>
    <row r="10" spans="1:36" ht="15" x14ac:dyDescent="0.2">
      <c r="A10" s="43" t="s">
        <v>64</v>
      </c>
      <c r="B10" s="33" t="s">
        <v>66</v>
      </c>
      <c r="C10" s="7" t="s">
        <v>67</v>
      </c>
      <c r="D10" s="57" t="s">
        <v>147</v>
      </c>
      <c r="E10" s="58">
        <v>5</v>
      </c>
      <c r="F10" s="7" t="s">
        <v>116</v>
      </c>
      <c r="G10" s="7"/>
      <c r="H10" s="2" t="s">
        <v>69</v>
      </c>
      <c r="I10" s="7" t="s">
        <v>150</v>
      </c>
      <c r="J10" s="7" t="s">
        <v>152</v>
      </c>
      <c r="K10" s="7" t="s">
        <v>154</v>
      </c>
      <c r="L10" s="57" t="s">
        <v>156</v>
      </c>
      <c r="M10" s="57" t="s">
        <v>157</v>
      </c>
      <c r="N10" s="45" t="str">
        <f t="shared" si="0"/>
        <v>@UCF_Softball</v>
      </c>
      <c r="O10" s="46" t="str">
        <f t="shared" si="1"/>
        <v>Questionnaire</v>
      </c>
      <c r="P10" s="7" t="s">
        <v>82</v>
      </c>
      <c r="Q10" s="47" t="s">
        <v>66</v>
      </c>
      <c r="R10" s="48" t="s">
        <v>84</v>
      </c>
      <c r="S10" s="48" t="s">
        <v>62</v>
      </c>
      <c r="T10" s="49" t="s">
        <v>74</v>
      </c>
      <c r="U10" s="49" t="s">
        <v>75</v>
      </c>
      <c r="V10" s="48"/>
      <c r="W10" s="50">
        <v>3.92</v>
      </c>
      <c r="X10" s="7" t="s">
        <v>85</v>
      </c>
      <c r="Y10" s="49" t="s">
        <v>86</v>
      </c>
      <c r="Z10" s="49" t="s">
        <v>87</v>
      </c>
      <c r="AA10" s="51">
        <v>0.49990000000000001</v>
      </c>
      <c r="AB10" s="48" t="s">
        <v>88</v>
      </c>
      <c r="AC10" s="52" t="s">
        <v>82</v>
      </c>
      <c r="AD10" s="53" t="str">
        <f t="shared" si="2"/>
        <v>Link</v>
      </c>
      <c r="AE10" s="54">
        <v>55723</v>
      </c>
      <c r="AF10" s="54">
        <v>171</v>
      </c>
      <c r="AG10" s="55"/>
      <c r="AH10" s="56">
        <v>132903</v>
      </c>
      <c r="AI10" s="59"/>
      <c r="AJ10" s="59"/>
    </row>
    <row r="11" spans="1:36" ht="15" x14ac:dyDescent="0.2">
      <c r="A11" s="43" t="s">
        <v>64</v>
      </c>
      <c r="B11" s="33" t="s">
        <v>158</v>
      </c>
      <c r="C11" s="7" t="s">
        <v>67</v>
      </c>
      <c r="D11" s="7" t="s">
        <v>159</v>
      </c>
      <c r="E11" s="44">
        <v>5</v>
      </c>
      <c r="F11" s="7"/>
      <c r="G11" s="7"/>
      <c r="H11" s="2" t="s">
        <v>160</v>
      </c>
      <c r="I11" s="7" t="s">
        <v>161</v>
      </c>
      <c r="J11" s="7" t="s">
        <v>162</v>
      </c>
      <c r="K11" s="7" t="s">
        <v>48</v>
      </c>
      <c r="L11" s="7" t="s">
        <v>163</v>
      </c>
      <c r="M11" s="2" t="s">
        <v>164</v>
      </c>
      <c r="N11" s="45" t="str">
        <f t="shared" ref="N11:N14" si="3">HYPERLINK("twitter.com/uconnsoftball","@uconnsoftball")</f>
        <v>@uconnsoftball</v>
      </c>
      <c r="O11" s="46" t="str">
        <f t="shared" ref="O11:O14" si="4">HYPERLINK("https://uconnhuskies.com/sports/2018/6/12/recruiting-conn-recruiting-html.aspx","Questionnaire")</f>
        <v>Questionnaire</v>
      </c>
      <c r="P11" s="7" t="s">
        <v>169</v>
      </c>
      <c r="Q11" s="60" t="s">
        <v>158</v>
      </c>
      <c r="R11" s="48" t="s">
        <v>171</v>
      </c>
      <c r="S11" s="48" t="s">
        <v>172</v>
      </c>
      <c r="T11" s="49" t="s">
        <v>74</v>
      </c>
      <c r="U11" s="49" t="s">
        <v>75</v>
      </c>
      <c r="V11" s="48"/>
      <c r="W11" s="50">
        <v>3.67</v>
      </c>
      <c r="X11" s="7" t="s">
        <v>176</v>
      </c>
      <c r="Y11" s="49" t="s">
        <v>178</v>
      </c>
      <c r="Z11" s="49" t="s">
        <v>179</v>
      </c>
      <c r="AA11" s="61">
        <v>0.49</v>
      </c>
      <c r="AB11" s="48" t="s">
        <v>181</v>
      </c>
      <c r="AC11" s="62" t="s">
        <v>169</v>
      </c>
      <c r="AD11" s="53" t="str">
        <f t="shared" ref="AD11:AD14" si="5">HYPERLINK("https://career.uconn.edu/explore-majors-careers/majors-at-the-university-of-connecticut/","Link")</f>
        <v>Link</v>
      </c>
      <c r="AE11" s="54">
        <v>19324</v>
      </c>
      <c r="AF11" s="54">
        <v>56</v>
      </c>
      <c r="AG11" s="55"/>
      <c r="AH11" s="56">
        <v>129020</v>
      </c>
      <c r="AI11" s="56"/>
      <c r="AJ11" s="56"/>
    </row>
    <row r="12" spans="1:36" ht="15" x14ac:dyDescent="0.2">
      <c r="A12" s="43" t="s">
        <v>64</v>
      </c>
      <c r="B12" s="33" t="s">
        <v>158</v>
      </c>
      <c r="C12" s="7" t="s">
        <v>67</v>
      </c>
      <c r="D12" s="7" t="s">
        <v>188</v>
      </c>
      <c r="E12" s="44">
        <v>5</v>
      </c>
      <c r="F12" s="7"/>
      <c r="G12" s="7"/>
      <c r="H12" s="2" t="s">
        <v>160</v>
      </c>
      <c r="I12" s="7" t="s">
        <v>193</v>
      </c>
      <c r="J12" s="7" t="s">
        <v>195</v>
      </c>
      <c r="K12" s="7" t="s">
        <v>55</v>
      </c>
      <c r="L12" s="7" t="s">
        <v>197</v>
      </c>
      <c r="M12" s="2" t="s">
        <v>164</v>
      </c>
      <c r="N12" s="45" t="str">
        <f t="shared" si="3"/>
        <v>@uconnsoftball</v>
      </c>
      <c r="O12" s="46" t="str">
        <f t="shared" si="4"/>
        <v>Questionnaire</v>
      </c>
      <c r="P12" s="7" t="s">
        <v>169</v>
      </c>
      <c r="Q12" s="60" t="s">
        <v>158</v>
      </c>
      <c r="R12" s="48" t="s">
        <v>171</v>
      </c>
      <c r="S12" s="48" t="s">
        <v>172</v>
      </c>
      <c r="T12" s="49" t="s">
        <v>74</v>
      </c>
      <c r="U12" s="49" t="s">
        <v>75</v>
      </c>
      <c r="V12" s="48"/>
      <c r="W12" s="50">
        <v>3.67</v>
      </c>
      <c r="X12" s="7" t="s">
        <v>176</v>
      </c>
      <c r="Y12" s="49" t="s">
        <v>178</v>
      </c>
      <c r="Z12" s="49" t="s">
        <v>179</v>
      </c>
      <c r="AA12" s="61">
        <v>0.49</v>
      </c>
      <c r="AB12" s="48" t="s">
        <v>181</v>
      </c>
      <c r="AC12" s="62" t="s">
        <v>169</v>
      </c>
      <c r="AD12" s="53" t="str">
        <f t="shared" si="5"/>
        <v>Link</v>
      </c>
      <c r="AE12" s="54">
        <v>19324</v>
      </c>
      <c r="AF12" s="54">
        <v>56</v>
      </c>
      <c r="AG12" s="55"/>
      <c r="AH12" s="56">
        <v>129020</v>
      </c>
      <c r="AI12" s="56"/>
      <c r="AJ12" s="56"/>
    </row>
    <row r="13" spans="1:36" ht="15" x14ac:dyDescent="0.2">
      <c r="A13" s="43" t="s">
        <v>64</v>
      </c>
      <c r="B13" s="33" t="s">
        <v>158</v>
      </c>
      <c r="C13" s="7" t="s">
        <v>67</v>
      </c>
      <c r="D13" s="7" t="s">
        <v>199</v>
      </c>
      <c r="E13" s="44">
        <v>5</v>
      </c>
      <c r="F13" s="7"/>
      <c r="G13" s="7"/>
      <c r="H13" s="2" t="s">
        <v>160</v>
      </c>
      <c r="I13" s="7" t="s">
        <v>201</v>
      </c>
      <c r="J13" s="7" t="s">
        <v>202</v>
      </c>
      <c r="K13" s="7" t="s">
        <v>55</v>
      </c>
      <c r="L13" s="7" t="s">
        <v>203</v>
      </c>
      <c r="M13" s="2" t="s">
        <v>164</v>
      </c>
      <c r="N13" s="45" t="str">
        <f t="shared" si="3"/>
        <v>@uconnsoftball</v>
      </c>
      <c r="O13" s="46" t="str">
        <f t="shared" si="4"/>
        <v>Questionnaire</v>
      </c>
      <c r="P13" s="7" t="s">
        <v>169</v>
      </c>
      <c r="Q13" s="60" t="s">
        <v>158</v>
      </c>
      <c r="R13" s="48" t="s">
        <v>171</v>
      </c>
      <c r="S13" s="48" t="s">
        <v>172</v>
      </c>
      <c r="T13" s="49" t="s">
        <v>74</v>
      </c>
      <c r="U13" s="49" t="s">
        <v>75</v>
      </c>
      <c r="V13" s="48"/>
      <c r="W13" s="50">
        <v>3.67</v>
      </c>
      <c r="X13" s="7" t="s">
        <v>176</v>
      </c>
      <c r="Y13" s="49" t="s">
        <v>178</v>
      </c>
      <c r="Z13" s="49" t="s">
        <v>179</v>
      </c>
      <c r="AA13" s="61">
        <v>0.49</v>
      </c>
      <c r="AB13" s="48" t="s">
        <v>181</v>
      </c>
      <c r="AC13" s="62" t="s">
        <v>169</v>
      </c>
      <c r="AD13" s="53" t="str">
        <f t="shared" si="5"/>
        <v>Link</v>
      </c>
      <c r="AE13" s="54">
        <v>19324</v>
      </c>
      <c r="AF13" s="54">
        <v>56</v>
      </c>
      <c r="AG13" s="55"/>
      <c r="AH13" s="56">
        <v>129020</v>
      </c>
      <c r="AI13" s="56"/>
      <c r="AJ13" s="56"/>
    </row>
    <row r="14" spans="1:36" ht="15" x14ac:dyDescent="0.2">
      <c r="A14" s="43" t="s">
        <v>64</v>
      </c>
      <c r="B14" s="33" t="s">
        <v>158</v>
      </c>
      <c r="C14" s="7" t="s">
        <v>67</v>
      </c>
      <c r="D14" s="7" t="s">
        <v>211</v>
      </c>
      <c r="E14" s="44">
        <v>5</v>
      </c>
      <c r="F14" s="7"/>
      <c r="G14" s="7"/>
      <c r="H14" s="2" t="s">
        <v>160</v>
      </c>
      <c r="I14" s="7" t="s">
        <v>213</v>
      </c>
      <c r="J14" s="7" t="s">
        <v>215</v>
      </c>
      <c r="K14" s="7" t="s">
        <v>139</v>
      </c>
      <c r="L14" s="7" t="s">
        <v>217</v>
      </c>
      <c r="M14" s="2" t="s">
        <v>164</v>
      </c>
      <c r="N14" s="45" t="str">
        <f t="shared" si="3"/>
        <v>@uconnsoftball</v>
      </c>
      <c r="O14" s="46" t="str">
        <f t="shared" si="4"/>
        <v>Questionnaire</v>
      </c>
      <c r="P14" s="7" t="s">
        <v>169</v>
      </c>
      <c r="Q14" s="60" t="s">
        <v>158</v>
      </c>
      <c r="R14" s="48" t="s">
        <v>171</v>
      </c>
      <c r="S14" s="48" t="s">
        <v>172</v>
      </c>
      <c r="T14" s="49" t="s">
        <v>74</v>
      </c>
      <c r="U14" s="49" t="s">
        <v>75</v>
      </c>
      <c r="V14" s="48"/>
      <c r="W14" s="50">
        <v>3.67</v>
      </c>
      <c r="X14" s="7" t="s">
        <v>176</v>
      </c>
      <c r="Y14" s="49" t="s">
        <v>178</v>
      </c>
      <c r="Z14" s="49" t="s">
        <v>179</v>
      </c>
      <c r="AA14" s="61">
        <v>0.49</v>
      </c>
      <c r="AB14" s="48" t="s">
        <v>181</v>
      </c>
      <c r="AC14" s="62" t="s">
        <v>169</v>
      </c>
      <c r="AD14" s="53" t="str">
        <f t="shared" si="5"/>
        <v>Link</v>
      </c>
      <c r="AE14" s="54">
        <v>19324</v>
      </c>
      <c r="AF14" s="54">
        <v>56</v>
      </c>
      <c r="AG14" s="55"/>
      <c r="AH14" s="56">
        <v>129020</v>
      </c>
      <c r="AI14" s="56"/>
      <c r="AJ14" s="56"/>
    </row>
    <row r="15" spans="1:36" ht="15" x14ac:dyDescent="0.2">
      <c r="A15" s="43" t="s">
        <v>64</v>
      </c>
      <c r="B15" s="33" t="s">
        <v>219</v>
      </c>
      <c r="C15" s="7" t="s">
        <v>67</v>
      </c>
      <c r="D15" s="7" t="s">
        <v>220</v>
      </c>
      <c r="E15" s="44">
        <v>5</v>
      </c>
      <c r="F15" s="7"/>
      <c r="G15" s="7"/>
      <c r="H15" s="2" t="s">
        <v>221</v>
      </c>
      <c r="I15" s="7" t="s">
        <v>222</v>
      </c>
      <c r="J15" s="7" t="s">
        <v>223</v>
      </c>
      <c r="K15" s="7" t="s">
        <v>48</v>
      </c>
      <c r="L15" s="7" t="s">
        <v>224</v>
      </c>
      <c r="M15" s="7" t="s">
        <v>225</v>
      </c>
      <c r="N15" s="45" t="str">
        <f t="shared" ref="N15:N19" si="6">HYPERLINK("twitter.com/ECUSoftball","@ECUSoftball")</f>
        <v>@ECUSoftball</v>
      </c>
      <c r="O15" s="46" t="str">
        <f t="shared" ref="O15:O19" si="7">HYPERLINK("https://ecupirates.com/sports/2016/7/5/recruit-questionaire.aspx","Questionnaire")</f>
        <v>Questionnaire</v>
      </c>
      <c r="P15" s="7" t="s">
        <v>236</v>
      </c>
      <c r="Q15" s="47" t="s">
        <v>219</v>
      </c>
      <c r="R15" s="48" t="s">
        <v>237</v>
      </c>
      <c r="S15" s="48" t="s">
        <v>238</v>
      </c>
      <c r="T15" s="49" t="s">
        <v>74</v>
      </c>
      <c r="U15" s="49" t="s">
        <v>75</v>
      </c>
      <c r="V15" s="48"/>
      <c r="W15" s="50">
        <v>3.76</v>
      </c>
      <c r="X15" s="7" t="s">
        <v>239</v>
      </c>
      <c r="Y15" s="49" t="s">
        <v>77</v>
      </c>
      <c r="Z15" s="49" t="s">
        <v>240</v>
      </c>
      <c r="AA15" s="61">
        <v>0.7</v>
      </c>
      <c r="AB15" s="48" t="s">
        <v>241</v>
      </c>
      <c r="AC15" s="62" t="s">
        <v>236</v>
      </c>
      <c r="AD15" s="53" t="str">
        <f t="shared" ref="AD15:AD19" si="8">HYPERLINK("http://www.ecu.edu/cs-cas/aarc/mm.cfm","Link")</f>
        <v>Link</v>
      </c>
      <c r="AE15" s="54">
        <v>22969</v>
      </c>
      <c r="AF15" s="54">
        <v>207</v>
      </c>
      <c r="AG15" s="55"/>
      <c r="AH15" s="56">
        <v>198464</v>
      </c>
      <c r="AI15" s="56"/>
      <c r="AJ15" s="56"/>
    </row>
    <row r="16" spans="1:36" ht="15" x14ac:dyDescent="0.2">
      <c r="A16" s="43" t="s">
        <v>64</v>
      </c>
      <c r="B16" s="33" t="s">
        <v>219</v>
      </c>
      <c r="C16" s="7" t="s">
        <v>67</v>
      </c>
      <c r="D16" s="7" t="s">
        <v>243</v>
      </c>
      <c r="E16" s="44">
        <v>5</v>
      </c>
      <c r="F16" s="7"/>
      <c r="G16" s="7"/>
      <c r="H16" s="2" t="s">
        <v>221</v>
      </c>
      <c r="I16" s="7" t="s">
        <v>201</v>
      </c>
      <c r="J16" s="7" t="s">
        <v>244</v>
      </c>
      <c r="K16" s="7" t="s">
        <v>55</v>
      </c>
      <c r="L16" s="7" t="s">
        <v>245</v>
      </c>
      <c r="M16" s="7" t="s">
        <v>246</v>
      </c>
      <c r="N16" s="45" t="str">
        <f t="shared" si="6"/>
        <v>@ECUSoftball</v>
      </c>
      <c r="O16" s="46" t="str">
        <f t="shared" si="7"/>
        <v>Questionnaire</v>
      </c>
      <c r="P16" s="7" t="s">
        <v>236</v>
      </c>
      <c r="Q16" s="47" t="s">
        <v>219</v>
      </c>
      <c r="R16" s="48" t="s">
        <v>237</v>
      </c>
      <c r="S16" s="48" t="s">
        <v>238</v>
      </c>
      <c r="T16" s="49" t="s">
        <v>74</v>
      </c>
      <c r="U16" s="49" t="s">
        <v>75</v>
      </c>
      <c r="V16" s="48"/>
      <c r="W16" s="50">
        <v>3.76</v>
      </c>
      <c r="X16" s="7" t="s">
        <v>239</v>
      </c>
      <c r="Y16" s="49" t="s">
        <v>77</v>
      </c>
      <c r="Z16" s="49" t="s">
        <v>240</v>
      </c>
      <c r="AA16" s="61">
        <v>0.7</v>
      </c>
      <c r="AB16" s="48" t="s">
        <v>241</v>
      </c>
      <c r="AC16" s="62" t="s">
        <v>236</v>
      </c>
      <c r="AD16" s="53" t="str">
        <f t="shared" si="8"/>
        <v>Link</v>
      </c>
      <c r="AE16" s="54">
        <v>22969</v>
      </c>
      <c r="AF16" s="54">
        <v>207</v>
      </c>
      <c r="AG16" s="55"/>
      <c r="AH16" s="56">
        <v>198464</v>
      </c>
      <c r="AI16" s="56"/>
      <c r="AJ16" s="56"/>
    </row>
    <row r="17" spans="1:36" ht="15" x14ac:dyDescent="0.2">
      <c r="A17" s="43" t="s">
        <v>64</v>
      </c>
      <c r="B17" s="33" t="s">
        <v>219</v>
      </c>
      <c r="C17" s="7" t="s">
        <v>67</v>
      </c>
      <c r="D17" s="7" t="s">
        <v>254</v>
      </c>
      <c r="E17" s="44">
        <v>5</v>
      </c>
      <c r="F17" s="7"/>
      <c r="G17" s="7"/>
      <c r="H17" s="2" t="s">
        <v>221</v>
      </c>
      <c r="I17" s="7" t="s">
        <v>255</v>
      </c>
      <c r="J17" s="7" t="s">
        <v>256</v>
      </c>
      <c r="K17" s="7" t="s">
        <v>55</v>
      </c>
      <c r="L17" s="7" t="s">
        <v>257</v>
      </c>
      <c r="M17" s="7" t="s">
        <v>258</v>
      </c>
      <c r="N17" s="45" t="str">
        <f t="shared" si="6"/>
        <v>@ECUSoftball</v>
      </c>
      <c r="O17" s="46" t="str">
        <f t="shared" si="7"/>
        <v>Questionnaire</v>
      </c>
      <c r="P17" s="7" t="s">
        <v>236</v>
      </c>
      <c r="Q17" s="47" t="s">
        <v>219</v>
      </c>
      <c r="R17" s="48" t="s">
        <v>237</v>
      </c>
      <c r="S17" s="48" t="s">
        <v>238</v>
      </c>
      <c r="T17" s="49" t="s">
        <v>74</v>
      </c>
      <c r="U17" s="49" t="s">
        <v>75</v>
      </c>
      <c r="V17" s="48"/>
      <c r="W17" s="50">
        <v>3.76</v>
      </c>
      <c r="X17" s="7" t="s">
        <v>239</v>
      </c>
      <c r="Y17" s="49" t="s">
        <v>77</v>
      </c>
      <c r="Z17" s="49" t="s">
        <v>240</v>
      </c>
      <c r="AA17" s="61">
        <v>0.7</v>
      </c>
      <c r="AB17" s="48" t="s">
        <v>241</v>
      </c>
      <c r="AC17" s="62" t="s">
        <v>236</v>
      </c>
      <c r="AD17" s="53" t="str">
        <f t="shared" si="8"/>
        <v>Link</v>
      </c>
      <c r="AE17" s="54">
        <v>22969</v>
      </c>
      <c r="AF17" s="54">
        <v>207</v>
      </c>
      <c r="AG17" s="55"/>
      <c r="AH17" s="56">
        <v>198464</v>
      </c>
      <c r="AI17" s="56"/>
      <c r="AJ17" s="56"/>
    </row>
    <row r="18" spans="1:36" ht="15" x14ac:dyDescent="0.2">
      <c r="A18" s="43" t="s">
        <v>64</v>
      </c>
      <c r="B18" s="33" t="s">
        <v>219</v>
      </c>
      <c r="C18" s="7" t="s">
        <v>67</v>
      </c>
      <c r="D18" s="7" t="s">
        <v>265</v>
      </c>
      <c r="E18" s="44">
        <v>5</v>
      </c>
      <c r="F18" s="7"/>
      <c r="G18" s="7"/>
      <c r="H18" s="2" t="s">
        <v>221</v>
      </c>
      <c r="I18" s="7" t="s">
        <v>266</v>
      </c>
      <c r="J18" s="7" t="s">
        <v>267</v>
      </c>
      <c r="K18" s="7" t="s">
        <v>154</v>
      </c>
      <c r="L18" s="7" t="s">
        <v>268</v>
      </c>
      <c r="M18" s="7" t="s">
        <v>225</v>
      </c>
      <c r="N18" s="45" t="str">
        <f t="shared" si="6"/>
        <v>@ECUSoftball</v>
      </c>
      <c r="O18" s="46" t="str">
        <f t="shared" si="7"/>
        <v>Questionnaire</v>
      </c>
      <c r="P18" s="7" t="s">
        <v>236</v>
      </c>
      <c r="Q18" s="47" t="s">
        <v>219</v>
      </c>
      <c r="R18" s="48" t="s">
        <v>237</v>
      </c>
      <c r="S18" s="48" t="s">
        <v>238</v>
      </c>
      <c r="T18" s="49" t="s">
        <v>74</v>
      </c>
      <c r="U18" s="49" t="s">
        <v>75</v>
      </c>
      <c r="V18" s="48"/>
      <c r="W18" s="50">
        <v>3.76</v>
      </c>
      <c r="X18" s="7" t="s">
        <v>239</v>
      </c>
      <c r="Y18" s="49" t="s">
        <v>77</v>
      </c>
      <c r="Z18" s="49" t="s">
        <v>240</v>
      </c>
      <c r="AA18" s="61">
        <v>0.7</v>
      </c>
      <c r="AB18" s="48" t="s">
        <v>241</v>
      </c>
      <c r="AC18" s="62" t="s">
        <v>236</v>
      </c>
      <c r="AD18" s="53" t="str">
        <f t="shared" si="8"/>
        <v>Link</v>
      </c>
      <c r="AE18" s="54">
        <v>22969</v>
      </c>
      <c r="AF18" s="54">
        <v>207</v>
      </c>
      <c r="AG18" s="55"/>
      <c r="AH18" s="56">
        <v>198464</v>
      </c>
      <c r="AI18" s="56"/>
      <c r="AJ18" s="56"/>
    </row>
    <row r="19" spans="1:36" ht="15" x14ac:dyDescent="0.2">
      <c r="A19" s="43" t="s">
        <v>64</v>
      </c>
      <c r="B19" s="33" t="s">
        <v>219</v>
      </c>
      <c r="C19" s="7" t="s">
        <v>67</v>
      </c>
      <c r="D19" s="7" t="s">
        <v>269</v>
      </c>
      <c r="E19" s="44">
        <v>5</v>
      </c>
      <c r="F19" s="7"/>
      <c r="G19" s="7"/>
      <c r="H19" s="2" t="s">
        <v>221</v>
      </c>
      <c r="I19" s="7" t="s">
        <v>270</v>
      </c>
      <c r="J19" s="7" t="s">
        <v>271</v>
      </c>
      <c r="K19" s="7" t="s">
        <v>139</v>
      </c>
      <c r="L19" s="7"/>
      <c r="M19" s="7"/>
      <c r="N19" s="45" t="str">
        <f t="shared" si="6"/>
        <v>@ECUSoftball</v>
      </c>
      <c r="O19" s="46" t="str">
        <f t="shared" si="7"/>
        <v>Questionnaire</v>
      </c>
      <c r="P19" s="7" t="s">
        <v>236</v>
      </c>
      <c r="Q19" s="47" t="s">
        <v>219</v>
      </c>
      <c r="R19" s="48" t="s">
        <v>237</v>
      </c>
      <c r="S19" s="48" t="s">
        <v>238</v>
      </c>
      <c r="T19" s="49" t="s">
        <v>74</v>
      </c>
      <c r="U19" s="49" t="s">
        <v>75</v>
      </c>
      <c r="V19" s="48"/>
      <c r="W19" s="50">
        <v>3.76</v>
      </c>
      <c r="X19" s="7" t="s">
        <v>239</v>
      </c>
      <c r="Y19" s="49" t="s">
        <v>77</v>
      </c>
      <c r="Z19" s="49" t="s">
        <v>240</v>
      </c>
      <c r="AA19" s="61">
        <v>0.7</v>
      </c>
      <c r="AB19" s="48" t="s">
        <v>241</v>
      </c>
      <c r="AC19" s="62" t="s">
        <v>236</v>
      </c>
      <c r="AD19" s="53" t="str">
        <f t="shared" si="8"/>
        <v>Link</v>
      </c>
      <c r="AE19" s="54">
        <v>22969</v>
      </c>
      <c r="AF19" s="54">
        <v>207</v>
      </c>
      <c r="AG19" s="55"/>
      <c r="AH19" s="56">
        <v>198464</v>
      </c>
      <c r="AI19" s="56"/>
      <c r="AJ19" s="56"/>
    </row>
    <row r="20" spans="1:36" ht="15" x14ac:dyDescent="0.2">
      <c r="A20" s="43" t="s">
        <v>64</v>
      </c>
      <c r="B20" s="33" t="s">
        <v>280</v>
      </c>
      <c r="C20" s="7" t="s">
        <v>67</v>
      </c>
      <c r="D20" s="7" t="s">
        <v>281</v>
      </c>
      <c r="E20" s="44">
        <v>5</v>
      </c>
      <c r="F20" s="7"/>
      <c r="G20" s="7"/>
      <c r="H20" s="2" t="s">
        <v>282</v>
      </c>
      <c r="I20" s="7" t="s">
        <v>283</v>
      </c>
      <c r="J20" s="7" t="s">
        <v>284</v>
      </c>
      <c r="K20" s="7" t="s">
        <v>48</v>
      </c>
      <c r="L20" s="7" t="s">
        <v>285</v>
      </c>
      <c r="M20" s="2" t="s">
        <v>286</v>
      </c>
      <c r="N20" s="45" t="str">
        <f t="shared" ref="N20:N24" si="9">HYPERLINK("twitter.com/UHCougarSB","@UHCougarSB")</f>
        <v>@UHCougarSB</v>
      </c>
      <c r="O20" s="46" t="str">
        <f t="shared" ref="O20:O24" si="10">HYPERLINK("https://college.jumpforward.com/questionnaire.aspx?iid=528&amp;sportid=31","Questionnaire")</f>
        <v>Questionnaire</v>
      </c>
      <c r="P20" s="7" t="s">
        <v>287</v>
      </c>
      <c r="Q20" s="47" t="s">
        <v>280</v>
      </c>
      <c r="R20" s="48" t="s">
        <v>287</v>
      </c>
      <c r="S20" s="48" t="s">
        <v>288</v>
      </c>
      <c r="T20" s="49" t="s">
        <v>74</v>
      </c>
      <c r="U20" s="49" t="s">
        <v>75</v>
      </c>
      <c r="V20" s="48"/>
      <c r="W20" s="63" t="s">
        <v>289</v>
      </c>
      <c r="X20" s="7" t="s">
        <v>291</v>
      </c>
      <c r="Y20" s="49" t="s">
        <v>292</v>
      </c>
      <c r="Z20" s="49" t="s">
        <v>78</v>
      </c>
      <c r="AA20" s="61">
        <v>0.59</v>
      </c>
      <c r="AB20" s="48" t="s">
        <v>293</v>
      </c>
      <c r="AC20" s="62" t="s">
        <v>287</v>
      </c>
      <c r="AD20" s="53" t="str">
        <f t="shared" ref="AD20:AD24" si="11">HYPERLINK("http://www.uh.edu/academics/majors-minors/","Link")</f>
        <v>Link</v>
      </c>
      <c r="AE20" s="54">
        <v>35995</v>
      </c>
      <c r="AF20" s="54">
        <v>192</v>
      </c>
      <c r="AG20" s="55"/>
      <c r="AH20" s="56">
        <v>225511</v>
      </c>
      <c r="AI20" s="56"/>
      <c r="AJ20" s="56"/>
    </row>
    <row r="21" spans="1:36" ht="15" x14ac:dyDescent="0.2">
      <c r="A21" s="43" t="s">
        <v>64</v>
      </c>
      <c r="B21" s="33" t="s">
        <v>280</v>
      </c>
      <c r="C21" s="7" t="s">
        <v>67</v>
      </c>
      <c r="D21" s="7" t="s">
        <v>298</v>
      </c>
      <c r="E21" s="44">
        <v>5</v>
      </c>
      <c r="F21" s="7"/>
      <c r="G21" s="7"/>
      <c r="H21" s="2" t="s">
        <v>282</v>
      </c>
      <c r="I21" s="7" t="s">
        <v>306</v>
      </c>
      <c r="J21" s="7" t="s">
        <v>308</v>
      </c>
      <c r="K21" s="7" t="s">
        <v>55</v>
      </c>
      <c r="L21" s="7" t="s">
        <v>309</v>
      </c>
      <c r="M21" s="2" t="s">
        <v>286</v>
      </c>
      <c r="N21" s="45" t="str">
        <f t="shared" si="9"/>
        <v>@UHCougarSB</v>
      </c>
      <c r="O21" s="46" t="str">
        <f t="shared" si="10"/>
        <v>Questionnaire</v>
      </c>
      <c r="P21" s="7" t="s">
        <v>287</v>
      </c>
      <c r="Q21" s="47" t="s">
        <v>280</v>
      </c>
      <c r="R21" s="48" t="s">
        <v>287</v>
      </c>
      <c r="S21" s="48" t="s">
        <v>288</v>
      </c>
      <c r="T21" s="49" t="s">
        <v>74</v>
      </c>
      <c r="U21" s="49" t="s">
        <v>75</v>
      </c>
      <c r="V21" s="48"/>
      <c r="W21" s="63" t="s">
        <v>289</v>
      </c>
      <c r="X21" s="7" t="s">
        <v>291</v>
      </c>
      <c r="Y21" s="49" t="s">
        <v>292</v>
      </c>
      <c r="Z21" s="49" t="s">
        <v>78</v>
      </c>
      <c r="AA21" s="61">
        <v>0.59</v>
      </c>
      <c r="AB21" s="48" t="s">
        <v>293</v>
      </c>
      <c r="AC21" s="62" t="s">
        <v>287</v>
      </c>
      <c r="AD21" s="53" t="str">
        <f t="shared" si="11"/>
        <v>Link</v>
      </c>
      <c r="AE21" s="54">
        <v>35995</v>
      </c>
      <c r="AF21" s="54">
        <v>192</v>
      </c>
      <c r="AG21" s="55"/>
      <c r="AH21" s="56">
        <v>225511</v>
      </c>
      <c r="AI21" s="56"/>
      <c r="AJ21" s="56"/>
    </row>
    <row r="22" spans="1:36" ht="15" x14ac:dyDescent="0.2">
      <c r="A22" s="43" t="s">
        <v>64</v>
      </c>
      <c r="B22" s="33" t="s">
        <v>280</v>
      </c>
      <c r="C22" s="7" t="s">
        <v>67</v>
      </c>
      <c r="D22" s="7" t="s">
        <v>315</v>
      </c>
      <c r="E22" s="44">
        <v>5</v>
      </c>
      <c r="F22" s="7"/>
      <c r="G22" s="7"/>
      <c r="H22" s="2" t="s">
        <v>282</v>
      </c>
      <c r="I22" s="7" t="s">
        <v>316</v>
      </c>
      <c r="J22" s="7" t="s">
        <v>317</v>
      </c>
      <c r="K22" s="7" t="s">
        <v>55</v>
      </c>
      <c r="L22" s="7"/>
      <c r="M22" s="2" t="s">
        <v>286</v>
      </c>
      <c r="N22" s="45" t="str">
        <f t="shared" si="9"/>
        <v>@UHCougarSB</v>
      </c>
      <c r="O22" s="46" t="str">
        <f t="shared" si="10"/>
        <v>Questionnaire</v>
      </c>
      <c r="P22" s="7" t="s">
        <v>287</v>
      </c>
      <c r="Q22" s="47" t="s">
        <v>280</v>
      </c>
      <c r="R22" s="48" t="s">
        <v>287</v>
      </c>
      <c r="S22" s="48" t="s">
        <v>288</v>
      </c>
      <c r="T22" s="49" t="s">
        <v>74</v>
      </c>
      <c r="U22" s="49" t="s">
        <v>75</v>
      </c>
      <c r="V22" s="48"/>
      <c r="W22" s="63" t="s">
        <v>289</v>
      </c>
      <c r="X22" s="7" t="s">
        <v>291</v>
      </c>
      <c r="Y22" s="49" t="s">
        <v>292</v>
      </c>
      <c r="Z22" s="49" t="s">
        <v>78</v>
      </c>
      <c r="AA22" s="61">
        <v>0.59</v>
      </c>
      <c r="AB22" s="48" t="s">
        <v>293</v>
      </c>
      <c r="AC22" s="62" t="s">
        <v>287</v>
      </c>
      <c r="AD22" s="53" t="str">
        <f t="shared" si="11"/>
        <v>Link</v>
      </c>
      <c r="AE22" s="54">
        <v>35995</v>
      </c>
      <c r="AF22" s="54">
        <v>192</v>
      </c>
      <c r="AG22" s="55"/>
      <c r="AH22" s="56">
        <v>225511</v>
      </c>
      <c r="AI22" s="56"/>
      <c r="AJ22" s="56"/>
    </row>
    <row r="23" spans="1:36" ht="15" x14ac:dyDescent="0.2">
      <c r="A23" s="43" t="s">
        <v>64</v>
      </c>
      <c r="B23" s="33" t="s">
        <v>280</v>
      </c>
      <c r="C23" s="7" t="s">
        <v>67</v>
      </c>
      <c r="D23" s="7" t="s">
        <v>321</v>
      </c>
      <c r="E23" s="44">
        <v>5</v>
      </c>
      <c r="F23" s="7"/>
      <c r="G23" s="7"/>
      <c r="H23" s="2" t="s">
        <v>282</v>
      </c>
      <c r="I23" s="7" t="s">
        <v>322</v>
      </c>
      <c r="J23" s="7" t="s">
        <v>323</v>
      </c>
      <c r="K23" s="7" t="s">
        <v>139</v>
      </c>
      <c r="L23" s="7" t="s">
        <v>324</v>
      </c>
      <c r="M23" s="2" t="s">
        <v>286</v>
      </c>
      <c r="N23" s="45" t="str">
        <f t="shared" si="9"/>
        <v>@UHCougarSB</v>
      </c>
      <c r="O23" s="46" t="str">
        <f t="shared" si="10"/>
        <v>Questionnaire</v>
      </c>
      <c r="P23" s="7" t="s">
        <v>287</v>
      </c>
      <c r="Q23" s="47" t="s">
        <v>280</v>
      </c>
      <c r="R23" s="48" t="s">
        <v>287</v>
      </c>
      <c r="S23" s="48" t="s">
        <v>288</v>
      </c>
      <c r="T23" s="49" t="s">
        <v>74</v>
      </c>
      <c r="U23" s="49" t="s">
        <v>75</v>
      </c>
      <c r="V23" s="48"/>
      <c r="W23" s="63" t="s">
        <v>289</v>
      </c>
      <c r="X23" s="7" t="s">
        <v>291</v>
      </c>
      <c r="Y23" s="49" t="s">
        <v>292</v>
      </c>
      <c r="Z23" s="49" t="s">
        <v>78</v>
      </c>
      <c r="AA23" s="61">
        <v>0.59</v>
      </c>
      <c r="AB23" s="48" t="s">
        <v>293</v>
      </c>
      <c r="AC23" s="62" t="s">
        <v>287</v>
      </c>
      <c r="AD23" s="53" t="str">
        <f t="shared" si="11"/>
        <v>Link</v>
      </c>
      <c r="AE23" s="54">
        <v>35995</v>
      </c>
      <c r="AF23" s="54">
        <v>192</v>
      </c>
      <c r="AG23" s="55"/>
      <c r="AH23" s="56">
        <v>225511</v>
      </c>
      <c r="AI23" s="56"/>
      <c r="AJ23" s="56"/>
    </row>
    <row r="24" spans="1:36" ht="15" x14ac:dyDescent="0.2">
      <c r="A24" s="43" t="s">
        <v>64</v>
      </c>
      <c r="B24" s="33" t="s">
        <v>280</v>
      </c>
      <c r="C24" s="7" t="s">
        <v>67</v>
      </c>
      <c r="D24" s="7" t="s">
        <v>333</v>
      </c>
      <c r="E24" s="44">
        <v>5</v>
      </c>
      <c r="F24" s="7"/>
      <c r="G24" s="7"/>
      <c r="H24" s="2" t="s">
        <v>282</v>
      </c>
      <c r="I24" s="7" t="s">
        <v>334</v>
      </c>
      <c r="J24" s="7" t="s">
        <v>335</v>
      </c>
      <c r="K24" s="7" t="s">
        <v>154</v>
      </c>
      <c r="L24" s="7" t="s">
        <v>336</v>
      </c>
      <c r="M24" s="2" t="s">
        <v>286</v>
      </c>
      <c r="N24" s="45" t="str">
        <f t="shared" si="9"/>
        <v>@UHCougarSB</v>
      </c>
      <c r="O24" s="46" t="str">
        <f t="shared" si="10"/>
        <v>Questionnaire</v>
      </c>
      <c r="P24" s="7" t="s">
        <v>287</v>
      </c>
      <c r="Q24" s="47" t="s">
        <v>280</v>
      </c>
      <c r="R24" s="48" t="s">
        <v>287</v>
      </c>
      <c r="S24" s="48" t="s">
        <v>288</v>
      </c>
      <c r="T24" s="49" t="s">
        <v>74</v>
      </c>
      <c r="U24" s="49" t="s">
        <v>75</v>
      </c>
      <c r="V24" s="48"/>
      <c r="W24" s="63" t="s">
        <v>289</v>
      </c>
      <c r="X24" s="7" t="s">
        <v>291</v>
      </c>
      <c r="Y24" s="49" t="s">
        <v>292</v>
      </c>
      <c r="Z24" s="49" t="s">
        <v>78</v>
      </c>
      <c r="AA24" s="61">
        <v>0.59</v>
      </c>
      <c r="AB24" s="48" t="s">
        <v>293</v>
      </c>
      <c r="AC24" s="62" t="s">
        <v>287</v>
      </c>
      <c r="AD24" s="53" t="str">
        <f t="shared" si="11"/>
        <v>Link</v>
      </c>
      <c r="AE24" s="54">
        <v>35995</v>
      </c>
      <c r="AF24" s="54">
        <v>192</v>
      </c>
      <c r="AG24" s="55"/>
      <c r="AH24" s="56">
        <v>225511</v>
      </c>
      <c r="AI24" s="56"/>
      <c r="AJ24" s="56"/>
    </row>
    <row r="25" spans="1:36" ht="15" x14ac:dyDescent="0.2">
      <c r="A25" s="43" t="s">
        <v>64</v>
      </c>
      <c r="B25" s="33" t="s">
        <v>346</v>
      </c>
      <c r="C25" s="7" t="s">
        <v>67</v>
      </c>
      <c r="D25" s="7" t="s">
        <v>347</v>
      </c>
      <c r="E25" s="44">
        <v>5</v>
      </c>
      <c r="F25" s="7"/>
      <c r="G25" s="7"/>
      <c r="H25" s="2" t="s">
        <v>348</v>
      </c>
      <c r="I25" s="7" t="s">
        <v>349</v>
      </c>
      <c r="J25" s="7" t="s">
        <v>350</v>
      </c>
      <c r="K25" s="7" t="s">
        <v>48</v>
      </c>
      <c r="L25" s="7" t="s">
        <v>351</v>
      </c>
      <c r="M25" s="7"/>
      <c r="N25" s="45" t="s">
        <v>352</v>
      </c>
      <c r="O25" s="57" t="s">
        <v>22</v>
      </c>
      <c r="P25" s="7" t="s">
        <v>353</v>
      </c>
      <c r="Q25" s="47" t="s">
        <v>346</v>
      </c>
      <c r="R25" s="48" t="s">
        <v>353</v>
      </c>
      <c r="S25" s="48" t="s">
        <v>354</v>
      </c>
      <c r="T25" s="49" t="s">
        <v>74</v>
      </c>
      <c r="U25" s="49" t="s">
        <v>75</v>
      </c>
      <c r="V25" s="48"/>
      <c r="W25" s="50">
        <v>3.42</v>
      </c>
      <c r="X25" s="7" t="s">
        <v>355</v>
      </c>
      <c r="Y25" s="49" t="s">
        <v>356</v>
      </c>
      <c r="Z25" s="49" t="s">
        <v>357</v>
      </c>
      <c r="AA25" s="61">
        <v>0.56999999999999995</v>
      </c>
      <c r="AB25" s="48" t="s">
        <v>358</v>
      </c>
      <c r="AC25" s="52" t="s">
        <v>353</v>
      </c>
      <c r="AD25" s="53" t="str">
        <f t="shared" ref="AD25:AD28" si="12">HYPERLINK("http://www.memphis.edu/academics/ugmajors.php","Link")</f>
        <v>Link</v>
      </c>
      <c r="AE25" s="54">
        <v>17183</v>
      </c>
      <c r="AF25" s="55"/>
      <c r="AG25" s="55"/>
      <c r="AH25" s="56">
        <v>220862</v>
      </c>
      <c r="AI25" s="56"/>
      <c r="AJ25" s="56"/>
    </row>
    <row r="26" spans="1:36" ht="15" x14ac:dyDescent="0.2">
      <c r="A26" s="43" t="s">
        <v>64</v>
      </c>
      <c r="B26" s="33" t="s">
        <v>346</v>
      </c>
      <c r="C26" s="7" t="s">
        <v>67</v>
      </c>
      <c r="D26" s="7" t="s">
        <v>368</v>
      </c>
      <c r="E26" s="44">
        <v>5</v>
      </c>
      <c r="F26" s="7"/>
      <c r="G26" s="7"/>
      <c r="H26" s="2" t="s">
        <v>348</v>
      </c>
      <c r="I26" s="7" t="s">
        <v>369</v>
      </c>
      <c r="J26" s="7" t="s">
        <v>370</v>
      </c>
      <c r="K26" s="7" t="s">
        <v>55</v>
      </c>
      <c r="L26" s="7" t="s">
        <v>371</v>
      </c>
      <c r="M26" s="7" t="s">
        <v>372</v>
      </c>
      <c r="N26" s="45" t="s">
        <v>373</v>
      </c>
      <c r="O26" s="57" t="s">
        <v>22</v>
      </c>
      <c r="P26" s="7" t="s">
        <v>353</v>
      </c>
      <c r="Q26" s="47" t="s">
        <v>346</v>
      </c>
      <c r="R26" s="48" t="s">
        <v>353</v>
      </c>
      <c r="S26" s="48" t="s">
        <v>354</v>
      </c>
      <c r="T26" s="49" t="s">
        <v>74</v>
      </c>
      <c r="U26" s="49" t="s">
        <v>75</v>
      </c>
      <c r="V26" s="48"/>
      <c r="W26" s="50">
        <v>3.42</v>
      </c>
      <c r="X26" s="7" t="s">
        <v>355</v>
      </c>
      <c r="Y26" s="49" t="s">
        <v>356</v>
      </c>
      <c r="Z26" s="49" t="s">
        <v>357</v>
      </c>
      <c r="AA26" s="61">
        <v>0.56999999999999995</v>
      </c>
      <c r="AB26" s="48" t="s">
        <v>358</v>
      </c>
      <c r="AC26" s="52" t="s">
        <v>353</v>
      </c>
      <c r="AD26" s="53" t="str">
        <f t="shared" si="12"/>
        <v>Link</v>
      </c>
      <c r="AE26" s="54">
        <v>17183</v>
      </c>
      <c r="AF26" s="55"/>
      <c r="AG26" s="55"/>
      <c r="AH26" s="56">
        <v>220862</v>
      </c>
      <c r="AI26" s="56"/>
      <c r="AJ26" s="56"/>
    </row>
    <row r="27" spans="1:36" ht="15" x14ac:dyDescent="0.2">
      <c r="A27" s="43" t="s">
        <v>64</v>
      </c>
      <c r="B27" s="33" t="s">
        <v>346</v>
      </c>
      <c r="C27" s="7" t="s">
        <v>67</v>
      </c>
      <c r="D27" s="7" t="s">
        <v>384</v>
      </c>
      <c r="E27" s="44">
        <v>5</v>
      </c>
      <c r="F27" s="7"/>
      <c r="G27" s="7"/>
      <c r="H27" s="2" t="s">
        <v>348</v>
      </c>
      <c r="I27" s="7" t="s">
        <v>385</v>
      </c>
      <c r="J27" s="7" t="s">
        <v>386</v>
      </c>
      <c r="K27" s="7" t="s">
        <v>55</v>
      </c>
      <c r="L27" s="7" t="s">
        <v>387</v>
      </c>
      <c r="M27" s="7"/>
      <c r="N27" s="45" t="str">
        <f t="shared" ref="N27:N28" si="13">HYPERLINK("twitter.com/@MemphisSoftball","@MemphisSoftball")</f>
        <v>@MemphisSoftball</v>
      </c>
      <c r="O27" s="57" t="s">
        <v>22</v>
      </c>
      <c r="P27" s="7" t="s">
        <v>353</v>
      </c>
      <c r="Q27" s="47" t="s">
        <v>346</v>
      </c>
      <c r="R27" s="48" t="s">
        <v>353</v>
      </c>
      <c r="S27" s="48" t="s">
        <v>354</v>
      </c>
      <c r="T27" s="49" t="s">
        <v>74</v>
      </c>
      <c r="U27" s="49" t="s">
        <v>75</v>
      </c>
      <c r="V27" s="48"/>
      <c r="W27" s="50">
        <v>3.42</v>
      </c>
      <c r="X27" s="7" t="s">
        <v>355</v>
      </c>
      <c r="Y27" s="49" t="s">
        <v>356</v>
      </c>
      <c r="Z27" s="49" t="s">
        <v>357</v>
      </c>
      <c r="AA27" s="61">
        <v>0.56999999999999995</v>
      </c>
      <c r="AB27" s="48" t="s">
        <v>358</v>
      </c>
      <c r="AC27" s="52" t="s">
        <v>353</v>
      </c>
      <c r="AD27" s="53" t="str">
        <f t="shared" si="12"/>
        <v>Link</v>
      </c>
      <c r="AE27" s="54">
        <v>17183</v>
      </c>
      <c r="AF27" s="55"/>
      <c r="AG27" s="55"/>
      <c r="AH27" s="56">
        <v>220862</v>
      </c>
      <c r="AI27" s="56"/>
      <c r="AJ27" s="56"/>
    </row>
    <row r="28" spans="1:36" ht="15" x14ac:dyDescent="0.2">
      <c r="A28" s="43" t="s">
        <v>64</v>
      </c>
      <c r="B28" s="33" t="s">
        <v>346</v>
      </c>
      <c r="C28" s="7" t="s">
        <v>67</v>
      </c>
      <c r="D28" s="7" t="s">
        <v>395</v>
      </c>
      <c r="E28" s="44">
        <v>5</v>
      </c>
      <c r="F28" s="7"/>
      <c r="G28" s="7" t="s">
        <v>126</v>
      </c>
      <c r="H28" s="2" t="s">
        <v>348</v>
      </c>
      <c r="I28" s="7" t="s">
        <v>399</v>
      </c>
      <c r="J28" s="7"/>
      <c r="K28" s="7"/>
      <c r="L28" s="7"/>
      <c r="M28" s="7"/>
      <c r="N28" s="45" t="str">
        <f t="shared" si="13"/>
        <v>@MemphisSoftball</v>
      </c>
      <c r="O28" s="57" t="s">
        <v>22</v>
      </c>
      <c r="P28" s="7" t="s">
        <v>353</v>
      </c>
      <c r="Q28" s="47" t="s">
        <v>346</v>
      </c>
      <c r="R28" s="48" t="s">
        <v>353</v>
      </c>
      <c r="S28" s="48" t="s">
        <v>354</v>
      </c>
      <c r="T28" s="49" t="s">
        <v>74</v>
      </c>
      <c r="U28" s="49" t="s">
        <v>75</v>
      </c>
      <c r="V28" s="48"/>
      <c r="W28" s="50">
        <v>3.42</v>
      </c>
      <c r="X28" s="7" t="s">
        <v>355</v>
      </c>
      <c r="Y28" s="49" t="s">
        <v>356</v>
      </c>
      <c r="Z28" s="49" t="s">
        <v>357</v>
      </c>
      <c r="AA28" s="61">
        <v>0.56999999999999995</v>
      </c>
      <c r="AB28" s="48" t="s">
        <v>358</v>
      </c>
      <c r="AC28" s="52" t="s">
        <v>353</v>
      </c>
      <c r="AD28" s="53" t="str">
        <f t="shared" si="12"/>
        <v>Link</v>
      </c>
      <c r="AE28" s="54">
        <v>17183</v>
      </c>
      <c r="AF28" s="55"/>
      <c r="AG28" s="55"/>
      <c r="AH28" s="56">
        <v>220862</v>
      </c>
      <c r="AI28" s="56"/>
      <c r="AJ28" s="56"/>
    </row>
    <row r="29" spans="1:36" ht="15" x14ac:dyDescent="0.2">
      <c r="A29" s="43" t="s">
        <v>64</v>
      </c>
      <c r="B29" s="33" t="s">
        <v>66</v>
      </c>
      <c r="C29" s="7" t="s">
        <v>67</v>
      </c>
      <c r="D29" s="7" t="s">
        <v>400</v>
      </c>
      <c r="E29" s="44">
        <v>5</v>
      </c>
      <c r="F29" s="7"/>
      <c r="G29" s="7"/>
      <c r="H29" s="2" t="s">
        <v>401</v>
      </c>
      <c r="I29" s="7" t="s">
        <v>402</v>
      </c>
      <c r="J29" s="7" t="s">
        <v>403</v>
      </c>
      <c r="K29" s="7" t="s">
        <v>48</v>
      </c>
      <c r="L29" s="7" t="s">
        <v>404</v>
      </c>
      <c r="M29" s="7" t="s">
        <v>406</v>
      </c>
      <c r="N29" s="45" t="str">
        <f t="shared" ref="N29:N33" si="14">HYPERLINK("twitter.com/USFSoftball","@USFSoftball")</f>
        <v>@USFSoftball</v>
      </c>
      <c r="O29" s="46" t="str">
        <f t="shared" ref="O29:O33" si="15">HYPERLINK("https://gousfbulls.com/sb_output.aspx?form=3","Questionnaire")</f>
        <v>Questionnaire</v>
      </c>
      <c r="P29" s="7" t="s">
        <v>413</v>
      </c>
      <c r="Q29" s="47" t="s">
        <v>66</v>
      </c>
      <c r="R29" s="48" t="s">
        <v>414</v>
      </c>
      <c r="S29" s="48" t="s">
        <v>354</v>
      </c>
      <c r="T29" s="49" t="s">
        <v>74</v>
      </c>
      <c r="U29" s="49" t="s">
        <v>75</v>
      </c>
      <c r="V29" s="48"/>
      <c r="W29" s="50">
        <v>3.89</v>
      </c>
      <c r="X29" s="7" t="s">
        <v>415</v>
      </c>
      <c r="Y29" s="49" t="s">
        <v>85</v>
      </c>
      <c r="Z29" s="49" t="s">
        <v>87</v>
      </c>
      <c r="AA29" s="61">
        <v>0.47</v>
      </c>
      <c r="AB29" s="48" t="s">
        <v>416</v>
      </c>
      <c r="AC29" s="62" t="s">
        <v>413</v>
      </c>
      <c r="AD29" s="53" t="str">
        <f t="shared" ref="AD29:AD33" si="16">HYPERLINK("https://usfweb.usf.edu/academics/undergraduate-majors.aspx","Link")</f>
        <v>Link</v>
      </c>
      <c r="AE29" s="54">
        <v>31461</v>
      </c>
      <c r="AF29" s="54">
        <v>140</v>
      </c>
      <c r="AG29" s="55"/>
      <c r="AH29" s="56">
        <v>137351</v>
      </c>
      <c r="AI29" s="56"/>
      <c r="AJ29" s="56"/>
    </row>
    <row r="30" spans="1:36" ht="15" x14ac:dyDescent="0.2">
      <c r="A30" s="43" t="s">
        <v>64</v>
      </c>
      <c r="B30" s="33" t="s">
        <v>66</v>
      </c>
      <c r="C30" s="7" t="s">
        <v>67</v>
      </c>
      <c r="D30" s="7" t="s">
        <v>422</v>
      </c>
      <c r="E30" s="44">
        <v>5</v>
      </c>
      <c r="F30" s="7"/>
      <c r="G30" s="7"/>
      <c r="H30" s="2" t="s">
        <v>401</v>
      </c>
      <c r="I30" s="7" t="s">
        <v>201</v>
      </c>
      <c r="J30" s="7" t="s">
        <v>423</v>
      </c>
      <c r="K30" s="7" t="s">
        <v>55</v>
      </c>
      <c r="L30" s="7" t="s">
        <v>424</v>
      </c>
      <c r="M30" s="7" t="s">
        <v>425</v>
      </c>
      <c r="N30" s="45" t="str">
        <f t="shared" si="14"/>
        <v>@USFSoftball</v>
      </c>
      <c r="O30" s="46" t="str">
        <f t="shared" si="15"/>
        <v>Questionnaire</v>
      </c>
      <c r="P30" s="7" t="s">
        <v>413</v>
      </c>
      <c r="Q30" s="47" t="s">
        <v>66</v>
      </c>
      <c r="R30" s="48" t="s">
        <v>414</v>
      </c>
      <c r="S30" s="48" t="s">
        <v>354</v>
      </c>
      <c r="T30" s="49" t="s">
        <v>74</v>
      </c>
      <c r="U30" s="49" t="s">
        <v>75</v>
      </c>
      <c r="V30" s="48"/>
      <c r="W30" s="50">
        <v>3.89</v>
      </c>
      <c r="X30" s="7" t="s">
        <v>415</v>
      </c>
      <c r="Y30" s="49" t="s">
        <v>85</v>
      </c>
      <c r="Z30" s="49" t="s">
        <v>87</v>
      </c>
      <c r="AA30" s="61">
        <v>0.47</v>
      </c>
      <c r="AB30" s="48" t="s">
        <v>416</v>
      </c>
      <c r="AC30" s="62" t="s">
        <v>413</v>
      </c>
      <c r="AD30" s="53" t="str">
        <f t="shared" si="16"/>
        <v>Link</v>
      </c>
      <c r="AE30" s="54">
        <v>31461</v>
      </c>
      <c r="AF30" s="54">
        <v>140</v>
      </c>
      <c r="AG30" s="55"/>
      <c r="AH30" s="56">
        <v>137351</v>
      </c>
      <c r="AI30" s="56"/>
      <c r="AJ30" s="56"/>
    </row>
    <row r="31" spans="1:36" ht="15" x14ac:dyDescent="0.2">
      <c r="A31" s="43" t="s">
        <v>64</v>
      </c>
      <c r="B31" s="33" t="s">
        <v>66</v>
      </c>
      <c r="C31" s="7" t="s">
        <v>67</v>
      </c>
      <c r="D31" s="7" t="s">
        <v>434</v>
      </c>
      <c r="E31" s="44">
        <v>5</v>
      </c>
      <c r="F31" s="7"/>
      <c r="G31" s="7"/>
      <c r="H31" s="2" t="s">
        <v>401</v>
      </c>
      <c r="I31" s="7" t="s">
        <v>435</v>
      </c>
      <c r="J31" s="7" t="s">
        <v>437</v>
      </c>
      <c r="K31" s="7" t="s">
        <v>139</v>
      </c>
      <c r="L31" s="7" t="s">
        <v>438</v>
      </c>
      <c r="M31" s="7"/>
      <c r="N31" s="45" t="str">
        <f t="shared" si="14"/>
        <v>@USFSoftball</v>
      </c>
      <c r="O31" s="46" t="str">
        <f t="shared" si="15"/>
        <v>Questionnaire</v>
      </c>
      <c r="P31" s="7" t="s">
        <v>413</v>
      </c>
      <c r="Q31" s="47" t="s">
        <v>66</v>
      </c>
      <c r="R31" s="48" t="s">
        <v>414</v>
      </c>
      <c r="S31" s="48" t="s">
        <v>354</v>
      </c>
      <c r="T31" s="49" t="s">
        <v>74</v>
      </c>
      <c r="U31" s="49" t="s">
        <v>75</v>
      </c>
      <c r="V31" s="48"/>
      <c r="W31" s="50">
        <v>3.89</v>
      </c>
      <c r="X31" s="7" t="s">
        <v>415</v>
      </c>
      <c r="Y31" s="49" t="s">
        <v>85</v>
      </c>
      <c r="Z31" s="49" t="s">
        <v>87</v>
      </c>
      <c r="AA31" s="61">
        <v>0.47</v>
      </c>
      <c r="AB31" s="48" t="s">
        <v>416</v>
      </c>
      <c r="AC31" s="62" t="s">
        <v>413</v>
      </c>
      <c r="AD31" s="53" t="str">
        <f t="shared" si="16"/>
        <v>Link</v>
      </c>
      <c r="AE31" s="54">
        <v>31461</v>
      </c>
      <c r="AF31" s="54">
        <v>140</v>
      </c>
      <c r="AG31" s="55"/>
      <c r="AH31" s="56">
        <v>137351</v>
      </c>
      <c r="AI31" s="56"/>
      <c r="AJ31" s="56"/>
    </row>
    <row r="32" spans="1:36" ht="15" x14ac:dyDescent="0.2">
      <c r="A32" s="43" t="s">
        <v>64</v>
      </c>
      <c r="B32" s="33" t="s">
        <v>66</v>
      </c>
      <c r="C32" s="7" t="s">
        <v>67</v>
      </c>
      <c r="D32" s="7" t="s">
        <v>441</v>
      </c>
      <c r="E32" s="44">
        <v>5</v>
      </c>
      <c r="F32" s="7" t="s">
        <v>116</v>
      </c>
      <c r="G32" s="7"/>
      <c r="H32" s="2" t="s">
        <v>401</v>
      </c>
      <c r="I32" s="7" t="s">
        <v>442</v>
      </c>
      <c r="J32" s="7" t="s">
        <v>443</v>
      </c>
      <c r="K32" s="7" t="s">
        <v>55</v>
      </c>
      <c r="L32" s="57" t="s">
        <v>444</v>
      </c>
      <c r="M32" s="57"/>
      <c r="N32" s="45" t="str">
        <f t="shared" si="14"/>
        <v>@USFSoftball</v>
      </c>
      <c r="O32" s="46" t="str">
        <f t="shared" si="15"/>
        <v>Questionnaire</v>
      </c>
      <c r="P32" s="7" t="s">
        <v>413</v>
      </c>
      <c r="Q32" s="47" t="s">
        <v>66</v>
      </c>
      <c r="R32" s="48" t="s">
        <v>414</v>
      </c>
      <c r="S32" s="48" t="s">
        <v>354</v>
      </c>
      <c r="T32" s="49" t="s">
        <v>74</v>
      </c>
      <c r="U32" s="49" t="s">
        <v>75</v>
      </c>
      <c r="V32" s="48"/>
      <c r="W32" s="50">
        <v>3.89</v>
      </c>
      <c r="X32" s="7" t="s">
        <v>415</v>
      </c>
      <c r="Y32" s="49" t="s">
        <v>85</v>
      </c>
      <c r="Z32" s="49" t="s">
        <v>87</v>
      </c>
      <c r="AA32" s="61">
        <v>0.47</v>
      </c>
      <c r="AB32" s="48" t="s">
        <v>416</v>
      </c>
      <c r="AC32" s="62" t="s">
        <v>413</v>
      </c>
      <c r="AD32" s="53" t="str">
        <f t="shared" si="16"/>
        <v>Link</v>
      </c>
      <c r="AE32" s="54">
        <v>31461</v>
      </c>
      <c r="AF32" s="54">
        <v>140</v>
      </c>
      <c r="AG32" s="55"/>
      <c r="AH32" s="56">
        <v>137351</v>
      </c>
      <c r="AI32" s="56"/>
      <c r="AJ32" s="56"/>
    </row>
    <row r="33" spans="1:36" ht="15" x14ac:dyDescent="0.2">
      <c r="A33" s="43" t="s">
        <v>64</v>
      </c>
      <c r="B33" s="33" t="s">
        <v>66</v>
      </c>
      <c r="C33" s="7" t="s">
        <v>67</v>
      </c>
      <c r="D33" s="7" t="s">
        <v>457</v>
      </c>
      <c r="E33" s="44">
        <v>5</v>
      </c>
      <c r="F33" s="7"/>
      <c r="G33" s="7"/>
      <c r="H33" s="2" t="s">
        <v>401</v>
      </c>
      <c r="I33" s="7" t="s">
        <v>458</v>
      </c>
      <c r="J33" s="7" t="s">
        <v>459</v>
      </c>
      <c r="K33" s="7" t="s">
        <v>55</v>
      </c>
      <c r="L33" s="7" t="s">
        <v>461</v>
      </c>
      <c r="M33" s="7" t="s">
        <v>425</v>
      </c>
      <c r="N33" s="45" t="str">
        <f t="shared" si="14"/>
        <v>@USFSoftball</v>
      </c>
      <c r="O33" s="46" t="str">
        <f t="shared" si="15"/>
        <v>Questionnaire</v>
      </c>
      <c r="P33" s="7" t="s">
        <v>413</v>
      </c>
      <c r="Q33" s="47" t="s">
        <v>66</v>
      </c>
      <c r="R33" s="48" t="s">
        <v>414</v>
      </c>
      <c r="S33" s="48" t="s">
        <v>354</v>
      </c>
      <c r="T33" s="49" t="s">
        <v>74</v>
      </c>
      <c r="U33" s="49" t="s">
        <v>75</v>
      </c>
      <c r="V33" s="48"/>
      <c r="W33" s="50">
        <v>3.89</v>
      </c>
      <c r="X33" s="7" t="s">
        <v>415</v>
      </c>
      <c r="Y33" s="49" t="s">
        <v>85</v>
      </c>
      <c r="Z33" s="49" t="s">
        <v>87</v>
      </c>
      <c r="AA33" s="61">
        <v>0.47</v>
      </c>
      <c r="AB33" s="48" t="s">
        <v>416</v>
      </c>
      <c r="AC33" s="62" t="s">
        <v>413</v>
      </c>
      <c r="AD33" s="53" t="str">
        <f t="shared" si="16"/>
        <v>Link</v>
      </c>
      <c r="AE33" s="54">
        <v>31461</v>
      </c>
      <c r="AF33" s="54">
        <v>140</v>
      </c>
      <c r="AG33" s="55"/>
      <c r="AH33" s="56">
        <v>137351</v>
      </c>
      <c r="AI33" s="56"/>
      <c r="AJ33" s="56"/>
    </row>
    <row r="34" spans="1:36" ht="13" x14ac:dyDescent="0.15">
      <c r="A34" s="64" t="s">
        <v>64</v>
      </c>
      <c r="B34" s="2" t="s">
        <v>472</v>
      </c>
      <c r="C34" s="7" t="s">
        <v>67</v>
      </c>
      <c r="D34" s="7" t="s">
        <v>473</v>
      </c>
      <c r="E34" s="44">
        <v>5</v>
      </c>
      <c r="F34" s="7"/>
      <c r="G34" s="7"/>
      <c r="H34" s="2" t="s">
        <v>474</v>
      </c>
      <c r="I34" s="7" t="s">
        <v>475</v>
      </c>
      <c r="J34" s="7" t="s">
        <v>476</v>
      </c>
      <c r="K34" s="7" t="s">
        <v>48</v>
      </c>
      <c r="L34" s="7" t="s">
        <v>477</v>
      </c>
      <c r="M34" s="7" t="s">
        <v>478</v>
      </c>
      <c r="N34" s="45" t="str">
        <f t="shared" ref="N34:N37" si="17">HYPERLINK("twitter.com/tulsasoftball","@tulsasoftball")</f>
        <v>@tulsasoftball</v>
      </c>
      <c r="O34" s="46" t="str">
        <f t="shared" ref="O34:O37" si="18">HYPERLINK("https://tulsahurricane.com/sports/2015/6/4/comp_0604151035.aspx","Questionnaire")</f>
        <v>Questionnaire</v>
      </c>
      <c r="P34" s="7" t="s">
        <v>483</v>
      </c>
      <c r="Q34" s="47" t="s">
        <v>472</v>
      </c>
      <c r="R34" s="48" t="s">
        <v>483</v>
      </c>
      <c r="S34" s="48" t="s">
        <v>354</v>
      </c>
      <c r="T34" s="49" t="s">
        <v>63</v>
      </c>
      <c r="U34" s="4" t="s">
        <v>248</v>
      </c>
      <c r="V34" s="48"/>
      <c r="W34" s="50">
        <v>3.9</v>
      </c>
      <c r="X34" s="7" t="s">
        <v>189</v>
      </c>
      <c r="Y34" s="49" t="s">
        <v>487</v>
      </c>
      <c r="Z34" s="49" t="s">
        <v>488</v>
      </c>
      <c r="AA34" s="65">
        <v>0.37</v>
      </c>
      <c r="AB34" s="39">
        <v>58349</v>
      </c>
      <c r="AC34" s="66" t="s">
        <v>483</v>
      </c>
      <c r="AD34" s="67" t="str">
        <f t="shared" ref="AD34:AD37" si="19">HYPERLINK("https://utulsa.edu/degrees/","Link")</f>
        <v>Link</v>
      </c>
      <c r="AE34" s="54">
        <v>3406</v>
      </c>
      <c r="AF34" s="54">
        <v>87</v>
      </c>
      <c r="AG34" s="55"/>
      <c r="AH34" s="56">
        <v>207971</v>
      </c>
      <c r="AI34" s="56"/>
      <c r="AJ34" s="56"/>
    </row>
    <row r="35" spans="1:36" ht="13" x14ac:dyDescent="0.15">
      <c r="A35" s="64" t="s">
        <v>64</v>
      </c>
      <c r="B35" s="2" t="s">
        <v>472</v>
      </c>
      <c r="C35" s="7" t="s">
        <v>67</v>
      </c>
      <c r="D35" s="7" t="s">
        <v>492</v>
      </c>
      <c r="E35" s="44">
        <v>5</v>
      </c>
      <c r="F35" s="7"/>
      <c r="G35" s="7"/>
      <c r="H35" s="2" t="s">
        <v>474</v>
      </c>
      <c r="I35" s="7" t="s">
        <v>493</v>
      </c>
      <c r="J35" s="7" t="s">
        <v>494</v>
      </c>
      <c r="K35" s="7" t="s">
        <v>55</v>
      </c>
      <c r="L35" s="7" t="s">
        <v>495</v>
      </c>
      <c r="M35" s="7" t="s">
        <v>496</v>
      </c>
      <c r="N35" s="45" t="str">
        <f t="shared" si="17"/>
        <v>@tulsasoftball</v>
      </c>
      <c r="O35" s="46" t="str">
        <f t="shared" si="18"/>
        <v>Questionnaire</v>
      </c>
      <c r="P35" s="7" t="s">
        <v>483</v>
      </c>
      <c r="Q35" s="47" t="s">
        <v>472</v>
      </c>
      <c r="R35" s="48" t="s">
        <v>483</v>
      </c>
      <c r="S35" s="48" t="s">
        <v>354</v>
      </c>
      <c r="T35" s="49" t="s">
        <v>63</v>
      </c>
      <c r="U35" s="4" t="s">
        <v>248</v>
      </c>
      <c r="V35" s="48"/>
      <c r="W35" s="50">
        <v>3.9</v>
      </c>
      <c r="X35" s="7" t="s">
        <v>189</v>
      </c>
      <c r="Y35" s="49" t="s">
        <v>487</v>
      </c>
      <c r="Z35" s="49" t="s">
        <v>488</v>
      </c>
      <c r="AA35" s="65">
        <v>0.37</v>
      </c>
      <c r="AB35" s="39">
        <v>58349</v>
      </c>
      <c r="AC35" s="66" t="s">
        <v>483</v>
      </c>
      <c r="AD35" s="67" t="str">
        <f t="shared" si="19"/>
        <v>Link</v>
      </c>
      <c r="AE35" s="54">
        <v>3406</v>
      </c>
      <c r="AF35" s="54">
        <v>87</v>
      </c>
      <c r="AG35" s="55"/>
      <c r="AH35" s="56">
        <v>207971</v>
      </c>
      <c r="AI35" s="56"/>
      <c r="AJ35" s="56"/>
    </row>
    <row r="36" spans="1:36" ht="13" x14ac:dyDescent="0.15">
      <c r="A36" s="64" t="s">
        <v>64</v>
      </c>
      <c r="B36" s="2" t="s">
        <v>472</v>
      </c>
      <c r="C36" s="7" t="s">
        <v>67</v>
      </c>
      <c r="D36" s="7" t="s">
        <v>507</v>
      </c>
      <c r="E36" s="44">
        <v>5</v>
      </c>
      <c r="F36" s="7"/>
      <c r="G36" s="7"/>
      <c r="H36" s="2" t="s">
        <v>474</v>
      </c>
      <c r="I36" s="7" t="s">
        <v>508</v>
      </c>
      <c r="J36" s="7" t="s">
        <v>509</v>
      </c>
      <c r="K36" s="7" t="s">
        <v>55</v>
      </c>
      <c r="L36" s="7" t="s">
        <v>510</v>
      </c>
      <c r="M36" s="7"/>
      <c r="N36" s="45" t="str">
        <f t="shared" si="17"/>
        <v>@tulsasoftball</v>
      </c>
      <c r="O36" s="46" t="str">
        <f t="shared" si="18"/>
        <v>Questionnaire</v>
      </c>
      <c r="P36" s="7" t="s">
        <v>483</v>
      </c>
      <c r="Q36" s="47" t="s">
        <v>472</v>
      </c>
      <c r="R36" s="48" t="s">
        <v>483</v>
      </c>
      <c r="S36" s="48" t="s">
        <v>354</v>
      </c>
      <c r="T36" s="49" t="s">
        <v>63</v>
      </c>
      <c r="U36" s="4" t="s">
        <v>248</v>
      </c>
      <c r="V36" s="48"/>
      <c r="W36" s="50">
        <v>3.9</v>
      </c>
      <c r="X36" s="7" t="s">
        <v>189</v>
      </c>
      <c r="Y36" s="49" t="s">
        <v>487</v>
      </c>
      <c r="Z36" s="49" t="s">
        <v>488</v>
      </c>
      <c r="AA36" s="65">
        <v>0.37</v>
      </c>
      <c r="AB36" s="39">
        <v>58349</v>
      </c>
      <c r="AC36" s="66" t="s">
        <v>483</v>
      </c>
      <c r="AD36" s="67" t="str">
        <f t="shared" si="19"/>
        <v>Link</v>
      </c>
      <c r="AE36" s="54">
        <v>3406</v>
      </c>
      <c r="AF36" s="54">
        <v>87</v>
      </c>
      <c r="AG36" s="55"/>
      <c r="AH36" s="56">
        <v>207971</v>
      </c>
      <c r="AI36" s="56"/>
      <c r="AJ36" s="56"/>
    </row>
    <row r="37" spans="1:36" ht="13" x14ac:dyDescent="0.15">
      <c r="A37" s="64" t="s">
        <v>64</v>
      </c>
      <c r="B37" s="2" t="s">
        <v>472</v>
      </c>
      <c r="C37" s="7" t="s">
        <v>67</v>
      </c>
      <c r="D37" s="7" t="s">
        <v>515</v>
      </c>
      <c r="E37" s="44">
        <v>5</v>
      </c>
      <c r="F37" s="7"/>
      <c r="G37" s="7"/>
      <c r="H37" s="2" t="s">
        <v>474</v>
      </c>
      <c r="I37" s="7" t="s">
        <v>516</v>
      </c>
      <c r="J37" s="7" t="s">
        <v>518</v>
      </c>
      <c r="K37" s="7" t="s">
        <v>154</v>
      </c>
      <c r="L37" s="7" t="s">
        <v>519</v>
      </c>
      <c r="M37" s="7"/>
      <c r="N37" s="45" t="str">
        <f t="shared" si="17"/>
        <v>@tulsasoftball</v>
      </c>
      <c r="O37" s="46" t="str">
        <f t="shared" si="18"/>
        <v>Questionnaire</v>
      </c>
      <c r="P37" s="7" t="s">
        <v>483</v>
      </c>
      <c r="Q37" s="47" t="s">
        <v>472</v>
      </c>
      <c r="R37" s="48" t="s">
        <v>483</v>
      </c>
      <c r="S37" s="48" t="s">
        <v>354</v>
      </c>
      <c r="T37" s="49" t="s">
        <v>63</v>
      </c>
      <c r="U37" s="4" t="s">
        <v>248</v>
      </c>
      <c r="V37" s="48"/>
      <c r="W37" s="50">
        <v>3.9</v>
      </c>
      <c r="X37" s="7" t="s">
        <v>189</v>
      </c>
      <c r="Y37" s="49" t="s">
        <v>487</v>
      </c>
      <c r="Z37" s="49" t="s">
        <v>488</v>
      </c>
      <c r="AA37" s="65">
        <v>0.37</v>
      </c>
      <c r="AB37" s="39">
        <v>58349</v>
      </c>
      <c r="AC37" s="66" t="s">
        <v>483</v>
      </c>
      <c r="AD37" s="67" t="str">
        <f t="shared" si="19"/>
        <v>Link</v>
      </c>
      <c r="AE37" s="54">
        <v>3406</v>
      </c>
      <c r="AF37" s="54">
        <v>87</v>
      </c>
      <c r="AG37" s="55"/>
      <c r="AH37" s="56">
        <v>207971</v>
      </c>
      <c r="AI37" s="56"/>
      <c r="AJ37" s="56"/>
    </row>
    <row r="38" spans="1:36" ht="15" x14ac:dyDescent="0.2">
      <c r="A38" s="43" t="s">
        <v>64</v>
      </c>
      <c r="B38" s="33" t="s">
        <v>528</v>
      </c>
      <c r="C38" s="7" t="s">
        <v>67</v>
      </c>
      <c r="D38" s="7" t="s">
        <v>529</v>
      </c>
      <c r="E38" s="44">
        <v>5</v>
      </c>
      <c r="F38" s="7"/>
      <c r="G38" s="7"/>
      <c r="H38" s="2" t="s">
        <v>530</v>
      </c>
      <c r="I38" s="7" t="s">
        <v>531</v>
      </c>
      <c r="J38" s="7" t="s">
        <v>532</v>
      </c>
      <c r="K38" s="7" t="s">
        <v>48</v>
      </c>
      <c r="L38" s="7" t="s">
        <v>533</v>
      </c>
      <c r="M38" s="7" t="s">
        <v>534</v>
      </c>
      <c r="N38" s="45" t="str">
        <f t="shared" ref="N38:N41" si="20">HYPERLINK("twitter.com/GoShockersSB","@GoShockersSB")</f>
        <v>@GoShockersSB</v>
      </c>
      <c r="O38" s="46" t="str">
        <f t="shared" ref="O38:O41" si="21">HYPERLINK("https://college.jumpforward.com/questionnaire.aspx?iid=347&amp;sportid=31","Questionnaire")</f>
        <v>Questionnaire</v>
      </c>
      <c r="P38" s="7" t="s">
        <v>540</v>
      </c>
      <c r="Q38" s="47" t="s">
        <v>528</v>
      </c>
      <c r="R38" s="48" t="s">
        <v>542</v>
      </c>
      <c r="S38" s="48" t="s">
        <v>354</v>
      </c>
      <c r="T38" s="49" t="s">
        <v>74</v>
      </c>
      <c r="U38" s="49" t="s">
        <v>75</v>
      </c>
      <c r="V38" s="48"/>
      <c r="W38" s="50">
        <v>3.42</v>
      </c>
      <c r="X38" s="7" t="s">
        <v>543</v>
      </c>
      <c r="Y38" s="49" t="s">
        <v>544</v>
      </c>
      <c r="Z38" s="49" t="s">
        <v>545</v>
      </c>
      <c r="AA38" s="61">
        <v>0.86</v>
      </c>
      <c r="AB38" s="48" t="s">
        <v>546</v>
      </c>
      <c r="AC38" s="52" t="s">
        <v>540</v>
      </c>
      <c r="AD38" s="53" t="str">
        <f t="shared" ref="AD38:AD41" si="22">HYPERLINK("http://www.wichita.edu/thisis/majors/","Link")</f>
        <v>Link</v>
      </c>
      <c r="AE38" s="54">
        <v>11585</v>
      </c>
      <c r="AF38" s="55"/>
      <c r="AG38" s="55"/>
      <c r="AH38" s="56">
        <v>156125</v>
      </c>
      <c r="AI38" s="56"/>
      <c r="AJ38" s="56"/>
    </row>
    <row r="39" spans="1:36" ht="15" x14ac:dyDescent="0.2">
      <c r="A39" s="43" t="s">
        <v>64</v>
      </c>
      <c r="B39" s="33" t="s">
        <v>528</v>
      </c>
      <c r="C39" s="7" t="s">
        <v>67</v>
      </c>
      <c r="D39" s="7" t="s">
        <v>551</v>
      </c>
      <c r="E39" s="44">
        <v>5</v>
      </c>
      <c r="F39" s="7"/>
      <c r="G39" s="7"/>
      <c r="H39" s="2" t="s">
        <v>530</v>
      </c>
      <c r="I39" s="7" t="s">
        <v>552</v>
      </c>
      <c r="J39" s="7" t="s">
        <v>553</v>
      </c>
      <c r="K39" s="7" t="s">
        <v>55</v>
      </c>
      <c r="L39" s="7" t="s">
        <v>554</v>
      </c>
      <c r="M39" s="7" t="s">
        <v>555</v>
      </c>
      <c r="N39" s="45" t="str">
        <f t="shared" si="20"/>
        <v>@GoShockersSB</v>
      </c>
      <c r="O39" s="68" t="str">
        <f t="shared" si="21"/>
        <v>Questionnaire</v>
      </c>
      <c r="P39" s="7" t="s">
        <v>540</v>
      </c>
      <c r="Q39" s="47" t="s">
        <v>528</v>
      </c>
      <c r="R39" s="48" t="s">
        <v>542</v>
      </c>
      <c r="S39" s="48" t="s">
        <v>354</v>
      </c>
      <c r="T39" s="49" t="s">
        <v>74</v>
      </c>
      <c r="U39" s="49" t="s">
        <v>75</v>
      </c>
      <c r="V39" s="48"/>
      <c r="W39" s="50">
        <v>3.42</v>
      </c>
      <c r="X39" s="7" t="s">
        <v>543</v>
      </c>
      <c r="Y39" s="49" t="s">
        <v>544</v>
      </c>
      <c r="Z39" s="49" t="s">
        <v>545</v>
      </c>
      <c r="AA39" s="61">
        <v>0.86</v>
      </c>
      <c r="AB39" s="48" t="s">
        <v>546</v>
      </c>
      <c r="AC39" s="52" t="s">
        <v>540</v>
      </c>
      <c r="AD39" s="53" t="str">
        <f t="shared" si="22"/>
        <v>Link</v>
      </c>
      <c r="AE39" s="54">
        <v>11585</v>
      </c>
      <c r="AF39" s="55"/>
      <c r="AG39" s="55"/>
      <c r="AH39" s="56">
        <v>156125</v>
      </c>
      <c r="AI39" s="56"/>
      <c r="AJ39" s="56"/>
    </row>
    <row r="40" spans="1:36" ht="15" x14ac:dyDescent="0.2">
      <c r="A40" s="43" t="s">
        <v>64</v>
      </c>
      <c r="B40" s="33" t="s">
        <v>528</v>
      </c>
      <c r="C40" s="7" t="s">
        <v>67</v>
      </c>
      <c r="D40" s="7" t="s">
        <v>565</v>
      </c>
      <c r="E40" s="44">
        <v>5</v>
      </c>
      <c r="F40" s="7"/>
      <c r="G40" s="7"/>
      <c r="H40" s="2" t="s">
        <v>530</v>
      </c>
      <c r="I40" s="7" t="s">
        <v>442</v>
      </c>
      <c r="J40" s="7" t="s">
        <v>567</v>
      </c>
      <c r="K40" s="7" t="s">
        <v>55</v>
      </c>
      <c r="L40" s="7" t="s">
        <v>568</v>
      </c>
      <c r="M40" s="7" t="s">
        <v>570</v>
      </c>
      <c r="N40" s="45" t="str">
        <f t="shared" si="20"/>
        <v>@GoShockersSB</v>
      </c>
      <c r="O40" s="68" t="str">
        <f t="shared" si="21"/>
        <v>Questionnaire</v>
      </c>
      <c r="P40" s="7" t="s">
        <v>540</v>
      </c>
      <c r="Q40" s="47" t="s">
        <v>528</v>
      </c>
      <c r="R40" s="48" t="s">
        <v>542</v>
      </c>
      <c r="S40" s="48" t="s">
        <v>354</v>
      </c>
      <c r="T40" s="49" t="s">
        <v>74</v>
      </c>
      <c r="U40" s="49" t="s">
        <v>75</v>
      </c>
      <c r="V40" s="48"/>
      <c r="W40" s="50">
        <v>3.42</v>
      </c>
      <c r="X40" s="7" t="s">
        <v>543</v>
      </c>
      <c r="Y40" s="49" t="s">
        <v>544</v>
      </c>
      <c r="Z40" s="49" t="s">
        <v>545</v>
      </c>
      <c r="AA40" s="61">
        <v>0.86</v>
      </c>
      <c r="AB40" s="48" t="s">
        <v>546</v>
      </c>
      <c r="AC40" s="52" t="s">
        <v>540</v>
      </c>
      <c r="AD40" s="53" t="str">
        <f t="shared" si="22"/>
        <v>Link</v>
      </c>
      <c r="AE40" s="54">
        <v>11585</v>
      </c>
      <c r="AF40" s="55"/>
      <c r="AG40" s="55"/>
      <c r="AH40" s="56">
        <v>156125</v>
      </c>
      <c r="AI40" s="56"/>
      <c r="AJ40" s="56"/>
    </row>
    <row r="41" spans="1:36" ht="15" x14ac:dyDescent="0.2">
      <c r="A41" s="43" t="s">
        <v>64</v>
      </c>
      <c r="B41" s="33" t="s">
        <v>528</v>
      </c>
      <c r="C41" s="7" t="s">
        <v>67</v>
      </c>
      <c r="D41" s="7" t="s">
        <v>582</v>
      </c>
      <c r="E41" s="44">
        <v>5</v>
      </c>
      <c r="F41" s="7"/>
      <c r="G41" s="7"/>
      <c r="H41" s="2" t="s">
        <v>530</v>
      </c>
      <c r="I41" s="7" t="s">
        <v>583</v>
      </c>
      <c r="J41" s="7" t="s">
        <v>584</v>
      </c>
      <c r="K41" s="7" t="s">
        <v>154</v>
      </c>
      <c r="L41" s="7" t="s">
        <v>585</v>
      </c>
      <c r="M41" s="7" t="s">
        <v>586</v>
      </c>
      <c r="N41" s="45" t="str">
        <f t="shared" si="20"/>
        <v>@GoShockersSB</v>
      </c>
      <c r="O41" s="68" t="str">
        <f t="shared" si="21"/>
        <v>Questionnaire</v>
      </c>
      <c r="P41" s="7" t="s">
        <v>540</v>
      </c>
      <c r="Q41" s="47" t="s">
        <v>528</v>
      </c>
      <c r="R41" s="48" t="s">
        <v>542</v>
      </c>
      <c r="S41" s="48" t="s">
        <v>354</v>
      </c>
      <c r="T41" s="49" t="s">
        <v>74</v>
      </c>
      <c r="U41" s="49" t="s">
        <v>75</v>
      </c>
      <c r="V41" s="48"/>
      <c r="W41" s="50">
        <v>3.42</v>
      </c>
      <c r="X41" s="7" t="s">
        <v>543</v>
      </c>
      <c r="Y41" s="49" t="s">
        <v>544</v>
      </c>
      <c r="Z41" s="49" t="s">
        <v>545</v>
      </c>
      <c r="AA41" s="61">
        <v>0.86</v>
      </c>
      <c r="AB41" s="48" t="s">
        <v>546</v>
      </c>
      <c r="AC41" s="52" t="s">
        <v>540</v>
      </c>
      <c r="AD41" s="53" t="str">
        <f t="shared" si="22"/>
        <v>Link</v>
      </c>
      <c r="AE41" s="54">
        <v>11585</v>
      </c>
      <c r="AF41" s="55"/>
      <c r="AG41" s="55"/>
      <c r="AH41" s="56">
        <v>156125</v>
      </c>
      <c r="AI41" s="56"/>
      <c r="AJ41" s="56"/>
    </row>
    <row r="42" spans="1:36" ht="15" x14ac:dyDescent="0.2">
      <c r="A42" s="43" t="s">
        <v>594</v>
      </c>
      <c r="B42" s="33" t="s">
        <v>595</v>
      </c>
      <c r="C42" s="7" t="s">
        <v>67</v>
      </c>
      <c r="D42" s="7" t="s">
        <v>598</v>
      </c>
      <c r="E42" s="44">
        <v>5</v>
      </c>
      <c r="F42" s="7"/>
      <c r="G42" s="7"/>
      <c r="H42" s="2" t="s">
        <v>600</v>
      </c>
      <c r="I42" s="7" t="s">
        <v>206</v>
      </c>
      <c r="J42" s="7" t="s">
        <v>601</v>
      </c>
      <c r="K42" s="7" t="s">
        <v>48</v>
      </c>
      <c r="L42" s="7" t="s">
        <v>604</v>
      </c>
      <c r="M42" s="7" t="s">
        <v>606</v>
      </c>
      <c r="N42" s="69" t="str">
        <f t="shared" ref="N42:N44" si="23">HYPERLINK("twitter.com/BC_Softball","@BC_Softball")</f>
        <v>@BC_Softball</v>
      </c>
      <c r="O42" s="70" t="str">
        <f t="shared" ref="O42:O44" si="24">HYPERLINK("https://bceagles.com/sports/2015/9/13/BC_0913150106.aspx","Questionnaire")</f>
        <v>Questionnaire</v>
      </c>
      <c r="P42" s="7" t="s">
        <v>600</v>
      </c>
      <c r="Q42" s="47" t="s">
        <v>595</v>
      </c>
      <c r="R42" s="49" t="s">
        <v>614</v>
      </c>
      <c r="S42" s="48" t="s">
        <v>354</v>
      </c>
      <c r="T42" s="49" t="s">
        <v>63</v>
      </c>
      <c r="U42" s="49" t="s">
        <v>343</v>
      </c>
      <c r="V42" s="48"/>
      <c r="W42" s="50">
        <v>3.93</v>
      </c>
      <c r="X42" s="7" t="s">
        <v>624</v>
      </c>
      <c r="Y42" s="49" t="s">
        <v>625</v>
      </c>
      <c r="Z42" s="49" t="s">
        <v>626</v>
      </c>
      <c r="AA42" s="51">
        <v>0.31140000000000001</v>
      </c>
      <c r="AB42" s="71">
        <v>68064</v>
      </c>
      <c r="AC42" s="72" t="s">
        <v>600</v>
      </c>
      <c r="AD42" s="53" t="str">
        <f t="shared" ref="AD42:AD44" si="25">HYPERLINK("https://www.bc.edu/bc-web/academics/majors-minors.html","Link")</f>
        <v>Link</v>
      </c>
      <c r="AE42" s="54">
        <v>9870</v>
      </c>
      <c r="AF42" s="54">
        <v>32</v>
      </c>
      <c r="AG42" s="55"/>
      <c r="AH42" s="56">
        <v>164924</v>
      </c>
      <c r="AI42" s="56"/>
      <c r="AJ42" s="56"/>
    </row>
    <row r="43" spans="1:36" ht="15" x14ac:dyDescent="0.2">
      <c r="A43" s="43" t="s">
        <v>594</v>
      </c>
      <c r="B43" s="33" t="s">
        <v>595</v>
      </c>
      <c r="C43" s="7" t="s">
        <v>67</v>
      </c>
      <c r="D43" s="7" t="s">
        <v>634</v>
      </c>
      <c r="E43" s="44">
        <v>5</v>
      </c>
      <c r="F43" s="7"/>
      <c r="G43" s="7"/>
      <c r="H43" s="2" t="s">
        <v>600</v>
      </c>
      <c r="I43" s="7" t="s">
        <v>635</v>
      </c>
      <c r="J43" s="7" t="s">
        <v>636</v>
      </c>
      <c r="K43" s="7" t="s">
        <v>55</v>
      </c>
      <c r="L43" s="7" t="s">
        <v>637</v>
      </c>
      <c r="M43" s="7"/>
      <c r="N43" s="69" t="str">
        <f t="shared" si="23"/>
        <v>@BC_Softball</v>
      </c>
      <c r="O43" s="70" t="str">
        <f t="shared" si="24"/>
        <v>Questionnaire</v>
      </c>
      <c r="P43" s="7" t="s">
        <v>600</v>
      </c>
      <c r="Q43" s="47" t="s">
        <v>595</v>
      </c>
      <c r="R43" s="49" t="s">
        <v>614</v>
      </c>
      <c r="S43" s="48" t="s">
        <v>354</v>
      </c>
      <c r="T43" s="49" t="s">
        <v>63</v>
      </c>
      <c r="U43" s="49" t="s">
        <v>343</v>
      </c>
      <c r="V43" s="48"/>
      <c r="W43" s="50">
        <v>3.93</v>
      </c>
      <c r="X43" s="7" t="s">
        <v>624</v>
      </c>
      <c r="Y43" s="49" t="s">
        <v>625</v>
      </c>
      <c r="Z43" s="49" t="s">
        <v>626</v>
      </c>
      <c r="AA43" s="51">
        <v>0.31140000000000001</v>
      </c>
      <c r="AB43" s="71">
        <v>68064</v>
      </c>
      <c r="AC43" s="72" t="s">
        <v>600</v>
      </c>
      <c r="AD43" s="53" t="str">
        <f t="shared" si="25"/>
        <v>Link</v>
      </c>
      <c r="AE43" s="54">
        <v>9870</v>
      </c>
      <c r="AF43" s="54">
        <v>32</v>
      </c>
      <c r="AG43" s="55"/>
      <c r="AH43" s="56">
        <v>164924</v>
      </c>
      <c r="AI43" s="56"/>
      <c r="AJ43" s="56"/>
    </row>
    <row r="44" spans="1:36" ht="15" x14ac:dyDescent="0.2">
      <c r="A44" s="43" t="s">
        <v>594</v>
      </c>
      <c r="B44" s="33" t="s">
        <v>595</v>
      </c>
      <c r="C44" s="7" t="s">
        <v>67</v>
      </c>
      <c r="D44" s="7" t="s">
        <v>642</v>
      </c>
      <c r="E44" s="44">
        <v>5</v>
      </c>
      <c r="F44" s="7"/>
      <c r="G44" s="7"/>
      <c r="H44" s="2" t="s">
        <v>600</v>
      </c>
      <c r="I44" s="7" t="s">
        <v>644</v>
      </c>
      <c r="J44" s="7" t="s">
        <v>646</v>
      </c>
      <c r="K44" s="7" t="s">
        <v>55</v>
      </c>
      <c r="L44" s="7" t="s">
        <v>650</v>
      </c>
      <c r="M44" s="7"/>
      <c r="N44" s="69" t="str">
        <f t="shared" si="23"/>
        <v>@BC_Softball</v>
      </c>
      <c r="O44" s="70" t="str">
        <f t="shared" si="24"/>
        <v>Questionnaire</v>
      </c>
      <c r="P44" s="7" t="s">
        <v>600</v>
      </c>
      <c r="Q44" s="47" t="s">
        <v>595</v>
      </c>
      <c r="R44" s="49" t="s">
        <v>614</v>
      </c>
      <c r="S44" s="48" t="s">
        <v>354</v>
      </c>
      <c r="T44" s="49" t="s">
        <v>63</v>
      </c>
      <c r="U44" s="49" t="s">
        <v>343</v>
      </c>
      <c r="V44" s="48"/>
      <c r="W44" s="50">
        <v>3.93</v>
      </c>
      <c r="X44" s="7" t="s">
        <v>624</v>
      </c>
      <c r="Y44" s="49" t="s">
        <v>625</v>
      </c>
      <c r="Z44" s="49" t="s">
        <v>626</v>
      </c>
      <c r="AA44" s="51">
        <v>0.31140000000000001</v>
      </c>
      <c r="AB44" s="71">
        <v>68064</v>
      </c>
      <c r="AC44" s="72" t="s">
        <v>600</v>
      </c>
      <c r="AD44" s="53" t="str">
        <f t="shared" si="25"/>
        <v>Link</v>
      </c>
      <c r="AE44" s="54">
        <v>9870</v>
      </c>
      <c r="AF44" s="54">
        <v>32</v>
      </c>
      <c r="AG44" s="55"/>
      <c r="AH44" s="56">
        <v>164924</v>
      </c>
      <c r="AI44" s="56"/>
      <c r="AJ44" s="56"/>
    </row>
    <row r="45" spans="1:36" ht="15" x14ac:dyDescent="0.2">
      <c r="A45" s="43" t="s">
        <v>594</v>
      </c>
      <c r="B45" s="33" t="s">
        <v>653</v>
      </c>
      <c r="C45" s="7" t="s">
        <v>67</v>
      </c>
      <c r="D45" s="7" t="s">
        <v>654</v>
      </c>
      <c r="E45" s="44">
        <v>5</v>
      </c>
      <c r="F45" s="7"/>
      <c r="G45" s="7"/>
      <c r="H45" s="2" t="s">
        <v>656</v>
      </c>
      <c r="I45" s="7" t="s">
        <v>658</v>
      </c>
      <c r="J45" s="7" t="s">
        <v>660</v>
      </c>
      <c r="K45" s="7" t="s">
        <v>48</v>
      </c>
      <c r="L45" s="2" t="s">
        <v>662</v>
      </c>
      <c r="M45" s="7" t="s">
        <v>664</v>
      </c>
      <c r="N45" s="69" t="str">
        <f t="shared" ref="N45:N50" si="26">HYPERLINK("twitter.com/clemsonsoftball","@clemsonsoftball")</f>
        <v>@clemsonsoftball</v>
      </c>
      <c r="O45" s="70" t="str">
        <f t="shared" ref="O45:O50" si="27">HYPERLINK("https://questionnaires.armssoftware.com/ebe3ab969190?DB_OEM_ID=28500","Questionnaire")</f>
        <v>Questionnaire</v>
      </c>
      <c r="P45" s="7" t="s">
        <v>674</v>
      </c>
      <c r="Q45" s="47" t="s">
        <v>653</v>
      </c>
      <c r="R45" s="49" t="s">
        <v>674</v>
      </c>
      <c r="S45" s="55" t="s">
        <v>172</v>
      </c>
      <c r="T45" s="73" t="s">
        <v>74</v>
      </c>
      <c r="U45" s="49" t="s">
        <v>75</v>
      </c>
      <c r="V45" s="48"/>
      <c r="W45" s="50">
        <v>3.72</v>
      </c>
      <c r="X45" s="7" t="s">
        <v>677</v>
      </c>
      <c r="Y45" s="49" t="s">
        <v>678</v>
      </c>
      <c r="Z45" s="49" t="s">
        <v>179</v>
      </c>
      <c r="AA45" s="51">
        <v>0.50539999999999996</v>
      </c>
      <c r="AB45" s="48" t="s">
        <v>679</v>
      </c>
      <c r="AC45" s="72" t="s">
        <v>674</v>
      </c>
      <c r="AD45" s="53" t="str">
        <f t="shared" ref="AD45:AD50" si="28">HYPERLINK("http://www.clemson.edu/degrees/index.html","Link")</f>
        <v>Link</v>
      </c>
      <c r="AE45" s="54">
        <v>18599</v>
      </c>
      <c r="AF45" s="54">
        <v>67</v>
      </c>
      <c r="AG45" s="55"/>
      <c r="AH45" s="56">
        <v>217882</v>
      </c>
      <c r="AI45" s="56"/>
      <c r="AJ45" s="56"/>
    </row>
    <row r="46" spans="1:36" ht="15" x14ac:dyDescent="0.2">
      <c r="A46" s="43" t="s">
        <v>594</v>
      </c>
      <c r="B46" s="33" t="s">
        <v>653</v>
      </c>
      <c r="C46" s="7" t="s">
        <v>67</v>
      </c>
      <c r="D46" s="7" t="s">
        <v>690</v>
      </c>
      <c r="E46" s="44">
        <v>5</v>
      </c>
      <c r="F46" s="7"/>
      <c r="G46" s="7"/>
      <c r="H46" s="2" t="s">
        <v>656</v>
      </c>
      <c r="I46" s="7" t="s">
        <v>150</v>
      </c>
      <c r="J46" s="7" t="s">
        <v>691</v>
      </c>
      <c r="K46" s="7" t="s">
        <v>55</v>
      </c>
      <c r="L46" s="2" t="s">
        <v>692</v>
      </c>
      <c r="M46" s="7"/>
      <c r="N46" s="45" t="str">
        <f t="shared" si="26"/>
        <v>@clemsonsoftball</v>
      </c>
      <c r="O46" s="74" t="str">
        <f t="shared" si="27"/>
        <v>Questionnaire</v>
      </c>
      <c r="P46" s="7" t="s">
        <v>674</v>
      </c>
      <c r="Q46" s="47" t="s">
        <v>653</v>
      </c>
      <c r="R46" s="49" t="s">
        <v>674</v>
      </c>
      <c r="S46" s="55" t="s">
        <v>172</v>
      </c>
      <c r="T46" s="73" t="s">
        <v>74</v>
      </c>
      <c r="U46" s="49" t="s">
        <v>75</v>
      </c>
      <c r="V46" s="48"/>
      <c r="W46" s="50">
        <v>3.72</v>
      </c>
      <c r="X46" s="7" t="s">
        <v>677</v>
      </c>
      <c r="Y46" s="49" t="s">
        <v>678</v>
      </c>
      <c r="Z46" s="49" t="s">
        <v>179</v>
      </c>
      <c r="AA46" s="51">
        <v>0.50539999999999996</v>
      </c>
      <c r="AB46" s="48" t="s">
        <v>679</v>
      </c>
      <c r="AC46" s="72" t="s">
        <v>674</v>
      </c>
      <c r="AD46" s="53" t="str">
        <f t="shared" si="28"/>
        <v>Link</v>
      </c>
      <c r="AE46" s="54">
        <v>18599</v>
      </c>
      <c r="AF46" s="54">
        <v>67</v>
      </c>
      <c r="AG46" s="55"/>
      <c r="AH46" s="56">
        <v>217882</v>
      </c>
      <c r="AI46" s="56"/>
      <c r="AJ46" s="56"/>
    </row>
    <row r="47" spans="1:36" ht="15" x14ac:dyDescent="0.2">
      <c r="A47" s="43" t="s">
        <v>594</v>
      </c>
      <c r="B47" s="33" t="s">
        <v>653</v>
      </c>
      <c r="C47" s="7" t="s">
        <v>67</v>
      </c>
      <c r="D47" s="7" t="s">
        <v>702</v>
      </c>
      <c r="E47" s="44">
        <v>5</v>
      </c>
      <c r="F47" s="7"/>
      <c r="G47" s="7"/>
      <c r="H47" s="2" t="s">
        <v>656</v>
      </c>
      <c r="I47" s="7" t="s">
        <v>222</v>
      </c>
      <c r="J47" s="7" t="s">
        <v>703</v>
      </c>
      <c r="K47" s="7" t="s">
        <v>55</v>
      </c>
      <c r="L47" s="2" t="s">
        <v>704</v>
      </c>
      <c r="M47" s="7"/>
      <c r="N47" s="45" t="str">
        <f t="shared" si="26"/>
        <v>@clemsonsoftball</v>
      </c>
      <c r="O47" s="74" t="str">
        <f t="shared" si="27"/>
        <v>Questionnaire</v>
      </c>
      <c r="P47" s="7" t="s">
        <v>674</v>
      </c>
      <c r="Q47" s="47" t="s">
        <v>653</v>
      </c>
      <c r="R47" s="49" t="s">
        <v>674</v>
      </c>
      <c r="S47" s="55" t="s">
        <v>172</v>
      </c>
      <c r="T47" s="73" t="s">
        <v>74</v>
      </c>
      <c r="U47" s="49" t="s">
        <v>75</v>
      </c>
      <c r="V47" s="48"/>
      <c r="W47" s="50">
        <v>3.72</v>
      </c>
      <c r="X47" s="7" t="s">
        <v>677</v>
      </c>
      <c r="Y47" s="49" t="s">
        <v>678</v>
      </c>
      <c r="Z47" s="49" t="s">
        <v>179</v>
      </c>
      <c r="AA47" s="51">
        <v>0.50539999999999996</v>
      </c>
      <c r="AB47" s="48" t="s">
        <v>679</v>
      </c>
      <c r="AC47" s="72" t="s">
        <v>674</v>
      </c>
      <c r="AD47" s="53" t="str">
        <f t="shared" si="28"/>
        <v>Link</v>
      </c>
      <c r="AE47" s="54">
        <v>18599</v>
      </c>
      <c r="AF47" s="54">
        <v>67</v>
      </c>
      <c r="AG47" s="55"/>
      <c r="AH47" s="56">
        <v>217882</v>
      </c>
      <c r="AI47" s="56"/>
      <c r="AJ47" s="56"/>
    </row>
    <row r="48" spans="1:36" ht="15" x14ac:dyDescent="0.2">
      <c r="A48" s="43" t="s">
        <v>594</v>
      </c>
      <c r="B48" s="33" t="s">
        <v>653</v>
      </c>
      <c r="C48" s="7" t="s">
        <v>67</v>
      </c>
      <c r="D48" s="7" t="s">
        <v>715</v>
      </c>
      <c r="E48" s="44">
        <v>5</v>
      </c>
      <c r="F48" s="7"/>
      <c r="G48" s="7"/>
      <c r="H48" s="2" t="s">
        <v>656</v>
      </c>
      <c r="I48" s="7" t="s">
        <v>717</v>
      </c>
      <c r="J48" s="7" t="s">
        <v>718</v>
      </c>
      <c r="K48" s="7" t="s">
        <v>139</v>
      </c>
      <c r="L48" s="2" t="s">
        <v>719</v>
      </c>
      <c r="M48" s="7"/>
      <c r="N48" s="45" t="str">
        <f t="shared" si="26"/>
        <v>@clemsonsoftball</v>
      </c>
      <c r="O48" s="74" t="str">
        <f t="shared" si="27"/>
        <v>Questionnaire</v>
      </c>
      <c r="P48" s="7" t="s">
        <v>674</v>
      </c>
      <c r="Q48" s="47" t="s">
        <v>653</v>
      </c>
      <c r="R48" s="49" t="s">
        <v>674</v>
      </c>
      <c r="S48" s="55" t="s">
        <v>172</v>
      </c>
      <c r="T48" s="73" t="s">
        <v>74</v>
      </c>
      <c r="U48" s="49" t="s">
        <v>75</v>
      </c>
      <c r="V48" s="48"/>
      <c r="W48" s="50">
        <v>3.72</v>
      </c>
      <c r="X48" s="7" t="s">
        <v>677</v>
      </c>
      <c r="Y48" s="49" t="s">
        <v>678</v>
      </c>
      <c r="Z48" s="49" t="s">
        <v>179</v>
      </c>
      <c r="AA48" s="51">
        <v>0.50539999999999996</v>
      </c>
      <c r="AB48" s="48" t="s">
        <v>679</v>
      </c>
      <c r="AC48" s="72" t="s">
        <v>674</v>
      </c>
      <c r="AD48" s="53" t="str">
        <f t="shared" si="28"/>
        <v>Link</v>
      </c>
      <c r="AE48" s="54">
        <v>18599</v>
      </c>
      <c r="AF48" s="54">
        <v>67</v>
      </c>
      <c r="AG48" s="55"/>
      <c r="AH48" s="56">
        <v>217882</v>
      </c>
      <c r="AI48" s="56"/>
      <c r="AJ48" s="56"/>
    </row>
    <row r="49" spans="1:36" ht="15" x14ac:dyDescent="0.2">
      <c r="A49" s="43" t="s">
        <v>594</v>
      </c>
      <c r="B49" s="33" t="s">
        <v>653</v>
      </c>
      <c r="C49" s="7" t="s">
        <v>67</v>
      </c>
      <c r="D49" s="7" t="s">
        <v>722</v>
      </c>
      <c r="E49" s="44">
        <v>5</v>
      </c>
      <c r="F49" s="7"/>
      <c r="G49" s="7"/>
      <c r="H49" s="2" t="s">
        <v>656</v>
      </c>
      <c r="I49" s="7" t="s">
        <v>724</v>
      </c>
      <c r="J49" s="7" t="s">
        <v>117</v>
      </c>
      <c r="K49" s="7" t="s">
        <v>154</v>
      </c>
      <c r="L49" s="6" t="s">
        <v>719</v>
      </c>
      <c r="M49" s="7" t="s">
        <v>726</v>
      </c>
      <c r="N49" s="45" t="str">
        <f t="shared" si="26"/>
        <v>@clemsonsoftball</v>
      </c>
      <c r="O49" s="74" t="str">
        <f t="shared" si="27"/>
        <v>Questionnaire</v>
      </c>
      <c r="P49" s="7" t="s">
        <v>674</v>
      </c>
      <c r="Q49" s="47" t="s">
        <v>653</v>
      </c>
      <c r="R49" s="49" t="s">
        <v>674</v>
      </c>
      <c r="S49" s="55" t="s">
        <v>172</v>
      </c>
      <c r="T49" s="73" t="s">
        <v>74</v>
      </c>
      <c r="U49" s="49" t="s">
        <v>75</v>
      </c>
      <c r="V49" s="48"/>
      <c r="W49" s="50">
        <v>3.72</v>
      </c>
      <c r="X49" s="7" t="s">
        <v>677</v>
      </c>
      <c r="Y49" s="49" t="s">
        <v>678</v>
      </c>
      <c r="Z49" s="49" t="s">
        <v>179</v>
      </c>
      <c r="AA49" s="51">
        <v>0.50539999999999996</v>
      </c>
      <c r="AB49" s="48" t="s">
        <v>679</v>
      </c>
      <c r="AC49" s="72" t="s">
        <v>674</v>
      </c>
      <c r="AD49" s="53" t="str">
        <f t="shared" si="28"/>
        <v>Link</v>
      </c>
      <c r="AE49" s="54">
        <v>18599</v>
      </c>
      <c r="AF49" s="54">
        <v>67</v>
      </c>
      <c r="AG49" s="55"/>
      <c r="AH49" s="56">
        <v>217882</v>
      </c>
      <c r="AI49" s="56"/>
      <c r="AJ49" s="56"/>
    </row>
    <row r="50" spans="1:36" ht="15" x14ac:dyDescent="0.2">
      <c r="A50" s="43" t="s">
        <v>594</v>
      </c>
      <c r="B50" s="33" t="s">
        <v>653</v>
      </c>
      <c r="C50" s="7" t="s">
        <v>67</v>
      </c>
      <c r="D50" s="7" t="s">
        <v>735</v>
      </c>
      <c r="E50" s="44">
        <v>5</v>
      </c>
      <c r="F50" s="7"/>
      <c r="G50" s="7"/>
      <c r="H50" s="2" t="s">
        <v>656</v>
      </c>
      <c r="I50" s="7" t="s">
        <v>736</v>
      </c>
      <c r="J50" s="7" t="s">
        <v>737</v>
      </c>
      <c r="K50" s="7" t="s">
        <v>120</v>
      </c>
      <c r="L50" s="2" t="s">
        <v>738</v>
      </c>
      <c r="M50" s="7"/>
      <c r="N50" s="45" t="str">
        <f t="shared" si="26"/>
        <v>@clemsonsoftball</v>
      </c>
      <c r="O50" s="74" t="str">
        <f t="shared" si="27"/>
        <v>Questionnaire</v>
      </c>
      <c r="P50" s="7" t="s">
        <v>674</v>
      </c>
      <c r="Q50" s="47" t="s">
        <v>653</v>
      </c>
      <c r="R50" s="49" t="s">
        <v>674</v>
      </c>
      <c r="S50" s="55" t="s">
        <v>172</v>
      </c>
      <c r="T50" s="73" t="s">
        <v>74</v>
      </c>
      <c r="U50" s="49" t="s">
        <v>75</v>
      </c>
      <c r="V50" s="48"/>
      <c r="W50" s="50">
        <v>3.72</v>
      </c>
      <c r="X50" s="7" t="s">
        <v>677</v>
      </c>
      <c r="Y50" s="49" t="s">
        <v>678</v>
      </c>
      <c r="Z50" s="49" t="s">
        <v>179</v>
      </c>
      <c r="AA50" s="51">
        <v>0.50539999999999996</v>
      </c>
      <c r="AB50" s="48" t="s">
        <v>679</v>
      </c>
      <c r="AC50" s="72" t="s">
        <v>674</v>
      </c>
      <c r="AD50" s="53" t="str">
        <f t="shared" si="28"/>
        <v>Link</v>
      </c>
      <c r="AE50" s="54">
        <v>18599</v>
      </c>
      <c r="AF50" s="54">
        <v>67</v>
      </c>
      <c r="AG50" s="55"/>
      <c r="AH50" s="56">
        <v>217882</v>
      </c>
      <c r="AI50" s="56"/>
      <c r="AJ50" s="56"/>
    </row>
    <row r="51" spans="1:36" ht="15" x14ac:dyDescent="0.2">
      <c r="A51" s="43" t="s">
        <v>594</v>
      </c>
      <c r="B51" s="33" t="s">
        <v>219</v>
      </c>
      <c r="C51" s="7" t="s">
        <v>67</v>
      </c>
      <c r="D51" s="7" t="s">
        <v>747</v>
      </c>
      <c r="E51" s="44">
        <v>5</v>
      </c>
      <c r="F51" s="7"/>
      <c r="G51" s="7"/>
      <c r="H51" s="2" t="s">
        <v>749</v>
      </c>
      <c r="I51" s="7" t="s">
        <v>750</v>
      </c>
      <c r="J51" s="7" t="s">
        <v>378</v>
      </c>
      <c r="K51" s="7" t="s">
        <v>48</v>
      </c>
      <c r="L51" s="7" t="s">
        <v>751</v>
      </c>
      <c r="M51" s="7" t="s">
        <v>752</v>
      </c>
      <c r="N51" s="45" t="str">
        <f t="shared" ref="N51:N54" si="29">HYPERLINK("twitter.com/DukeSOFTBALL","@DukeSOFTBALL")</f>
        <v>@DukeSOFTBALL</v>
      </c>
      <c r="O51" s="74" t="str">
        <f t="shared" ref="O51:O54" si="30">HYPERLINK("https://questionnaires.armssoftware.com/84d679776014?DB_OEM_ID=4200","Questionnaire")</f>
        <v>Questionnaire</v>
      </c>
      <c r="P51" s="7" t="s">
        <v>758</v>
      </c>
      <c r="Q51" s="47" t="s">
        <v>219</v>
      </c>
      <c r="R51" s="49" t="s">
        <v>759</v>
      </c>
      <c r="S51" s="48" t="s">
        <v>62</v>
      </c>
      <c r="T51" s="49" t="s">
        <v>63</v>
      </c>
      <c r="U51" s="49" t="s">
        <v>65</v>
      </c>
      <c r="V51" s="48"/>
      <c r="W51" s="50">
        <v>4.17</v>
      </c>
      <c r="X51" s="7" t="s">
        <v>763</v>
      </c>
      <c r="Y51" s="49" t="s">
        <v>764</v>
      </c>
      <c r="Z51" s="49" t="s">
        <v>765</v>
      </c>
      <c r="AA51" s="61">
        <v>0.11</v>
      </c>
      <c r="AB51" s="71">
        <v>69169</v>
      </c>
      <c r="AC51" s="75" t="s">
        <v>758</v>
      </c>
      <c r="AD51" s="53" t="str">
        <f t="shared" ref="AD51:AD54" si="31">HYPERLINK("http://admissions.duke.edu/education/majors","Link")</f>
        <v>Link</v>
      </c>
      <c r="AE51" s="54">
        <v>6609</v>
      </c>
      <c r="AF51" s="54">
        <v>9</v>
      </c>
      <c r="AG51" s="55"/>
      <c r="AH51" s="56">
        <v>198419</v>
      </c>
      <c r="AI51" s="56"/>
      <c r="AJ51" s="56"/>
    </row>
    <row r="52" spans="1:36" ht="15" x14ac:dyDescent="0.2">
      <c r="A52" s="43" t="s">
        <v>594</v>
      </c>
      <c r="B52" s="33" t="s">
        <v>219</v>
      </c>
      <c r="C52" s="7" t="s">
        <v>67</v>
      </c>
      <c r="D52" s="7" t="s">
        <v>780</v>
      </c>
      <c r="E52" s="44">
        <v>5</v>
      </c>
      <c r="F52" s="7"/>
      <c r="G52" s="7"/>
      <c r="H52" s="2" t="s">
        <v>749</v>
      </c>
      <c r="I52" s="7" t="s">
        <v>501</v>
      </c>
      <c r="J52" s="7" t="s">
        <v>781</v>
      </c>
      <c r="K52" s="7" t="s">
        <v>55</v>
      </c>
      <c r="L52" s="7" t="s">
        <v>782</v>
      </c>
      <c r="M52" s="7"/>
      <c r="N52" s="45" t="str">
        <f t="shared" si="29"/>
        <v>@DukeSOFTBALL</v>
      </c>
      <c r="O52" s="74" t="str">
        <f t="shared" si="30"/>
        <v>Questionnaire</v>
      </c>
      <c r="P52" s="7" t="s">
        <v>758</v>
      </c>
      <c r="Q52" s="47" t="s">
        <v>219</v>
      </c>
      <c r="R52" s="49" t="s">
        <v>759</v>
      </c>
      <c r="S52" s="48" t="s">
        <v>62</v>
      </c>
      <c r="T52" s="49" t="s">
        <v>63</v>
      </c>
      <c r="U52" s="49" t="s">
        <v>65</v>
      </c>
      <c r="V52" s="48"/>
      <c r="W52" s="50">
        <v>4.17</v>
      </c>
      <c r="X52" s="7" t="s">
        <v>763</v>
      </c>
      <c r="Y52" s="49" t="s">
        <v>764</v>
      </c>
      <c r="Z52" s="49" t="s">
        <v>765</v>
      </c>
      <c r="AA52" s="61">
        <v>0.11</v>
      </c>
      <c r="AB52" s="71">
        <v>69169</v>
      </c>
      <c r="AC52" s="75" t="s">
        <v>758</v>
      </c>
      <c r="AD52" s="53" t="str">
        <f t="shared" si="31"/>
        <v>Link</v>
      </c>
      <c r="AE52" s="54">
        <v>6609</v>
      </c>
      <c r="AF52" s="54">
        <v>9</v>
      </c>
      <c r="AG52" s="55"/>
      <c r="AH52" s="56">
        <v>198419</v>
      </c>
      <c r="AI52" s="56"/>
      <c r="AJ52" s="56"/>
    </row>
    <row r="53" spans="1:36" ht="15" x14ac:dyDescent="0.2">
      <c r="A53" s="43" t="s">
        <v>594</v>
      </c>
      <c r="B53" s="33" t="s">
        <v>219</v>
      </c>
      <c r="C53" s="7" t="s">
        <v>67</v>
      </c>
      <c r="D53" s="7" t="s">
        <v>792</v>
      </c>
      <c r="E53" s="44">
        <v>5</v>
      </c>
      <c r="F53" s="7"/>
      <c r="G53" s="7"/>
      <c r="H53" s="2" t="s">
        <v>749</v>
      </c>
      <c r="I53" s="7" t="s">
        <v>201</v>
      </c>
      <c r="J53" s="7" t="s">
        <v>796</v>
      </c>
      <c r="K53" s="7" t="s">
        <v>55</v>
      </c>
      <c r="L53" s="7" t="s">
        <v>798</v>
      </c>
      <c r="M53" s="7"/>
      <c r="N53" s="45" t="str">
        <f t="shared" si="29"/>
        <v>@DukeSOFTBALL</v>
      </c>
      <c r="O53" s="74" t="str">
        <f t="shared" si="30"/>
        <v>Questionnaire</v>
      </c>
      <c r="P53" s="7" t="s">
        <v>758</v>
      </c>
      <c r="Q53" s="47" t="s">
        <v>219</v>
      </c>
      <c r="R53" s="49" t="s">
        <v>759</v>
      </c>
      <c r="S53" s="48" t="s">
        <v>62</v>
      </c>
      <c r="T53" s="49" t="s">
        <v>63</v>
      </c>
      <c r="U53" s="49" t="s">
        <v>65</v>
      </c>
      <c r="V53" s="48"/>
      <c r="W53" s="50">
        <v>4.17</v>
      </c>
      <c r="X53" s="7" t="s">
        <v>763</v>
      </c>
      <c r="Y53" s="49" t="s">
        <v>764</v>
      </c>
      <c r="Z53" s="49" t="s">
        <v>765</v>
      </c>
      <c r="AA53" s="61">
        <v>0.11</v>
      </c>
      <c r="AB53" s="71">
        <v>69169</v>
      </c>
      <c r="AC53" s="75" t="s">
        <v>758</v>
      </c>
      <c r="AD53" s="53" t="str">
        <f t="shared" si="31"/>
        <v>Link</v>
      </c>
      <c r="AE53" s="54">
        <v>6609</v>
      </c>
      <c r="AF53" s="54">
        <v>9</v>
      </c>
      <c r="AG53" s="55"/>
      <c r="AH53" s="56">
        <v>198419</v>
      </c>
      <c r="AI53" s="56"/>
      <c r="AJ53" s="56"/>
    </row>
    <row r="54" spans="1:36" ht="15" x14ac:dyDescent="0.2">
      <c r="A54" s="43" t="s">
        <v>594</v>
      </c>
      <c r="B54" s="33" t="s">
        <v>219</v>
      </c>
      <c r="C54" s="7" t="s">
        <v>67</v>
      </c>
      <c r="D54" s="7" t="s">
        <v>806</v>
      </c>
      <c r="E54" s="44">
        <v>5</v>
      </c>
      <c r="F54" s="7"/>
      <c r="G54" s="7"/>
      <c r="H54" s="2" t="s">
        <v>749</v>
      </c>
      <c r="I54" s="7" t="s">
        <v>807</v>
      </c>
      <c r="J54" s="7" t="s">
        <v>808</v>
      </c>
      <c r="K54" s="7" t="s">
        <v>139</v>
      </c>
      <c r="L54" s="7" t="s">
        <v>809</v>
      </c>
      <c r="M54" s="7"/>
      <c r="N54" s="45" t="str">
        <f t="shared" si="29"/>
        <v>@DukeSOFTBALL</v>
      </c>
      <c r="O54" s="74" t="str">
        <f t="shared" si="30"/>
        <v>Questionnaire</v>
      </c>
      <c r="P54" s="7" t="s">
        <v>758</v>
      </c>
      <c r="Q54" s="47" t="s">
        <v>219</v>
      </c>
      <c r="R54" s="49" t="s">
        <v>759</v>
      </c>
      <c r="S54" s="48" t="s">
        <v>62</v>
      </c>
      <c r="T54" s="49" t="s">
        <v>63</v>
      </c>
      <c r="U54" s="49" t="s">
        <v>65</v>
      </c>
      <c r="V54" s="48"/>
      <c r="W54" s="50">
        <v>4.17</v>
      </c>
      <c r="X54" s="7" t="s">
        <v>763</v>
      </c>
      <c r="Y54" s="49" t="s">
        <v>764</v>
      </c>
      <c r="Z54" s="49" t="s">
        <v>765</v>
      </c>
      <c r="AA54" s="61">
        <v>0.11</v>
      </c>
      <c r="AB54" s="71">
        <v>69169</v>
      </c>
      <c r="AC54" s="75" t="s">
        <v>758</v>
      </c>
      <c r="AD54" s="53" t="str">
        <f t="shared" si="31"/>
        <v>Link</v>
      </c>
      <c r="AE54" s="54">
        <v>6609</v>
      </c>
      <c r="AF54" s="54">
        <v>9</v>
      </c>
      <c r="AG54" s="55"/>
      <c r="AH54" s="56">
        <v>198419</v>
      </c>
      <c r="AI54" s="56"/>
      <c r="AJ54" s="56"/>
    </row>
    <row r="55" spans="1:36" ht="15" x14ac:dyDescent="0.2">
      <c r="A55" s="43" t="s">
        <v>594</v>
      </c>
      <c r="B55" s="33" t="s">
        <v>66</v>
      </c>
      <c r="C55" s="7" t="s">
        <v>67</v>
      </c>
      <c r="D55" s="7" t="s">
        <v>816</v>
      </c>
      <c r="E55" s="44">
        <v>5</v>
      </c>
      <c r="F55" s="7"/>
      <c r="G55" s="7"/>
      <c r="H55" s="2" t="s">
        <v>818</v>
      </c>
      <c r="I55" s="7" t="s">
        <v>820</v>
      </c>
      <c r="J55" s="7" t="s">
        <v>822</v>
      </c>
      <c r="K55" s="7" t="s">
        <v>48</v>
      </c>
      <c r="L55" s="2" t="s">
        <v>824</v>
      </c>
      <c r="M55" s="7"/>
      <c r="N55" s="45" t="str">
        <f t="shared" ref="N55:N58" si="32">HYPERLINK("twitter.com/FSU_Softball","@FSU_Softball")</f>
        <v>@FSU_Softball</v>
      </c>
      <c r="O55" s="74" t="str">
        <f t="shared" ref="O55:O58" si="33">HYPERLINK("https://seminoles.com/genrel_recruits/","Questionnaire")</f>
        <v>Questionnaire</v>
      </c>
      <c r="P55" s="7" t="s">
        <v>827</v>
      </c>
      <c r="Q55" s="47" t="s">
        <v>66</v>
      </c>
      <c r="R55" s="49" t="s">
        <v>828</v>
      </c>
      <c r="S55" s="48" t="s">
        <v>62</v>
      </c>
      <c r="T55" s="49" t="s">
        <v>74</v>
      </c>
      <c r="U55" s="49" t="s">
        <v>75</v>
      </c>
      <c r="V55" s="48"/>
      <c r="W55" s="50">
        <v>3.95</v>
      </c>
      <c r="X55" s="7" t="s">
        <v>833</v>
      </c>
      <c r="Y55" s="49" t="s">
        <v>835</v>
      </c>
      <c r="Z55" s="49" t="s">
        <v>836</v>
      </c>
      <c r="AA55" s="61">
        <v>0.57999999999999996</v>
      </c>
      <c r="AB55" s="48" t="s">
        <v>837</v>
      </c>
      <c r="AC55" s="72" t="s">
        <v>827</v>
      </c>
      <c r="AD55" s="53" t="str">
        <f t="shared" ref="AD55:AD58" si="34">HYPERLINK("http://admissions.fsu.edu/majors/","Link")</f>
        <v>Link</v>
      </c>
      <c r="AE55" s="54">
        <v>32933</v>
      </c>
      <c r="AF55" s="54">
        <v>81</v>
      </c>
      <c r="AG55" s="55"/>
      <c r="AH55" s="56">
        <v>134097</v>
      </c>
      <c r="AI55" s="56"/>
      <c r="AJ55" s="56"/>
    </row>
    <row r="56" spans="1:36" ht="15" x14ac:dyDescent="0.2">
      <c r="A56" s="43" t="s">
        <v>594</v>
      </c>
      <c r="B56" s="33" t="s">
        <v>66</v>
      </c>
      <c r="C56" s="7" t="s">
        <v>67</v>
      </c>
      <c r="D56" s="7" t="s">
        <v>843</v>
      </c>
      <c r="E56" s="44">
        <v>5</v>
      </c>
      <c r="F56" s="7"/>
      <c r="G56" s="7"/>
      <c r="H56" s="2" t="s">
        <v>818</v>
      </c>
      <c r="I56" s="7" t="s">
        <v>844</v>
      </c>
      <c r="J56" s="7" t="s">
        <v>805</v>
      </c>
      <c r="K56" s="7" t="s">
        <v>55</v>
      </c>
      <c r="L56" s="2" t="s">
        <v>846</v>
      </c>
      <c r="M56" s="7"/>
      <c r="N56" s="45" t="str">
        <f t="shared" si="32"/>
        <v>@FSU_Softball</v>
      </c>
      <c r="O56" s="74" t="str">
        <f t="shared" si="33"/>
        <v>Questionnaire</v>
      </c>
      <c r="P56" s="7" t="s">
        <v>827</v>
      </c>
      <c r="Q56" s="47" t="s">
        <v>66</v>
      </c>
      <c r="R56" s="49" t="s">
        <v>828</v>
      </c>
      <c r="S56" s="48" t="s">
        <v>62</v>
      </c>
      <c r="T56" s="49" t="s">
        <v>74</v>
      </c>
      <c r="U56" s="49" t="s">
        <v>75</v>
      </c>
      <c r="V56" s="48"/>
      <c r="W56" s="50">
        <v>3.95</v>
      </c>
      <c r="X56" s="7" t="s">
        <v>833</v>
      </c>
      <c r="Y56" s="49" t="s">
        <v>835</v>
      </c>
      <c r="Z56" s="49" t="s">
        <v>836</v>
      </c>
      <c r="AA56" s="61">
        <v>0.57999999999999996</v>
      </c>
      <c r="AB56" s="48" t="s">
        <v>837</v>
      </c>
      <c r="AC56" s="72" t="s">
        <v>827</v>
      </c>
      <c r="AD56" s="53" t="str">
        <f t="shared" si="34"/>
        <v>Link</v>
      </c>
      <c r="AE56" s="54">
        <v>32933</v>
      </c>
      <c r="AF56" s="54">
        <v>81</v>
      </c>
      <c r="AG56" s="55"/>
      <c r="AH56" s="56">
        <v>134097</v>
      </c>
      <c r="AI56" s="56"/>
      <c r="AJ56" s="56"/>
    </row>
    <row r="57" spans="1:36" ht="15" x14ac:dyDescent="0.2">
      <c r="A57" s="43" t="s">
        <v>594</v>
      </c>
      <c r="B57" s="33" t="s">
        <v>66</v>
      </c>
      <c r="C57" s="7" t="s">
        <v>67</v>
      </c>
      <c r="D57" s="7" t="s">
        <v>854</v>
      </c>
      <c r="E57" s="44">
        <v>5</v>
      </c>
      <c r="F57" s="7"/>
      <c r="G57" s="7"/>
      <c r="H57" s="2" t="s">
        <v>818</v>
      </c>
      <c r="I57" s="7" t="s">
        <v>855</v>
      </c>
      <c r="J57" s="7" t="s">
        <v>856</v>
      </c>
      <c r="K57" s="7" t="s">
        <v>55</v>
      </c>
      <c r="L57" s="2"/>
      <c r="M57" s="7"/>
      <c r="N57" s="45" t="str">
        <f t="shared" si="32"/>
        <v>@FSU_Softball</v>
      </c>
      <c r="O57" s="74" t="str">
        <f t="shared" si="33"/>
        <v>Questionnaire</v>
      </c>
      <c r="P57" s="7" t="s">
        <v>827</v>
      </c>
      <c r="Q57" s="47" t="s">
        <v>66</v>
      </c>
      <c r="R57" s="49" t="s">
        <v>828</v>
      </c>
      <c r="S57" s="48" t="s">
        <v>62</v>
      </c>
      <c r="T57" s="49" t="s">
        <v>74</v>
      </c>
      <c r="U57" s="49" t="s">
        <v>75</v>
      </c>
      <c r="V57" s="48"/>
      <c r="W57" s="50">
        <v>3.95</v>
      </c>
      <c r="X57" s="7" t="s">
        <v>833</v>
      </c>
      <c r="Y57" s="49" t="s">
        <v>835</v>
      </c>
      <c r="Z57" s="49" t="s">
        <v>836</v>
      </c>
      <c r="AA57" s="61">
        <v>0.57999999999999996</v>
      </c>
      <c r="AB57" s="48" t="s">
        <v>837</v>
      </c>
      <c r="AC57" s="72" t="s">
        <v>827</v>
      </c>
      <c r="AD57" s="53" t="str">
        <f t="shared" si="34"/>
        <v>Link</v>
      </c>
      <c r="AE57" s="54">
        <v>32933</v>
      </c>
      <c r="AF57" s="54">
        <v>81</v>
      </c>
      <c r="AG57" s="55"/>
      <c r="AH57" s="56">
        <v>134097</v>
      </c>
      <c r="AI57" s="56"/>
      <c r="AJ57" s="56"/>
    </row>
    <row r="58" spans="1:36" ht="15" x14ac:dyDescent="0.2">
      <c r="A58" s="43" t="s">
        <v>594</v>
      </c>
      <c r="B58" s="33" t="s">
        <v>66</v>
      </c>
      <c r="C58" s="7" t="s">
        <v>67</v>
      </c>
      <c r="D58" s="7" t="s">
        <v>864</v>
      </c>
      <c r="E58" s="44">
        <v>5</v>
      </c>
      <c r="F58" s="7"/>
      <c r="G58" s="7"/>
      <c r="H58" s="2" t="s">
        <v>818</v>
      </c>
      <c r="I58" s="7" t="s">
        <v>283</v>
      </c>
      <c r="J58" s="7" t="s">
        <v>865</v>
      </c>
      <c r="K58" s="7" t="s">
        <v>154</v>
      </c>
      <c r="L58" s="2" t="s">
        <v>866</v>
      </c>
      <c r="M58" s="7" t="s">
        <v>867</v>
      </c>
      <c r="N58" s="45" t="str">
        <f t="shared" si="32"/>
        <v>@FSU_Softball</v>
      </c>
      <c r="O58" s="74" t="str">
        <f t="shared" si="33"/>
        <v>Questionnaire</v>
      </c>
      <c r="P58" s="7" t="s">
        <v>827</v>
      </c>
      <c r="Q58" s="47" t="s">
        <v>66</v>
      </c>
      <c r="R58" s="49" t="s">
        <v>828</v>
      </c>
      <c r="S58" s="48" t="s">
        <v>62</v>
      </c>
      <c r="T58" s="49" t="s">
        <v>74</v>
      </c>
      <c r="U58" s="49" t="s">
        <v>75</v>
      </c>
      <c r="V58" s="48"/>
      <c r="W58" s="50">
        <v>3.95</v>
      </c>
      <c r="X58" s="7" t="s">
        <v>833</v>
      </c>
      <c r="Y58" s="49" t="s">
        <v>835</v>
      </c>
      <c r="Z58" s="49" t="s">
        <v>836</v>
      </c>
      <c r="AA58" s="61">
        <v>0.57999999999999996</v>
      </c>
      <c r="AB58" s="48" t="s">
        <v>837</v>
      </c>
      <c r="AC58" s="72" t="s">
        <v>827</v>
      </c>
      <c r="AD58" s="53" t="str">
        <f t="shared" si="34"/>
        <v>Link</v>
      </c>
      <c r="AE58" s="54">
        <v>32933</v>
      </c>
      <c r="AF58" s="54">
        <v>81</v>
      </c>
      <c r="AG58" s="55"/>
      <c r="AH58" s="56">
        <v>134097</v>
      </c>
      <c r="AI58" s="56"/>
      <c r="AJ58" s="56"/>
    </row>
    <row r="59" spans="1:36" ht="15" x14ac:dyDescent="0.2">
      <c r="A59" s="43" t="s">
        <v>594</v>
      </c>
      <c r="B59" s="33" t="s">
        <v>871</v>
      </c>
      <c r="C59" s="7" t="s">
        <v>67</v>
      </c>
      <c r="D59" s="7" t="s">
        <v>872</v>
      </c>
      <c r="E59" s="44">
        <v>5</v>
      </c>
      <c r="F59" s="7"/>
      <c r="G59" s="7"/>
      <c r="H59" s="2" t="s">
        <v>873</v>
      </c>
      <c r="I59" s="7" t="s">
        <v>874</v>
      </c>
      <c r="J59" s="7" t="s">
        <v>875</v>
      </c>
      <c r="K59" s="7" t="s">
        <v>48</v>
      </c>
      <c r="L59" s="7" t="s">
        <v>876</v>
      </c>
      <c r="M59" s="7"/>
      <c r="N59" s="45" t="str">
        <f t="shared" ref="N59:N62" si="35">HYPERLINK("twitter.com/GaTechSoftball","@GaTechSoftball")</f>
        <v>@GaTechSoftball</v>
      </c>
      <c r="O59" s="74" t="str">
        <f t="shared" ref="O59:O62" si="36">HYPERLINK("https://questionnaire.acsathletics.com/Questionnaire/Questionnaire.aspx?q=1428&amp;s=59122&amp;o=855","Questionnaire")</f>
        <v>Questionnaire</v>
      </c>
      <c r="P59" s="7" t="s">
        <v>873</v>
      </c>
      <c r="Q59" s="47" t="s">
        <v>871</v>
      </c>
      <c r="R59" s="49" t="s">
        <v>887</v>
      </c>
      <c r="S59" s="48" t="s">
        <v>354</v>
      </c>
      <c r="T59" s="49" t="s">
        <v>74</v>
      </c>
      <c r="U59" s="49" t="s">
        <v>75</v>
      </c>
      <c r="V59" s="48"/>
      <c r="W59" s="50">
        <v>4.03</v>
      </c>
      <c r="X59" s="7" t="s">
        <v>888</v>
      </c>
      <c r="Y59" s="49" t="s">
        <v>763</v>
      </c>
      <c r="Z59" s="49" t="s">
        <v>889</v>
      </c>
      <c r="AA59" s="61">
        <v>0.26</v>
      </c>
      <c r="AB59" s="48" t="s">
        <v>891</v>
      </c>
      <c r="AC59" s="75" t="s">
        <v>873</v>
      </c>
      <c r="AD59" s="53" t="str">
        <f t="shared" ref="AD59:AD62" si="37">HYPERLINK("http://www.gatech.edu/academics/bachelors-degree-programs","Link")</f>
        <v>Link</v>
      </c>
      <c r="AE59" s="54">
        <v>15489</v>
      </c>
      <c r="AF59" s="54">
        <v>34</v>
      </c>
      <c r="AG59" s="55"/>
      <c r="AH59" s="56">
        <v>139755</v>
      </c>
      <c r="AI59" s="56"/>
      <c r="AJ59" s="56"/>
    </row>
    <row r="60" spans="1:36" ht="15" x14ac:dyDescent="0.2">
      <c r="A60" s="43" t="s">
        <v>594</v>
      </c>
      <c r="B60" s="33" t="s">
        <v>871</v>
      </c>
      <c r="C60" s="7" t="s">
        <v>67</v>
      </c>
      <c r="D60" s="7" t="s">
        <v>899</v>
      </c>
      <c r="E60" s="44">
        <v>5</v>
      </c>
      <c r="F60" s="7"/>
      <c r="G60" s="7"/>
      <c r="H60" s="2" t="s">
        <v>873</v>
      </c>
      <c r="I60" s="7" t="s">
        <v>717</v>
      </c>
      <c r="J60" s="7" t="s">
        <v>900</v>
      </c>
      <c r="K60" s="7" t="s">
        <v>55</v>
      </c>
      <c r="L60" s="7" t="s">
        <v>901</v>
      </c>
      <c r="M60" s="2" t="s">
        <v>902</v>
      </c>
      <c r="N60" s="45" t="str">
        <f t="shared" si="35"/>
        <v>@GaTechSoftball</v>
      </c>
      <c r="O60" s="74" t="str">
        <f t="shared" si="36"/>
        <v>Questionnaire</v>
      </c>
      <c r="P60" s="7" t="s">
        <v>873</v>
      </c>
      <c r="Q60" s="47" t="s">
        <v>871</v>
      </c>
      <c r="R60" s="49" t="s">
        <v>887</v>
      </c>
      <c r="S60" s="48" t="s">
        <v>354</v>
      </c>
      <c r="T60" s="49" t="s">
        <v>74</v>
      </c>
      <c r="U60" s="49" t="s">
        <v>75</v>
      </c>
      <c r="V60" s="48"/>
      <c r="W60" s="50">
        <v>4.03</v>
      </c>
      <c r="X60" s="7" t="s">
        <v>888</v>
      </c>
      <c r="Y60" s="49" t="s">
        <v>763</v>
      </c>
      <c r="Z60" s="49" t="s">
        <v>889</v>
      </c>
      <c r="AA60" s="61">
        <v>0.26</v>
      </c>
      <c r="AB60" s="48" t="s">
        <v>891</v>
      </c>
      <c r="AC60" s="75" t="s">
        <v>873</v>
      </c>
      <c r="AD60" s="53" t="str">
        <f t="shared" si="37"/>
        <v>Link</v>
      </c>
      <c r="AE60" s="54">
        <v>15489</v>
      </c>
      <c r="AF60" s="54">
        <v>34</v>
      </c>
      <c r="AG60" s="55"/>
      <c r="AH60" s="56">
        <v>139755</v>
      </c>
      <c r="AI60" s="56"/>
      <c r="AJ60" s="56"/>
    </row>
    <row r="61" spans="1:36" ht="15" x14ac:dyDescent="0.2">
      <c r="A61" s="43" t="s">
        <v>594</v>
      </c>
      <c r="B61" s="33" t="s">
        <v>871</v>
      </c>
      <c r="C61" s="7" t="s">
        <v>67</v>
      </c>
      <c r="D61" s="7" t="s">
        <v>917</v>
      </c>
      <c r="E61" s="44">
        <v>5</v>
      </c>
      <c r="F61" s="7"/>
      <c r="G61" s="7"/>
      <c r="H61" s="2" t="s">
        <v>873</v>
      </c>
      <c r="I61" s="7" t="s">
        <v>588</v>
      </c>
      <c r="J61" s="7" t="s">
        <v>918</v>
      </c>
      <c r="K61" s="7" t="s">
        <v>919</v>
      </c>
      <c r="L61" s="7" t="s">
        <v>921</v>
      </c>
      <c r="M61" s="7"/>
      <c r="N61" s="45" t="str">
        <f t="shared" si="35"/>
        <v>@GaTechSoftball</v>
      </c>
      <c r="O61" s="74" t="str">
        <f t="shared" si="36"/>
        <v>Questionnaire</v>
      </c>
      <c r="P61" s="7" t="s">
        <v>873</v>
      </c>
      <c r="Q61" s="47" t="s">
        <v>871</v>
      </c>
      <c r="R61" s="49" t="s">
        <v>887</v>
      </c>
      <c r="S61" s="48" t="s">
        <v>354</v>
      </c>
      <c r="T61" s="49" t="s">
        <v>74</v>
      </c>
      <c r="U61" s="49" t="s">
        <v>75</v>
      </c>
      <c r="V61" s="48"/>
      <c r="W61" s="50">
        <v>4.03</v>
      </c>
      <c r="X61" s="7" t="s">
        <v>888</v>
      </c>
      <c r="Y61" s="49" t="s">
        <v>763</v>
      </c>
      <c r="Z61" s="49" t="s">
        <v>889</v>
      </c>
      <c r="AA61" s="61">
        <v>0.26</v>
      </c>
      <c r="AB61" s="48" t="s">
        <v>891</v>
      </c>
      <c r="AC61" s="75" t="s">
        <v>873</v>
      </c>
      <c r="AD61" s="53" t="str">
        <f t="shared" si="37"/>
        <v>Link</v>
      </c>
      <c r="AE61" s="54">
        <v>15489</v>
      </c>
      <c r="AF61" s="54">
        <v>34</v>
      </c>
      <c r="AG61" s="55"/>
      <c r="AH61" s="56">
        <v>139755</v>
      </c>
      <c r="AI61" s="56"/>
      <c r="AJ61" s="56"/>
    </row>
    <row r="62" spans="1:36" ht="15" x14ac:dyDescent="0.2">
      <c r="A62" s="43" t="s">
        <v>594</v>
      </c>
      <c r="B62" s="33" t="s">
        <v>871</v>
      </c>
      <c r="C62" s="7" t="s">
        <v>67</v>
      </c>
      <c r="D62" s="7" t="s">
        <v>925</v>
      </c>
      <c r="E62" s="44">
        <v>5</v>
      </c>
      <c r="F62" s="7"/>
      <c r="G62" s="7"/>
      <c r="H62" s="2" t="s">
        <v>873</v>
      </c>
      <c r="I62" s="7" t="s">
        <v>926</v>
      </c>
      <c r="J62" s="7" t="s">
        <v>927</v>
      </c>
      <c r="K62" s="7" t="s">
        <v>139</v>
      </c>
      <c r="L62" s="7" t="s">
        <v>928</v>
      </c>
      <c r="M62" s="7"/>
      <c r="N62" s="45" t="str">
        <f t="shared" si="35"/>
        <v>@GaTechSoftball</v>
      </c>
      <c r="O62" s="74" t="str">
        <f t="shared" si="36"/>
        <v>Questionnaire</v>
      </c>
      <c r="P62" s="7" t="s">
        <v>873</v>
      </c>
      <c r="Q62" s="47" t="s">
        <v>871</v>
      </c>
      <c r="R62" s="49" t="s">
        <v>887</v>
      </c>
      <c r="S62" s="48" t="s">
        <v>354</v>
      </c>
      <c r="T62" s="49" t="s">
        <v>74</v>
      </c>
      <c r="U62" s="49" t="s">
        <v>75</v>
      </c>
      <c r="V62" s="48"/>
      <c r="W62" s="50">
        <v>4.03</v>
      </c>
      <c r="X62" s="7" t="s">
        <v>888</v>
      </c>
      <c r="Y62" s="49" t="s">
        <v>763</v>
      </c>
      <c r="Z62" s="49" t="s">
        <v>889</v>
      </c>
      <c r="AA62" s="61">
        <v>0.26</v>
      </c>
      <c r="AB62" s="48" t="s">
        <v>891</v>
      </c>
      <c r="AC62" s="75" t="s">
        <v>873</v>
      </c>
      <c r="AD62" s="53" t="str">
        <f t="shared" si="37"/>
        <v>Link</v>
      </c>
      <c r="AE62" s="54">
        <v>15489</v>
      </c>
      <c r="AF62" s="54">
        <v>34</v>
      </c>
      <c r="AG62" s="55"/>
      <c r="AH62" s="56">
        <v>139755</v>
      </c>
      <c r="AI62" s="56"/>
      <c r="AJ62" s="56"/>
    </row>
    <row r="63" spans="1:36" ht="15" x14ac:dyDescent="0.2">
      <c r="A63" s="43" t="s">
        <v>594</v>
      </c>
      <c r="B63" s="33" t="s">
        <v>935</v>
      </c>
      <c r="C63" s="7" t="s">
        <v>67</v>
      </c>
      <c r="D63" s="7" t="s">
        <v>936</v>
      </c>
      <c r="E63" s="44">
        <v>5</v>
      </c>
      <c r="F63" s="7"/>
      <c r="G63" s="7"/>
      <c r="H63" s="2" t="s">
        <v>937</v>
      </c>
      <c r="I63" s="7" t="s">
        <v>939</v>
      </c>
      <c r="J63" s="7" t="s">
        <v>940</v>
      </c>
      <c r="K63" s="7" t="s">
        <v>48</v>
      </c>
      <c r="L63" s="7" t="s">
        <v>942</v>
      </c>
      <c r="M63" s="7" t="s">
        <v>944</v>
      </c>
      <c r="N63" s="45" t="str">
        <f t="shared" ref="N63:N67" si="38">HYPERLINK("twitter.com/UofLSoftball","@UofLSoftball")</f>
        <v>@UofLSoftball</v>
      </c>
      <c r="O63" s="74" t="str">
        <f t="shared" ref="O63:O67" si="39">HYPERLINK("https://gocards.com/documents/2019/8/14//LouisvilleSB_Questionnaire.pdf?id=23850","Questionnaire")</f>
        <v>Questionnaire</v>
      </c>
      <c r="P63" s="7" t="s">
        <v>953</v>
      </c>
      <c r="Q63" s="47" t="s">
        <v>935</v>
      </c>
      <c r="R63" s="49" t="s">
        <v>953</v>
      </c>
      <c r="S63" s="48" t="s">
        <v>354</v>
      </c>
      <c r="T63" s="49" t="s">
        <v>74</v>
      </c>
      <c r="U63" s="49" t="s">
        <v>75</v>
      </c>
      <c r="V63" s="48"/>
      <c r="W63" s="50">
        <v>3.6</v>
      </c>
      <c r="X63" s="7" t="s">
        <v>956</v>
      </c>
      <c r="Y63" s="49" t="s">
        <v>957</v>
      </c>
      <c r="Z63" s="49" t="s">
        <v>958</v>
      </c>
      <c r="AA63" s="61">
        <v>0.73</v>
      </c>
      <c r="AB63" s="48" t="s">
        <v>960</v>
      </c>
      <c r="AC63" s="75" t="s">
        <v>953</v>
      </c>
      <c r="AD63" s="53" t="str">
        <f t="shared" ref="AD63:AD67" si="40">HYPERLINK("http://louisville.edu/academics/majors-and-programs","Link")</f>
        <v>Link</v>
      </c>
      <c r="AE63" s="54">
        <v>15826</v>
      </c>
      <c r="AF63" s="54">
        <v>165</v>
      </c>
      <c r="AG63" s="55"/>
      <c r="AH63" s="56">
        <v>157289</v>
      </c>
      <c r="AI63" s="56"/>
      <c r="AJ63" s="56"/>
    </row>
    <row r="64" spans="1:36" ht="15" x14ac:dyDescent="0.2">
      <c r="A64" s="43" t="s">
        <v>594</v>
      </c>
      <c r="B64" s="33" t="s">
        <v>935</v>
      </c>
      <c r="C64" s="7" t="s">
        <v>67</v>
      </c>
      <c r="D64" s="7" t="s">
        <v>967</v>
      </c>
      <c r="E64" s="44">
        <v>5</v>
      </c>
      <c r="F64" s="7"/>
      <c r="G64" s="7"/>
      <c r="H64" s="2" t="s">
        <v>937</v>
      </c>
      <c r="I64" s="7" t="s">
        <v>968</v>
      </c>
      <c r="J64" s="7" t="s">
        <v>969</v>
      </c>
      <c r="K64" s="7" t="s">
        <v>55</v>
      </c>
      <c r="L64" s="7" t="s">
        <v>970</v>
      </c>
      <c r="M64" s="7" t="s">
        <v>971</v>
      </c>
      <c r="N64" s="45" t="str">
        <f t="shared" si="38"/>
        <v>@UofLSoftball</v>
      </c>
      <c r="O64" s="74" t="str">
        <f t="shared" si="39"/>
        <v>Questionnaire</v>
      </c>
      <c r="P64" s="7" t="s">
        <v>953</v>
      </c>
      <c r="Q64" s="47" t="s">
        <v>935</v>
      </c>
      <c r="R64" s="49" t="s">
        <v>953</v>
      </c>
      <c r="S64" s="48" t="s">
        <v>354</v>
      </c>
      <c r="T64" s="49" t="s">
        <v>74</v>
      </c>
      <c r="U64" s="49" t="s">
        <v>75</v>
      </c>
      <c r="V64" s="48"/>
      <c r="W64" s="50">
        <v>3.6</v>
      </c>
      <c r="X64" s="7" t="s">
        <v>956</v>
      </c>
      <c r="Y64" s="49" t="s">
        <v>957</v>
      </c>
      <c r="Z64" s="49" t="s">
        <v>958</v>
      </c>
      <c r="AA64" s="61">
        <v>0.73</v>
      </c>
      <c r="AB64" s="48" t="s">
        <v>960</v>
      </c>
      <c r="AC64" s="75" t="s">
        <v>953</v>
      </c>
      <c r="AD64" s="53" t="str">
        <f t="shared" si="40"/>
        <v>Link</v>
      </c>
      <c r="AE64" s="54">
        <v>15826</v>
      </c>
      <c r="AF64" s="54">
        <v>165</v>
      </c>
      <c r="AG64" s="55"/>
      <c r="AH64" s="56">
        <v>157289</v>
      </c>
      <c r="AI64" s="56"/>
      <c r="AJ64" s="56"/>
    </row>
    <row r="65" spans="1:36" ht="15" x14ac:dyDescent="0.2">
      <c r="A65" s="43" t="s">
        <v>594</v>
      </c>
      <c r="B65" s="33" t="s">
        <v>935</v>
      </c>
      <c r="C65" s="7" t="s">
        <v>67</v>
      </c>
      <c r="D65" s="7" t="s">
        <v>980</v>
      </c>
      <c r="E65" s="44">
        <v>5</v>
      </c>
      <c r="F65" s="7"/>
      <c r="G65" s="7"/>
      <c r="H65" s="2" t="s">
        <v>937</v>
      </c>
      <c r="I65" s="7" t="s">
        <v>981</v>
      </c>
      <c r="J65" s="7" t="s">
        <v>982</v>
      </c>
      <c r="K65" s="7" t="s">
        <v>55</v>
      </c>
      <c r="L65" s="7" t="s">
        <v>983</v>
      </c>
      <c r="M65" s="7" t="s">
        <v>984</v>
      </c>
      <c r="N65" s="45" t="str">
        <f t="shared" si="38"/>
        <v>@UofLSoftball</v>
      </c>
      <c r="O65" s="74" t="str">
        <f t="shared" si="39"/>
        <v>Questionnaire</v>
      </c>
      <c r="P65" s="7" t="s">
        <v>953</v>
      </c>
      <c r="Q65" s="47" t="s">
        <v>935</v>
      </c>
      <c r="R65" s="49" t="s">
        <v>953</v>
      </c>
      <c r="S65" s="48" t="s">
        <v>354</v>
      </c>
      <c r="T65" s="49" t="s">
        <v>74</v>
      </c>
      <c r="U65" s="49" t="s">
        <v>75</v>
      </c>
      <c r="V65" s="48"/>
      <c r="W65" s="50">
        <v>3.6</v>
      </c>
      <c r="X65" s="7" t="s">
        <v>956</v>
      </c>
      <c r="Y65" s="49" t="s">
        <v>957</v>
      </c>
      <c r="Z65" s="49" t="s">
        <v>958</v>
      </c>
      <c r="AA65" s="61">
        <v>0.73</v>
      </c>
      <c r="AB65" s="48" t="s">
        <v>960</v>
      </c>
      <c r="AC65" s="75" t="s">
        <v>953</v>
      </c>
      <c r="AD65" s="53" t="str">
        <f t="shared" si="40"/>
        <v>Link</v>
      </c>
      <c r="AE65" s="54">
        <v>15826</v>
      </c>
      <c r="AF65" s="54">
        <v>165</v>
      </c>
      <c r="AG65" s="55"/>
      <c r="AH65" s="56">
        <v>157289</v>
      </c>
      <c r="AI65" s="56"/>
      <c r="AJ65" s="56"/>
    </row>
    <row r="66" spans="1:36" ht="15" x14ac:dyDescent="0.2">
      <c r="A66" s="43" t="s">
        <v>594</v>
      </c>
      <c r="B66" s="33" t="s">
        <v>935</v>
      </c>
      <c r="C66" s="7" t="s">
        <v>67</v>
      </c>
      <c r="D66" s="7" t="s">
        <v>995</v>
      </c>
      <c r="E66" s="44">
        <v>5</v>
      </c>
      <c r="F66" s="7"/>
      <c r="G66" s="7"/>
      <c r="H66" s="2" t="s">
        <v>937</v>
      </c>
      <c r="I66" s="7" t="s">
        <v>111</v>
      </c>
      <c r="J66" s="7" t="s">
        <v>996</v>
      </c>
      <c r="K66" s="7" t="s">
        <v>154</v>
      </c>
      <c r="L66" s="7" t="s">
        <v>997</v>
      </c>
      <c r="M66" s="7" t="s">
        <v>998</v>
      </c>
      <c r="N66" s="45" t="str">
        <f t="shared" si="38"/>
        <v>@UofLSoftball</v>
      </c>
      <c r="O66" s="74" t="str">
        <f t="shared" si="39"/>
        <v>Questionnaire</v>
      </c>
      <c r="P66" s="7" t="s">
        <v>953</v>
      </c>
      <c r="Q66" s="47" t="s">
        <v>935</v>
      </c>
      <c r="R66" s="49" t="s">
        <v>953</v>
      </c>
      <c r="S66" s="48" t="s">
        <v>354</v>
      </c>
      <c r="T66" s="49" t="s">
        <v>74</v>
      </c>
      <c r="U66" s="49" t="s">
        <v>75</v>
      </c>
      <c r="V66" s="48"/>
      <c r="W66" s="50">
        <v>3.6</v>
      </c>
      <c r="X66" s="7" t="s">
        <v>956</v>
      </c>
      <c r="Y66" s="49" t="s">
        <v>957</v>
      </c>
      <c r="Z66" s="49" t="s">
        <v>958</v>
      </c>
      <c r="AA66" s="61">
        <v>0.73</v>
      </c>
      <c r="AB66" s="48" t="s">
        <v>960</v>
      </c>
      <c r="AC66" s="75" t="s">
        <v>953</v>
      </c>
      <c r="AD66" s="53" t="str">
        <f t="shared" si="40"/>
        <v>Link</v>
      </c>
      <c r="AE66" s="54">
        <v>15826</v>
      </c>
      <c r="AF66" s="54">
        <v>165</v>
      </c>
      <c r="AG66" s="55"/>
      <c r="AH66" s="56">
        <v>157289</v>
      </c>
      <c r="AI66" s="56"/>
      <c r="AJ66" s="56"/>
    </row>
    <row r="67" spans="1:36" ht="15" x14ac:dyDescent="0.2">
      <c r="A67" s="43" t="s">
        <v>594</v>
      </c>
      <c r="B67" s="33" t="s">
        <v>935</v>
      </c>
      <c r="C67" s="7" t="s">
        <v>67</v>
      </c>
      <c r="D67" s="7" t="s">
        <v>1004</v>
      </c>
      <c r="E67" s="44">
        <v>5</v>
      </c>
      <c r="F67" s="7"/>
      <c r="G67" s="7"/>
      <c r="H67" s="2" t="s">
        <v>937</v>
      </c>
      <c r="I67" s="7" t="s">
        <v>1007</v>
      </c>
      <c r="J67" s="7" t="s">
        <v>1009</v>
      </c>
      <c r="K67" s="7" t="s">
        <v>139</v>
      </c>
      <c r="L67" s="7"/>
      <c r="M67" s="7"/>
      <c r="N67" s="45" t="str">
        <f t="shared" si="38"/>
        <v>@UofLSoftball</v>
      </c>
      <c r="O67" s="74" t="str">
        <f t="shared" si="39"/>
        <v>Questionnaire</v>
      </c>
      <c r="P67" s="7" t="s">
        <v>953</v>
      </c>
      <c r="Q67" s="47" t="s">
        <v>935</v>
      </c>
      <c r="R67" s="49" t="s">
        <v>953</v>
      </c>
      <c r="S67" s="48" t="s">
        <v>354</v>
      </c>
      <c r="T67" s="49" t="s">
        <v>74</v>
      </c>
      <c r="U67" s="49" t="s">
        <v>75</v>
      </c>
      <c r="V67" s="48"/>
      <c r="W67" s="50">
        <v>3.6</v>
      </c>
      <c r="X67" s="7" t="s">
        <v>956</v>
      </c>
      <c r="Y67" s="49" t="s">
        <v>957</v>
      </c>
      <c r="Z67" s="49" t="s">
        <v>958</v>
      </c>
      <c r="AA67" s="61">
        <v>0.73</v>
      </c>
      <c r="AB67" s="48" t="s">
        <v>960</v>
      </c>
      <c r="AC67" s="75" t="s">
        <v>953</v>
      </c>
      <c r="AD67" s="53" t="str">
        <f t="shared" si="40"/>
        <v>Link</v>
      </c>
      <c r="AE67" s="54">
        <v>15826</v>
      </c>
      <c r="AF67" s="54">
        <v>165</v>
      </c>
      <c r="AG67" s="55"/>
      <c r="AH67" s="56">
        <v>157289</v>
      </c>
      <c r="AI67" s="56"/>
      <c r="AJ67" s="56"/>
    </row>
    <row r="68" spans="1:36" ht="15" x14ac:dyDescent="0.2">
      <c r="A68" s="43" t="s">
        <v>594</v>
      </c>
      <c r="B68" s="33" t="s">
        <v>219</v>
      </c>
      <c r="C68" s="7" t="s">
        <v>67</v>
      </c>
      <c r="D68" s="7" t="s">
        <v>1010</v>
      </c>
      <c r="E68" s="44">
        <v>5</v>
      </c>
      <c r="F68" s="7"/>
      <c r="G68" s="7"/>
      <c r="H68" s="2" t="s">
        <v>1011</v>
      </c>
      <c r="I68" s="7" t="s">
        <v>819</v>
      </c>
      <c r="J68" s="7" t="s">
        <v>1012</v>
      </c>
      <c r="K68" s="7" t="s">
        <v>48</v>
      </c>
      <c r="L68" s="7" t="s">
        <v>1014</v>
      </c>
      <c r="M68" s="7" t="s">
        <v>1015</v>
      </c>
      <c r="N68" s="45" t="str">
        <f t="shared" ref="N68:N72" si="41">HYPERLINK("twitter.com/UNCSoftball","@UNCSoftball")</f>
        <v>@UNCSoftball</v>
      </c>
      <c r="O68" s="7" t="s">
        <v>22</v>
      </c>
      <c r="P68" s="7" t="s">
        <v>1019</v>
      </c>
      <c r="Q68" s="47" t="s">
        <v>219</v>
      </c>
      <c r="R68" s="49" t="s">
        <v>1020</v>
      </c>
      <c r="S68" s="48" t="s">
        <v>186</v>
      </c>
      <c r="T68" s="49" t="s">
        <v>74</v>
      </c>
      <c r="U68" s="49" t="s">
        <v>75</v>
      </c>
      <c r="V68" s="48"/>
      <c r="W68" s="50">
        <v>3.71</v>
      </c>
      <c r="X68" s="7" t="s">
        <v>576</v>
      </c>
      <c r="Y68" s="49" t="s">
        <v>1022</v>
      </c>
      <c r="Z68" s="49" t="s">
        <v>1023</v>
      </c>
      <c r="AA68" s="61">
        <v>0.27</v>
      </c>
      <c r="AB68" s="48" t="s">
        <v>1025</v>
      </c>
      <c r="AC68" s="75" t="s">
        <v>1019</v>
      </c>
      <c r="AD68" s="53" t="str">
        <f t="shared" ref="AD68:AD73" si="42">HYPERLINK("https://admissions.unc.edu/explore/academics/majors-minors-and-concentrations/","Link")</f>
        <v>Link</v>
      </c>
      <c r="AE68" s="54">
        <v>18522</v>
      </c>
      <c r="AF68" s="54">
        <v>30</v>
      </c>
      <c r="AG68" s="55"/>
      <c r="AH68" s="56">
        <v>199120</v>
      </c>
      <c r="AI68" s="56"/>
      <c r="AJ68" s="56"/>
    </row>
    <row r="69" spans="1:36" ht="15" x14ac:dyDescent="0.2">
      <c r="A69" s="43" t="s">
        <v>594</v>
      </c>
      <c r="B69" s="33" t="s">
        <v>219</v>
      </c>
      <c r="C69" s="7" t="s">
        <v>67</v>
      </c>
      <c r="D69" s="7" t="s">
        <v>1030</v>
      </c>
      <c r="E69" s="44">
        <v>5</v>
      </c>
      <c r="F69" s="7"/>
      <c r="G69" s="7"/>
      <c r="H69" s="2" t="s">
        <v>1011</v>
      </c>
      <c r="I69" s="7" t="s">
        <v>1031</v>
      </c>
      <c r="J69" s="7" t="s">
        <v>1032</v>
      </c>
      <c r="K69" s="7" t="s">
        <v>55</v>
      </c>
      <c r="L69" s="7" t="s">
        <v>1033</v>
      </c>
      <c r="M69" s="2" t="s">
        <v>1034</v>
      </c>
      <c r="N69" s="45" t="str">
        <f t="shared" si="41"/>
        <v>@UNCSoftball</v>
      </c>
      <c r="O69" s="7" t="s">
        <v>22</v>
      </c>
      <c r="P69" s="7" t="s">
        <v>1019</v>
      </c>
      <c r="Q69" s="47" t="s">
        <v>219</v>
      </c>
      <c r="R69" s="49" t="s">
        <v>1020</v>
      </c>
      <c r="S69" s="48" t="s">
        <v>186</v>
      </c>
      <c r="T69" s="49" t="s">
        <v>74</v>
      </c>
      <c r="U69" s="49" t="s">
        <v>75</v>
      </c>
      <c r="V69" s="48"/>
      <c r="W69" s="50">
        <v>3.71</v>
      </c>
      <c r="X69" s="7" t="s">
        <v>576</v>
      </c>
      <c r="Y69" s="49" t="s">
        <v>1022</v>
      </c>
      <c r="Z69" s="49" t="s">
        <v>1023</v>
      </c>
      <c r="AA69" s="61">
        <v>0.27</v>
      </c>
      <c r="AB69" s="48" t="s">
        <v>1025</v>
      </c>
      <c r="AC69" s="75" t="s">
        <v>1019</v>
      </c>
      <c r="AD69" s="53" t="str">
        <f t="shared" si="42"/>
        <v>Link</v>
      </c>
      <c r="AE69" s="54">
        <v>18522</v>
      </c>
      <c r="AF69" s="54">
        <v>30</v>
      </c>
      <c r="AG69" s="55"/>
      <c r="AH69" s="56">
        <v>199120</v>
      </c>
      <c r="AI69" s="56"/>
      <c r="AJ69" s="56"/>
    </row>
    <row r="70" spans="1:36" ht="15" x14ac:dyDescent="0.2">
      <c r="A70" s="43" t="s">
        <v>594</v>
      </c>
      <c r="B70" s="33" t="s">
        <v>219</v>
      </c>
      <c r="C70" s="7" t="s">
        <v>67</v>
      </c>
      <c r="D70" s="7" t="s">
        <v>1040</v>
      </c>
      <c r="E70" s="44">
        <v>5</v>
      </c>
      <c r="F70" s="7"/>
      <c r="G70" s="7"/>
      <c r="H70" s="2" t="s">
        <v>1011</v>
      </c>
      <c r="I70" s="7" t="s">
        <v>1041</v>
      </c>
      <c r="J70" s="7" t="s">
        <v>1042</v>
      </c>
      <c r="K70" s="7" t="s">
        <v>919</v>
      </c>
      <c r="L70" s="7" t="s">
        <v>1043</v>
      </c>
      <c r="M70" s="2" t="s">
        <v>1044</v>
      </c>
      <c r="N70" s="45" t="str">
        <f t="shared" si="41"/>
        <v>@UNCSoftball</v>
      </c>
      <c r="O70" s="7" t="s">
        <v>22</v>
      </c>
      <c r="P70" s="7" t="s">
        <v>1019</v>
      </c>
      <c r="Q70" s="47" t="s">
        <v>219</v>
      </c>
      <c r="R70" s="49" t="s">
        <v>1020</v>
      </c>
      <c r="S70" s="48" t="s">
        <v>186</v>
      </c>
      <c r="T70" s="49" t="s">
        <v>74</v>
      </c>
      <c r="U70" s="49" t="s">
        <v>75</v>
      </c>
      <c r="V70" s="48"/>
      <c r="W70" s="50">
        <v>3.71</v>
      </c>
      <c r="X70" s="7" t="s">
        <v>576</v>
      </c>
      <c r="Y70" s="49" t="s">
        <v>1022</v>
      </c>
      <c r="Z70" s="49" t="s">
        <v>1023</v>
      </c>
      <c r="AA70" s="61">
        <v>0.27</v>
      </c>
      <c r="AB70" s="48" t="s">
        <v>1025</v>
      </c>
      <c r="AC70" s="75" t="s">
        <v>1019</v>
      </c>
      <c r="AD70" s="53" t="str">
        <f t="shared" si="42"/>
        <v>Link</v>
      </c>
      <c r="AE70" s="54">
        <v>18522</v>
      </c>
      <c r="AF70" s="54">
        <v>30</v>
      </c>
      <c r="AG70" s="55"/>
      <c r="AH70" s="56">
        <v>199120</v>
      </c>
      <c r="AI70" s="56"/>
      <c r="AJ70" s="56"/>
    </row>
    <row r="71" spans="1:36" ht="15" x14ac:dyDescent="0.2">
      <c r="A71" s="43" t="s">
        <v>594</v>
      </c>
      <c r="B71" s="33" t="s">
        <v>219</v>
      </c>
      <c r="C71" s="7" t="s">
        <v>67</v>
      </c>
      <c r="D71" s="7" t="s">
        <v>1051</v>
      </c>
      <c r="E71" s="44">
        <v>5</v>
      </c>
      <c r="F71" s="7"/>
      <c r="G71" s="7"/>
      <c r="H71" s="2" t="s">
        <v>1011</v>
      </c>
      <c r="I71" s="7" t="s">
        <v>1052</v>
      </c>
      <c r="J71" s="7" t="s">
        <v>1053</v>
      </c>
      <c r="K71" s="7" t="s">
        <v>139</v>
      </c>
      <c r="L71" s="7"/>
      <c r="M71" s="7"/>
      <c r="N71" s="45" t="str">
        <f t="shared" si="41"/>
        <v>@UNCSoftball</v>
      </c>
      <c r="O71" s="7" t="s">
        <v>22</v>
      </c>
      <c r="P71" s="7" t="s">
        <v>1019</v>
      </c>
      <c r="Q71" s="47" t="s">
        <v>219</v>
      </c>
      <c r="R71" s="49" t="s">
        <v>1020</v>
      </c>
      <c r="S71" s="48" t="s">
        <v>186</v>
      </c>
      <c r="T71" s="49" t="s">
        <v>74</v>
      </c>
      <c r="U71" s="49" t="s">
        <v>75</v>
      </c>
      <c r="V71" s="48"/>
      <c r="W71" s="50">
        <v>3.71</v>
      </c>
      <c r="X71" s="7" t="s">
        <v>576</v>
      </c>
      <c r="Y71" s="49" t="s">
        <v>1022</v>
      </c>
      <c r="Z71" s="49" t="s">
        <v>1023</v>
      </c>
      <c r="AA71" s="61">
        <v>0.27</v>
      </c>
      <c r="AB71" s="48" t="s">
        <v>1025</v>
      </c>
      <c r="AC71" s="75" t="s">
        <v>1019</v>
      </c>
      <c r="AD71" s="53" t="str">
        <f t="shared" si="42"/>
        <v>Link</v>
      </c>
      <c r="AE71" s="54">
        <v>18522</v>
      </c>
      <c r="AF71" s="54">
        <v>30</v>
      </c>
      <c r="AG71" s="55"/>
      <c r="AH71" s="56">
        <v>199120</v>
      </c>
      <c r="AI71" s="56"/>
      <c r="AJ71" s="56"/>
    </row>
    <row r="72" spans="1:36" ht="15" x14ac:dyDescent="0.2">
      <c r="A72" s="43" t="s">
        <v>594</v>
      </c>
      <c r="B72" s="33" t="s">
        <v>219</v>
      </c>
      <c r="C72" s="7" t="s">
        <v>67</v>
      </c>
      <c r="D72" s="7" t="s">
        <v>1059</v>
      </c>
      <c r="E72" s="44">
        <v>5</v>
      </c>
      <c r="F72" s="7"/>
      <c r="G72" s="7"/>
      <c r="H72" s="2" t="s">
        <v>1011</v>
      </c>
      <c r="I72" s="7" t="s">
        <v>1060</v>
      </c>
      <c r="J72" s="7" t="s">
        <v>1061</v>
      </c>
      <c r="K72" s="7" t="s">
        <v>154</v>
      </c>
      <c r="L72" s="7" t="s">
        <v>1063</v>
      </c>
      <c r="M72" s="7"/>
      <c r="N72" s="45" t="str">
        <f t="shared" si="41"/>
        <v>@UNCSoftball</v>
      </c>
      <c r="O72" s="7" t="s">
        <v>22</v>
      </c>
      <c r="P72" s="7" t="s">
        <v>1019</v>
      </c>
      <c r="Q72" s="47" t="s">
        <v>219</v>
      </c>
      <c r="R72" s="49" t="s">
        <v>1020</v>
      </c>
      <c r="S72" s="48" t="s">
        <v>186</v>
      </c>
      <c r="T72" s="49" t="s">
        <v>74</v>
      </c>
      <c r="U72" s="49" t="s">
        <v>75</v>
      </c>
      <c r="V72" s="48"/>
      <c r="W72" s="50">
        <v>3.71</v>
      </c>
      <c r="X72" s="7" t="s">
        <v>576</v>
      </c>
      <c r="Y72" s="49" t="s">
        <v>1022</v>
      </c>
      <c r="Z72" s="49" t="s">
        <v>1023</v>
      </c>
      <c r="AA72" s="61">
        <v>0.27</v>
      </c>
      <c r="AB72" s="48" t="s">
        <v>1025</v>
      </c>
      <c r="AC72" s="75" t="s">
        <v>1019</v>
      </c>
      <c r="AD72" s="53" t="str">
        <f t="shared" si="42"/>
        <v>Link</v>
      </c>
      <c r="AE72" s="54">
        <v>18522</v>
      </c>
      <c r="AF72" s="54">
        <v>30</v>
      </c>
      <c r="AG72" s="55"/>
      <c r="AH72" s="56">
        <v>199120</v>
      </c>
      <c r="AI72" s="56"/>
      <c r="AJ72" s="56"/>
    </row>
    <row r="73" spans="1:36" ht="15" x14ac:dyDescent="0.2">
      <c r="A73" s="43" t="s">
        <v>594</v>
      </c>
      <c r="B73" s="33" t="s">
        <v>219</v>
      </c>
      <c r="C73" s="7" t="s">
        <v>67</v>
      </c>
      <c r="D73" s="7" t="s">
        <v>1068</v>
      </c>
      <c r="E73" s="44">
        <v>5</v>
      </c>
      <c r="F73" s="7"/>
      <c r="G73" s="7"/>
      <c r="H73" s="2" t="s">
        <v>1011</v>
      </c>
      <c r="I73" s="7" t="s">
        <v>1041</v>
      </c>
      <c r="J73" s="7" t="s">
        <v>1070</v>
      </c>
      <c r="K73" s="7" t="s">
        <v>919</v>
      </c>
      <c r="L73" s="7" t="s">
        <v>1043</v>
      </c>
      <c r="M73" s="7"/>
      <c r="N73" s="7"/>
      <c r="O73" s="7"/>
      <c r="P73" s="7" t="s">
        <v>1019</v>
      </c>
      <c r="Q73" s="47" t="s">
        <v>219</v>
      </c>
      <c r="R73" s="49" t="s">
        <v>1020</v>
      </c>
      <c r="S73" s="48" t="s">
        <v>186</v>
      </c>
      <c r="T73" s="49" t="s">
        <v>74</v>
      </c>
      <c r="U73" s="49" t="s">
        <v>75</v>
      </c>
      <c r="V73" s="48"/>
      <c r="W73" s="50">
        <v>3.71</v>
      </c>
      <c r="X73" s="7" t="s">
        <v>576</v>
      </c>
      <c r="Y73" s="49" t="s">
        <v>1022</v>
      </c>
      <c r="Z73" s="49" t="s">
        <v>1023</v>
      </c>
      <c r="AA73" s="61">
        <v>0.27</v>
      </c>
      <c r="AB73" s="48" t="s">
        <v>1025</v>
      </c>
      <c r="AC73" s="75" t="s">
        <v>1019</v>
      </c>
      <c r="AD73" s="53" t="str">
        <f t="shared" si="42"/>
        <v>Link</v>
      </c>
      <c r="AE73" s="54">
        <v>18522</v>
      </c>
      <c r="AF73" s="54">
        <v>30</v>
      </c>
      <c r="AG73" s="55"/>
      <c r="AH73" s="56">
        <v>199120</v>
      </c>
      <c r="AI73" s="56"/>
      <c r="AJ73" s="56"/>
    </row>
    <row r="74" spans="1:36" ht="15" x14ac:dyDescent="0.2">
      <c r="A74" s="43" t="s">
        <v>594</v>
      </c>
      <c r="B74" s="47" t="s">
        <v>219</v>
      </c>
      <c r="C74" s="7" t="s">
        <v>67</v>
      </c>
      <c r="D74" s="7" t="s">
        <v>1076</v>
      </c>
      <c r="E74" s="44">
        <v>5</v>
      </c>
      <c r="F74" s="7"/>
      <c r="G74" s="7"/>
      <c r="H74" s="2" t="s">
        <v>1078</v>
      </c>
      <c r="I74" s="7" t="s">
        <v>1080</v>
      </c>
      <c r="J74" s="7" t="s">
        <v>1082</v>
      </c>
      <c r="K74" s="7" t="s">
        <v>48</v>
      </c>
      <c r="L74" s="7" t="s">
        <v>1083</v>
      </c>
      <c r="M74" s="7" t="s">
        <v>1084</v>
      </c>
      <c r="N74" s="45" t="str">
        <f t="shared" ref="N74:N78" si="43">HYPERLINK("twitter.com/PackSoftball","@PackSoftball")</f>
        <v>@PackSoftball</v>
      </c>
      <c r="O74" s="74" t="str">
        <f t="shared" ref="O74:O78" si="44">HYPERLINK("https://gopack.com/sports/2015/4/27/GEN_20140101185.aspx","Questionnaire")</f>
        <v>Questionnaire</v>
      </c>
      <c r="P74" s="7" t="s">
        <v>1088</v>
      </c>
      <c r="Q74" s="47" t="s">
        <v>219</v>
      </c>
      <c r="R74" s="49" t="s">
        <v>1090</v>
      </c>
      <c r="S74" s="48" t="s">
        <v>354</v>
      </c>
      <c r="T74" s="73" t="s">
        <v>74</v>
      </c>
      <c r="U74" s="49" t="s">
        <v>75</v>
      </c>
      <c r="V74" s="48"/>
      <c r="W74" s="50">
        <v>3.72</v>
      </c>
      <c r="X74" s="7" t="s">
        <v>1094</v>
      </c>
      <c r="Y74" s="49" t="s">
        <v>1096</v>
      </c>
      <c r="Z74" s="49" t="s">
        <v>179</v>
      </c>
      <c r="AA74" s="61">
        <v>0.48</v>
      </c>
      <c r="AB74" s="48" t="s">
        <v>1097</v>
      </c>
      <c r="AC74" s="75" t="s">
        <v>1088</v>
      </c>
      <c r="AD74" s="53" t="str">
        <f t="shared" ref="AD74:AD79" si="45">HYPERLINK("https://majorsandminors.dasa.ncsu.edu/","Link")</f>
        <v>Link</v>
      </c>
      <c r="AE74" s="54">
        <v>23827</v>
      </c>
      <c r="AF74" s="54">
        <v>81</v>
      </c>
      <c r="AG74" s="55"/>
      <c r="AH74" s="56">
        <v>199193</v>
      </c>
      <c r="AI74" s="56"/>
      <c r="AJ74" s="56"/>
    </row>
    <row r="75" spans="1:36" ht="15" x14ac:dyDescent="0.2">
      <c r="A75" s="43" t="s">
        <v>594</v>
      </c>
      <c r="B75" s="47" t="s">
        <v>219</v>
      </c>
      <c r="C75" s="7" t="s">
        <v>67</v>
      </c>
      <c r="D75" s="7" t="s">
        <v>1105</v>
      </c>
      <c r="E75" s="44">
        <v>5</v>
      </c>
      <c r="F75" s="7"/>
      <c r="G75" s="7"/>
      <c r="H75" s="2" t="s">
        <v>1078</v>
      </c>
      <c r="I75" s="7" t="s">
        <v>249</v>
      </c>
      <c r="J75" s="7" t="s">
        <v>1107</v>
      </c>
      <c r="K75" s="7" t="s">
        <v>55</v>
      </c>
      <c r="L75" s="7" t="s">
        <v>1108</v>
      </c>
      <c r="M75" s="7" t="s">
        <v>1109</v>
      </c>
      <c r="N75" s="45" t="str">
        <f t="shared" si="43"/>
        <v>@PackSoftball</v>
      </c>
      <c r="O75" s="74" t="str">
        <f t="shared" si="44"/>
        <v>Questionnaire</v>
      </c>
      <c r="P75" s="7" t="s">
        <v>1088</v>
      </c>
      <c r="Q75" s="47" t="s">
        <v>219</v>
      </c>
      <c r="R75" s="49" t="s">
        <v>1090</v>
      </c>
      <c r="S75" s="48" t="s">
        <v>354</v>
      </c>
      <c r="T75" s="73" t="s">
        <v>74</v>
      </c>
      <c r="U75" s="49" t="s">
        <v>75</v>
      </c>
      <c r="V75" s="48"/>
      <c r="W75" s="50">
        <v>3.72</v>
      </c>
      <c r="X75" s="7" t="s">
        <v>1094</v>
      </c>
      <c r="Y75" s="49" t="s">
        <v>1096</v>
      </c>
      <c r="Z75" s="49" t="s">
        <v>179</v>
      </c>
      <c r="AA75" s="61">
        <v>0.48</v>
      </c>
      <c r="AB75" s="48" t="s">
        <v>1097</v>
      </c>
      <c r="AC75" s="75" t="s">
        <v>1088</v>
      </c>
      <c r="AD75" s="53" t="str">
        <f t="shared" si="45"/>
        <v>Link</v>
      </c>
      <c r="AE75" s="54">
        <v>23827</v>
      </c>
      <c r="AF75" s="54">
        <v>81</v>
      </c>
      <c r="AG75" s="55"/>
      <c r="AH75" s="56">
        <v>199193</v>
      </c>
      <c r="AI75" s="56"/>
      <c r="AJ75" s="56"/>
    </row>
    <row r="76" spans="1:36" ht="15" x14ac:dyDescent="0.2">
      <c r="A76" s="43" t="s">
        <v>594</v>
      </c>
      <c r="B76" s="47" t="s">
        <v>219</v>
      </c>
      <c r="C76" s="7" t="s">
        <v>67</v>
      </c>
      <c r="D76" s="7" t="s">
        <v>1116</v>
      </c>
      <c r="E76" s="44">
        <v>5</v>
      </c>
      <c r="F76" s="7"/>
      <c r="G76" s="7"/>
      <c r="H76" s="2" t="s">
        <v>1078</v>
      </c>
      <c r="I76" s="7" t="s">
        <v>683</v>
      </c>
      <c r="J76" s="7" t="s">
        <v>1117</v>
      </c>
      <c r="K76" s="7" t="s">
        <v>55</v>
      </c>
      <c r="L76" s="7" t="s">
        <v>1118</v>
      </c>
      <c r="M76" s="7" t="s">
        <v>1109</v>
      </c>
      <c r="N76" s="45" t="str">
        <f t="shared" si="43"/>
        <v>@PackSoftball</v>
      </c>
      <c r="O76" s="74" t="str">
        <f t="shared" si="44"/>
        <v>Questionnaire</v>
      </c>
      <c r="P76" s="7" t="s">
        <v>1088</v>
      </c>
      <c r="Q76" s="47" t="s">
        <v>219</v>
      </c>
      <c r="R76" s="49" t="s">
        <v>1090</v>
      </c>
      <c r="S76" s="48" t="s">
        <v>354</v>
      </c>
      <c r="T76" s="73" t="s">
        <v>74</v>
      </c>
      <c r="U76" s="49" t="s">
        <v>75</v>
      </c>
      <c r="V76" s="48"/>
      <c r="W76" s="50">
        <v>3.72</v>
      </c>
      <c r="X76" s="7" t="s">
        <v>1094</v>
      </c>
      <c r="Y76" s="49" t="s">
        <v>1096</v>
      </c>
      <c r="Z76" s="49" t="s">
        <v>179</v>
      </c>
      <c r="AA76" s="61">
        <v>0.48</v>
      </c>
      <c r="AB76" s="48" t="s">
        <v>1097</v>
      </c>
      <c r="AC76" s="75" t="s">
        <v>1088</v>
      </c>
      <c r="AD76" s="53" t="str">
        <f t="shared" si="45"/>
        <v>Link</v>
      </c>
      <c r="AE76" s="54">
        <v>23827</v>
      </c>
      <c r="AF76" s="54">
        <v>81</v>
      </c>
      <c r="AG76" s="55"/>
      <c r="AH76" s="56">
        <v>199193</v>
      </c>
      <c r="AI76" s="56"/>
      <c r="AJ76" s="56"/>
    </row>
    <row r="77" spans="1:36" ht="15" x14ac:dyDescent="0.2">
      <c r="A77" s="43" t="s">
        <v>594</v>
      </c>
      <c r="B77" s="47" t="s">
        <v>219</v>
      </c>
      <c r="C77" s="7" t="s">
        <v>67</v>
      </c>
      <c r="D77" s="7" t="s">
        <v>1122</v>
      </c>
      <c r="E77" s="44">
        <v>5</v>
      </c>
      <c r="F77" s="7"/>
      <c r="G77" s="7"/>
      <c r="H77" s="2" t="s">
        <v>1078</v>
      </c>
      <c r="I77" s="7" t="s">
        <v>427</v>
      </c>
      <c r="J77" s="7" t="s">
        <v>1124</v>
      </c>
      <c r="K77" s="7" t="s">
        <v>154</v>
      </c>
      <c r="L77" s="7" t="s">
        <v>1126</v>
      </c>
      <c r="M77" s="7" t="s">
        <v>1127</v>
      </c>
      <c r="N77" s="45" t="str">
        <f t="shared" si="43"/>
        <v>@PackSoftball</v>
      </c>
      <c r="O77" s="74" t="str">
        <f t="shared" si="44"/>
        <v>Questionnaire</v>
      </c>
      <c r="P77" s="7" t="s">
        <v>1088</v>
      </c>
      <c r="Q77" s="47" t="s">
        <v>219</v>
      </c>
      <c r="R77" s="49" t="s">
        <v>1090</v>
      </c>
      <c r="S77" s="48" t="s">
        <v>354</v>
      </c>
      <c r="T77" s="73" t="s">
        <v>74</v>
      </c>
      <c r="U77" s="49" t="s">
        <v>75</v>
      </c>
      <c r="V77" s="48"/>
      <c r="W77" s="50">
        <v>3.72</v>
      </c>
      <c r="X77" s="7" t="s">
        <v>1094</v>
      </c>
      <c r="Y77" s="49" t="s">
        <v>1096</v>
      </c>
      <c r="Z77" s="49" t="s">
        <v>179</v>
      </c>
      <c r="AA77" s="61">
        <v>0.48</v>
      </c>
      <c r="AB77" s="48" t="s">
        <v>1097</v>
      </c>
      <c r="AC77" s="75" t="s">
        <v>1088</v>
      </c>
      <c r="AD77" s="53" t="str">
        <f t="shared" si="45"/>
        <v>Link</v>
      </c>
      <c r="AE77" s="54">
        <v>23827</v>
      </c>
      <c r="AF77" s="54">
        <v>81</v>
      </c>
      <c r="AG77" s="55"/>
      <c r="AH77" s="56">
        <v>199193</v>
      </c>
      <c r="AI77" s="56"/>
      <c r="AJ77" s="56"/>
    </row>
    <row r="78" spans="1:36" ht="15" x14ac:dyDescent="0.2">
      <c r="A78" s="43" t="s">
        <v>594</v>
      </c>
      <c r="B78" s="47" t="s">
        <v>219</v>
      </c>
      <c r="C78" s="7" t="s">
        <v>67</v>
      </c>
      <c r="D78" s="7" t="s">
        <v>1129</v>
      </c>
      <c r="E78" s="44">
        <v>5</v>
      </c>
      <c r="F78" s="7"/>
      <c r="G78" s="7"/>
      <c r="H78" s="2" t="s">
        <v>1078</v>
      </c>
      <c r="I78" s="7" t="s">
        <v>1092</v>
      </c>
      <c r="J78" s="7" t="s">
        <v>1130</v>
      </c>
      <c r="K78" s="7" t="s">
        <v>139</v>
      </c>
      <c r="L78" s="7"/>
      <c r="M78" s="7"/>
      <c r="N78" s="45" t="str">
        <f t="shared" si="43"/>
        <v>@PackSoftball</v>
      </c>
      <c r="O78" s="74" t="str">
        <f t="shared" si="44"/>
        <v>Questionnaire</v>
      </c>
      <c r="P78" s="7" t="s">
        <v>1088</v>
      </c>
      <c r="Q78" s="47" t="s">
        <v>219</v>
      </c>
      <c r="R78" s="49" t="s">
        <v>1090</v>
      </c>
      <c r="S78" s="48" t="s">
        <v>354</v>
      </c>
      <c r="T78" s="73" t="s">
        <v>74</v>
      </c>
      <c r="U78" s="49" t="s">
        <v>75</v>
      </c>
      <c r="V78" s="48"/>
      <c r="W78" s="50">
        <v>3.72</v>
      </c>
      <c r="X78" s="7" t="s">
        <v>1094</v>
      </c>
      <c r="Y78" s="49" t="s">
        <v>1096</v>
      </c>
      <c r="Z78" s="49" t="s">
        <v>179</v>
      </c>
      <c r="AA78" s="61">
        <v>0.48</v>
      </c>
      <c r="AB78" s="48" t="s">
        <v>1097</v>
      </c>
      <c r="AC78" s="75" t="s">
        <v>1088</v>
      </c>
      <c r="AD78" s="53" t="str">
        <f t="shared" si="45"/>
        <v>Link</v>
      </c>
      <c r="AE78" s="54">
        <v>23827</v>
      </c>
      <c r="AF78" s="54">
        <v>81</v>
      </c>
      <c r="AG78" s="55"/>
      <c r="AH78" s="56">
        <v>199193</v>
      </c>
      <c r="AI78" s="56"/>
      <c r="AJ78" s="56"/>
    </row>
    <row r="79" spans="1:36" ht="15" x14ac:dyDescent="0.2">
      <c r="A79" s="43" t="s">
        <v>594</v>
      </c>
      <c r="B79" s="47" t="s">
        <v>219</v>
      </c>
      <c r="C79" s="7" t="s">
        <v>67</v>
      </c>
      <c r="D79" s="7" t="s">
        <v>1140</v>
      </c>
      <c r="E79" s="44">
        <v>5</v>
      </c>
      <c r="F79" s="7"/>
      <c r="G79" s="7"/>
      <c r="H79" s="2" t="s">
        <v>1078</v>
      </c>
      <c r="I79" s="7" t="s">
        <v>683</v>
      </c>
      <c r="J79" s="7" t="s">
        <v>1117</v>
      </c>
      <c r="K79" s="7" t="s">
        <v>55</v>
      </c>
      <c r="L79" s="7" t="s">
        <v>1118</v>
      </c>
      <c r="M79" s="7" t="s">
        <v>1141</v>
      </c>
      <c r="N79" s="7"/>
      <c r="O79" s="7"/>
      <c r="P79" s="7" t="s">
        <v>1088</v>
      </c>
      <c r="Q79" s="47" t="s">
        <v>219</v>
      </c>
      <c r="R79" s="49" t="s">
        <v>1090</v>
      </c>
      <c r="S79" s="48" t="s">
        <v>354</v>
      </c>
      <c r="T79" s="73" t="s">
        <v>74</v>
      </c>
      <c r="U79" s="49" t="s">
        <v>75</v>
      </c>
      <c r="V79" s="48"/>
      <c r="W79" s="50">
        <v>3.72</v>
      </c>
      <c r="X79" s="7" t="s">
        <v>1094</v>
      </c>
      <c r="Y79" s="49" t="s">
        <v>1096</v>
      </c>
      <c r="Z79" s="49" t="s">
        <v>179</v>
      </c>
      <c r="AA79" s="61">
        <v>0.48</v>
      </c>
      <c r="AB79" s="48" t="s">
        <v>1097</v>
      </c>
      <c r="AC79" s="75" t="s">
        <v>1088</v>
      </c>
      <c r="AD79" s="53" t="str">
        <f t="shared" si="45"/>
        <v>Link</v>
      </c>
      <c r="AE79" s="54">
        <v>23827</v>
      </c>
      <c r="AF79" s="54">
        <v>81</v>
      </c>
      <c r="AG79" s="55"/>
      <c r="AH79" s="56">
        <v>199193</v>
      </c>
      <c r="AI79" s="56"/>
      <c r="AJ79" s="56"/>
    </row>
    <row r="80" spans="1:36" ht="15" x14ac:dyDescent="0.2">
      <c r="A80" s="43" t="s">
        <v>594</v>
      </c>
      <c r="B80" s="33" t="s">
        <v>1151</v>
      </c>
      <c r="C80" s="7" t="s">
        <v>67</v>
      </c>
      <c r="D80" s="7" t="s">
        <v>1153</v>
      </c>
      <c r="E80" s="44">
        <v>5</v>
      </c>
      <c r="F80" s="7" t="s">
        <v>116</v>
      </c>
      <c r="G80" s="7"/>
      <c r="H80" s="2" t="s">
        <v>1154</v>
      </c>
      <c r="I80" s="7" t="s">
        <v>1155</v>
      </c>
      <c r="J80" s="7" t="s">
        <v>1156</v>
      </c>
      <c r="K80" s="7" t="s">
        <v>48</v>
      </c>
      <c r="L80" s="57" t="s">
        <v>1157</v>
      </c>
      <c r="M80" s="57"/>
      <c r="N80" s="45" t="str">
        <f t="shared" ref="N80:N84" si="46">HYPERLINK("twitter.com/NDsoftball","NDsoftball")</f>
        <v>NDsoftball</v>
      </c>
      <c r="O80" s="74" t="str">
        <f t="shared" ref="O80:O84" si="47">HYPERLINK("https://college.jumpforward.com/questionnaire.aspx?iid=297&amp;sportid=31","Questionnaire")</f>
        <v>Questionnaire</v>
      </c>
      <c r="P80" s="7" t="s">
        <v>1164</v>
      </c>
      <c r="Q80" s="47" t="s">
        <v>1151</v>
      </c>
      <c r="R80" s="49" t="s">
        <v>1168</v>
      </c>
      <c r="S80" s="48" t="s">
        <v>238</v>
      </c>
      <c r="T80" s="49" t="s">
        <v>63</v>
      </c>
      <c r="U80" s="49" t="s">
        <v>343</v>
      </c>
      <c r="V80" s="48"/>
      <c r="W80" s="50">
        <v>4.1100000000000003</v>
      </c>
      <c r="X80" s="7" t="s">
        <v>1170</v>
      </c>
      <c r="Y80" s="49" t="s">
        <v>1171</v>
      </c>
      <c r="Z80" s="49" t="s">
        <v>1172</v>
      </c>
      <c r="AA80" s="61">
        <v>0.19</v>
      </c>
      <c r="AB80" s="71">
        <v>67043</v>
      </c>
      <c r="AC80" s="75" t="s">
        <v>1164</v>
      </c>
      <c r="AD80" s="53" t="str">
        <f t="shared" ref="AD80:AD84" si="48">HYPERLINK("https://www.nd.edu/academics/undergraduate-majors/","Link")</f>
        <v>Link</v>
      </c>
      <c r="AE80" s="54">
        <v>8530</v>
      </c>
      <c r="AF80" s="54">
        <v>18</v>
      </c>
      <c r="AG80" s="55"/>
      <c r="AH80" s="56">
        <v>152080</v>
      </c>
      <c r="AI80" s="56"/>
      <c r="AJ80" s="56"/>
    </row>
    <row r="81" spans="1:36" ht="15" x14ac:dyDescent="0.2">
      <c r="A81" s="43" t="s">
        <v>594</v>
      </c>
      <c r="B81" s="33" t="s">
        <v>1151</v>
      </c>
      <c r="C81" s="7" t="s">
        <v>67</v>
      </c>
      <c r="D81" s="7" t="s">
        <v>1176</v>
      </c>
      <c r="E81" s="44">
        <v>5</v>
      </c>
      <c r="F81" s="7" t="s">
        <v>116</v>
      </c>
      <c r="G81" s="7"/>
      <c r="H81" s="2" t="s">
        <v>1154</v>
      </c>
      <c r="I81" s="7" t="s">
        <v>1178</v>
      </c>
      <c r="J81" s="7" t="s">
        <v>1180</v>
      </c>
      <c r="K81" s="7" t="s">
        <v>55</v>
      </c>
      <c r="L81" s="57" t="s">
        <v>1184</v>
      </c>
      <c r="M81" s="57" t="s">
        <v>1186</v>
      </c>
      <c r="N81" s="45" t="str">
        <f t="shared" si="46"/>
        <v>NDsoftball</v>
      </c>
      <c r="O81" s="74" t="str">
        <f t="shared" si="47"/>
        <v>Questionnaire</v>
      </c>
      <c r="P81" s="7" t="s">
        <v>1164</v>
      </c>
      <c r="Q81" s="47" t="s">
        <v>1151</v>
      </c>
      <c r="R81" s="49" t="s">
        <v>1168</v>
      </c>
      <c r="S81" s="48" t="s">
        <v>238</v>
      </c>
      <c r="T81" s="49" t="s">
        <v>63</v>
      </c>
      <c r="U81" s="49" t="s">
        <v>343</v>
      </c>
      <c r="V81" s="48"/>
      <c r="W81" s="50">
        <v>4.1100000000000003</v>
      </c>
      <c r="X81" s="7" t="s">
        <v>1170</v>
      </c>
      <c r="Y81" s="49" t="s">
        <v>1171</v>
      </c>
      <c r="Z81" s="49" t="s">
        <v>1172</v>
      </c>
      <c r="AA81" s="61">
        <v>0.19</v>
      </c>
      <c r="AB81" s="71">
        <v>67043</v>
      </c>
      <c r="AC81" s="75" t="s">
        <v>1164</v>
      </c>
      <c r="AD81" s="53" t="str">
        <f t="shared" si="48"/>
        <v>Link</v>
      </c>
      <c r="AE81" s="54">
        <v>8530</v>
      </c>
      <c r="AF81" s="54">
        <v>18</v>
      </c>
      <c r="AG81" s="55"/>
      <c r="AH81" s="56">
        <v>152080</v>
      </c>
      <c r="AI81" s="56"/>
      <c r="AJ81" s="56"/>
    </row>
    <row r="82" spans="1:36" ht="15" x14ac:dyDescent="0.2">
      <c r="A82" s="43" t="s">
        <v>594</v>
      </c>
      <c r="B82" s="33" t="s">
        <v>1151</v>
      </c>
      <c r="C82" s="7" t="s">
        <v>67</v>
      </c>
      <c r="D82" s="7" t="s">
        <v>1191</v>
      </c>
      <c r="E82" s="44">
        <v>5</v>
      </c>
      <c r="F82" s="7" t="s">
        <v>116</v>
      </c>
      <c r="G82" s="7"/>
      <c r="H82" s="2" t="s">
        <v>1154</v>
      </c>
      <c r="I82" s="7" t="s">
        <v>1196</v>
      </c>
      <c r="J82" s="7" t="s">
        <v>1198</v>
      </c>
      <c r="K82" s="7" t="s">
        <v>55</v>
      </c>
      <c r="L82" s="57" t="s">
        <v>1200</v>
      </c>
      <c r="M82" s="57" t="s">
        <v>1201</v>
      </c>
      <c r="N82" s="45" t="str">
        <f t="shared" si="46"/>
        <v>NDsoftball</v>
      </c>
      <c r="O82" s="74" t="str">
        <f t="shared" si="47"/>
        <v>Questionnaire</v>
      </c>
      <c r="P82" s="7" t="s">
        <v>1164</v>
      </c>
      <c r="Q82" s="47" t="s">
        <v>1151</v>
      </c>
      <c r="R82" s="49" t="s">
        <v>1168</v>
      </c>
      <c r="S82" s="48" t="s">
        <v>238</v>
      </c>
      <c r="T82" s="49" t="s">
        <v>63</v>
      </c>
      <c r="U82" s="49" t="s">
        <v>343</v>
      </c>
      <c r="V82" s="48"/>
      <c r="W82" s="50">
        <v>4.1100000000000003</v>
      </c>
      <c r="X82" s="7" t="s">
        <v>1170</v>
      </c>
      <c r="Y82" s="49" t="s">
        <v>1171</v>
      </c>
      <c r="Z82" s="49" t="s">
        <v>1172</v>
      </c>
      <c r="AA82" s="61">
        <v>0.19</v>
      </c>
      <c r="AB82" s="71">
        <v>67043</v>
      </c>
      <c r="AC82" s="75" t="s">
        <v>1164</v>
      </c>
      <c r="AD82" s="53" t="str">
        <f t="shared" si="48"/>
        <v>Link</v>
      </c>
      <c r="AE82" s="54">
        <v>8530</v>
      </c>
      <c r="AF82" s="54">
        <v>18</v>
      </c>
      <c r="AG82" s="55"/>
      <c r="AH82" s="56">
        <v>152080</v>
      </c>
      <c r="AI82" s="56"/>
      <c r="AJ82" s="56"/>
    </row>
    <row r="83" spans="1:36" ht="15" x14ac:dyDescent="0.2">
      <c r="A83" s="43" t="s">
        <v>594</v>
      </c>
      <c r="B83" s="33" t="s">
        <v>1151</v>
      </c>
      <c r="C83" s="7" t="s">
        <v>67</v>
      </c>
      <c r="D83" s="7" t="s">
        <v>1207</v>
      </c>
      <c r="E83" s="44">
        <v>5</v>
      </c>
      <c r="F83" s="7"/>
      <c r="G83" s="7"/>
      <c r="H83" s="2" t="s">
        <v>1154</v>
      </c>
      <c r="I83" s="7" t="s">
        <v>981</v>
      </c>
      <c r="J83" s="7" t="s">
        <v>1209</v>
      </c>
      <c r="K83" s="7" t="s">
        <v>139</v>
      </c>
      <c r="L83" s="7"/>
      <c r="M83" s="7"/>
      <c r="N83" s="45" t="str">
        <f t="shared" si="46"/>
        <v>NDsoftball</v>
      </c>
      <c r="O83" s="74" t="str">
        <f t="shared" si="47"/>
        <v>Questionnaire</v>
      </c>
      <c r="P83" s="7" t="s">
        <v>1164</v>
      </c>
      <c r="Q83" s="47" t="s">
        <v>1151</v>
      </c>
      <c r="R83" s="49" t="s">
        <v>1168</v>
      </c>
      <c r="S83" s="48" t="s">
        <v>238</v>
      </c>
      <c r="T83" s="49" t="s">
        <v>63</v>
      </c>
      <c r="U83" s="49" t="s">
        <v>343</v>
      </c>
      <c r="V83" s="48"/>
      <c r="W83" s="50">
        <v>4.1100000000000003</v>
      </c>
      <c r="X83" s="7" t="s">
        <v>1170</v>
      </c>
      <c r="Y83" s="49" t="s">
        <v>1171</v>
      </c>
      <c r="Z83" s="49" t="s">
        <v>1172</v>
      </c>
      <c r="AA83" s="61">
        <v>0.19</v>
      </c>
      <c r="AB83" s="71">
        <v>67043</v>
      </c>
      <c r="AC83" s="75" t="s">
        <v>1164</v>
      </c>
      <c r="AD83" s="53" t="str">
        <f t="shared" si="48"/>
        <v>Link</v>
      </c>
      <c r="AE83" s="54">
        <v>8530</v>
      </c>
      <c r="AF83" s="54">
        <v>18</v>
      </c>
      <c r="AG83" s="55"/>
      <c r="AH83" s="56">
        <v>152080</v>
      </c>
      <c r="AI83" s="56"/>
      <c r="AJ83" s="56"/>
    </row>
    <row r="84" spans="1:36" ht="15" x14ac:dyDescent="0.2">
      <c r="A84" s="43" t="s">
        <v>594</v>
      </c>
      <c r="B84" s="33" t="s">
        <v>1151</v>
      </c>
      <c r="C84" s="7" t="s">
        <v>67</v>
      </c>
      <c r="D84" s="57" t="s">
        <v>1216</v>
      </c>
      <c r="E84" s="58">
        <v>5</v>
      </c>
      <c r="F84" s="7" t="s">
        <v>116</v>
      </c>
      <c r="G84" s="7"/>
      <c r="H84" s="2" t="s">
        <v>1154</v>
      </c>
      <c r="I84" s="7" t="s">
        <v>1217</v>
      </c>
      <c r="J84" s="7" t="s">
        <v>1218</v>
      </c>
      <c r="K84" s="7" t="s">
        <v>154</v>
      </c>
      <c r="L84" s="57" t="s">
        <v>1219</v>
      </c>
      <c r="M84" s="57" t="s">
        <v>1221</v>
      </c>
      <c r="N84" s="45" t="str">
        <f t="shared" si="46"/>
        <v>NDsoftball</v>
      </c>
      <c r="O84" s="74" t="str">
        <f t="shared" si="47"/>
        <v>Questionnaire</v>
      </c>
      <c r="P84" s="7" t="s">
        <v>1164</v>
      </c>
      <c r="Q84" s="47" t="s">
        <v>1151</v>
      </c>
      <c r="R84" s="49" t="s">
        <v>1168</v>
      </c>
      <c r="S84" s="48" t="s">
        <v>238</v>
      </c>
      <c r="T84" s="49" t="s">
        <v>63</v>
      </c>
      <c r="U84" s="49" t="s">
        <v>343</v>
      </c>
      <c r="V84" s="48"/>
      <c r="W84" s="50">
        <v>4.1100000000000003</v>
      </c>
      <c r="X84" s="7" t="s">
        <v>1170</v>
      </c>
      <c r="Y84" s="49" t="s">
        <v>1171</v>
      </c>
      <c r="Z84" s="49" t="s">
        <v>1172</v>
      </c>
      <c r="AA84" s="61">
        <v>0.19</v>
      </c>
      <c r="AB84" s="71">
        <v>67043</v>
      </c>
      <c r="AC84" s="75" t="s">
        <v>1164</v>
      </c>
      <c r="AD84" s="53" t="str">
        <f t="shared" si="48"/>
        <v>Link</v>
      </c>
      <c r="AE84" s="54">
        <v>8530</v>
      </c>
      <c r="AF84" s="54">
        <v>18</v>
      </c>
      <c r="AG84" s="55"/>
      <c r="AH84" s="56">
        <v>152080</v>
      </c>
      <c r="AI84" s="59"/>
      <c r="AJ84" s="59"/>
    </row>
    <row r="85" spans="1:36" ht="15" x14ac:dyDescent="0.2">
      <c r="A85" s="43" t="s">
        <v>594</v>
      </c>
      <c r="B85" s="33" t="s">
        <v>1231</v>
      </c>
      <c r="C85" s="7" t="s">
        <v>67</v>
      </c>
      <c r="D85" s="7" t="s">
        <v>1232</v>
      </c>
      <c r="E85" s="44">
        <v>5</v>
      </c>
      <c r="F85" s="7"/>
      <c r="G85" s="7"/>
      <c r="H85" s="2" t="s">
        <v>1233</v>
      </c>
      <c r="I85" s="7" t="s">
        <v>1234</v>
      </c>
      <c r="J85" s="7" t="s">
        <v>1235</v>
      </c>
      <c r="K85" s="7" t="s">
        <v>48</v>
      </c>
      <c r="L85" s="7" t="s">
        <v>1236</v>
      </c>
      <c r="M85" s="7" t="s">
        <v>1237</v>
      </c>
      <c r="N85" s="45" t="str">
        <f t="shared" ref="N85:N89" si="49">HYPERLINK("twitter.com/pitt_sb","@pitt_sb")</f>
        <v>@pitt_sb</v>
      </c>
      <c r="O85" s="74" t="str">
        <f t="shared" ref="O85:O89" si="50">HYPERLINK("https://pittsburghpanthers.com/sports/2017/6/17/ot-recruit-questionnaires-html.aspx","Questionnaire")</f>
        <v>Questionnaire</v>
      </c>
      <c r="P85" s="7" t="s">
        <v>1243</v>
      </c>
      <c r="Q85" s="47" t="s">
        <v>1231</v>
      </c>
      <c r="R85" s="49" t="s">
        <v>1243</v>
      </c>
      <c r="S85" s="48" t="s">
        <v>354</v>
      </c>
      <c r="T85" s="49" t="s">
        <v>74</v>
      </c>
      <c r="U85" s="49" t="s">
        <v>75</v>
      </c>
      <c r="V85" s="48"/>
      <c r="W85" s="50">
        <v>3.97</v>
      </c>
      <c r="X85" s="7" t="s">
        <v>678</v>
      </c>
      <c r="Y85" s="49" t="s">
        <v>576</v>
      </c>
      <c r="Z85" s="49" t="s">
        <v>1246</v>
      </c>
      <c r="AA85" s="61">
        <v>0.55000000000000004</v>
      </c>
      <c r="AB85" s="48" t="s">
        <v>1247</v>
      </c>
      <c r="AC85" s="72" t="s">
        <v>1243</v>
      </c>
      <c r="AD85" s="53" t="str">
        <f t="shared" ref="AD85:AD89" si="51">HYPERLINK("http://www.pitt.edu/academics/undergraduate","Link")</f>
        <v>Link</v>
      </c>
      <c r="AE85" s="54">
        <v>19123</v>
      </c>
      <c r="AF85" s="54">
        <v>68</v>
      </c>
      <c r="AG85" s="55"/>
      <c r="AH85" s="56">
        <v>215293</v>
      </c>
      <c r="AI85" s="56"/>
      <c r="AJ85" s="56"/>
    </row>
    <row r="86" spans="1:36" ht="15" x14ac:dyDescent="0.2">
      <c r="A86" s="43" t="s">
        <v>594</v>
      </c>
      <c r="B86" s="33" t="s">
        <v>1231</v>
      </c>
      <c r="C86" s="7" t="s">
        <v>67</v>
      </c>
      <c r="D86" s="7" t="s">
        <v>1250</v>
      </c>
      <c r="E86" s="44">
        <v>5</v>
      </c>
      <c r="F86" s="7"/>
      <c r="G86" s="7"/>
      <c r="H86" s="2" t="s">
        <v>1233</v>
      </c>
      <c r="I86" s="7" t="s">
        <v>1251</v>
      </c>
      <c r="J86" s="7" t="s">
        <v>1253</v>
      </c>
      <c r="K86" s="7" t="s">
        <v>55</v>
      </c>
      <c r="L86" s="7" t="s">
        <v>1254</v>
      </c>
      <c r="M86" s="7"/>
      <c r="N86" s="45" t="str">
        <f t="shared" si="49"/>
        <v>@pitt_sb</v>
      </c>
      <c r="O86" s="74" t="str">
        <f t="shared" si="50"/>
        <v>Questionnaire</v>
      </c>
      <c r="P86" s="7" t="s">
        <v>1243</v>
      </c>
      <c r="Q86" s="47" t="s">
        <v>1231</v>
      </c>
      <c r="R86" s="49" t="s">
        <v>1243</v>
      </c>
      <c r="S86" s="48" t="s">
        <v>354</v>
      </c>
      <c r="T86" s="49" t="s">
        <v>74</v>
      </c>
      <c r="U86" s="49" t="s">
        <v>75</v>
      </c>
      <c r="V86" s="48"/>
      <c r="W86" s="50">
        <v>3.97</v>
      </c>
      <c r="X86" s="7" t="s">
        <v>678</v>
      </c>
      <c r="Y86" s="49" t="s">
        <v>576</v>
      </c>
      <c r="Z86" s="49" t="s">
        <v>1246</v>
      </c>
      <c r="AA86" s="61">
        <v>0.55000000000000004</v>
      </c>
      <c r="AB86" s="48" t="s">
        <v>1247</v>
      </c>
      <c r="AC86" s="72" t="s">
        <v>1243</v>
      </c>
      <c r="AD86" s="53" t="str">
        <f t="shared" si="51"/>
        <v>Link</v>
      </c>
      <c r="AE86" s="54">
        <v>19123</v>
      </c>
      <c r="AF86" s="54">
        <v>68</v>
      </c>
      <c r="AG86" s="55"/>
      <c r="AH86" s="56">
        <v>215293</v>
      </c>
      <c r="AI86" s="56"/>
      <c r="AJ86" s="56"/>
    </row>
    <row r="87" spans="1:36" ht="15" x14ac:dyDescent="0.2">
      <c r="A87" s="43" t="s">
        <v>594</v>
      </c>
      <c r="B87" s="33" t="s">
        <v>1231</v>
      </c>
      <c r="C87" s="7" t="s">
        <v>67</v>
      </c>
      <c r="D87" s="7" t="s">
        <v>1264</v>
      </c>
      <c r="E87" s="44">
        <v>5</v>
      </c>
      <c r="F87" s="7"/>
      <c r="G87" s="7"/>
      <c r="H87" s="2" t="s">
        <v>1233</v>
      </c>
      <c r="I87" s="7" t="s">
        <v>1266</v>
      </c>
      <c r="J87" s="7" t="s">
        <v>1267</v>
      </c>
      <c r="K87" s="7" t="s">
        <v>55</v>
      </c>
      <c r="L87" s="7" t="s">
        <v>1268</v>
      </c>
      <c r="M87" s="7"/>
      <c r="N87" s="45" t="str">
        <f t="shared" si="49"/>
        <v>@pitt_sb</v>
      </c>
      <c r="O87" s="74" t="str">
        <f t="shared" si="50"/>
        <v>Questionnaire</v>
      </c>
      <c r="P87" s="7" t="s">
        <v>1243</v>
      </c>
      <c r="Q87" s="47" t="s">
        <v>1231</v>
      </c>
      <c r="R87" s="49" t="s">
        <v>1243</v>
      </c>
      <c r="S87" s="48" t="s">
        <v>354</v>
      </c>
      <c r="T87" s="49" t="s">
        <v>74</v>
      </c>
      <c r="U87" s="49" t="s">
        <v>75</v>
      </c>
      <c r="V87" s="48"/>
      <c r="W87" s="50">
        <v>3.97</v>
      </c>
      <c r="X87" s="7" t="s">
        <v>678</v>
      </c>
      <c r="Y87" s="49" t="s">
        <v>576</v>
      </c>
      <c r="Z87" s="49" t="s">
        <v>1246</v>
      </c>
      <c r="AA87" s="61">
        <v>0.55000000000000004</v>
      </c>
      <c r="AB87" s="48" t="s">
        <v>1247</v>
      </c>
      <c r="AC87" s="72" t="s">
        <v>1243</v>
      </c>
      <c r="AD87" s="53" t="str">
        <f t="shared" si="51"/>
        <v>Link</v>
      </c>
      <c r="AE87" s="54">
        <v>19123</v>
      </c>
      <c r="AF87" s="54">
        <v>68</v>
      </c>
      <c r="AG87" s="55"/>
      <c r="AH87" s="56">
        <v>215293</v>
      </c>
      <c r="AI87" s="56"/>
      <c r="AJ87" s="56"/>
    </row>
    <row r="88" spans="1:36" ht="15" x14ac:dyDescent="0.2">
      <c r="A88" s="43" t="s">
        <v>594</v>
      </c>
      <c r="B88" s="33" t="s">
        <v>1231</v>
      </c>
      <c r="C88" s="7" t="s">
        <v>67</v>
      </c>
      <c r="D88" s="7" t="s">
        <v>1278</v>
      </c>
      <c r="E88" s="44">
        <v>5</v>
      </c>
      <c r="F88" s="7"/>
      <c r="G88" s="7"/>
      <c r="H88" s="2" t="s">
        <v>1233</v>
      </c>
      <c r="I88" s="7" t="s">
        <v>1280</v>
      </c>
      <c r="J88" s="7" t="s">
        <v>1281</v>
      </c>
      <c r="K88" s="7" t="s">
        <v>154</v>
      </c>
      <c r="L88" s="7" t="s">
        <v>1282</v>
      </c>
      <c r="M88" s="7"/>
      <c r="N88" s="45" t="str">
        <f t="shared" si="49"/>
        <v>@pitt_sb</v>
      </c>
      <c r="O88" s="74" t="str">
        <f t="shared" si="50"/>
        <v>Questionnaire</v>
      </c>
      <c r="P88" s="7" t="s">
        <v>1243</v>
      </c>
      <c r="Q88" s="47" t="s">
        <v>1231</v>
      </c>
      <c r="R88" s="49" t="s">
        <v>1243</v>
      </c>
      <c r="S88" s="48" t="s">
        <v>354</v>
      </c>
      <c r="T88" s="49" t="s">
        <v>74</v>
      </c>
      <c r="U88" s="49" t="s">
        <v>75</v>
      </c>
      <c r="V88" s="48"/>
      <c r="W88" s="50">
        <v>3.97</v>
      </c>
      <c r="X88" s="7" t="s">
        <v>678</v>
      </c>
      <c r="Y88" s="49" t="s">
        <v>576</v>
      </c>
      <c r="Z88" s="49" t="s">
        <v>1246</v>
      </c>
      <c r="AA88" s="61">
        <v>0.55000000000000004</v>
      </c>
      <c r="AB88" s="48" t="s">
        <v>1247</v>
      </c>
      <c r="AC88" s="72" t="s">
        <v>1243</v>
      </c>
      <c r="AD88" s="53" t="str">
        <f t="shared" si="51"/>
        <v>Link</v>
      </c>
      <c r="AE88" s="54">
        <v>19123</v>
      </c>
      <c r="AF88" s="54">
        <v>68</v>
      </c>
      <c r="AG88" s="55"/>
      <c r="AH88" s="56">
        <v>215293</v>
      </c>
      <c r="AI88" s="56"/>
      <c r="AJ88" s="56"/>
    </row>
    <row r="89" spans="1:36" ht="15" x14ac:dyDescent="0.2">
      <c r="A89" s="43" t="s">
        <v>594</v>
      </c>
      <c r="B89" s="33" t="s">
        <v>1231</v>
      </c>
      <c r="C89" s="7" t="s">
        <v>67</v>
      </c>
      <c r="D89" s="7" t="s">
        <v>1293</v>
      </c>
      <c r="E89" s="44">
        <v>5</v>
      </c>
      <c r="F89" s="7"/>
      <c r="G89" s="7"/>
      <c r="H89" s="2" t="s">
        <v>1233</v>
      </c>
      <c r="I89" s="7" t="s">
        <v>234</v>
      </c>
      <c r="J89" s="7" t="s">
        <v>1294</v>
      </c>
      <c r="K89" s="7" t="s">
        <v>139</v>
      </c>
      <c r="L89" s="7" t="s">
        <v>1295</v>
      </c>
      <c r="M89" s="7"/>
      <c r="N89" s="45" t="str">
        <f t="shared" si="49"/>
        <v>@pitt_sb</v>
      </c>
      <c r="O89" s="74" t="str">
        <f t="shared" si="50"/>
        <v>Questionnaire</v>
      </c>
      <c r="P89" s="7" t="s">
        <v>1243</v>
      </c>
      <c r="Q89" s="47" t="s">
        <v>1231</v>
      </c>
      <c r="R89" s="49" t="s">
        <v>1243</v>
      </c>
      <c r="S89" s="48" t="s">
        <v>354</v>
      </c>
      <c r="T89" s="49" t="s">
        <v>74</v>
      </c>
      <c r="U89" s="49" t="s">
        <v>75</v>
      </c>
      <c r="V89" s="48"/>
      <c r="W89" s="50">
        <v>3.97</v>
      </c>
      <c r="X89" s="7" t="s">
        <v>678</v>
      </c>
      <c r="Y89" s="49" t="s">
        <v>576</v>
      </c>
      <c r="Z89" s="49" t="s">
        <v>1246</v>
      </c>
      <c r="AA89" s="61">
        <v>0.55000000000000004</v>
      </c>
      <c r="AB89" s="48" t="s">
        <v>1247</v>
      </c>
      <c r="AC89" s="72" t="s">
        <v>1243</v>
      </c>
      <c r="AD89" s="53" t="str">
        <f t="shared" si="51"/>
        <v>Link</v>
      </c>
      <c r="AE89" s="54">
        <v>19123</v>
      </c>
      <c r="AF89" s="54">
        <v>68</v>
      </c>
      <c r="AG89" s="55"/>
      <c r="AH89" s="56">
        <v>215293</v>
      </c>
      <c r="AI89" s="56"/>
      <c r="AJ89" s="56"/>
    </row>
    <row r="90" spans="1:36" ht="13" x14ac:dyDescent="0.15">
      <c r="A90" s="64" t="s">
        <v>594</v>
      </c>
      <c r="B90" s="2" t="s">
        <v>1304</v>
      </c>
      <c r="C90" s="7" t="s">
        <v>67</v>
      </c>
      <c r="D90" s="7" t="s">
        <v>1305</v>
      </c>
      <c r="E90" s="44">
        <v>5</v>
      </c>
      <c r="F90" s="7"/>
      <c r="G90" s="7"/>
      <c r="H90" s="2" t="s">
        <v>1306</v>
      </c>
      <c r="I90" s="7" t="s">
        <v>1307</v>
      </c>
      <c r="J90" s="7" t="s">
        <v>1308</v>
      </c>
      <c r="K90" s="7" t="s">
        <v>48</v>
      </c>
      <c r="L90" s="7" t="s">
        <v>1309</v>
      </c>
      <c r="M90" s="7"/>
      <c r="N90" s="45" t="str">
        <f t="shared" ref="N90:N93" si="52">HYPERLINK("twitter.com/CuseSB","@CuseSB")</f>
        <v>@CuseSB</v>
      </c>
      <c r="O90" s="74" t="str">
        <f t="shared" ref="O90:O93" si="53">HYPERLINK("https://cuse.com/sb_output.aspx?form=3","Questionnaire")</f>
        <v>Questionnaire</v>
      </c>
      <c r="P90" s="7" t="s">
        <v>1318</v>
      </c>
      <c r="Q90" s="47" t="s">
        <v>1304</v>
      </c>
      <c r="R90" s="48" t="s">
        <v>1318</v>
      </c>
      <c r="S90" s="49" t="s">
        <v>238</v>
      </c>
      <c r="T90" s="5" t="s">
        <v>63</v>
      </c>
      <c r="U90" s="49" t="s">
        <v>75</v>
      </c>
      <c r="V90" s="48"/>
      <c r="W90" s="50">
        <v>3.6</v>
      </c>
      <c r="X90" s="7" t="s">
        <v>1319</v>
      </c>
      <c r="Y90" s="49" t="s">
        <v>677</v>
      </c>
      <c r="Z90" s="49" t="s">
        <v>836</v>
      </c>
      <c r="AA90" s="65">
        <v>0.52</v>
      </c>
      <c r="AB90" s="39">
        <v>63344</v>
      </c>
      <c r="AC90" s="76" t="s">
        <v>1318</v>
      </c>
      <c r="AD90" s="67" t="str">
        <f t="shared" ref="AD90:AD93" si="54">HYPERLINK("https://www.syracuse.edu/academics/undergraduate-majors-minors/","Link")</f>
        <v>Link</v>
      </c>
      <c r="AE90" s="54">
        <v>15218</v>
      </c>
      <c r="AF90" s="54">
        <v>61</v>
      </c>
      <c r="AG90" s="55"/>
      <c r="AH90" s="56">
        <v>196413</v>
      </c>
      <c r="AI90" s="56"/>
      <c r="AJ90" s="56"/>
    </row>
    <row r="91" spans="1:36" ht="13" x14ac:dyDescent="0.15">
      <c r="A91" s="64" t="s">
        <v>594</v>
      </c>
      <c r="B91" s="2" t="s">
        <v>1304</v>
      </c>
      <c r="C91" s="7" t="s">
        <v>67</v>
      </c>
      <c r="D91" s="7" t="s">
        <v>1330</v>
      </c>
      <c r="E91" s="44">
        <v>5</v>
      </c>
      <c r="F91" s="7"/>
      <c r="G91" s="7"/>
      <c r="H91" s="2" t="s">
        <v>1306</v>
      </c>
      <c r="I91" s="7" t="s">
        <v>1332</v>
      </c>
      <c r="J91" s="7" t="s">
        <v>1333</v>
      </c>
      <c r="K91" s="7" t="s">
        <v>55</v>
      </c>
      <c r="L91" s="7" t="s">
        <v>1335</v>
      </c>
      <c r="M91" s="7"/>
      <c r="N91" s="45" t="str">
        <f t="shared" si="52"/>
        <v>@CuseSB</v>
      </c>
      <c r="O91" s="74" t="str">
        <f t="shared" si="53"/>
        <v>Questionnaire</v>
      </c>
      <c r="P91" s="7" t="s">
        <v>1318</v>
      </c>
      <c r="Q91" s="47" t="s">
        <v>1304</v>
      </c>
      <c r="R91" s="48" t="s">
        <v>1318</v>
      </c>
      <c r="S91" s="49" t="s">
        <v>238</v>
      </c>
      <c r="T91" s="5" t="s">
        <v>63</v>
      </c>
      <c r="U91" s="49" t="s">
        <v>75</v>
      </c>
      <c r="V91" s="48"/>
      <c r="W91" s="50">
        <v>3.6</v>
      </c>
      <c r="X91" s="7" t="s">
        <v>1319</v>
      </c>
      <c r="Y91" s="49" t="s">
        <v>677</v>
      </c>
      <c r="Z91" s="49" t="s">
        <v>836</v>
      </c>
      <c r="AA91" s="65">
        <v>0.52</v>
      </c>
      <c r="AB91" s="39">
        <v>63344</v>
      </c>
      <c r="AC91" s="76" t="s">
        <v>1318</v>
      </c>
      <c r="AD91" s="67" t="str">
        <f t="shared" si="54"/>
        <v>Link</v>
      </c>
      <c r="AE91" s="54">
        <v>15218</v>
      </c>
      <c r="AF91" s="54">
        <v>61</v>
      </c>
      <c r="AG91" s="55"/>
      <c r="AH91" s="56">
        <v>196413</v>
      </c>
      <c r="AI91" s="56"/>
      <c r="AJ91" s="56"/>
    </row>
    <row r="92" spans="1:36" ht="13" x14ac:dyDescent="0.15">
      <c r="A92" s="64" t="s">
        <v>594</v>
      </c>
      <c r="B92" s="2" t="s">
        <v>1304</v>
      </c>
      <c r="C92" s="7" t="s">
        <v>67</v>
      </c>
      <c r="D92" s="7" t="s">
        <v>1341</v>
      </c>
      <c r="E92" s="44">
        <v>5</v>
      </c>
      <c r="F92" s="7"/>
      <c r="G92" s="7"/>
      <c r="H92" s="2" t="s">
        <v>1306</v>
      </c>
      <c r="I92" s="7" t="s">
        <v>1342</v>
      </c>
      <c r="J92" s="7" t="s">
        <v>1343</v>
      </c>
      <c r="K92" s="7" t="s">
        <v>139</v>
      </c>
      <c r="L92" s="7"/>
      <c r="M92" s="7"/>
      <c r="N92" s="45" t="str">
        <f t="shared" si="52"/>
        <v>@CuseSB</v>
      </c>
      <c r="O92" s="74" t="str">
        <f t="shared" si="53"/>
        <v>Questionnaire</v>
      </c>
      <c r="P92" s="7" t="s">
        <v>1318</v>
      </c>
      <c r="Q92" s="47" t="s">
        <v>1304</v>
      </c>
      <c r="R92" s="48" t="s">
        <v>1318</v>
      </c>
      <c r="S92" s="49" t="s">
        <v>238</v>
      </c>
      <c r="T92" s="5" t="s">
        <v>63</v>
      </c>
      <c r="U92" s="49" t="s">
        <v>75</v>
      </c>
      <c r="V92" s="48"/>
      <c r="W92" s="50">
        <v>3.6</v>
      </c>
      <c r="X92" s="7" t="s">
        <v>1319</v>
      </c>
      <c r="Y92" s="49" t="s">
        <v>677</v>
      </c>
      <c r="Z92" s="49" t="s">
        <v>836</v>
      </c>
      <c r="AA92" s="65">
        <v>0.52</v>
      </c>
      <c r="AB92" s="39">
        <v>63344</v>
      </c>
      <c r="AC92" s="76" t="s">
        <v>1318</v>
      </c>
      <c r="AD92" s="67" t="str">
        <f t="shared" si="54"/>
        <v>Link</v>
      </c>
      <c r="AE92" s="54">
        <v>15218</v>
      </c>
      <c r="AF92" s="54">
        <v>61</v>
      </c>
      <c r="AG92" s="55"/>
      <c r="AH92" s="56">
        <v>196413</v>
      </c>
      <c r="AI92" s="56"/>
      <c r="AJ92" s="56"/>
    </row>
    <row r="93" spans="1:36" ht="13" x14ac:dyDescent="0.15">
      <c r="A93" s="64" t="s">
        <v>594</v>
      </c>
      <c r="B93" s="2" t="s">
        <v>1304</v>
      </c>
      <c r="C93" s="7" t="s">
        <v>67</v>
      </c>
      <c r="D93" s="7" t="s">
        <v>1350</v>
      </c>
      <c r="E93" s="44">
        <v>5</v>
      </c>
      <c r="F93" s="7"/>
      <c r="G93" s="7"/>
      <c r="H93" s="2" t="s">
        <v>1306</v>
      </c>
      <c r="I93" s="7" t="s">
        <v>1351</v>
      </c>
      <c r="J93" s="7" t="s">
        <v>1352</v>
      </c>
      <c r="K93" s="7" t="s">
        <v>55</v>
      </c>
      <c r="L93" s="7" t="s">
        <v>1353</v>
      </c>
      <c r="M93" s="7"/>
      <c r="N93" s="45" t="str">
        <f t="shared" si="52"/>
        <v>@CuseSB</v>
      </c>
      <c r="O93" s="74" t="str">
        <f t="shared" si="53"/>
        <v>Questionnaire</v>
      </c>
      <c r="P93" s="7" t="s">
        <v>1318</v>
      </c>
      <c r="Q93" s="47" t="s">
        <v>1304</v>
      </c>
      <c r="R93" s="48" t="s">
        <v>1318</v>
      </c>
      <c r="S93" s="49" t="s">
        <v>238</v>
      </c>
      <c r="T93" s="5" t="s">
        <v>63</v>
      </c>
      <c r="U93" s="49" t="s">
        <v>75</v>
      </c>
      <c r="V93" s="48"/>
      <c r="W93" s="50">
        <v>3.6</v>
      </c>
      <c r="X93" s="7" t="s">
        <v>1319</v>
      </c>
      <c r="Y93" s="49" t="s">
        <v>677</v>
      </c>
      <c r="Z93" s="49" t="s">
        <v>836</v>
      </c>
      <c r="AA93" s="65">
        <v>0.52</v>
      </c>
      <c r="AB93" s="39">
        <v>63344</v>
      </c>
      <c r="AC93" s="76" t="s">
        <v>1318</v>
      </c>
      <c r="AD93" s="67" t="str">
        <f t="shared" si="54"/>
        <v>Link</v>
      </c>
      <c r="AE93" s="54">
        <v>15218</v>
      </c>
      <c r="AF93" s="54">
        <v>61</v>
      </c>
      <c r="AG93" s="55"/>
      <c r="AH93" s="56">
        <v>196413</v>
      </c>
      <c r="AI93" s="56"/>
      <c r="AJ93" s="56"/>
    </row>
    <row r="94" spans="1:36" ht="15" x14ac:dyDescent="0.2">
      <c r="A94" s="43" t="s">
        <v>594</v>
      </c>
      <c r="B94" s="33" t="s">
        <v>1361</v>
      </c>
      <c r="C94" s="7" t="s">
        <v>67</v>
      </c>
      <c r="D94" s="7" t="s">
        <v>1362</v>
      </c>
      <c r="E94" s="44">
        <v>5</v>
      </c>
      <c r="F94" s="7"/>
      <c r="G94" s="7"/>
      <c r="H94" s="2" t="s">
        <v>1363</v>
      </c>
      <c r="I94" s="7" t="s">
        <v>1364</v>
      </c>
      <c r="J94" s="7" t="s">
        <v>1365</v>
      </c>
      <c r="K94" s="7" t="s">
        <v>48</v>
      </c>
      <c r="L94" s="7" t="s">
        <v>1366</v>
      </c>
      <c r="M94" s="7" t="s">
        <v>1367</v>
      </c>
      <c r="N94" s="45" t="str">
        <f t="shared" ref="N94:N97" si="55">HYPERLINK("twitter.com/UVASoftball","@UVASoftball")</f>
        <v>@UVASoftball</v>
      </c>
      <c r="O94" s="74" t="str">
        <f t="shared" ref="O94:O97" si="56">HYPERLINK("https://www.frontrush.com/FR_Web_App/Player/PlayerSubmit.aspx?sid=830&amp;ptype=recruit","Questionnaire")</f>
        <v>Questionnaire</v>
      </c>
      <c r="P94" s="7" t="s">
        <v>1374</v>
      </c>
      <c r="Q94" s="47" t="s">
        <v>1361</v>
      </c>
      <c r="R94" s="49" t="s">
        <v>1375</v>
      </c>
      <c r="S94" s="48" t="s">
        <v>468</v>
      </c>
      <c r="T94" s="49" t="s">
        <v>74</v>
      </c>
      <c r="U94" s="49" t="s">
        <v>75</v>
      </c>
      <c r="V94" s="48"/>
      <c r="W94" s="50">
        <v>4.2300000000000004</v>
      </c>
      <c r="X94" s="7" t="s">
        <v>624</v>
      </c>
      <c r="Y94" s="49" t="s">
        <v>1104</v>
      </c>
      <c r="Z94" s="49" t="s">
        <v>1376</v>
      </c>
      <c r="AA94" s="61">
        <v>0.3</v>
      </c>
      <c r="AB94" s="48" t="s">
        <v>1377</v>
      </c>
      <c r="AC94" s="75" t="s">
        <v>1374</v>
      </c>
      <c r="AD94" s="53" t="str">
        <f t="shared" ref="AD94:AD97" si="57">HYPERLINK("https://career.virginia.edu/explore/majors","Link")</f>
        <v>Link</v>
      </c>
      <c r="AE94" s="54">
        <v>16331</v>
      </c>
      <c r="AF94" s="54">
        <v>25</v>
      </c>
      <c r="AG94" s="55"/>
      <c r="AH94" s="56">
        <v>234076</v>
      </c>
      <c r="AI94" s="56"/>
      <c r="AJ94" s="56"/>
    </row>
    <row r="95" spans="1:36" ht="15" x14ac:dyDescent="0.2">
      <c r="A95" s="43" t="s">
        <v>594</v>
      </c>
      <c r="B95" s="33" t="s">
        <v>1361</v>
      </c>
      <c r="C95" s="7" t="s">
        <v>67</v>
      </c>
      <c r="D95" s="7" t="s">
        <v>1384</v>
      </c>
      <c r="E95" s="44">
        <v>5</v>
      </c>
      <c r="F95" s="7"/>
      <c r="G95" s="7"/>
      <c r="H95" s="2" t="s">
        <v>1363</v>
      </c>
      <c r="I95" s="7" t="s">
        <v>736</v>
      </c>
      <c r="J95" s="7" t="s">
        <v>1385</v>
      </c>
      <c r="K95" s="7" t="s">
        <v>55</v>
      </c>
      <c r="L95" s="7" t="s">
        <v>1386</v>
      </c>
      <c r="M95" s="7" t="s">
        <v>1387</v>
      </c>
      <c r="N95" s="45" t="str">
        <f t="shared" si="55"/>
        <v>@UVASoftball</v>
      </c>
      <c r="O95" s="74" t="str">
        <f t="shared" si="56"/>
        <v>Questionnaire</v>
      </c>
      <c r="P95" s="7" t="s">
        <v>1374</v>
      </c>
      <c r="Q95" s="47" t="s">
        <v>1361</v>
      </c>
      <c r="R95" s="49" t="s">
        <v>1375</v>
      </c>
      <c r="S95" s="48" t="s">
        <v>468</v>
      </c>
      <c r="T95" s="49" t="s">
        <v>74</v>
      </c>
      <c r="U95" s="49" t="s">
        <v>75</v>
      </c>
      <c r="V95" s="48"/>
      <c r="W95" s="50">
        <v>4.2300000000000004</v>
      </c>
      <c r="X95" s="7" t="s">
        <v>624</v>
      </c>
      <c r="Y95" s="49" t="s">
        <v>1104</v>
      </c>
      <c r="Z95" s="49" t="s">
        <v>1376</v>
      </c>
      <c r="AA95" s="61">
        <v>0.3</v>
      </c>
      <c r="AB95" s="48" t="s">
        <v>1377</v>
      </c>
      <c r="AC95" s="75" t="s">
        <v>1374</v>
      </c>
      <c r="AD95" s="53" t="str">
        <f t="shared" si="57"/>
        <v>Link</v>
      </c>
      <c r="AE95" s="54">
        <v>16331</v>
      </c>
      <c r="AF95" s="54">
        <v>25</v>
      </c>
      <c r="AG95" s="55"/>
      <c r="AH95" s="56">
        <v>234076</v>
      </c>
      <c r="AI95" s="56"/>
      <c r="AJ95" s="56"/>
    </row>
    <row r="96" spans="1:36" ht="15" x14ac:dyDescent="0.2">
      <c r="A96" s="43" t="s">
        <v>594</v>
      </c>
      <c r="B96" s="33" t="s">
        <v>1361</v>
      </c>
      <c r="C96" s="7" t="s">
        <v>67</v>
      </c>
      <c r="D96" s="7" t="s">
        <v>1395</v>
      </c>
      <c r="E96" s="44">
        <v>5</v>
      </c>
      <c r="F96" s="7"/>
      <c r="G96" s="7" t="s">
        <v>126</v>
      </c>
      <c r="H96" s="2" t="s">
        <v>1363</v>
      </c>
      <c r="I96" s="7" t="s">
        <v>1396</v>
      </c>
      <c r="J96" s="7"/>
      <c r="K96" s="7"/>
      <c r="L96" s="7"/>
      <c r="M96" s="7"/>
      <c r="N96" s="45" t="str">
        <f t="shared" si="55"/>
        <v>@UVASoftball</v>
      </c>
      <c r="O96" s="74" t="str">
        <f t="shared" si="56"/>
        <v>Questionnaire</v>
      </c>
      <c r="P96" s="7" t="s">
        <v>1374</v>
      </c>
      <c r="Q96" s="47" t="s">
        <v>1361</v>
      </c>
      <c r="R96" s="49" t="s">
        <v>1375</v>
      </c>
      <c r="S96" s="48" t="s">
        <v>468</v>
      </c>
      <c r="T96" s="49" t="s">
        <v>74</v>
      </c>
      <c r="U96" s="49" t="s">
        <v>75</v>
      </c>
      <c r="V96" s="48"/>
      <c r="W96" s="50">
        <v>4.2300000000000004</v>
      </c>
      <c r="X96" s="7" t="s">
        <v>624</v>
      </c>
      <c r="Y96" s="49" t="s">
        <v>1104</v>
      </c>
      <c r="Z96" s="49" t="s">
        <v>1376</v>
      </c>
      <c r="AA96" s="61">
        <v>0.3</v>
      </c>
      <c r="AB96" s="48" t="s">
        <v>1377</v>
      </c>
      <c r="AC96" s="75" t="s">
        <v>1374</v>
      </c>
      <c r="AD96" s="53" t="str">
        <f t="shared" si="57"/>
        <v>Link</v>
      </c>
      <c r="AE96" s="54">
        <v>16331</v>
      </c>
      <c r="AF96" s="54">
        <v>25</v>
      </c>
      <c r="AG96" s="55"/>
      <c r="AH96" s="56">
        <v>234076</v>
      </c>
      <c r="AI96" s="56"/>
      <c r="AJ96" s="56"/>
    </row>
    <row r="97" spans="1:36" ht="15" x14ac:dyDescent="0.2">
      <c r="A97" s="43" t="s">
        <v>594</v>
      </c>
      <c r="B97" s="33" t="s">
        <v>1361</v>
      </c>
      <c r="C97" s="7" t="s">
        <v>67</v>
      </c>
      <c r="D97" s="7" t="s">
        <v>1404</v>
      </c>
      <c r="E97" s="44">
        <v>5</v>
      </c>
      <c r="F97" s="7"/>
      <c r="G97" s="7"/>
      <c r="H97" s="2" t="s">
        <v>1363</v>
      </c>
      <c r="I97" s="7" t="s">
        <v>1405</v>
      </c>
      <c r="J97" s="7" t="s">
        <v>1407</v>
      </c>
      <c r="K97" s="7" t="s">
        <v>55</v>
      </c>
      <c r="L97" s="7" t="s">
        <v>1409</v>
      </c>
      <c r="M97" s="7" t="s">
        <v>1410</v>
      </c>
      <c r="N97" s="45" t="str">
        <f t="shared" si="55"/>
        <v>@UVASoftball</v>
      </c>
      <c r="O97" s="74" t="str">
        <f t="shared" si="56"/>
        <v>Questionnaire</v>
      </c>
      <c r="P97" s="7" t="s">
        <v>1374</v>
      </c>
      <c r="Q97" s="47" t="s">
        <v>1361</v>
      </c>
      <c r="R97" s="49" t="s">
        <v>1375</v>
      </c>
      <c r="S97" s="48" t="s">
        <v>468</v>
      </c>
      <c r="T97" s="49" t="s">
        <v>74</v>
      </c>
      <c r="U97" s="49" t="s">
        <v>75</v>
      </c>
      <c r="V97" s="48"/>
      <c r="W97" s="50">
        <v>4.2300000000000004</v>
      </c>
      <c r="X97" s="7" t="s">
        <v>624</v>
      </c>
      <c r="Y97" s="49" t="s">
        <v>1104</v>
      </c>
      <c r="Z97" s="49" t="s">
        <v>1376</v>
      </c>
      <c r="AA97" s="61">
        <v>0.3</v>
      </c>
      <c r="AB97" s="48" t="s">
        <v>1377</v>
      </c>
      <c r="AC97" s="75" t="s">
        <v>1374</v>
      </c>
      <c r="AD97" s="53" t="str">
        <f t="shared" si="57"/>
        <v>Link</v>
      </c>
      <c r="AE97" s="54">
        <v>16331</v>
      </c>
      <c r="AF97" s="54">
        <v>25</v>
      </c>
      <c r="AG97" s="55"/>
      <c r="AH97" s="56">
        <v>234076</v>
      </c>
      <c r="AI97" s="56"/>
      <c r="AJ97" s="56"/>
    </row>
    <row r="98" spans="1:36" ht="15" x14ac:dyDescent="0.2">
      <c r="A98" s="43" t="s">
        <v>594</v>
      </c>
      <c r="B98" s="33" t="s">
        <v>1361</v>
      </c>
      <c r="C98" s="7" t="s">
        <v>67</v>
      </c>
      <c r="D98" s="7" t="s">
        <v>1415</v>
      </c>
      <c r="E98" s="44">
        <v>5</v>
      </c>
      <c r="F98" s="7"/>
      <c r="G98" s="7"/>
      <c r="H98" s="2" t="s">
        <v>1416</v>
      </c>
      <c r="I98" s="7" t="s">
        <v>1418</v>
      </c>
      <c r="J98" s="7" t="s">
        <v>1419</v>
      </c>
      <c r="K98" s="7" t="s">
        <v>48</v>
      </c>
      <c r="L98" s="7" t="s">
        <v>1420</v>
      </c>
      <c r="M98" s="7" t="s">
        <v>1422</v>
      </c>
      <c r="N98" s="45" t="str">
        <f>HYPERLINK("twitter.com/VTsoftballCoach","@VTsoftballCoach")</f>
        <v>@VTsoftballCoach</v>
      </c>
      <c r="O98" s="7" t="s">
        <v>22</v>
      </c>
      <c r="P98" s="7" t="s">
        <v>1416</v>
      </c>
      <c r="Q98" s="47" t="s">
        <v>1361</v>
      </c>
      <c r="R98" s="49" t="s">
        <v>1426</v>
      </c>
      <c r="S98" s="48" t="s">
        <v>468</v>
      </c>
      <c r="T98" s="49" t="s">
        <v>74</v>
      </c>
      <c r="U98" s="49" t="s">
        <v>75</v>
      </c>
      <c r="V98" s="48"/>
      <c r="W98" s="50">
        <v>3.65</v>
      </c>
      <c r="X98" s="7" t="s">
        <v>86</v>
      </c>
      <c r="Y98" s="49" t="s">
        <v>1372</v>
      </c>
      <c r="Z98" s="49" t="s">
        <v>214</v>
      </c>
      <c r="AA98" s="61">
        <v>0.71</v>
      </c>
      <c r="AB98" s="48" t="s">
        <v>1432</v>
      </c>
      <c r="AC98" s="75" t="s">
        <v>1416</v>
      </c>
      <c r="AD98" s="53" t="str">
        <f t="shared" ref="AD98:AD103" si="58">HYPERLINK("https://registrar.vt.edu/undergraduate/majors/registration-majors-undergrad.html","Link")</f>
        <v>Link</v>
      </c>
      <c r="AE98" s="54">
        <v>25791</v>
      </c>
      <c r="AF98" s="54">
        <v>69</v>
      </c>
      <c r="AG98" s="55"/>
      <c r="AH98" s="56">
        <v>233921</v>
      </c>
      <c r="AI98" s="56"/>
      <c r="AJ98" s="56"/>
    </row>
    <row r="99" spans="1:36" ht="15" x14ac:dyDescent="0.2">
      <c r="A99" s="43" t="s">
        <v>594</v>
      </c>
      <c r="B99" s="33" t="s">
        <v>1361</v>
      </c>
      <c r="C99" s="7" t="s">
        <v>67</v>
      </c>
      <c r="D99" s="7" t="s">
        <v>1435</v>
      </c>
      <c r="E99" s="44">
        <v>5</v>
      </c>
      <c r="F99" s="7"/>
      <c r="G99" s="7"/>
      <c r="H99" s="2" t="s">
        <v>1416</v>
      </c>
      <c r="I99" s="7" t="s">
        <v>1437</v>
      </c>
      <c r="J99" s="7" t="s">
        <v>1438</v>
      </c>
      <c r="K99" s="7" t="s">
        <v>55</v>
      </c>
      <c r="L99" s="7" t="s">
        <v>1440</v>
      </c>
      <c r="M99" s="7" t="s">
        <v>1441</v>
      </c>
      <c r="N99" s="45" t="str">
        <f t="shared" ref="N99:N103" si="59">HYPERLINK("twitter.com/hokiessoftball","@hokiessoftball")</f>
        <v>@hokiessoftball</v>
      </c>
      <c r="O99" s="7" t="s">
        <v>22</v>
      </c>
      <c r="P99" s="7" t="s">
        <v>1416</v>
      </c>
      <c r="Q99" s="47" t="s">
        <v>1361</v>
      </c>
      <c r="R99" s="49" t="s">
        <v>1426</v>
      </c>
      <c r="S99" s="48" t="s">
        <v>468</v>
      </c>
      <c r="T99" s="49" t="s">
        <v>74</v>
      </c>
      <c r="U99" s="49" t="s">
        <v>75</v>
      </c>
      <c r="V99" s="48"/>
      <c r="W99" s="50">
        <v>3.65</v>
      </c>
      <c r="X99" s="7" t="s">
        <v>86</v>
      </c>
      <c r="Y99" s="49" t="s">
        <v>1372</v>
      </c>
      <c r="Z99" s="49" t="s">
        <v>214</v>
      </c>
      <c r="AA99" s="61">
        <v>0.71</v>
      </c>
      <c r="AB99" s="48" t="s">
        <v>1432</v>
      </c>
      <c r="AC99" s="75" t="s">
        <v>1416</v>
      </c>
      <c r="AD99" s="53" t="str">
        <f t="shared" si="58"/>
        <v>Link</v>
      </c>
      <c r="AE99" s="54">
        <v>25791</v>
      </c>
      <c r="AF99" s="54">
        <v>69</v>
      </c>
      <c r="AG99" s="55"/>
      <c r="AH99" s="56">
        <v>233921</v>
      </c>
      <c r="AI99" s="56"/>
      <c r="AJ99" s="56"/>
    </row>
    <row r="100" spans="1:36" ht="15" x14ac:dyDescent="0.2">
      <c r="A100" s="43" t="s">
        <v>594</v>
      </c>
      <c r="B100" s="33" t="s">
        <v>1361</v>
      </c>
      <c r="C100" s="7" t="s">
        <v>67</v>
      </c>
      <c r="D100" s="7" t="s">
        <v>1451</v>
      </c>
      <c r="E100" s="44">
        <v>5</v>
      </c>
      <c r="F100" s="7"/>
      <c r="G100" s="7"/>
      <c r="H100" s="2" t="s">
        <v>1416</v>
      </c>
      <c r="I100" s="7" t="s">
        <v>1454</v>
      </c>
      <c r="J100" s="7" t="s">
        <v>1455</v>
      </c>
      <c r="K100" s="7" t="s">
        <v>55</v>
      </c>
      <c r="L100" s="7" t="s">
        <v>1457</v>
      </c>
      <c r="M100" s="7"/>
      <c r="N100" s="45" t="str">
        <f t="shared" si="59"/>
        <v>@hokiessoftball</v>
      </c>
      <c r="O100" s="7" t="s">
        <v>22</v>
      </c>
      <c r="P100" s="7" t="s">
        <v>1416</v>
      </c>
      <c r="Q100" s="47" t="s">
        <v>1361</v>
      </c>
      <c r="R100" s="49" t="s">
        <v>1426</v>
      </c>
      <c r="S100" s="48" t="s">
        <v>468</v>
      </c>
      <c r="T100" s="49" t="s">
        <v>74</v>
      </c>
      <c r="U100" s="49" t="s">
        <v>75</v>
      </c>
      <c r="V100" s="48"/>
      <c r="W100" s="50">
        <v>3.65</v>
      </c>
      <c r="X100" s="7" t="s">
        <v>86</v>
      </c>
      <c r="Y100" s="49" t="s">
        <v>1372</v>
      </c>
      <c r="Z100" s="49" t="s">
        <v>214</v>
      </c>
      <c r="AA100" s="61">
        <v>0.71</v>
      </c>
      <c r="AB100" s="48" t="s">
        <v>1432</v>
      </c>
      <c r="AC100" s="75" t="s">
        <v>1416</v>
      </c>
      <c r="AD100" s="53" t="str">
        <f t="shared" si="58"/>
        <v>Link</v>
      </c>
      <c r="AE100" s="54">
        <v>25791</v>
      </c>
      <c r="AF100" s="54">
        <v>69</v>
      </c>
      <c r="AG100" s="55"/>
      <c r="AH100" s="56">
        <v>233921</v>
      </c>
      <c r="AI100" s="56"/>
      <c r="AJ100" s="56"/>
    </row>
    <row r="101" spans="1:36" ht="15" x14ac:dyDescent="0.2">
      <c r="A101" s="43" t="s">
        <v>594</v>
      </c>
      <c r="B101" s="33" t="s">
        <v>1361</v>
      </c>
      <c r="C101" s="7" t="s">
        <v>67</v>
      </c>
      <c r="D101" s="7" t="s">
        <v>1461</v>
      </c>
      <c r="E101" s="44">
        <v>5</v>
      </c>
      <c r="F101" s="7"/>
      <c r="G101" s="7"/>
      <c r="H101" s="2" t="s">
        <v>1416</v>
      </c>
      <c r="I101" s="7" t="s">
        <v>577</v>
      </c>
      <c r="J101" s="7" t="s">
        <v>1464</v>
      </c>
      <c r="K101" s="7" t="s">
        <v>154</v>
      </c>
      <c r="L101" s="7" t="s">
        <v>1466</v>
      </c>
      <c r="M101" s="7" t="s">
        <v>1468</v>
      </c>
      <c r="N101" s="45" t="str">
        <f t="shared" si="59"/>
        <v>@hokiessoftball</v>
      </c>
      <c r="O101" s="7" t="s">
        <v>22</v>
      </c>
      <c r="P101" s="7" t="s">
        <v>1416</v>
      </c>
      <c r="Q101" s="47" t="s">
        <v>1361</v>
      </c>
      <c r="R101" s="49" t="s">
        <v>1426</v>
      </c>
      <c r="S101" s="48" t="s">
        <v>468</v>
      </c>
      <c r="T101" s="49" t="s">
        <v>74</v>
      </c>
      <c r="U101" s="49" t="s">
        <v>75</v>
      </c>
      <c r="V101" s="48"/>
      <c r="W101" s="50">
        <v>3.65</v>
      </c>
      <c r="X101" s="7" t="s">
        <v>86</v>
      </c>
      <c r="Y101" s="49" t="s">
        <v>1372</v>
      </c>
      <c r="Z101" s="49" t="s">
        <v>214</v>
      </c>
      <c r="AA101" s="61">
        <v>0.71</v>
      </c>
      <c r="AB101" s="48" t="s">
        <v>1432</v>
      </c>
      <c r="AC101" s="75" t="s">
        <v>1416</v>
      </c>
      <c r="AD101" s="53" t="str">
        <f t="shared" si="58"/>
        <v>Link</v>
      </c>
      <c r="AE101" s="54">
        <v>25791</v>
      </c>
      <c r="AF101" s="54">
        <v>69</v>
      </c>
      <c r="AG101" s="55"/>
      <c r="AH101" s="56">
        <v>233921</v>
      </c>
      <c r="AI101" s="56"/>
      <c r="AJ101" s="56"/>
    </row>
    <row r="102" spans="1:36" ht="15" x14ac:dyDescent="0.2">
      <c r="A102" s="43" t="s">
        <v>594</v>
      </c>
      <c r="B102" s="33" t="s">
        <v>1361</v>
      </c>
      <c r="C102" s="7" t="s">
        <v>67</v>
      </c>
      <c r="D102" s="7" t="s">
        <v>1470</v>
      </c>
      <c r="E102" s="44">
        <v>5</v>
      </c>
      <c r="F102" s="7"/>
      <c r="G102" s="7"/>
      <c r="H102" s="2" t="s">
        <v>1416</v>
      </c>
      <c r="I102" s="7" t="s">
        <v>1471</v>
      </c>
      <c r="J102" s="7" t="s">
        <v>1472</v>
      </c>
      <c r="K102" s="7" t="s">
        <v>139</v>
      </c>
      <c r="L102" s="7"/>
      <c r="M102" s="7"/>
      <c r="N102" s="45" t="str">
        <f t="shared" si="59"/>
        <v>@hokiessoftball</v>
      </c>
      <c r="O102" s="7" t="s">
        <v>22</v>
      </c>
      <c r="P102" s="7" t="s">
        <v>1416</v>
      </c>
      <c r="Q102" s="47" t="s">
        <v>1361</v>
      </c>
      <c r="R102" s="49" t="s">
        <v>1426</v>
      </c>
      <c r="S102" s="48" t="s">
        <v>468</v>
      </c>
      <c r="T102" s="49" t="s">
        <v>74</v>
      </c>
      <c r="U102" s="49" t="s">
        <v>75</v>
      </c>
      <c r="V102" s="48"/>
      <c r="W102" s="50">
        <v>3.65</v>
      </c>
      <c r="X102" s="7" t="s">
        <v>86</v>
      </c>
      <c r="Y102" s="49" t="s">
        <v>1372</v>
      </c>
      <c r="Z102" s="49" t="s">
        <v>214</v>
      </c>
      <c r="AA102" s="61">
        <v>0.71</v>
      </c>
      <c r="AB102" s="48" t="s">
        <v>1432</v>
      </c>
      <c r="AC102" s="75" t="s">
        <v>1416</v>
      </c>
      <c r="AD102" s="53" t="str">
        <f t="shared" si="58"/>
        <v>Link</v>
      </c>
      <c r="AE102" s="54">
        <v>25791</v>
      </c>
      <c r="AF102" s="54">
        <v>69</v>
      </c>
      <c r="AG102" s="55"/>
      <c r="AH102" s="56">
        <v>233921</v>
      </c>
      <c r="AI102" s="56"/>
      <c r="AJ102" s="56"/>
    </row>
    <row r="103" spans="1:36" ht="15" x14ac:dyDescent="0.2">
      <c r="A103" s="43" t="s">
        <v>594</v>
      </c>
      <c r="B103" s="33" t="s">
        <v>1361</v>
      </c>
      <c r="C103" s="7" t="s">
        <v>67</v>
      </c>
      <c r="D103" s="57" t="s">
        <v>1480</v>
      </c>
      <c r="E103" s="58">
        <v>5</v>
      </c>
      <c r="F103" s="7" t="s">
        <v>116</v>
      </c>
      <c r="G103" s="7"/>
      <c r="H103" s="2" t="s">
        <v>1416</v>
      </c>
      <c r="I103" s="7" t="s">
        <v>1481</v>
      </c>
      <c r="J103" s="7" t="s">
        <v>1482</v>
      </c>
      <c r="K103" s="7" t="s">
        <v>120</v>
      </c>
      <c r="L103" s="57" t="s">
        <v>1483</v>
      </c>
      <c r="M103" s="57" t="s">
        <v>1484</v>
      </c>
      <c r="N103" s="45" t="str">
        <f t="shared" si="59"/>
        <v>@hokiessoftball</v>
      </c>
      <c r="O103" s="7" t="s">
        <v>22</v>
      </c>
      <c r="P103" s="7" t="s">
        <v>1416</v>
      </c>
      <c r="Q103" s="47" t="s">
        <v>1361</v>
      </c>
      <c r="R103" s="49" t="s">
        <v>1426</v>
      </c>
      <c r="S103" s="48" t="s">
        <v>468</v>
      </c>
      <c r="T103" s="49" t="s">
        <v>74</v>
      </c>
      <c r="U103" s="49" t="s">
        <v>75</v>
      </c>
      <c r="V103" s="48"/>
      <c r="W103" s="50">
        <v>3.65</v>
      </c>
      <c r="X103" s="7" t="s">
        <v>86</v>
      </c>
      <c r="Y103" s="49" t="s">
        <v>1372</v>
      </c>
      <c r="Z103" s="49" t="s">
        <v>214</v>
      </c>
      <c r="AA103" s="61">
        <v>0.71</v>
      </c>
      <c r="AB103" s="48" t="s">
        <v>1432</v>
      </c>
      <c r="AC103" s="75" t="s">
        <v>1416</v>
      </c>
      <c r="AD103" s="53" t="str">
        <f t="shared" si="58"/>
        <v>Link</v>
      </c>
      <c r="AE103" s="54">
        <v>25791</v>
      </c>
      <c r="AF103" s="54">
        <v>69</v>
      </c>
      <c r="AG103" s="55"/>
      <c r="AH103" s="56">
        <v>233921</v>
      </c>
      <c r="AI103" s="59"/>
      <c r="AJ103" s="59"/>
    </row>
    <row r="104" spans="1:36" ht="15" x14ac:dyDescent="0.2">
      <c r="A104" s="43" t="s">
        <v>1488</v>
      </c>
      <c r="B104" s="33" t="s">
        <v>1304</v>
      </c>
      <c r="C104" s="7" t="s">
        <v>67</v>
      </c>
      <c r="D104" s="7" t="s">
        <v>1489</v>
      </c>
      <c r="E104" s="44">
        <v>5</v>
      </c>
      <c r="F104" s="7"/>
      <c r="G104" s="7"/>
      <c r="H104" s="2" t="s">
        <v>1491</v>
      </c>
      <c r="I104" s="7" t="s">
        <v>1492</v>
      </c>
      <c r="J104" s="7" t="s">
        <v>1493</v>
      </c>
      <c r="K104" s="7" t="s">
        <v>48</v>
      </c>
      <c r="L104" s="7" t="s">
        <v>1495</v>
      </c>
      <c r="M104" s="7" t="s">
        <v>1496</v>
      </c>
      <c r="N104" s="45" t="str">
        <f t="shared" ref="N104:N107" si="60">HYPERLINK("twitter.com/ualbanysoftball","@ualbanysoftball")</f>
        <v>@ualbanysoftball</v>
      </c>
      <c r="O104" s="74" t="str">
        <f t="shared" ref="O104:O107" si="61">HYPERLINK("https://questionnaires.armssoftware.com/ba24e872b029?DB_OEM_ID=15800","Questionnaire")</f>
        <v>Questionnaire</v>
      </c>
      <c r="P104" s="7" t="s">
        <v>1501</v>
      </c>
      <c r="Q104" s="47" t="s">
        <v>1304</v>
      </c>
      <c r="R104" s="49" t="s">
        <v>1501</v>
      </c>
      <c r="S104" s="48" t="s">
        <v>238</v>
      </c>
      <c r="T104" s="49" t="s">
        <v>74</v>
      </c>
      <c r="U104" s="49" t="s">
        <v>75</v>
      </c>
      <c r="V104" s="48" t="s">
        <v>1507</v>
      </c>
      <c r="W104" s="50">
        <v>3.2</v>
      </c>
      <c r="X104" s="7" t="s">
        <v>1509</v>
      </c>
      <c r="Y104" s="49" t="s">
        <v>345</v>
      </c>
      <c r="Z104" s="49" t="s">
        <v>1510</v>
      </c>
      <c r="AA104" s="51">
        <v>0.54379999999999995</v>
      </c>
      <c r="AB104" s="48" t="s">
        <v>1512</v>
      </c>
      <c r="AC104" s="72" t="s">
        <v>1501</v>
      </c>
      <c r="AD104" s="53" t="str">
        <f t="shared" ref="AD104:AD107" si="62">HYPERLINK("https://www.albany.edu/undergraduate_bulletin/majors.html","Link")</f>
        <v>Link</v>
      </c>
      <c r="AE104" s="54">
        <v>13139</v>
      </c>
      <c r="AF104" s="54">
        <v>151</v>
      </c>
      <c r="AG104" s="55"/>
      <c r="AH104" s="56">
        <v>196060</v>
      </c>
      <c r="AI104" s="56"/>
      <c r="AJ104" s="56"/>
    </row>
    <row r="105" spans="1:36" ht="15" x14ac:dyDescent="0.2">
      <c r="A105" s="43" t="s">
        <v>1488</v>
      </c>
      <c r="B105" s="33" t="s">
        <v>1304</v>
      </c>
      <c r="C105" s="7" t="s">
        <v>67</v>
      </c>
      <c r="D105" s="7" t="s">
        <v>1515</v>
      </c>
      <c r="E105" s="44">
        <v>5</v>
      </c>
      <c r="F105" s="7"/>
      <c r="G105" s="7"/>
      <c r="H105" s="2" t="s">
        <v>1491</v>
      </c>
      <c r="I105" s="7" t="s">
        <v>1524</v>
      </c>
      <c r="J105" s="7" t="s">
        <v>1525</v>
      </c>
      <c r="K105" s="7" t="s">
        <v>139</v>
      </c>
      <c r="L105" s="7"/>
      <c r="M105" s="7"/>
      <c r="N105" s="45" t="str">
        <f t="shared" si="60"/>
        <v>@ualbanysoftball</v>
      </c>
      <c r="O105" s="74" t="str">
        <f t="shared" si="61"/>
        <v>Questionnaire</v>
      </c>
      <c r="P105" s="7" t="s">
        <v>1501</v>
      </c>
      <c r="Q105" s="47" t="s">
        <v>1304</v>
      </c>
      <c r="R105" s="49" t="s">
        <v>1501</v>
      </c>
      <c r="S105" s="48" t="s">
        <v>238</v>
      </c>
      <c r="T105" s="49" t="s">
        <v>74</v>
      </c>
      <c r="U105" s="49" t="s">
        <v>75</v>
      </c>
      <c r="V105" s="48" t="s">
        <v>1507</v>
      </c>
      <c r="W105" s="50">
        <v>3.2</v>
      </c>
      <c r="X105" s="7" t="s">
        <v>1509</v>
      </c>
      <c r="Y105" s="49" t="s">
        <v>345</v>
      </c>
      <c r="Z105" s="49" t="s">
        <v>1510</v>
      </c>
      <c r="AA105" s="51">
        <v>0.54379999999999995</v>
      </c>
      <c r="AB105" s="48" t="s">
        <v>1512</v>
      </c>
      <c r="AC105" s="72" t="s">
        <v>1501</v>
      </c>
      <c r="AD105" s="53" t="str">
        <f t="shared" si="62"/>
        <v>Link</v>
      </c>
      <c r="AE105" s="54">
        <v>13139</v>
      </c>
      <c r="AF105" s="54">
        <v>151</v>
      </c>
      <c r="AG105" s="55"/>
      <c r="AH105" s="56">
        <v>196060</v>
      </c>
      <c r="AI105" s="56"/>
      <c r="AJ105" s="56"/>
    </row>
    <row r="106" spans="1:36" ht="15" x14ac:dyDescent="0.2">
      <c r="A106" s="43" t="s">
        <v>1488</v>
      </c>
      <c r="B106" s="33" t="s">
        <v>1304</v>
      </c>
      <c r="C106" s="7" t="s">
        <v>67</v>
      </c>
      <c r="D106" s="7" t="s">
        <v>1526</v>
      </c>
      <c r="E106" s="44">
        <v>5</v>
      </c>
      <c r="F106" s="7"/>
      <c r="G106" s="7"/>
      <c r="H106" s="2" t="s">
        <v>1491</v>
      </c>
      <c r="I106" s="7" t="s">
        <v>1528</v>
      </c>
      <c r="J106" s="7" t="s">
        <v>1530</v>
      </c>
      <c r="K106" s="7" t="s">
        <v>55</v>
      </c>
      <c r="L106" s="7" t="s">
        <v>1531</v>
      </c>
      <c r="M106" s="7" t="s">
        <v>1532</v>
      </c>
      <c r="N106" s="45" t="str">
        <f t="shared" si="60"/>
        <v>@ualbanysoftball</v>
      </c>
      <c r="O106" s="74" t="str">
        <f t="shared" si="61"/>
        <v>Questionnaire</v>
      </c>
      <c r="P106" s="7" t="s">
        <v>1501</v>
      </c>
      <c r="Q106" s="47" t="s">
        <v>1304</v>
      </c>
      <c r="R106" s="49" t="s">
        <v>1501</v>
      </c>
      <c r="S106" s="48" t="s">
        <v>238</v>
      </c>
      <c r="T106" s="49" t="s">
        <v>74</v>
      </c>
      <c r="U106" s="49" t="s">
        <v>75</v>
      </c>
      <c r="V106" s="48" t="s">
        <v>1507</v>
      </c>
      <c r="W106" s="50">
        <v>3.2</v>
      </c>
      <c r="X106" s="7" t="s">
        <v>1509</v>
      </c>
      <c r="Y106" s="49" t="s">
        <v>345</v>
      </c>
      <c r="Z106" s="49" t="s">
        <v>1510</v>
      </c>
      <c r="AA106" s="51">
        <v>0.54379999999999995</v>
      </c>
      <c r="AB106" s="48" t="s">
        <v>1512</v>
      </c>
      <c r="AC106" s="72" t="s">
        <v>1501</v>
      </c>
      <c r="AD106" s="53" t="str">
        <f t="shared" si="62"/>
        <v>Link</v>
      </c>
      <c r="AE106" s="54">
        <v>13139</v>
      </c>
      <c r="AF106" s="54">
        <v>151</v>
      </c>
      <c r="AG106" s="55"/>
      <c r="AH106" s="56">
        <v>196060</v>
      </c>
      <c r="AI106" s="56"/>
      <c r="AJ106" s="56"/>
    </row>
    <row r="107" spans="1:36" ht="15" x14ac:dyDescent="0.2">
      <c r="A107" s="43" t="s">
        <v>1488</v>
      </c>
      <c r="B107" s="33" t="s">
        <v>1304</v>
      </c>
      <c r="C107" s="7" t="s">
        <v>67</v>
      </c>
      <c r="D107" s="7" t="s">
        <v>1540</v>
      </c>
      <c r="E107" s="44">
        <v>5</v>
      </c>
      <c r="F107" s="7"/>
      <c r="G107" s="7"/>
      <c r="H107" s="2" t="s">
        <v>1491</v>
      </c>
      <c r="I107" s="7" t="s">
        <v>1541</v>
      </c>
      <c r="J107" s="7" t="s">
        <v>1542</v>
      </c>
      <c r="K107" s="7" t="s">
        <v>55</v>
      </c>
      <c r="L107" s="7" t="s">
        <v>1543</v>
      </c>
      <c r="M107" s="7" t="s">
        <v>1532</v>
      </c>
      <c r="N107" s="45" t="str">
        <f t="shared" si="60"/>
        <v>@ualbanysoftball</v>
      </c>
      <c r="O107" s="74" t="str">
        <f t="shared" si="61"/>
        <v>Questionnaire</v>
      </c>
      <c r="P107" s="7" t="s">
        <v>1501</v>
      </c>
      <c r="Q107" s="47" t="s">
        <v>1304</v>
      </c>
      <c r="R107" s="49" t="s">
        <v>1501</v>
      </c>
      <c r="S107" s="48" t="s">
        <v>238</v>
      </c>
      <c r="T107" s="49" t="s">
        <v>74</v>
      </c>
      <c r="U107" s="49" t="s">
        <v>75</v>
      </c>
      <c r="V107" s="48" t="s">
        <v>1507</v>
      </c>
      <c r="W107" s="50">
        <v>3.2</v>
      </c>
      <c r="X107" s="7" t="s">
        <v>1509</v>
      </c>
      <c r="Y107" s="49" t="s">
        <v>345</v>
      </c>
      <c r="Z107" s="49" t="s">
        <v>1510</v>
      </c>
      <c r="AA107" s="51">
        <v>0.54379999999999995</v>
      </c>
      <c r="AB107" s="48" t="s">
        <v>1512</v>
      </c>
      <c r="AC107" s="72" t="s">
        <v>1501</v>
      </c>
      <c r="AD107" s="53" t="str">
        <f t="shared" si="62"/>
        <v>Link</v>
      </c>
      <c r="AE107" s="54">
        <v>13139</v>
      </c>
      <c r="AF107" s="54">
        <v>151</v>
      </c>
      <c r="AG107" s="55"/>
      <c r="AH107" s="56">
        <v>196060</v>
      </c>
      <c r="AI107" s="56"/>
      <c r="AJ107" s="56"/>
    </row>
    <row r="108" spans="1:36" ht="15" x14ac:dyDescent="0.2">
      <c r="A108" s="43" t="s">
        <v>1488</v>
      </c>
      <c r="B108" s="33" t="s">
        <v>1304</v>
      </c>
      <c r="C108" s="7" t="s">
        <v>67</v>
      </c>
      <c r="D108" s="7" t="s">
        <v>1551</v>
      </c>
      <c r="E108" s="44">
        <v>5</v>
      </c>
      <c r="F108" s="7"/>
      <c r="G108" s="7"/>
      <c r="H108" s="2" t="s">
        <v>1552</v>
      </c>
      <c r="I108" s="7" t="s">
        <v>1280</v>
      </c>
      <c r="J108" s="7" t="s">
        <v>1553</v>
      </c>
      <c r="K108" s="7" t="s">
        <v>48</v>
      </c>
      <c r="L108" s="7" t="s">
        <v>1554</v>
      </c>
      <c r="M108" s="7" t="s">
        <v>1555</v>
      </c>
      <c r="N108" s="45" t="str">
        <f t="shared" ref="N108:N110" si="63">HYPERLINK("twitter.com/binghamtonsoft","@binghamtonsoft")</f>
        <v>@binghamtonsoft</v>
      </c>
      <c r="O108" s="74" t="str">
        <f t="shared" ref="O108:O110" si="64">HYPERLINK("https://college.jumpforward.com/questionnaire.aspx?iid=420&amp;sportid=31","Questionnaire")</f>
        <v>Questionnaire</v>
      </c>
      <c r="P108" s="7" t="s">
        <v>1564</v>
      </c>
      <c r="Q108" s="47" t="s">
        <v>1304</v>
      </c>
      <c r="R108" s="49" t="s">
        <v>1565</v>
      </c>
      <c r="S108" s="48" t="s">
        <v>468</v>
      </c>
      <c r="T108" s="49" t="s">
        <v>74</v>
      </c>
      <c r="U108" s="49" t="s">
        <v>75</v>
      </c>
      <c r="V108" s="48"/>
      <c r="W108" s="50">
        <v>3.7</v>
      </c>
      <c r="X108" s="7" t="s">
        <v>1096</v>
      </c>
      <c r="Y108" s="49" t="s">
        <v>1568</v>
      </c>
      <c r="Z108" s="49" t="s">
        <v>580</v>
      </c>
      <c r="AA108" s="51">
        <v>0.40620000000000001</v>
      </c>
      <c r="AB108" s="48" t="s">
        <v>1569</v>
      </c>
      <c r="AC108" s="72" t="s">
        <v>1564</v>
      </c>
      <c r="AD108" s="53" t="str">
        <f t="shared" ref="AD108:AD110" si="65">HYPERLINK("https://www.binghamton.edu/admissions/academics/programs.html","Link")</f>
        <v>Link</v>
      </c>
      <c r="AE108" s="54">
        <v>13632</v>
      </c>
      <c r="AF108" s="54">
        <v>87</v>
      </c>
      <c r="AG108" s="55"/>
      <c r="AH108" s="56">
        <v>196079</v>
      </c>
      <c r="AI108" s="56"/>
      <c r="AJ108" s="56"/>
    </row>
    <row r="109" spans="1:36" ht="15" x14ac:dyDescent="0.2">
      <c r="A109" s="43" t="s">
        <v>1488</v>
      </c>
      <c r="B109" s="33" t="s">
        <v>1304</v>
      </c>
      <c r="C109" s="7" t="s">
        <v>67</v>
      </c>
      <c r="D109" s="7" t="s">
        <v>1573</v>
      </c>
      <c r="E109" s="44">
        <v>5</v>
      </c>
      <c r="F109" s="7"/>
      <c r="G109" s="7"/>
      <c r="H109" s="2" t="s">
        <v>1552</v>
      </c>
      <c r="I109" s="7" t="s">
        <v>201</v>
      </c>
      <c r="J109" s="7" t="s">
        <v>1579</v>
      </c>
      <c r="K109" s="7" t="s">
        <v>55</v>
      </c>
      <c r="L109" s="7" t="s">
        <v>1580</v>
      </c>
      <c r="M109" s="7" t="s">
        <v>1581</v>
      </c>
      <c r="N109" s="45" t="str">
        <f t="shared" si="63"/>
        <v>@binghamtonsoft</v>
      </c>
      <c r="O109" s="74" t="str">
        <f t="shared" si="64"/>
        <v>Questionnaire</v>
      </c>
      <c r="P109" s="7" t="s">
        <v>1564</v>
      </c>
      <c r="Q109" s="47" t="s">
        <v>1304</v>
      </c>
      <c r="R109" s="49" t="s">
        <v>1565</v>
      </c>
      <c r="S109" s="48" t="s">
        <v>468</v>
      </c>
      <c r="T109" s="49" t="s">
        <v>74</v>
      </c>
      <c r="U109" s="49" t="s">
        <v>75</v>
      </c>
      <c r="V109" s="48"/>
      <c r="W109" s="50">
        <v>3.7</v>
      </c>
      <c r="X109" s="7" t="s">
        <v>1096</v>
      </c>
      <c r="Y109" s="49" t="s">
        <v>1568</v>
      </c>
      <c r="Z109" s="49" t="s">
        <v>580</v>
      </c>
      <c r="AA109" s="51">
        <v>0.40620000000000001</v>
      </c>
      <c r="AB109" s="48" t="s">
        <v>1569</v>
      </c>
      <c r="AC109" s="72" t="s">
        <v>1564</v>
      </c>
      <c r="AD109" s="53" t="str">
        <f t="shared" si="65"/>
        <v>Link</v>
      </c>
      <c r="AE109" s="54">
        <v>13632</v>
      </c>
      <c r="AF109" s="54">
        <v>87</v>
      </c>
      <c r="AG109" s="55"/>
      <c r="AH109" s="56">
        <v>196079</v>
      </c>
      <c r="AI109" s="56"/>
      <c r="AJ109" s="56"/>
    </row>
    <row r="110" spans="1:36" ht="15" x14ac:dyDescent="0.2">
      <c r="A110" s="43" t="s">
        <v>1488</v>
      </c>
      <c r="B110" s="33" t="s">
        <v>1304</v>
      </c>
      <c r="C110" s="7" t="s">
        <v>67</v>
      </c>
      <c r="D110" s="7" t="s">
        <v>1582</v>
      </c>
      <c r="E110" s="44">
        <v>5</v>
      </c>
      <c r="F110" s="7"/>
      <c r="G110" s="7"/>
      <c r="H110" s="2" t="s">
        <v>1552</v>
      </c>
      <c r="I110" s="7" t="s">
        <v>270</v>
      </c>
      <c r="J110" s="7" t="s">
        <v>1584</v>
      </c>
      <c r="K110" s="7" t="s">
        <v>55</v>
      </c>
      <c r="L110" s="7" t="s">
        <v>1586</v>
      </c>
      <c r="M110" s="7" t="s">
        <v>1581</v>
      </c>
      <c r="N110" s="45" t="str">
        <f t="shared" si="63"/>
        <v>@binghamtonsoft</v>
      </c>
      <c r="O110" s="74" t="str">
        <f t="shared" si="64"/>
        <v>Questionnaire</v>
      </c>
      <c r="P110" s="7" t="s">
        <v>1564</v>
      </c>
      <c r="Q110" s="47" t="s">
        <v>1304</v>
      </c>
      <c r="R110" s="49" t="s">
        <v>1565</v>
      </c>
      <c r="S110" s="48" t="s">
        <v>468</v>
      </c>
      <c r="T110" s="49" t="s">
        <v>74</v>
      </c>
      <c r="U110" s="49" t="s">
        <v>75</v>
      </c>
      <c r="V110" s="48"/>
      <c r="W110" s="50">
        <v>3.7</v>
      </c>
      <c r="X110" s="7" t="s">
        <v>1096</v>
      </c>
      <c r="Y110" s="49" t="s">
        <v>1568</v>
      </c>
      <c r="Z110" s="49" t="s">
        <v>580</v>
      </c>
      <c r="AA110" s="51">
        <v>0.40620000000000001</v>
      </c>
      <c r="AB110" s="48" t="s">
        <v>1569</v>
      </c>
      <c r="AC110" s="72" t="s">
        <v>1564</v>
      </c>
      <c r="AD110" s="53" t="str">
        <f t="shared" si="65"/>
        <v>Link</v>
      </c>
      <c r="AE110" s="54">
        <v>13632</v>
      </c>
      <c r="AF110" s="54">
        <v>87</v>
      </c>
      <c r="AG110" s="55"/>
      <c r="AH110" s="56">
        <v>196079</v>
      </c>
      <c r="AI110" s="56"/>
      <c r="AJ110" s="56"/>
    </row>
    <row r="111" spans="1:36" ht="15" x14ac:dyDescent="0.2">
      <c r="A111" s="43" t="s">
        <v>1488</v>
      </c>
      <c r="B111" s="33" t="s">
        <v>158</v>
      </c>
      <c r="C111" s="7" t="s">
        <v>67</v>
      </c>
      <c r="D111" s="7" t="s">
        <v>1592</v>
      </c>
      <c r="E111" s="44">
        <v>5</v>
      </c>
      <c r="F111" s="7"/>
      <c r="G111" s="7"/>
      <c r="H111" s="2" t="s">
        <v>1593</v>
      </c>
      <c r="I111" s="7" t="s">
        <v>1594</v>
      </c>
      <c r="J111" s="7" t="s">
        <v>1595</v>
      </c>
      <c r="K111" s="7" t="s">
        <v>48</v>
      </c>
      <c r="L111" s="7" t="s">
        <v>1596</v>
      </c>
      <c r="M111" s="7" t="s">
        <v>1597</v>
      </c>
      <c r="N111" s="45" t="str">
        <f t="shared" ref="N111:N113" si="66">HYPERLINK("twitter.com/hartfordsb","@hartfordsb")</f>
        <v>@hartfordsb</v>
      </c>
      <c r="O111" s="74" t="str">
        <f t="shared" ref="O111:O113" si="67">HYPERLINK("https://www.hartfordhawks.com/sports/2015/11/17/GEN_1117151406.aspx","Questionnaire")</f>
        <v>Questionnaire</v>
      </c>
      <c r="P111" s="7" t="s">
        <v>1065</v>
      </c>
      <c r="Q111" s="47" t="s">
        <v>158</v>
      </c>
      <c r="R111" s="49" t="s">
        <v>1001</v>
      </c>
      <c r="S111" s="48" t="s">
        <v>186</v>
      </c>
      <c r="T111" s="49" t="s">
        <v>63</v>
      </c>
      <c r="U111" s="49" t="s">
        <v>75</v>
      </c>
      <c r="V111" s="48"/>
      <c r="W111" s="50">
        <v>3.34</v>
      </c>
      <c r="X111" s="7" t="s">
        <v>276</v>
      </c>
      <c r="Y111" s="49" t="s">
        <v>276</v>
      </c>
      <c r="Z111" s="49" t="s">
        <v>278</v>
      </c>
      <c r="AA111" s="61">
        <v>0.72</v>
      </c>
      <c r="AB111" s="71">
        <v>53130</v>
      </c>
      <c r="AC111" s="75" t="s">
        <v>1065</v>
      </c>
      <c r="AD111" s="53" t="str">
        <f t="shared" ref="AD111:AD113" si="68">HYPERLINK("http://www.hartford.edu/ceta/undergraduate/majors.aspx","Link")</f>
        <v>Link</v>
      </c>
      <c r="AE111" s="54">
        <v>5150</v>
      </c>
      <c r="AF111" s="54">
        <v>176</v>
      </c>
      <c r="AG111" s="55"/>
      <c r="AH111" s="56">
        <v>129525</v>
      </c>
      <c r="AI111" s="56"/>
      <c r="AJ111" s="56"/>
    </row>
    <row r="112" spans="1:36" ht="15" x14ac:dyDescent="0.2">
      <c r="A112" s="43" t="s">
        <v>1488</v>
      </c>
      <c r="B112" s="33" t="s">
        <v>158</v>
      </c>
      <c r="C112" s="7" t="s">
        <v>67</v>
      </c>
      <c r="D112" s="7" t="s">
        <v>1614</v>
      </c>
      <c r="E112" s="44">
        <v>5</v>
      </c>
      <c r="F112" s="7"/>
      <c r="G112" s="7"/>
      <c r="H112" s="2" t="s">
        <v>1593</v>
      </c>
      <c r="I112" s="7" t="s">
        <v>1239</v>
      </c>
      <c r="J112" s="7" t="s">
        <v>1615</v>
      </c>
      <c r="K112" s="7" t="s">
        <v>55</v>
      </c>
      <c r="L112" s="7" t="s">
        <v>1616</v>
      </c>
      <c r="M112" s="7" t="s">
        <v>1617</v>
      </c>
      <c r="N112" s="45" t="str">
        <f t="shared" si="66"/>
        <v>@hartfordsb</v>
      </c>
      <c r="O112" s="74" t="str">
        <f t="shared" si="67"/>
        <v>Questionnaire</v>
      </c>
      <c r="P112" s="7" t="s">
        <v>1065</v>
      </c>
      <c r="Q112" s="47" t="s">
        <v>158</v>
      </c>
      <c r="R112" s="49" t="s">
        <v>1001</v>
      </c>
      <c r="S112" s="48" t="s">
        <v>186</v>
      </c>
      <c r="T112" s="49" t="s">
        <v>63</v>
      </c>
      <c r="U112" s="49" t="s">
        <v>75</v>
      </c>
      <c r="V112" s="48"/>
      <c r="W112" s="50">
        <v>3.34</v>
      </c>
      <c r="X112" s="7" t="s">
        <v>276</v>
      </c>
      <c r="Y112" s="49" t="s">
        <v>276</v>
      </c>
      <c r="Z112" s="49" t="s">
        <v>278</v>
      </c>
      <c r="AA112" s="61">
        <v>0.72</v>
      </c>
      <c r="AB112" s="71">
        <v>53130</v>
      </c>
      <c r="AC112" s="75" t="s">
        <v>1065</v>
      </c>
      <c r="AD112" s="53" t="str">
        <f t="shared" si="68"/>
        <v>Link</v>
      </c>
      <c r="AE112" s="54">
        <v>5150</v>
      </c>
      <c r="AF112" s="54">
        <v>176</v>
      </c>
      <c r="AG112" s="55"/>
      <c r="AH112" s="56">
        <v>129525</v>
      </c>
      <c r="AI112" s="56"/>
      <c r="AJ112" s="56"/>
    </row>
    <row r="113" spans="1:36" ht="15" x14ac:dyDescent="0.2">
      <c r="A113" s="43" t="s">
        <v>1488</v>
      </c>
      <c r="B113" s="33" t="s">
        <v>158</v>
      </c>
      <c r="C113" s="7" t="s">
        <v>67</v>
      </c>
      <c r="D113" s="7" t="s">
        <v>1626</v>
      </c>
      <c r="E113" s="44">
        <v>5</v>
      </c>
      <c r="F113" s="7"/>
      <c r="G113" s="7"/>
      <c r="H113" s="2" t="s">
        <v>1593</v>
      </c>
      <c r="I113" s="7" t="s">
        <v>1629</v>
      </c>
      <c r="J113" s="7" t="s">
        <v>1631</v>
      </c>
      <c r="K113" s="7" t="s">
        <v>55</v>
      </c>
      <c r="L113" s="7" t="s">
        <v>1633</v>
      </c>
      <c r="M113" s="7"/>
      <c r="N113" s="45" t="str">
        <f t="shared" si="66"/>
        <v>@hartfordsb</v>
      </c>
      <c r="O113" s="74" t="str">
        <f t="shared" si="67"/>
        <v>Questionnaire</v>
      </c>
      <c r="P113" s="7" t="s">
        <v>1065</v>
      </c>
      <c r="Q113" s="47" t="s">
        <v>158</v>
      </c>
      <c r="R113" s="49" t="s">
        <v>1001</v>
      </c>
      <c r="S113" s="48" t="s">
        <v>186</v>
      </c>
      <c r="T113" s="49" t="s">
        <v>63</v>
      </c>
      <c r="U113" s="49" t="s">
        <v>75</v>
      </c>
      <c r="V113" s="48"/>
      <c r="W113" s="50">
        <v>3.34</v>
      </c>
      <c r="X113" s="7" t="s">
        <v>276</v>
      </c>
      <c r="Y113" s="49" t="s">
        <v>276</v>
      </c>
      <c r="Z113" s="49" t="s">
        <v>278</v>
      </c>
      <c r="AA113" s="61">
        <v>0.72</v>
      </c>
      <c r="AB113" s="71">
        <v>53130</v>
      </c>
      <c r="AC113" s="75" t="s">
        <v>1065</v>
      </c>
      <c r="AD113" s="53" t="str">
        <f t="shared" si="68"/>
        <v>Link</v>
      </c>
      <c r="AE113" s="54">
        <v>5150</v>
      </c>
      <c r="AF113" s="54">
        <v>176</v>
      </c>
      <c r="AG113" s="55"/>
      <c r="AH113" s="56">
        <v>129525</v>
      </c>
      <c r="AI113" s="56"/>
      <c r="AJ113" s="56"/>
    </row>
    <row r="114" spans="1:36" ht="15" x14ac:dyDescent="0.2">
      <c r="A114" s="43" t="s">
        <v>1488</v>
      </c>
      <c r="B114" s="33" t="s">
        <v>1634</v>
      </c>
      <c r="C114" s="7" t="s">
        <v>67</v>
      </c>
      <c r="D114" s="7" t="s">
        <v>1636</v>
      </c>
      <c r="E114" s="44">
        <v>5</v>
      </c>
      <c r="F114" s="7"/>
      <c r="G114" s="7"/>
      <c r="H114" s="2" t="s">
        <v>1637</v>
      </c>
      <c r="I114" s="7" t="s">
        <v>754</v>
      </c>
      <c r="J114" s="7" t="s">
        <v>1639</v>
      </c>
      <c r="K114" s="7" t="s">
        <v>48</v>
      </c>
      <c r="L114" s="7" t="s">
        <v>1641</v>
      </c>
      <c r="M114" s="7" t="s">
        <v>1642</v>
      </c>
      <c r="N114" s="45" t="str">
        <f t="shared" ref="N114:N115" si="69">HYPERLINK("twitter.com/maine_softball","@maine_softball")</f>
        <v>@maine_softball</v>
      </c>
      <c r="O114" s="74" t="str">
        <f t="shared" ref="O114:O115" si="70">HYPERLINK("https://questionnaires.armssoftware.com/2d28c4209126","Questionnaire")</f>
        <v>Questionnaire</v>
      </c>
      <c r="P114" s="7" t="s">
        <v>1646</v>
      </c>
      <c r="Q114" s="47" t="s">
        <v>1634</v>
      </c>
      <c r="R114" s="49" t="s">
        <v>1647</v>
      </c>
      <c r="S114" s="48" t="s">
        <v>172</v>
      </c>
      <c r="T114" s="49" t="s">
        <v>74</v>
      </c>
      <c r="U114" s="49" t="s">
        <v>75</v>
      </c>
      <c r="V114" s="48"/>
      <c r="W114" s="50">
        <v>3.23</v>
      </c>
      <c r="X114" s="7" t="s">
        <v>1648</v>
      </c>
      <c r="Y114" s="49" t="s">
        <v>1649</v>
      </c>
      <c r="Z114" s="49" t="s">
        <v>1650</v>
      </c>
      <c r="AA114" s="61">
        <v>0.9</v>
      </c>
      <c r="AB114" s="48" t="s">
        <v>1651</v>
      </c>
      <c r="AC114" s="75" t="s">
        <v>1646</v>
      </c>
      <c r="AD114" s="53" t="str">
        <f t="shared" ref="AD114:AD115" si="71">HYPERLINK("https://umaine.edu/find-a-major/","Link")</f>
        <v>Link</v>
      </c>
      <c r="AE114" s="54">
        <v>9323</v>
      </c>
      <c r="AF114" s="54">
        <v>181</v>
      </c>
      <c r="AG114" s="55"/>
      <c r="AH114" s="56">
        <v>161253</v>
      </c>
      <c r="AI114" s="56"/>
      <c r="AJ114" s="56"/>
    </row>
    <row r="115" spans="1:36" ht="15" x14ac:dyDescent="0.2">
      <c r="A115" s="43" t="s">
        <v>1488</v>
      </c>
      <c r="B115" s="33" t="s">
        <v>1634</v>
      </c>
      <c r="C115" s="7" t="s">
        <v>67</v>
      </c>
      <c r="D115" s="7" t="s">
        <v>1655</v>
      </c>
      <c r="E115" s="44">
        <v>5</v>
      </c>
      <c r="F115" s="7"/>
      <c r="G115" s="7"/>
      <c r="H115" s="2" t="s">
        <v>1637</v>
      </c>
      <c r="I115" s="7" t="s">
        <v>93</v>
      </c>
      <c r="J115" s="7" t="s">
        <v>1656</v>
      </c>
      <c r="K115" s="7" t="s">
        <v>919</v>
      </c>
      <c r="L115" s="7" t="s">
        <v>1657</v>
      </c>
      <c r="M115" s="7" t="s">
        <v>1658</v>
      </c>
      <c r="N115" s="45" t="str">
        <f t="shared" si="69"/>
        <v>@maine_softball</v>
      </c>
      <c r="O115" s="74" t="str">
        <f t="shared" si="70"/>
        <v>Questionnaire</v>
      </c>
      <c r="P115" s="7" t="s">
        <v>1646</v>
      </c>
      <c r="Q115" s="47" t="s">
        <v>1634</v>
      </c>
      <c r="R115" s="49" t="s">
        <v>1647</v>
      </c>
      <c r="S115" s="48" t="s">
        <v>172</v>
      </c>
      <c r="T115" s="49" t="s">
        <v>74</v>
      </c>
      <c r="U115" s="49" t="s">
        <v>75</v>
      </c>
      <c r="V115" s="48"/>
      <c r="W115" s="50">
        <v>3.23</v>
      </c>
      <c r="X115" s="7" t="s">
        <v>1648</v>
      </c>
      <c r="Y115" s="49" t="s">
        <v>1649</v>
      </c>
      <c r="Z115" s="49" t="s">
        <v>1650</v>
      </c>
      <c r="AA115" s="61">
        <v>0.9</v>
      </c>
      <c r="AB115" s="48" t="s">
        <v>1651</v>
      </c>
      <c r="AC115" s="75" t="s">
        <v>1646</v>
      </c>
      <c r="AD115" s="53" t="str">
        <f t="shared" si="71"/>
        <v>Link</v>
      </c>
      <c r="AE115" s="54">
        <v>9323</v>
      </c>
      <c r="AF115" s="54">
        <v>181</v>
      </c>
      <c r="AG115" s="55"/>
      <c r="AH115" s="56">
        <v>161253</v>
      </c>
      <c r="AI115" s="56"/>
      <c r="AJ115" s="56"/>
    </row>
    <row r="116" spans="1:36" ht="15" x14ac:dyDescent="0.2">
      <c r="A116" s="43" t="s">
        <v>1488</v>
      </c>
      <c r="B116" s="33" t="s">
        <v>1668</v>
      </c>
      <c r="C116" s="7" t="s">
        <v>67</v>
      </c>
      <c r="D116" s="7" t="s">
        <v>1669</v>
      </c>
      <c r="E116" s="44">
        <v>5</v>
      </c>
      <c r="F116" s="7"/>
      <c r="G116" s="7"/>
      <c r="H116" s="2" t="s">
        <v>1673</v>
      </c>
      <c r="I116" s="7" t="s">
        <v>1492</v>
      </c>
      <c r="J116" s="7" t="s">
        <v>1675</v>
      </c>
      <c r="K116" s="7" t="s">
        <v>48</v>
      </c>
      <c r="L116" s="7" t="s">
        <v>1677</v>
      </c>
      <c r="M116" s="7" t="s">
        <v>1678</v>
      </c>
      <c r="N116" s="74" t="str">
        <f t="shared" ref="N116:N118" si="72">HYPERLINK("twitter.com/umbcsoftball","@umbcsoftball")</f>
        <v>@umbcsoftball</v>
      </c>
      <c r="O116" s="74" t="str">
        <f t="shared" ref="O116:O118" si="73">HYPERLINK("https://www.umbcretrievers.com/sports/sball/2016-17/files/UMBC_Recruit_Questionnaire.pdf","Questionnaire")</f>
        <v>Questionnaire</v>
      </c>
      <c r="P116" s="7" t="s">
        <v>1679</v>
      </c>
      <c r="Q116" s="60" t="s">
        <v>1668</v>
      </c>
      <c r="R116" s="49" t="s">
        <v>1681</v>
      </c>
      <c r="S116" s="48" t="s">
        <v>354</v>
      </c>
      <c r="T116" s="49" t="s">
        <v>74</v>
      </c>
      <c r="U116" s="49" t="s">
        <v>75</v>
      </c>
      <c r="V116" s="48"/>
      <c r="W116" s="50">
        <v>3.75</v>
      </c>
      <c r="X116" s="7" t="s">
        <v>176</v>
      </c>
      <c r="Y116" s="49" t="s">
        <v>1685</v>
      </c>
      <c r="Z116" s="49" t="s">
        <v>1408</v>
      </c>
      <c r="AA116" s="61">
        <v>0.56999999999999995</v>
      </c>
      <c r="AB116" s="48" t="s">
        <v>1686</v>
      </c>
      <c r="AC116" s="77" t="s">
        <v>1679</v>
      </c>
      <c r="AD116" s="53" t="str">
        <f t="shared" ref="AD116:AD118" si="74">HYPERLINK("https://degrees.umbc.edu/","Link")</f>
        <v>Link</v>
      </c>
      <c r="AE116" s="54">
        <v>11142</v>
      </c>
      <c r="AF116" s="54">
        <v>159</v>
      </c>
      <c r="AG116" s="55"/>
      <c r="AH116" s="56">
        <v>163268</v>
      </c>
      <c r="AI116" s="56"/>
      <c r="AJ116" s="56"/>
    </row>
    <row r="117" spans="1:36" ht="15" x14ac:dyDescent="0.2">
      <c r="A117" s="43" t="s">
        <v>1488</v>
      </c>
      <c r="B117" s="33" t="s">
        <v>1668</v>
      </c>
      <c r="C117" s="7" t="s">
        <v>67</v>
      </c>
      <c r="D117" s="7" t="s">
        <v>1700</v>
      </c>
      <c r="E117" s="44">
        <v>5</v>
      </c>
      <c r="F117" s="7"/>
      <c r="G117" s="7"/>
      <c r="H117" s="2" t="s">
        <v>1673</v>
      </c>
      <c r="I117" s="7" t="s">
        <v>1701</v>
      </c>
      <c r="J117" s="7" t="s">
        <v>1702</v>
      </c>
      <c r="K117" s="7" t="s">
        <v>55</v>
      </c>
      <c r="L117" s="7" t="s">
        <v>1703</v>
      </c>
      <c r="M117" s="7" t="s">
        <v>1704</v>
      </c>
      <c r="N117" s="74" t="str">
        <f t="shared" si="72"/>
        <v>@umbcsoftball</v>
      </c>
      <c r="O117" s="74" t="str">
        <f t="shared" si="73"/>
        <v>Questionnaire</v>
      </c>
      <c r="P117" s="7" t="s">
        <v>1679</v>
      </c>
      <c r="Q117" s="60" t="s">
        <v>1668</v>
      </c>
      <c r="R117" s="49" t="s">
        <v>1681</v>
      </c>
      <c r="S117" s="48" t="s">
        <v>354</v>
      </c>
      <c r="T117" s="49" t="s">
        <v>74</v>
      </c>
      <c r="U117" s="49" t="s">
        <v>75</v>
      </c>
      <c r="V117" s="48"/>
      <c r="W117" s="50">
        <v>3.75</v>
      </c>
      <c r="X117" s="7" t="s">
        <v>176</v>
      </c>
      <c r="Y117" s="49" t="s">
        <v>1685</v>
      </c>
      <c r="Z117" s="49" t="s">
        <v>1408</v>
      </c>
      <c r="AA117" s="61">
        <v>0.56999999999999995</v>
      </c>
      <c r="AB117" s="48" t="s">
        <v>1686</v>
      </c>
      <c r="AC117" s="77" t="s">
        <v>1679</v>
      </c>
      <c r="AD117" s="53" t="str">
        <f t="shared" si="74"/>
        <v>Link</v>
      </c>
      <c r="AE117" s="54">
        <v>11142</v>
      </c>
      <c r="AF117" s="54">
        <v>159</v>
      </c>
      <c r="AG117" s="55"/>
      <c r="AH117" s="56">
        <v>163268</v>
      </c>
      <c r="AI117" s="56"/>
      <c r="AJ117" s="56"/>
    </row>
    <row r="118" spans="1:36" ht="15" x14ac:dyDescent="0.2">
      <c r="A118" s="43" t="s">
        <v>1488</v>
      </c>
      <c r="B118" s="33" t="s">
        <v>1668</v>
      </c>
      <c r="C118" s="7" t="s">
        <v>67</v>
      </c>
      <c r="D118" s="7" t="s">
        <v>1716</v>
      </c>
      <c r="E118" s="44">
        <v>5</v>
      </c>
      <c r="F118" s="7"/>
      <c r="G118" s="7"/>
      <c r="H118" s="2" t="s">
        <v>1673</v>
      </c>
      <c r="I118" s="7" t="s">
        <v>1717</v>
      </c>
      <c r="J118" s="7" t="s">
        <v>1718</v>
      </c>
      <c r="K118" s="7" t="s">
        <v>55</v>
      </c>
      <c r="L118" s="7" t="s">
        <v>1719</v>
      </c>
      <c r="M118" s="7" t="s">
        <v>1678</v>
      </c>
      <c r="N118" s="74" t="str">
        <f t="shared" si="72"/>
        <v>@umbcsoftball</v>
      </c>
      <c r="O118" s="74" t="str">
        <f t="shared" si="73"/>
        <v>Questionnaire</v>
      </c>
      <c r="P118" s="7" t="s">
        <v>1679</v>
      </c>
      <c r="Q118" s="60" t="s">
        <v>1668</v>
      </c>
      <c r="R118" s="49" t="s">
        <v>1681</v>
      </c>
      <c r="S118" s="48" t="s">
        <v>354</v>
      </c>
      <c r="T118" s="49" t="s">
        <v>74</v>
      </c>
      <c r="U118" s="49" t="s">
        <v>75</v>
      </c>
      <c r="V118" s="48"/>
      <c r="W118" s="50">
        <v>3.75</v>
      </c>
      <c r="X118" s="7" t="s">
        <v>176</v>
      </c>
      <c r="Y118" s="49" t="s">
        <v>1685</v>
      </c>
      <c r="Z118" s="49" t="s">
        <v>1408</v>
      </c>
      <c r="AA118" s="61">
        <v>0.56999999999999995</v>
      </c>
      <c r="AB118" s="48" t="s">
        <v>1686</v>
      </c>
      <c r="AC118" s="77" t="s">
        <v>1679</v>
      </c>
      <c r="AD118" s="53" t="str">
        <f t="shared" si="74"/>
        <v>Link</v>
      </c>
      <c r="AE118" s="54">
        <v>11142</v>
      </c>
      <c r="AF118" s="54">
        <v>159</v>
      </c>
      <c r="AG118" s="55"/>
      <c r="AH118" s="56">
        <v>163268</v>
      </c>
      <c r="AI118" s="56"/>
      <c r="AJ118" s="56"/>
    </row>
    <row r="119" spans="1:36" ht="15" x14ac:dyDescent="0.2">
      <c r="A119" s="43" t="s">
        <v>1488</v>
      </c>
      <c r="B119" s="33" t="s">
        <v>595</v>
      </c>
      <c r="C119" s="7" t="s">
        <v>67</v>
      </c>
      <c r="D119" s="7" t="s">
        <v>1724</v>
      </c>
      <c r="E119" s="44">
        <v>5</v>
      </c>
      <c r="F119" s="7"/>
      <c r="G119" s="7"/>
      <c r="H119" s="2" t="s">
        <v>1725</v>
      </c>
      <c r="I119" s="7" t="s">
        <v>1726</v>
      </c>
      <c r="J119" s="7" t="s">
        <v>1727</v>
      </c>
      <c r="K119" s="7" t="s">
        <v>48</v>
      </c>
      <c r="L119" s="7" t="s">
        <v>1728</v>
      </c>
      <c r="M119" s="7" t="s">
        <v>1729</v>
      </c>
      <c r="N119" s="45" t="str">
        <f t="shared" ref="N119:N121" si="75">HYPERLINK("twitter.com/RiverhawkSB","@RiverhawkSB")</f>
        <v>@RiverhawkSB</v>
      </c>
      <c r="O119" s="74" t="str">
        <f t="shared" ref="O119:O121" si="76">HYPERLINK("https://goriverhawks.com/sports/2014/7/25/general_0725144713.aspx","Questionnaire")</f>
        <v>Questionnaire</v>
      </c>
      <c r="P119" s="7" t="s">
        <v>1737</v>
      </c>
      <c r="Q119" s="47" t="s">
        <v>595</v>
      </c>
      <c r="R119" s="49" t="s">
        <v>1738</v>
      </c>
      <c r="S119" s="48" t="s">
        <v>238</v>
      </c>
      <c r="T119" s="49" t="s">
        <v>74</v>
      </c>
      <c r="U119" s="49" t="s">
        <v>75</v>
      </c>
      <c r="V119" s="48"/>
      <c r="W119" s="50">
        <v>3.58</v>
      </c>
      <c r="X119" s="7" t="s">
        <v>1230</v>
      </c>
      <c r="Y119" s="49" t="s">
        <v>835</v>
      </c>
      <c r="Z119" s="49" t="s">
        <v>1408</v>
      </c>
      <c r="AA119" s="61">
        <v>0.61</v>
      </c>
      <c r="AB119" s="48" t="s">
        <v>1739</v>
      </c>
      <c r="AC119" s="75" t="s">
        <v>1737</v>
      </c>
      <c r="AD119" s="53" t="str">
        <f t="shared" ref="AD119:AD121" si="77">HYPERLINK("https://www.uml.edu/Academics/undergraduate-programs/","Link")</f>
        <v>Link</v>
      </c>
      <c r="AE119" s="54">
        <v>13637</v>
      </c>
      <c r="AF119" s="54">
        <v>156</v>
      </c>
      <c r="AG119" s="55"/>
      <c r="AH119" s="56">
        <v>166513</v>
      </c>
      <c r="AI119" s="56"/>
      <c r="AJ119" s="56"/>
    </row>
    <row r="120" spans="1:36" ht="15" x14ac:dyDescent="0.2">
      <c r="A120" s="43" t="s">
        <v>1488</v>
      </c>
      <c r="B120" s="33" t="s">
        <v>595</v>
      </c>
      <c r="C120" s="7" t="s">
        <v>67</v>
      </c>
      <c r="D120" s="7" t="s">
        <v>1745</v>
      </c>
      <c r="E120" s="44">
        <v>5</v>
      </c>
      <c r="F120" s="7"/>
      <c r="G120" s="7"/>
      <c r="H120" s="2" t="s">
        <v>1725</v>
      </c>
      <c r="I120" s="7" t="s">
        <v>1746</v>
      </c>
      <c r="J120" s="7" t="s">
        <v>1747</v>
      </c>
      <c r="K120" s="7" t="s">
        <v>55</v>
      </c>
      <c r="L120" s="7" t="s">
        <v>1748</v>
      </c>
      <c r="M120" s="7" t="s">
        <v>1749</v>
      </c>
      <c r="N120" s="69" t="str">
        <f t="shared" si="75"/>
        <v>@RiverhawkSB</v>
      </c>
      <c r="O120" s="74" t="str">
        <f t="shared" si="76"/>
        <v>Questionnaire</v>
      </c>
      <c r="P120" s="7" t="s">
        <v>1737</v>
      </c>
      <c r="Q120" s="47" t="s">
        <v>595</v>
      </c>
      <c r="R120" s="49" t="s">
        <v>1738</v>
      </c>
      <c r="S120" s="48" t="s">
        <v>238</v>
      </c>
      <c r="T120" s="49" t="s">
        <v>74</v>
      </c>
      <c r="U120" s="49" t="s">
        <v>75</v>
      </c>
      <c r="V120" s="48"/>
      <c r="W120" s="50">
        <v>3.58</v>
      </c>
      <c r="X120" s="7" t="s">
        <v>1230</v>
      </c>
      <c r="Y120" s="49" t="s">
        <v>835</v>
      </c>
      <c r="Z120" s="49" t="s">
        <v>1408</v>
      </c>
      <c r="AA120" s="61">
        <v>0.61</v>
      </c>
      <c r="AB120" s="48" t="s">
        <v>1739</v>
      </c>
      <c r="AC120" s="75" t="s">
        <v>1737</v>
      </c>
      <c r="AD120" s="53" t="str">
        <f t="shared" si="77"/>
        <v>Link</v>
      </c>
      <c r="AE120" s="54">
        <v>13637</v>
      </c>
      <c r="AF120" s="54">
        <v>156</v>
      </c>
      <c r="AG120" s="55"/>
      <c r="AH120" s="56">
        <v>166513</v>
      </c>
      <c r="AI120" s="56"/>
      <c r="AJ120" s="56"/>
    </row>
    <row r="121" spans="1:36" ht="15" x14ac:dyDescent="0.2">
      <c r="A121" s="43" t="s">
        <v>1488</v>
      </c>
      <c r="B121" s="33" t="s">
        <v>595</v>
      </c>
      <c r="C121" s="7" t="s">
        <v>67</v>
      </c>
      <c r="D121" s="7" t="s">
        <v>1754</v>
      </c>
      <c r="E121" s="44">
        <v>5</v>
      </c>
      <c r="F121" s="7"/>
      <c r="G121" s="7"/>
      <c r="H121" s="2" t="s">
        <v>1725</v>
      </c>
      <c r="I121" s="7" t="s">
        <v>1124</v>
      </c>
      <c r="J121" s="7" t="s">
        <v>1755</v>
      </c>
      <c r="K121" s="7" t="s">
        <v>55</v>
      </c>
      <c r="L121" s="7" t="s">
        <v>1756</v>
      </c>
      <c r="M121" s="7" t="s">
        <v>1757</v>
      </c>
      <c r="N121" s="45" t="str">
        <f t="shared" si="75"/>
        <v>@RiverhawkSB</v>
      </c>
      <c r="O121" s="74" t="str">
        <f t="shared" si="76"/>
        <v>Questionnaire</v>
      </c>
      <c r="P121" s="7" t="s">
        <v>1737</v>
      </c>
      <c r="Q121" s="47" t="s">
        <v>595</v>
      </c>
      <c r="R121" s="49" t="s">
        <v>1738</v>
      </c>
      <c r="S121" s="48" t="s">
        <v>238</v>
      </c>
      <c r="T121" s="49" t="s">
        <v>74</v>
      </c>
      <c r="U121" s="49" t="s">
        <v>75</v>
      </c>
      <c r="V121" s="48"/>
      <c r="W121" s="50">
        <v>3.58</v>
      </c>
      <c r="X121" s="7" t="s">
        <v>1230</v>
      </c>
      <c r="Y121" s="49" t="s">
        <v>835</v>
      </c>
      <c r="Z121" s="49" t="s">
        <v>1408</v>
      </c>
      <c r="AA121" s="61">
        <v>0.61</v>
      </c>
      <c r="AB121" s="48" t="s">
        <v>1739</v>
      </c>
      <c r="AC121" s="75" t="s">
        <v>1737</v>
      </c>
      <c r="AD121" s="53" t="str">
        <f t="shared" si="77"/>
        <v>Link</v>
      </c>
      <c r="AE121" s="54">
        <v>13637</v>
      </c>
      <c r="AF121" s="54">
        <v>156</v>
      </c>
      <c r="AG121" s="55"/>
      <c r="AH121" s="56">
        <v>166513</v>
      </c>
      <c r="AI121" s="56"/>
      <c r="AJ121" s="56"/>
    </row>
    <row r="122" spans="1:36" ht="15" x14ac:dyDescent="0.2">
      <c r="A122" s="43" t="s">
        <v>1488</v>
      </c>
      <c r="B122" s="33" t="s">
        <v>1304</v>
      </c>
      <c r="C122" s="7" t="s">
        <v>67</v>
      </c>
      <c r="D122" s="7" t="s">
        <v>1770</v>
      </c>
      <c r="E122" s="44">
        <v>5</v>
      </c>
      <c r="F122" s="7"/>
      <c r="G122" s="7"/>
      <c r="H122" s="2" t="s">
        <v>1771</v>
      </c>
      <c r="I122" s="7" t="s">
        <v>1772</v>
      </c>
      <c r="J122" s="7" t="s">
        <v>1773</v>
      </c>
      <c r="K122" s="7" t="s">
        <v>55</v>
      </c>
      <c r="L122" s="7" t="s">
        <v>1774</v>
      </c>
      <c r="M122" s="7" t="s">
        <v>1775</v>
      </c>
      <c r="N122" s="7"/>
      <c r="O122" s="7"/>
      <c r="P122" s="7" t="s">
        <v>1776</v>
      </c>
      <c r="Q122" s="47" t="s">
        <v>1304</v>
      </c>
      <c r="R122" s="49" t="s">
        <v>1776</v>
      </c>
      <c r="S122" s="48" t="s">
        <v>172</v>
      </c>
      <c r="T122" s="49" t="s">
        <v>74</v>
      </c>
      <c r="U122" s="49" t="s">
        <v>75</v>
      </c>
      <c r="V122" s="48"/>
      <c r="W122" s="50">
        <v>3.81</v>
      </c>
      <c r="X122" s="7" t="s">
        <v>1777</v>
      </c>
      <c r="Y122" s="49" t="s">
        <v>1778</v>
      </c>
      <c r="Z122" s="49" t="s">
        <v>179</v>
      </c>
      <c r="AA122" s="61">
        <v>0.41</v>
      </c>
      <c r="AB122" s="48" t="s">
        <v>1779</v>
      </c>
      <c r="AC122" s="75" t="s">
        <v>1776</v>
      </c>
      <c r="AD122" s="53" t="str">
        <f t="shared" ref="AD122:AD124" si="78">HYPERLINK("http://www.stonybrook.edu/undergraduate-admissions/academics/","Link")</f>
        <v>Link</v>
      </c>
      <c r="AE122" s="54">
        <v>17026</v>
      </c>
      <c r="AF122" s="54">
        <v>97</v>
      </c>
      <c r="AG122" s="55"/>
      <c r="AH122" s="56">
        <v>196097</v>
      </c>
      <c r="AI122" s="56"/>
      <c r="AJ122" s="56"/>
    </row>
    <row r="123" spans="1:36" ht="15" x14ac:dyDescent="0.2">
      <c r="A123" s="43" t="s">
        <v>1488</v>
      </c>
      <c r="B123" s="33" t="s">
        <v>1304</v>
      </c>
      <c r="C123" s="7" t="s">
        <v>67</v>
      </c>
      <c r="D123" s="7" t="s">
        <v>1786</v>
      </c>
      <c r="E123" s="44">
        <v>5</v>
      </c>
      <c r="F123" s="7"/>
      <c r="G123" s="7"/>
      <c r="H123" s="2" t="s">
        <v>1771</v>
      </c>
      <c r="I123" s="7" t="s">
        <v>306</v>
      </c>
      <c r="J123" s="7" t="s">
        <v>1787</v>
      </c>
      <c r="K123" s="7" t="s">
        <v>48</v>
      </c>
      <c r="L123" s="7" t="s">
        <v>1788</v>
      </c>
      <c r="M123" s="7" t="s">
        <v>1789</v>
      </c>
      <c r="N123" s="45" t="str">
        <f t="shared" ref="N123:N124" si="79">HYPERLINK("twitter.com/StonyBrookSB","@StonyBrookSB")</f>
        <v>@StonyBrookSB</v>
      </c>
      <c r="O123" s="74" t="str">
        <f t="shared" ref="O123:O124" si="80">HYPERLINK("https://stonybrookathletics.com/documents/2018/7/9/Prospective_Student_Athlete_Questionnaire.docx","Questionnaire")</f>
        <v>Questionnaire</v>
      </c>
      <c r="P123" s="7" t="s">
        <v>1776</v>
      </c>
      <c r="Q123" s="47" t="s">
        <v>1304</v>
      </c>
      <c r="R123" s="49" t="s">
        <v>1776</v>
      </c>
      <c r="S123" s="48" t="s">
        <v>172</v>
      </c>
      <c r="T123" s="49" t="s">
        <v>74</v>
      </c>
      <c r="U123" s="49" t="s">
        <v>75</v>
      </c>
      <c r="V123" s="48"/>
      <c r="W123" s="50">
        <v>3.81</v>
      </c>
      <c r="X123" s="7" t="s">
        <v>1777</v>
      </c>
      <c r="Y123" s="49" t="s">
        <v>1778</v>
      </c>
      <c r="Z123" s="49" t="s">
        <v>179</v>
      </c>
      <c r="AA123" s="61">
        <v>0.41</v>
      </c>
      <c r="AB123" s="48" t="s">
        <v>1779</v>
      </c>
      <c r="AC123" s="75" t="s">
        <v>1776</v>
      </c>
      <c r="AD123" s="53" t="str">
        <f t="shared" si="78"/>
        <v>Link</v>
      </c>
      <c r="AE123" s="54">
        <v>17026</v>
      </c>
      <c r="AF123" s="54">
        <v>97</v>
      </c>
      <c r="AG123" s="55"/>
      <c r="AH123" s="56">
        <v>196097</v>
      </c>
      <c r="AI123" s="56"/>
      <c r="AJ123" s="56"/>
    </row>
    <row r="124" spans="1:36" ht="15" x14ac:dyDescent="0.2">
      <c r="A124" s="43" t="s">
        <v>1488</v>
      </c>
      <c r="B124" s="33" t="s">
        <v>1304</v>
      </c>
      <c r="C124" s="7" t="s">
        <v>67</v>
      </c>
      <c r="D124" s="7" t="s">
        <v>1802</v>
      </c>
      <c r="E124" s="44">
        <v>5</v>
      </c>
      <c r="F124" s="7"/>
      <c r="G124" s="7"/>
      <c r="H124" s="2" t="s">
        <v>1771</v>
      </c>
      <c r="I124" s="7" t="s">
        <v>1803</v>
      </c>
      <c r="J124" s="7" t="s">
        <v>1804</v>
      </c>
      <c r="K124" s="7" t="s">
        <v>55</v>
      </c>
      <c r="L124" s="7" t="s">
        <v>1805</v>
      </c>
      <c r="M124" s="7" t="s">
        <v>1806</v>
      </c>
      <c r="N124" s="45" t="str">
        <f t="shared" si="79"/>
        <v>@StonyBrookSB</v>
      </c>
      <c r="O124" s="74" t="str">
        <f t="shared" si="80"/>
        <v>Questionnaire</v>
      </c>
      <c r="P124" s="7" t="s">
        <v>1776</v>
      </c>
      <c r="Q124" s="47" t="s">
        <v>1304</v>
      </c>
      <c r="R124" s="49" t="s">
        <v>1776</v>
      </c>
      <c r="S124" s="48" t="s">
        <v>172</v>
      </c>
      <c r="T124" s="49" t="s">
        <v>74</v>
      </c>
      <c r="U124" s="49" t="s">
        <v>75</v>
      </c>
      <c r="V124" s="48"/>
      <c r="W124" s="50">
        <v>3.81</v>
      </c>
      <c r="X124" s="7" t="s">
        <v>1777</v>
      </c>
      <c r="Y124" s="49" t="s">
        <v>1778</v>
      </c>
      <c r="Z124" s="49" t="s">
        <v>179</v>
      </c>
      <c r="AA124" s="61">
        <v>0.41</v>
      </c>
      <c r="AB124" s="48" t="s">
        <v>1779</v>
      </c>
      <c r="AC124" s="75" t="s">
        <v>1776</v>
      </c>
      <c r="AD124" s="53" t="str">
        <f t="shared" si="78"/>
        <v>Link</v>
      </c>
      <c r="AE124" s="54">
        <v>17026</v>
      </c>
      <c r="AF124" s="54">
        <v>97</v>
      </c>
      <c r="AG124" s="55"/>
      <c r="AH124" s="56">
        <v>196097</v>
      </c>
      <c r="AI124" s="56"/>
      <c r="AJ124" s="56"/>
    </row>
    <row r="125" spans="1:36" ht="15" x14ac:dyDescent="0.2">
      <c r="A125" s="43" t="s">
        <v>1813</v>
      </c>
      <c r="B125" s="33" t="s">
        <v>1814</v>
      </c>
      <c r="C125" s="7" t="s">
        <v>67</v>
      </c>
      <c r="D125" s="7" t="s">
        <v>1815</v>
      </c>
      <c r="E125" s="44">
        <v>5</v>
      </c>
      <c r="F125" s="7"/>
      <c r="G125" s="7"/>
      <c r="H125" s="2" t="s">
        <v>1816</v>
      </c>
      <c r="I125" s="7" t="s">
        <v>1817</v>
      </c>
      <c r="J125" s="7" t="s">
        <v>1818</v>
      </c>
      <c r="K125" s="7" t="s">
        <v>48</v>
      </c>
      <c r="L125" s="7" t="s">
        <v>1819</v>
      </c>
      <c r="M125" s="7" t="s">
        <v>1821</v>
      </c>
      <c r="N125" s="45" t="str">
        <f t="shared" ref="N125:N128" si="81">HYPERLINK("twitter.com/FlyerSoftball","@FlyerSoftball")</f>
        <v>@FlyerSoftball</v>
      </c>
      <c r="O125" s="74" t="str">
        <f t="shared" ref="O125:O128" si="82">HYPERLINK("https://daytonflyers.com/sb_output.aspx?form=3","Questionnaire")</f>
        <v>Questionnaire</v>
      </c>
      <c r="P125" s="7" t="s">
        <v>1832</v>
      </c>
      <c r="Q125" s="57" t="s">
        <v>1814</v>
      </c>
      <c r="R125" s="7" t="s">
        <v>1832</v>
      </c>
      <c r="S125" s="48" t="s">
        <v>238</v>
      </c>
      <c r="T125" s="49" t="s">
        <v>63</v>
      </c>
      <c r="U125" s="7" t="s">
        <v>343</v>
      </c>
      <c r="V125" s="7"/>
      <c r="W125" s="50">
        <v>3.64</v>
      </c>
      <c r="X125" s="7" t="s">
        <v>76</v>
      </c>
      <c r="Y125" s="7" t="s">
        <v>1229</v>
      </c>
      <c r="Z125" s="7" t="s">
        <v>1408</v>
      </c>
      <c r="AA125" s="61">
        <v>0.6</v>
      </c>
      <c r="AB125" s="71">
        <v>56370</v>
      </c>
      <c r="AC125" s="78" t="s">
        <v>1832</v>
      </c>
      <c r="AD125" s="74" t="str">
        <f t="shared" ref="AD125:AD128" si="83">HYPERLINK("https://udayton.edu/academics/programs.php","Link")</f>
        <v>Link</v>
      </c>
      <c r="AE125" s="54">
        <v>8330</v>
      </c>
      <c r="AF125" s="54">
        <v>124</v>
      </c>
      <c r="AG125" s="7"/>
      <c r="AH125" s="56">
        <v>202480</v>
      </c>
      <c r="AI125" s="7"/>
      <c r="AJ125" s="7"/>
    </row>
    <row r="126" spans="1:36" ht="15" x14ac:dyDescent="0.2">
      <c r="A126" s="43" t="s">
        <v>1813</v>
      </c>
      <c r="B126" s="33" t="s">
        <v>1814</v>
      </c>
      <c r="C126" s="7" t="s">
        <v>67</v>
      </c>
      <c r="D126" s="7" t="s">
        <v>1847</v>
      </c>
      <c r="E126" s="44">
        <v>5</v>
      </c>
      <c r="F126" s="7"/>
      <c r="G126" s="7"/>
      <c r="H126" s="2" t="s">
        <v>1816</v>
      </c>
      <c r="I126" s="7" t="s">
        <v>1848</v>
      </c>
      <c r="J126" s="7" t="s">
        <v>1849</v>
      </c>
      <c r="K126" s="7" t="s">
        <v>55</v>
      </c>
      <c r="L126" s="7" t="s">
        <v>1850</v>
      </c>
      <c r="M126" s="7" t="s">
        <v>1852</v>
      </c>
      <c r="N126" s="45" t="str">
        <f t="shared" si="81"/>
        <v>@FlyerSoftball</v>
      </c>
      <c r="O126" s="74" t="str">
        <f t="shared" si="82"/>
        <v>Questionnaire</v>
      </c>
      <c r="P126" s="7" t="s">
        <v>1832</v>
      </c>
      <c r="Q126" s="57" t="s">
        <v>1814</v>
      </c>
      <c r="R126" s="7" t="s">
        <v>1832</v>
      </c>
      <c r="S126" s="48" t="s">
        <v>238</v>
      </c>
      <c r="T126" s="49" t="s">
        <v>63</v>
      </c>
      <c r="U126" s="7" t="s">
        <v>343</v>
      </c>
      <c r="V126" s="7"/>
      <c r="W126" s="50">
        <v>3.64</v>
      </c>
      <c r="X126" s="7" t="s">
        <v>76</v>
      </c>
      <c r="Y126" s="7" t="s">
        <v>1229</v>
      </c>
      <c r="Z126" s="7" t="s">
        <v>1408</v>
      </c>
      <c r="AA126" s="61">
        <v>0.6</v>
      </c>
      <c r="AB126" s="71">
        <v>56370</v>
      </c>
      <c r="AC126" s="78" t="s">
        <v>1832</v>
      </c>
      <c r="AD126" s="74" t="str">
        <f t="shared" si="83"/>
        <v>Link</v>
      </c>
      <c r="AE126" s="54">
        <v>8330</v>
      </c>
      <c r="AF126" s="54">
        <v>124</v>
      </c>
      <c r="AG126" s="7"/>
      <c r="AH126" s="56">
        <v>202480</v>
      </c>
      <c r="AI126" s="7"/>
      <c r="AJ126" s="7"/>
    </row>
    <row r="127" spans="1:36" ht="15" x14ac:dyDescent="0.2">
      <c r="A127" s="43" t="s">
        <v>1813</v>
      </c>
      <c r="B127" s="33" t="s">
        <v>1814</v>
      </c>
      <c r="C127" s="7" t="s">
        <v>67</v>
      </c>
      <c r="D127" s="7" t="s">
        <v>1861</v>
      </c>
      <c r="E127" s="44">
        <v>5</v>
      </c>
      <c r="F127" s="7"/>
      <c r="G127" s="7"/>
      <c r="H127" s="2" t="s">
        <v>1816</v>
      </c>
      <c r="I127" s="7" t="s">
        <v>1862</v>
      </c>
      <c r="J127" s="7" t="s">
        <v>1864</v>
      </c>
      <c r="K127" s="7" t="s">
        <v>55</v>
      </c>
      <c r="L127" s="7" t="s">
        <v>1866</v>
      </c>
      <c r="M127" s="7" t="s">
        <v>1852</v>
      </c>
      <c r="N127" s="45" t="str">
        <f t="shared" si="81"/>
        <v>@FlyerSoftball</v>
      </c>
      <c r="O127" s="74" t="str">
        <f t="shared" si="82"/>
        <v>Questionnaire</v>
      </c>
      <c r="P127" s="7" t="s">
        <v>1832</v>
      </c>
      <c r="Q127" s="57" t="s">
        <v>1814</v>
      </c>
      <c r="R127" s="7" t="s">
        <v>1832</v>
      </c>
      <c r="S127" s="48" t="s">
        <v>238</v>
      </c>
      <c r="T127" s="49" t="s">
        <v>63</v>
      </c>
      <c r="U127" s="7" t="s">
        <v>343</v>
      </c>
      <c r="V127" s="7"/>
      <c r="W127" s="50">
        <v>3.64</v>
      </c>
      <c r="X127" s="7" t="s">
        <v>76</v>
      </c>
      <c r="Y127" s="7" t="s">
        <v>1229</v>
      </c>
      <c r="Z127" s="7" t="s">
        <v>1408</v>
      </c>
      <c r="AA127" s="61">
        <v>0.6</v>
      </c>
      <c r="AB127" s="71">
        <v>56370</v>
      </c>
      <c r="AC127" s="78" t="s">
        <v>1832</v>
      </c>
      <c r="AD127" s="74" t="str">
        <f t="shared" si="83"/>
        <v>Link</v>
      </c>
      <c r="AE127" s="54">
        <v>8330</v>
      </c>
      <c r="AF127" s="54">
        <v>124</v>
      </c>
      <c r="AG127" s="7"/>
      <c r="AH127" s="56">
        <v>202480</v>
      </c>
      <c r="AI127" s="7"/>
      <c r="AJ127" s="7"/>
    </row>
    <row r="128" spans="1:36" ht="15" x14ac:dyDescent="0.2">
      <c r="A128" s="43" t="s">
        <v>1813</v>
      </c>
      <c r="B128" s="33" t="s">
        <v>1814</v>
      </c>
      <c r="C128" s="7" t="s">
        <v>67</v>
      </c>
      <c r="D128" s="7" t="s">
        <v>1873</v>
      </c>
      <c r="E128" s="44">
        <v>5</v>
      </c>
      <c r="F128" s="7"/>
      <c r="G128" s="7"/>
      <c r="H128" s="2" t="s">
        <v>1816</v>
      </c>
      <c r="I128" s="7" t="s">
        <v>1875</v>
      </c>
      <c r="J128" s="7" t="s">
        <v>1878</v>
      </c>
      <c r="K128" s="7" t="s">
        <v>139</v>
      </c>
      <c r="L128" s="7" t="s">
        <v>1881</v>
      </c>
      <c r="M128" s="7"/>
      <c r="N128" s="45" t="str">
        <f t="shared" si="81"/>
        <v>@FlyerSoftball</v>
      </c>
      <c r="O128" s="74" t="str">
        <f t="shared" si="82"/>
        <v>Questionnaire</v>
      </c>
      <c r="P128" s="7" t="s">
        <v>1832</v>
      </c>
      <c r="Q128" s="57" t="s">
        <v>1814</v>
      </c>
      <c r="R128" s="7" t="s">
        <v>1832</v>
      </c>
      <c r="S128" s="48" t="s">
        <v>238</v>
      </c>
      <c r="T128" s="49" t="s">
        <v>63</v>
      </c>
      <c r="U128" s="7" t="s">
        <v>343</v>
      </c>
      <c r="V128" s="7"/>
      <c r="W128" s="50">
        <v>3.64</v>
      </c>
      <c r="X128" s="7" t="s">
        <v>76</v>
      </c>
      <c r="Y128" s="7" t="s">
        <v>1229</v>
      </c>
      <c r="Z128" s="7" t="s">
        <v>1408</v>
      </c>
      <c r="AA128" s="61">
        <v>0.6</v>
      </c>
      <c r="AB128" s="71">
        <v>56370</v>
      </c>
      <c r="AC128" s="78" t="s">
        <v>1832</v>
      </c>
      <c r="AD128" s="74" t="str">
        <f t="shared" si="83"/>
        <v>Link</v>
      </c>
      <c r="AE128" s="54">
        <v>8330</v>
      </c>
      <c r="AF128" s="54">
        <v>124</v>
      </c>
      <c r="AG128" s="7"/>
      <c r="AH128" s="56">
        <v>202480</v>
      </c>
      <c r="AI128" s="7"/>
      <c r="AJ128" s="7"/>
    </row>
    <row r="129" spans="1:36" ht="15" x14ac:dyDescent="0.2">
      <c r="A129" s="43" t="s">
        <v>1813</v>
      </c>
      <c r="B129" s="33" t="s">
        <v>1304</v>
      </c>
      <c r="C129" s="7" t="s">
        <v>67</v>
      </c>
      <c r="D129" s="7" t="s">
        <v>1886</v>
      </c>
      <c r="E129" s="44">
        <v>5</v>
      </c>
      <c r="F129" s="7"/>
      <c r="G129" s="7"/>
      <c r="H129" s="2" t="s">
        <v>1887</v>
      </c>
      <c r="I129" s="7" t="s">
        <v>1163</v>
      </c>
      <c r="J129" s="7" t="s">
        <v>1888</v>
      </c>
      <c r="K129" s="7" t="s">
        <v>48</v>
      </c>
      <c r="L129" s="7" t="s">
        <v>1889</v>
      </c>
      <c r="M129" s="7" t="s">
        <v>1890</v>
      </c>
      <c r="N129" s="45" t="str">
        <f>HYPERLINK("twitter.com/@CoachInouye","@CoachInouye")</f>
        <v>@CoachInouye</v>
      </c>
      <c r="O129" s="74" t="str">
        <f t="shared" ref="O129:O131" si="84">HYPERLINK("https://fordhamsports.com/sports/2015/7/6/GEN_0706150148.aspx","Questionnaire")</f>
        <v>Questionnaire</v>
      </c>
      <c r="P129" s="7" t="s">
        <v>1896</v>
      </c>
      <c r="Q129" s="57" t="s">
        <v>1304</v>
      </c>
      <c r="R129" s="7" t="s">
        <v>1897</v>
      </c>
      <c r="S129" s="48" t="s">
        <v>288</v>
      </c>
      <c r="T129" s="49" t="s">
        <v>63</v>
      </c>
      <c r="U129" s="7" t="s">
        <v>343</v>
      </c>
      <c r="V129" s="7"/>
      <c r="W129" s="50">
        <v>3.64</v>
      </c>
      <c r="X129" s="7" t="s">
        <v>1898</v>
      </c>
      <c r="Y129" s="7" t="s">
        <v>1899</v>
      </c>
      <c r="Z129" s="7" t="s">
        <v>1900</v>
      </c>
      <c r="AA129" s="61">
        <v>0.45</v>
      </c>
      <c r="AB129" s="71">
        <v>69708</v>
      </c>
      <c r="AC129" s="78" t="s">
        <v>1896</v>
      </c>
      <c r="AD129" s="74" t="str">
        <f t="shared" ref="AD129:AD131" si="85">HYPERLINK("https://www.fordham.edu/info/20526/majors_and_minors","Link")</f>
        <v>Link</v>
      </c>
      <c r="AE129" s="54">
        <v>9258</v>
      </c>
      <c r="AF129" s="54">
        <v>61</v>
      </c>
      <c r="AG129" s="7"/>
      <c r="AH129" s="56">
        <v>191241</v>
      </c>
      <c r="AI129" s="7"/>
      <c r="AJ129" s="7"/>
    </row>
    <row r="130" spans="1:36" ht="15" x14ac:dyDescent="0.2">
      <c r="A130" s="43" t="s">
        <v>1813</v>
      </c>
      <c r="B130" s="33" t="s">
        <v>1304</v>
      </c>
      <c r="C130" s="7" t="s">
        <v>67</v>
      </c>
      <c r="D130" s="7" t="s">
        <v>1908</v>
      </c>
      <c r="E130" s="44">
        <v>5</v>
      </c>
      <c r="F130" s="7"/>
      <c r="G130" s="7"/>
      <c r="H130" s="2" t="s">
        <v>1887</v>
      </c>
      <c r="I130" s="7" t="s">
        <v>644</v>
      </c>
      <c r="J130" s="7" t="s">
        <v>1909</v>
      </c>
      <c r="K130" s="7" t="s">
        <v>55</v>
      </c>
      <c r="L130" s="7" t="s">
        <v>1910</v>
      </c>
      <c r="M130" s="7" t="s">
        <v>1911</v>
      </c>
      <c r="N130" s="45" t="str">
        <f t="shared" ref="N130:N131" si="86">HYPERLINK("twitter.com/@FORDHAMSOFTBALL","@FORDHAMSOFTBALL")</f>
        <v>@FORDHAMSOFTBALL</v>
      </c>
      <c r="O130" s="74" t="str">
        <f t="shared" si="84"/>
        <v>Questionnaire</v>
      </c>
      <c r="P130" s="7" t="s">
        <v>1896</v>
      </c>
      <c r="Q130" s="57" t="s">
        <v>1304</v>
      </c>
      <c r="R130" s="7" t="s">
        <v>1897</v>
      </c>
      <c r="S130" s="48" t="s">
        <v>288</v>
      </c>
      <c r="T130" s="49" t="s">
        <v>63</v>
      </c>
      <c r="U130" s="7" t="s">
        <v>343</v>
      </c>
      <c r="V130" s="7"/>
      <c r="W130" s="50">
        <v>3.64</v>
      </c>
      <c r="X130" s="7" t="s">
        <v>1898</v>
      </c>
      <c r="Y130" s="7" t="s">
        <v>1899</v>
      </c>
      <c r="Z130" s="7" t="s">
        <v>1900</v>
      </c>
      <c r="AA130" s="61">
        <v>0.45</v>
      </c>
      <c r="AB130" s="71">
        <v>69708</v>
      </c>
      <c r="AC130" s="78" t="s">
        <v>1896</v>
      </c>
      <c r="AD130" s="74" t="str">
        <f t="shared" si="85"/>
        <v>Link</v>
      </c>
      <c r="AE130" s="54">
        <v>9258</v>
      </c>
      <c r="AF130" s="54">
        <v>61</v>
      </c>
      <c r="AG130" s="7"/>
      <c r="AH130" s="56">
        <v>191241</v>
      </c>
      <c r="AI130" s="7"/>
      <c r="AJ130" s="7"/>
    </row>
    <row r="131" spans="1:36" ht="15" x14ac:dyDescent="0.2">
      <c r="A131" s="43" t="s">
        <v>1813</v>
      </c>
      <c r="B131" s="33" t="s">
        <v>1304</v>
      </c>
      <c r="C131" s="7" t="s">
        <v>67</v>
      </c>
      <c r="D131" s="7" t="s">
        <v>1922</v>
      </c>
      <c r="E131" s="44">
        <v>5</v>
      </c>
      <c r="F131" s="7"/>
      <c r="G131" s="7"/>
      <c r="H131" s="2" t="s">
        <v>1887</v>
      </c>
      <c r="I131" s="7" t="s">
        <v>234</v>
      </c>
      <c r="J131" s="7" t="s">
        <v>1923</v>
      </c>
      <c r="K131" s="7" t="s">
        <v>55</v>
      </c>
      <c r="L131" s="7" t="s">
        <v>1925</v>
      </c>
      <c r="M131" s="7" t="s">
        <v>1927</v>
      </c>
      <c r="N131" s="45" t="str">
        <f t="shared" si="86"/>
        <v>@FORDHAMSOFTBALL</v>
      </c>
      <c r="O131" s="74" t="str">
        <f t="shared" si="84"/>
        <v>Questionnaire</v>
      </c>
      <c r="P131" s="7" t="s">
        <v>1896</v>
      </c>
      <c r="Q131" s="57" t="s">
        <v>1304</v>
      </c>
      <c r="R131" s="7" t="s">
        <v>1897</v>
      </c>
      <c r="S131" s="48" t="s">
        <v>288</v>
      </c>
      <c r="T131" s="49" t="s">
        <v>63</v>
      </c>
      <c r="U131" s="7" t="s">
        <v>343</v>
      </c>
      <c r="V131" s="7"/>
      <c r="W131" s="50">
        <v>3.64</v>
      </c>
      <c r="X131" s="7" t="s">
        <v>1898</v>
      </c>
      <c r="Y131" s="7" t="s">
        <v>1899</v>
      </c>
      <c r="Z131" s="7" t="s">
        <v>1900</v>
      </c>
      <c r="AA131" s="61">
        <v>0.45</v>
      </c>
      <c r="AB131" s="71">
        <v>69708</v>
      </c>
      <c r="AC131" s="78" t="s">
        <v>1896</v>
      </c>
      <c r="AD131" s="74" t="str">
        <f t="shared" si="85"/>
        <v>Link</v>
      </c>
      <c r="AE131" s="54">
        <v>9258</v>
      </c>
      <c r="AF131" s="54">
        <v>61</v>
      </c>
      <c r="AG131" s="7"/>
      <c r="AH131" s="56">
        <v>191241</v>
      </c>
      <c r="AI131" s="7"/>
      <c r="AJ131" s="7"/>
    </row>
    <row r="132" spans="1:36" ht="15" x14ac:dyDescent="0.2">
      <c r="A132" s="43" t="s">
        <v>1813</v>
      </c>
      <c r="B132" s="33" t="s">
        <v>1361</v>
      </c>
      <c r="C132" s="7" t="s">
        <v>67</v>
      </c>
      <c r="D132" s="7" t="s">
        <v>1935</v>
      </c>
      <c r="E132" s="44">
        <v>5</v>
      </c>
      <c r="F132" s="7"/>
      <c r="G132" s="7"/>
      <c r="H132" s="2" t="s">
        <v>1936</v>
      </c>
      <c r="I132" s="7" t="s">
        <v>1541</v>
      </c>
      <c r="J132" s="7" t="s">
        <v>1937</v>
      </c>
      <c r="K132" s="7" t="s">
        <v>48</v>
      </c>
      <c r="L132" s="7" t="s">
        <v>1938</v>
      </c>
      <c r="M132" s="7" t="s">
        <v>1939</v>
      </c>
      <c r="N132" s="45" t="str">
        <f t="shared" ref="N132:N134" si="87">HYPERLINK("twitter.com/masonsoftball","@masonsoftball")</f>
        <v>@masonsoftball</v>
      </c>
      <c r="O132" s="74" t="str">
        <f t="shared" ref="O132:O134" si="88">HYPERLINK("https://questionnaires.armssoftware.com/1161fe2f7826","Questionnaire")</f>
        <v>Questionnaire</v>
      </c>
      <c r="P132" s="57" t="s">
        <v>1944</v>
      </c>
      <c r="Q132" s="57" t="s">
        <v>1361</v>
      </c>
      <c r="R132" s="7" t="s">
        <v>1945</v>
      </c>
      <c r="S132" s="48" t="s">
        <v>172</v>
      </c>
      <c r="T132" s="49" t="s">
        <v>74</v>
      </c>
      <c r="U132" s="7" t="s">
        <v>75</v>
      </c>
      <c r="V132" s="7"/>
      <c r="W132" s="50">
        <v>3.66</v>
      </c>
      <c r="X132" s="7" t="s">
        <v>415</v>
      </c>
      <c r="Y132" s="7" t="s">
        <v>1319</v>
      </c>
      <c r="Z132" s="7" t="s">
        <v>1408</v>
      </c>
      <c r="AA132" s="61">
        <v>0.81</v>
      </c>
      <c r="AB132" s="48" t="s">
        <v>1949</v>
      </c>
      <c r="AC132" s="40" t="s">
        <v>1944</v>
      </c>
      <c r="AD132" s="74" t="str">
        <f t="shared" ref="AD132:AD134" si="89">HYPERLINK("https://www2.gmu.edu/academics","Link")</f>
        <v>Link</v>
      </c>
      <c r="AE132" s="54">
        <v>23817</v>
      </c>
      <c r="AF132" s="54">
        <v>140</v>
      </c>
      <c r="AG132" s="7"/>
      <c r="AH132" s="56">
        <v>232186</v>
      </c>
      <c r="AI132" s="7"/>
      <c r="AJ132" s="7"/>
    </row>
    <row r="133" spans="1:36" ht="15" x14ac:dyDescent="0.2">
      <c r="A133" s="43" t="s">
        <v>1813</v>
      </c>
      <c r="B133" s="33" t="s">
        <v>1361</v>
      </c>
      <c r="C133" s="7" t="s">
        <v>67</v>
      </c>
      <c r="D133" s="7" t="s">
        <v>1952</v>
      </c>
      <c r="E133" s="44">
        <v>5</v>
      </c>
      <c r="F133" s="7"/>
      <c r="G133" s="7"/>
      <c r="H133" s="2" t="s">
        <v>1936</v>
      </c>
      <c r="I133" s="7" t="s">
        <v>1954</v>
      </c>
      <c r="J133" s="7" t="s">
        <v>1955</v>
      </c>
      <c r="K133" s="7" t="s">
        <v>55</v>
      </c>
      <c r="L133" s="7" t="s">
        <v>1958</v>
      </c>
      <c r="M133" s="7" t="s">
        <v>1959</v>
      </c>
      <c r="N133" s="45" t="str">
        <f t="shared" si="87"/>
        <v>@masonsoftball</v>
      </c>
      <c r="O133" s="74" t="str">
        <f t="shared" si="88"/>
        <v>Questionnaire</v>
      </c>
      <c r="P133" s="57" t="s">
        <v>1944</v>
      </c>
      <c r="Q133" s="57" t="s">
        <v>1361</v>
      </c>
      <c r="R133" s="7" t="s">
        <v>1945</v>
      </c>
      <c r="S133" s="48" t="s">
        <v>172</v>
      </c>
      <c r="T133" s="49" t="s">
        <v>74</v>
      </c>
      <c r="U133" s="7" t="s">
        <v>75</v>
      </c>
      <c r="V133" s="7"/>
      <c r="W133" s="50">
        <v>3.66</v>
      </c>
      <c r="X133" s="7" t="s">
        <v>415</v>
      </c>
      <c r="Y133" s="7" t="s">
        <v>1319</v>
      </c>
      <c r="Z133" s="7" t="s">
        <v>1408</v>
      </c>
      <c r="AA133" s="61">
        <v>0.81</v>
      </c>
      <c r="AB133" s="48" t="s">
        <v>1949</v>
      </c>
      <c r="AC133" s="40" t="s">
        <v>1944</v>
      </c>
      <c r="AD133" s="74" t="str">
        <f t="shared" si="89"/>
        <v>Link</v>
      </c>
      <c r="AE133" s="54">
        <v>23817</v>
      </c>
      <c r="AF133" s="54">
        <v>140</v>
      </c>
      <c r="AG133" s="7"/>
      <c r="AH133" s="56">
        <v>232186</v>
      </c>
      <c r="AI133" s="7"/>
      <c r="AJ133" s="7"/>
    </row>
    <row r="134" spans="1:36" ht="15" x14ac:dyDescent="0.2">
      <c r="A134" s="43" t="s">
        <v>1813</v>
      </c>
      <c r="B134" s="33" t="s">
        <v>1361</v>
      </c>
      <c r="C134" s="7" t="s">
        <v>67</v>
      </c>
      <c r="D134" s="7" t="s">
        <v>1966</v>
      </c>
      <c r="E134" s="44">
        <v>5</v>
      </c>
      <c r="F134" s="7"/>
      <c r="G134" s="7"/>
      <c r="H134" s="2" t="s">
        <v>1936</v>
      </c>
      <c r="I134" s="7" t="s">
        <v>306</v>
      </c>
      <c r="J134" s="7" t="s">
        <v>1968</v>
      </c>
      <c r="K134" s="7" t="s">
        <v>55</v>
      </c>
      <c r="L134" s="7" t="s">
        <v>1970</v>
      </c>
      <c r="M134" s="7" t="s">
        <v>1972</v>
      </c>
      <c r="N134" s="45" t="str">
        <f t="shared" si="87"/>
        <v>@masonsoftball</v>
      </c>
      <c r="O134" s="74" t="str">
        <f t="shared" si="88"/>
        <v>Questionnaire</v>
      </c>
      <c r="P134" s="57" t="s">
        <v>1944</v>
      </c>
      <c r="Q134" s="57" t="s">
        <v>1361</v>
      </c>
      <c r="R134" s="7" t="s">
        <v>1945</v>
      </c>
      <c r="S134" s="48" t="s">
        <v>172</v>
      </c>
      <c r="T134" s="49" t="s">
        <v>74</v>
      </c>
      <c r="U134" s="7" t="s">
        <v>75</v>
      </c>
      <c r="V134" s="7"/>
      <c r="W134" s="50">
        <v>3.66</v>
      </c>
      <c r="X134" s="7" t="s">
        <v>415</v>
      </c>
      <c r="Y134" s="7" t="s">
        <v>1319</v>
      </c>
      <c r="Z134" s="7" t="s">
        <v>1408</v>
      </c>
      <c r="AA134" s="61">
        <v>0.81</v>
      </c>
      <c r="AB134" s="48" t="s">
        <v>1949</v>
      </c>
      <c r="AC134" s="40" t="s">
        <v>1944</v>
      </c>
      <c r="AD134" s="74" t="str">
        <f t="shared" si="89"/>
        <v>Link</v>
      </c>
      <c r="AE134" s="54">
        <v>23817</v>
      </c>
      <c r="AF134" s="54">
        <v>140</v>
      </c>
      <c r="AG134" s="7"/>
      <c r="AH134" s="56">
        <v>232186</v>
      </c>
      <c r="AI134" s="7"/>
      <c r="AJ134" s="7"/>
    </row>
    <row r="135" spans="1:36" ht="15" x14ac:dyDescent="0.2">
      <c r="A135" s="43" t="s">
        <v>1813</v>
      </c>
      <c r="B135" s="33" t="s">
        <v>1223</v>
      </c>
      <c r="C135" s="7" t="s">
        <v>67</v>
      </c>
      <c r="D135" s="7" t="s">
        <v>1980</v>
      </c>
      <c r="E135" s="44">
        <v>5</v>
      </c>
      <c r="F135" s="7"/>
      <c r="G135" s="7"/>
      <c r="H135" s="2" t="s">
        <v>1984</v>
      </c>
      <c r="I135" s="7" t="s">
        <v>1985</v>
      </c>
      <c r="J135" s="7" t="s">
        <v>1987</v>
      </c>
      <c r="K135" s="7" t="s">
        <v>48</v>
      </c>
      <c r="L135" s="7" t="s">
        <v>1989</v>
      </c>
      <c r="M135" s="7"/>
      <c r="N135" s="45" t="str">
        <f t="shared" ref="N135:N137" si="90">HYPERLINK("twitter.com/gw_softball","@gw_softball")</f>
        <v>@gw_softball</v>
      </c>
      <c r="O135" s="74" t="str">
        <f t="shared" ref="O135:O137" si="91">HYPERLINK("https://questionnaires.armssoftware.com/98536bde98fd","Questionnaire")</f>
        <v>Questionnaire</v>
      </c>
      <c r="P135" s="57" t="s">
        <v>1995</v>
      </c>
      <c r="Q135" s="57" t="s">
        <v>1223</v>
      </c>
      <c r="R135" s="7" t="s">
        <v>1996</v>
      </c>
      <c r="S135" s="48" t="s">
        <v>354</v>
      </c>
      <c r="T135" s="49" t="s">
        <v>63</v>
      </c>
      <c r="U135" s="7" t="s">
        <v>75</v>
      </c>
      <c r="V135" s="7"/>
      <c r="W135" s="50">
        <v>3.8</v>
      </c>
      <c r="X135" s="7" t="s">
        <v>1998</v>
      </c>
      <c r="Y135" s="7" t="s">
        <v>576</v>
      </c>
      <c r="Z135" s="7" t="s">
        <v>1246</v>
      </c>
      <c r="AA135" s="61">
        <v>0.4</v>
      </c>
      <c r="AB135" s="71">
        <v>67225</v>
      </c>
      <c r="AC135" s="40" t="s">
        <v>1995</v>
      </c>
      <c r="AD135" s="74" t="str">
        <f t="shared" ref="AD135:AD137" si="92">HYPERLINK("https://undergraduate.admissions.gwu.edu/undergraduate-majors","Link")</f>
        <v>Link</v>
      </c>
      <c r="AE135" s="54">
        <v>11504</v>
      </c>
      <c r="AF135" s="54">
        <v>56</v>
      </c>
      <c r="AG135" s="7"/>
      <c r="AH135" s="56">
        <v>131469</v>
      </c>
      <c r="AI135" s="7"/>
      <c r="AJ135" s="7"/>
    </row>
    <row r="136" spans="1:36" ht="15" x14ac:dyDescent="0.2">
      <c r="A136" s="43" t="s">
        <v>1813</v>
      </c>
      <c r="B136" s="33" t="s">
        <v>1223</v>
      </c>
      <c r="C136" s="7" t="s">
        <v>67</v>
      </c>
      <c r="D136" s="7" t="s">
        <v>2004</v>
      </c>
      <c r="E136" s="44">
        <v>5</v>
      </c>
      <c r="F136" s="7"/>
      <c r="G136" s="7"/>
      <c r="H136" s="2" t="s">
        <v>1984</v>
      </c>
      <c r="I136" s="7" t="s">
        <v>2005</v>
      </c>
      <c r="J136" s="7" t="s">
        <v>2006</v>
      </c>
      <c r="K136" s="7" t="s">
        <v>55</v>
      </c>
      <c r="L136" s="7" t="s">
        <v>2007</v>
      </c>
      <c r="M136" s="7" t="s">
        <v>2008</v>
      </c>
      <c r="N136" s="45" t="str">
        <f t="shared" si="90"/>
        <v>@gw_softball</v>
      </c>
      <c r="O136" s="74" t="str">
        <f t="shared" si="91"/>
        <v>Questionnaire</v>
      </c>
      <c r="P136" s="57" t="s">
        <v>1995</v>
      </c>
      <c r="Q136" s="57" t="s">
        <v>1223</v>
      </c>
      <c r="R136" s="7" t="s">
        <v>1996</v>
      </c>
      <c r="S136" s="48" t="s">
        <v>354</v>
      </c>
      <c r="T136" s="49" t="s">
        <v>63</v>
      </c>
      <c r="U136" s="7" t="s">
        <v>75</v>
      </c>
      <c r="V136" s="7"/>
      <c r="W136" s="50">
        <v>3.8</v>
      </c>
      <c r="X136" s="7" t="s">
        <v>1998</v>
      </c>
      <c r="Y136" s="7" t="s">
        <v>576</v>
      </c>
      <c r="Z136" s="7" t="s">
        <v>1246</v>
      </c>
      <c r="AA136" s="61">
        <v>0.4</v>
      </c>
      <c r="AB136" s="71">
        <v>67225</v>
      </c>
      <c r="AC136" s="40" t="s">
        <v>1995</v>
      </c>
      <c r="AD136" s="74" t="str">
        <f t="shared" si="92"/>
        <v>Link</v>
      </c>
      <c r="AE136" s="54">
        <v>11504</v>
      </c>
      <c r="AF136" s="54">
        <v>56</v>
      </c>
      <c r="AG136" s="7"/>
      <c r="AH136" s="56">
        <v>131469</v>
      </c>
      <c r="AI136" s="7"/>
      <c r="AJ136" s="7"/>
    </row>
    <row r="137" spans="1:36" ht="15" x14ac:dyDescent="0.2">
      <c r="A137" s="43" t="s">
        <v>1813</v>
      </c>
      <c r="B137" s="33" t="s">
        <v>1223</v>
      </c>
      <c r="C137" s="7" t="s">
        <v>67</v>
      </c>
      <c r="D137" s="7" t="s">
        <v>2019</v>
      </c>
      <c r="E137" s="44">
        <v>5</v>
      </c>
      <c r="F137" s="7"/>
      <c r="G137" s="7"/>
      <c r="H137" s="2" t="s">
        <v>1984</v>
      </c>
      <c r="I137" s="7" t="s">
        <v>2022</v>
      </c>
      <c r="J137" s="7" t="s">
        <v>2023</v>
      </c>
      <c r="K137" s="7" t="s">
        <v>55</v>
      </c>
      <c r="L137" s="7" t="s">
        <v>2024</v>
      </c>
      <c r="M137" s="7" t="s">
        <v>2025</v>
      </c>
      <c r="N137" s="45" t="str">
        <f t="shared" si="90"/>
        <v>@gw_softball</v>
      </c>
      <c r="O137" s="74" t="str">
        <f t="shared" si="91"/>
        <v>Questionnaire</v>
      </c>
      <c r="P137" s="57" t="s">
        <v>1995</v>
      </c>
      <c r="Q137" s="57" t="s">
        <v>1223</v>
      </c>
      <c r="R137" s="7" t="s">
        <v>1996</v>
      </c>
      <c r="S137" s="48" t="s">
        <v>354</v>
      </c>
      <c r="T137" s="49" t="s">
        <v>63</v>
      </c>
      <c r="U137" s="7" t="s">
        <v>75</v>
      </c>
      <c r="V137" s="7"/>
      <c r="W137" s="50">
        <v>3.8</v>
      </c>
      <c r="X137" s="7" t="s">
        <v>1998</v>
      </c>
      <c r="Y137" s="7" t="s">
        <v>576</v>
      </c>
      <c r="Z137" s="7" t="s">
        <v>1246</v>
      </c>
      <c r="AA137" s="61">
        <v>0.4</v>
      </c>
      <c r="AB137" s="71">
        <v>67225</v>
      </c>
      <c r="AC137" s="40" t="s">
        <v>1995</v>
      </c>
      <c r="AD137" s="74" t="str">
        <f t="shared" si="92"/>
        <v>Link</v>
      </c>
      <c r="AE137" s="54">
        <v>11504</v>
      </c>
      <c r="AF137" s="54">
        <v>56</v>
      </c>
      <c r="AG137" s="7"/>
      <c r="AH137" s="56">
        <v>131469</v>
      </c>
      <c r="AI137" s="7"/>
      <c r="AJ137" s="7"/>
    </row>
    <row r="138" spans="1:36" ht="15" x14ac:dyDescent="0.2">
      <c r="A138" s="43" t="s">
        <v>1813</v>
      </c>
      <c r="B138" s="33" t="s">
        <v>1231</v>
      </c>
      <c r="C138" s="7" t="s">
        <v>67</v>
      </c>
      <c r="D138" s="7" t="s">
        <v>2035</v>
      </c>
      <c r="E138" s="44">
        <v>5</v>
      </c>
      <c r="F138" s="7"/>
      <c r="G138" s="7"/>
      <c r="H138" s="2" t="s">
        <v>2036</v>
      </c>
      <c r="I138" s="7" t="s">
        <v>2037</v>
      </c>
      <c r="J138" s="7" t="s">
        <v>2038</v>
      </c>
      <c r="K138" s="7" t="s">
        <v>55</v>
      </c>
      <c r="L138" s="7" t="s">
        <v>2039</v>
      </c>
      <c r="M138" s="7"/>
      <c r="N138" s="7"/>
      <c r="O138" s="7"/>
      <c r="P138" s="7" t="s">
        <v>2041</v>
      </c>
      <c r="Q138" s="57" t="s">
        <v>1231</v>
      </c>
      <c r="R138" s="7" t="s">
        <v>2043</v>
      </c>
      <c r="S138" s="48" t="s">
        <v>288</v>
      </c>
      <c r="T138" s="73" t="s">
        <v>63</v>
      </c>
      <c r="U138" s="7" t="s">
        <v>343</v>
      </c>
      <c r="V138" s="7"/>
      <c r="W138" s="50">
        <v>3.32</v>
      </c>
      <c r="X138" s="7" t="s">
        <v>1145</v>
      </c>
      <c r="Y138" s="7" t="s">
        <v>1453</v>
      </c>
      <c r="Z138" s="7" t="s">
        <v>746</v>
      </c>
      <c r="AA138" s="61">
        <v>0.77</v>
      </c>
      <c r="AB138" s="71">
        <v>56680</v>
      </c>
      <c r="AC138" s="78" t="s">
        <v>2041</v>
      </c>
      <c r="AD138" s="74" t="str">
        <f t="shared" ref="AD138:AD140" si="93">HYPERLINK("http://www.lasalle.edu/admission/programs/","Link")</f>
        <v>Link</v>
      </c>
      <c r="AE138" s="54">
        <v>3652</v>
      </c>
      <c r="AF138" s="55"/>
      <c r="AG138" s="7"/>
      <c r="AH138" s="56">
        <v>213367</v>
      </c>
      <c r="AI138" s="7"/>
      <c r="AJ138" s="7"/>
    </row>
    <row r="139" spans="1:36" ht="15" x14ac:dyDescent="0.2">
      <c r="A139" s="43" t="s">
        <v>1813</v>
      </c>
      <c r="B139" s="33" t="s">
        <v>1231</v>
      </c>
      <c r="C139" s="7" t="s">
        <v>67</v>
      </c>
      <c r="D139" s="7" t="s">
        <v>2047</v>
      </c>
      <c r="E139" s="44">
        <v>5</v>
      </c>
      <c r="F139" s="7"/>
      <c r="G139" s="7"/>
      <c r="H139" s="2" t="s">
        <v>2036</v>
      </c>
      <c r="I139" s="7" t="s">
        <v>878</v>
      </c>
      <c r="J139" s="7" t="s">
        <v>2049</v>
      </c>
      <c r="K139" s="7" t="s">
        <v>48</v>
      </c>
      <c r="L139" s="7" t="s">
        <v>2050</v>
      </c>
      <c r="M139" s="7" t="s">
        <v>2051</v>
      </c>
      <c r="N139" s="45" t="str">
        <f t="shared" ref="N139:N140" si="94">HYPERLINK("twitter.com/lasallesoftball","@lasallesoftball")</f>
        <v>@lasallesoftball</v>
      </c>
      <c r="O139" s="74" t="str">
        <f t="shared" ref="O139:O140" si="95">HYPERLINK("https://goexplorers.com/sb_output.aspx?form=3","Questionnaire")</f>
        <v>Questionnaire</v>
      </c>
      <c r="P139" s="7" t="s">
        <v>2041</v>
      </c>
      <c r="Q139" s="57" t="s">
        <v>1231</v>
      </c>
      <c r="R139" s="7" t="s">
        <v>2043</v>
      </c>
      <c r="S139" s="48" t="s">
        <v>288</v>
      </c>
      <c r="T139" s="73" t="s">
        <v>63</v>
      </c>
      <c r="U139" s="7" t="s">
        <v>343</v>
      </c>
      <c r="V139" s="7"/>
      <c r="W139" s="50">
        <v>3.32</v>
      </c>
      <c r="X139" s="7" t="s">
        <v>1145</v>
      </c>
      <c r="Y139" s="7" t="s">
        <v>1453</v>
      </c>
      <c r="Z139" s="7" t="s">
        <v>746</v>
      </c>
      <c r="AA139" s="61">
        <v>0.77</v>
      </c>
      <c r="AB139" s="71">
        <v>56680</v>
      </c>
      <c r="AC139" s="78" t="s">
        <v>2041</v>
      </c>
      <c r="AD139" s="74" t="str">
        <f t="shared" si="93"/>
        <v>Link</v>
      </c>
      <c r="AE139" s="54">
        <v>3652</v>
      </c>
      <c r="AF139" s="55"/>
      <c r="AG139" s="7"/>
      <c r="AH139" s="56">
        <v>213367</v>
      </c>
      <c r="AI139" s="7"/>
      <c r="AJ139" s="7"/>
    </row>
    <row r="140" spans="1:36" ht="15" x14ac:dyDescent="0.2">
      <c r="A140" s="43" t="s">
        <v>1813</v>
      </c>
      <c r="B140" s="33" t="s">
        <v>1231</v>
      </c>
      <c r="C140" s="7" t="s">
        <v>67</v>
      </c>
      <c r="D140" s="7" t="s">
        <v>2065</v>
      </c>
      <c r="E140" s="44">
        <v>5</v>
      </c>
      <c r="F140" s="7"/>
      <c r="G140" s="7"/>
      <c r="H140" s="2" t="s">
        <v>2036</v>
      </c>
      <c r="I140" s="7" t="s">
        <v>93</v>
      </c>
      <c r="J140" s="7" t="s">
        <v>2066</v>
      </c>
      <c r="K140" s="7" t="s">
        <v>55</v>
      </c>
      <c r="L140" s="7" t="s">
        <v>2067</v>
      </c>
      <c r="M140" s="7"/>
      <c r="N140" s="45" t="str">
        <f t="shared" si="94"/>
        <v>@lasallesoftball</v>
      </c>
      <c r="O140" s="74" t="str">
        <f t="shared" si="95"/>
        <v>Questionnaire</v>
      </c>
      <c r="P140" s="7" t="s">
        <v>2041</v>
      </c>
      <c r="Q140" s="57" t="s">
        <v>1231</v>
      </c>
      <c r="R140" s="7" t="s">
        <v>2043</v>
      </c>
      <c r="S140" s="48" t="s">
        <v>288</v>
      </c>
      <c r="T140" s="73" t="s">
        <v>63</v>
      </c>
      <c r="U140" s="7" t="s">
        <v>343</v>
      </c>
      <c r="V140" s="7"/>
      <c r="W140" s="50">
        <v>3.32</v>
      </c>
      <c r="X140" s="7" t="s">
        <v>1145</v>
      </c>
      <c r="Y140" s="7" t="s">
        <v>1453</v>
      </c>
      <c r="Z140" s="7" t="s">
        <v>746</v>
      </c>
      <c r="AA140" s="61">
        <v>0.77</v>
      </c>
      <c r="AB140" s="71">
        <v>56680</v>
      </c>
      <c r="AC140" s="78" t="s">
        <v>2041</v>
      </c>
      <c r="AD140" s="74" t="str">
        <f t="shared" si="93"/>
        <v>Link</v>
      </c>
      <c r="AE140" s="54">
        <v>3652</v>
      </c>
      <c r="AF140" s="55"/>
      <c r="AG140" s="7"/>
      <c r="AH140" s="56">
        <v>213367</v>
      </c>
      <c r="AI140" s="7"/>
      <c r="AJ140" s="7"/>
    </row>
    <row r="141" spans="1:36" ht="15" x14ac:dyDescent="0.2">
      <c r="A141" s="43" t="s">
        <v>1813</v>
      </c>
      <c r="B141" s="33" t="s">
        <v>595</v>
      </c>
      <c r="C141" s="7" t="s">
        <v>67</v>
      </c>
      <c r="D141" s="7" t="s">
        <v>2076</v>
      </c>
      <c r="E141" s="44">
        <v>5</v>
      </c>
      <c r="F141" s="7"/>
      <c r="G141" s="7"/>
      <c r="H141" s="2" t="s">
        <v>2077</v>
      </c>
      <c r="I141" s="7" t="s">
        <v>531</v>
      </c>
      <c r="J141" s="7" t="s">
        <v>2079</v>
      </c>
      <c r="K141" s="7" t="s">
        <v>48</v>
      </c>
      <c r="L141" s="7" t="s">
        <v>2082</v>
      </c>
      <c r="M141" s="7"/>
      <c r="N141" s="45" t="s">
        <v>2083</v>
      </c>
      <c r="O141" s="7" t="s">
        <v>22</v>
      </c>
      <c r="P141" s="57" t="s">
        <v>2084</v>
      </c>
      <c r="Q141" s="57" t="s">
        <v>595</v>
      </c>
      <c r="R141" s="7" t="s">
        <v>2085</v>
      </c>
      <c r="S141" s="48" t="s">
        <v>468</v>
      </c>
      <c r="T141" s="49" t="s">
        <v>74</v>
      </c>
      <c r="U141" s="7" t="s">
        <v>75</v>
      </c>
      <c r="V141" s="7"/>
      <c r="W141" s="50">
        <v>3.83</v>
      </c>
      <c r="X141" s="7" t="s">
        <v>176</v>
      </c>
      <c r="Y141" s="7" t="s">
        <v>1898</v>
      </c>
      <c r="Z141" s="7" t="s">
        <v>412</v>
      </c>
      <c r="AA141" s="61">
        <v>0.6</v>
      </c>
      <c r="AB141" s="48" t="s">
        <v>2086</v>
      </c>
      <c r="AC141" s="79" t="s">
        <v>2084</v>
      </c>
      <c r="AD141" s="74" t="str">
        <f t="shared" ref="AD141:AD143" si="96">HYPERLINK("http://www.umass.edu/gateway/academics/undergraduate","Link")</f>
        <v>Link</v>
      </c>
      <c r="AE141" s="54">
        <v>23373</v>
      </c>
      <c r="AF141" s="54">
        <v>75</v>
      </c>
      <c r="AG141" s="7"/>
      <c r="AH141" s="56">
        <v>166629</v>
      </c>
      <c r="AI141" s="7"/>
      <c r="AJ141" s="7"/>
    </row>
    <row r="142" spans="1:36" ht="15" x14ac:dyDescent="0.2">
      <c r="A142" s="43" t="s">
        <v>1813</v>
      </c>
      <c r="B142" s="33" t="s">
        <v>595</v>
      </c>
      <c r="C142" s="7" t="s">
        <v>67</v>
      </c>
      <c r="D142" s="7" t="s">
        <v>2099</v>
      </c>
      <c r="E142" s="44">
        <v>5</v>
      </c>
      <c r="F142" s="7"/>
      <c r="G142" s="7"/>
      <c r="H142" s="2" t="s">
        <v>2077</v>
      </c>
      <c r="I142" s="7" t="s">
        <v>2102</v>
      </c>
      <c r="J142" s="7" t="s">
        <v>2104</v>
      </c>
      <c r="K142" s="7" t="s">
        <v>55</v>
      </c>
      <c r="L142" s="7" t="s">
        <v>2105</v>
      </c>
      <c r="M142" s="7" t="s">
        <v>2107</v>
      </c>
      <c r="N142" s="45" t="str">
        <f t="shared" ref="N142:N143" si="97">HYPERLINK("twitter.com/umasssoftball","@umasssoftball")</f>
        <v>@umasssoftball</v>
      </c>
      <c r="O142" s="7" t="s">
        <v>22</v>
      </c>
      <c r="P142" s="57" t="s">
        <v>2084</v>
      </c>
      <c r="Q142" s="57" t="s">
        <v>595</v>
      </c>
      <c r="R142" s="7" t="s">
        <v>2085</v>
      </c>
      <c r="S142" s="48" t="s">
        <v>468</v>
      </c>
      <c r="T142" s="49" t="s">
        <v>74</v>
      </c>
      <c r="U142" s="7" t="s">
        <v>75</v>
      </c>
      <c r="V142" s="7"/>
      <c r="W142" s="50">
        <v>3.83</v>
      </c>
      <c r="X142" s="7" t="s">
        <v>176</v>
      </c>
      <c r="Y142" s="7" t="s">
        <v>1898</v>
      </c>
      <c r="Z142" s="7" t="s">
        <v>412</v>
      </c>
      <c r="AA142" s="61">
        <v>0.6</v>
      </c>
      <c r="AB142" s="48" t="s">
        <v>2086</v>
      </c>
      <c r="AC142" s="79" t="s">
        <v>2084</v>
      </c>
      <c r="AD142" s="74" t="str">
        <f t="shared" si="96"/>
        <v>Link</v>
      </c>
      <c r="AE142" s="54">
        <v>23373</v>
      </c>
      <c r="AF142" s="54">
        <v>75</v>
      </c>
      <c r="AG142" s="7"/>
      <c r="AH142" s="56">
        <v>166629</v>
      </c>
      <c r="AI142" s="7"/>
      <c r="AJ142" s="7"/>
    </row>
    <row r="143" spans="1:36" ht="15" x14ac:dyDescent="0.2">
      <c r="A143" s="43" t="s">
        <v>1813</v>
      </c>
      <c r="B143" s="33" t="s">
        <v>595</v>
      </c>
      <c r="C143" s="7" t="s">
        <v>67</v>
      </c>
      <c r="D143" s="7" t="s">
        <v>2115</v>
      </c>
      <c r="E143" s="44">
        <v>5</v>
      </c>
      <c r="F143" s="7"/>
      <c r="G143" s="7"/>
      <c r="H143" s="2" t="s">
        <v>2077</v>
      </c>
      <c r="I143" s="7" t="s">
        <v>161</v>
      </c>
      <c r="J143" s="7" t="s">
        <v>2116</v>
      </c>
      <c r="K143" s="7" t="s">
        <v>55</v>
      </c>
      <c r="L143" s="7"/>
      <c r="M143" s="7"/>
      <c r="N143" s="45" t="str">
        <f t="shared" si="97"/>
        <v>@umasssoftball</v>
      </c>
      <c r="O143" s="7" t="s">
        <v>22</v>
      </c>
      <c r="P143" s="57" t="s">
        <v>2084</v>
      </c>
      <c r="Q143" s="57" t="s">
        <v>595</v>
      </c>
      <c r="R143" s="7" t="s">
        <v>2085</v>
      </c>
      <c r="S143" s="48" t="s">
        <v>468</v>
      </c>
      <c r="T143" s="49" t="s">
        <v>74</v>
      </c>
      <c r="U143" s="7" t="s">
        <v>75</v>
      </c>
      <c r="V143" s="7"/>
      <c r="W143" s="50">
        <v>3.83</v>
      </c>
      <c r="X143" s="7" t="s">
        <v>176</v>
      </c>
      <c r="Y143" s="7" t="s">
        <v>1898</v>
      </c>
      <c r="Z143" s="7" t="s">
        <v>412</v>
      </c>
      <c r="AA143" s="61">
        <v>0.6</v>
      </c>
      <c r="AB143" s="48" t="s">
        <v>2086</v>
      </c>
      <c r="AC143" s="79" t="s">
        <v>2084</v>
      </c>
      <c r="AD143" s="74" t="str">
        <f t="shared" si="96"/>
        <v>Link</v>
      </c>
      <c r="AE143" s="54">
        <v>23373</v>
      </c>
      <c r="AF143" s="54">
        <v>75</v>
      </c>
      <c r="AG143" s="7"/>
      <c r="AH143" s="56">
        <v>166629</v>
      </c>
      <c r="AI143" s="7"/>
      <c r="AJ143" s="7"/>
    </row>
    <row r="144" spans="1:36" ht="15" x14ac:dyDescent="0.2">
      <c r="A144" s="43" t="s">
        <v>1813</v>
      </c>
      <c r="B144" s="33" t="s">
        <v>2123</v>
      </c>
      <c r="C144" s="7" t="s">
        <v>67</v>
      </c>
      <c r="D144" s="7" t="s">
        <v>2125</v>
      </c>
      <c r="E144" s="44">
        <v>5</v>
      </c>
      <c r="F144" s="7"/>
      <c r="G144" s="7"/>
      <c r="H144" s="2" t="s">
        <v>2126</v>
      </c>
      <c r="I144" s="7" t="s">
        <v>2127</v>
      </c>
      <c r="J144" s="7" t="s">
        <v>2128</v>
      </c>
      <c r="K144" s="7" t="s">
        <v>48</v>
      </c>
      <c r="L144" s="7" t="s">
        <v>2129</v>
      </c>
      <c r="M144" s="7" t="s">
        <v>2130</v>
      </c>
      <c r="N144" s="45" t="str">
        <f t="shared" ref="N144:N146" si="98">HYPERLINK("twitter.com/RhodySoftball","@RhodySoftball")</f>
        <v>@RhodySoftball</v>
      </c>
      <c r="O144" s="74" t="str">
        <f t="shared" ref="O144:O146" si="99">HYPERLINK("https://questionnaires.armssoftware.com/e46d7d7fa40a","Questionnaire")</f>
        <v>Questionnaire</v>
      </c>
      <c r="P144" s="57" t="s">
        <v>2139</v>
      </c>
      <c r="Q144" s="57" t="s">
        <v>2123</v>
      </c>
      <c r="R144" s="7" t="s">
        <v>2140</v>
      </c>
      <c r="S144" s="60" t="s">
        <v>205</v>
      </c>
      <c r="T144" s="49" t="s">
        <v>74</v>
      </c>
      <c r="U144" s="7" t="s">
        <v>75</v>
      </c>
      <c r="V144" s="7"/>
      <c r="W144" s="50">
        <v>3.45</v>
      </c>
      <c r="X144" s="7" t="s">
        <v>2141</v>
      </c>
      <c r="Y144" s="7" t="s">
        <v>675</v>
      </c>
      <c r="Z144" s="7" t="s">
        <v>320</v>
      </c>
      <c r="AA144" s="61">
        <v>0.73</v>
      </c>
      <c r="AB144" s="48" t="s">
        <v>2142</v>
      </c>
      <c r="AC144" s="40" t="s">
        <v>2139</v>
      </c>
      <c r="AD144" s="74" t="str">
        <f t="shared" ref="AD144:AD146" si="100">HYPERLINK("https://web.uri.edu/advising/majors/","Link")</f>
        <v>Link</v>
      </c>
      <c r="AE144" s="54">
        <v>14812</v>
      </c>
      <c r="AF144" s="54">
        <v>156</v>
      </c>
      <c r="AG144" s="7"/>
      <c r="AH144" s="56">
        <v>217484</v>
      </c>
      <c r="AI144" s="7"/>
      <c r="AJ144" s="7"/>
    </row>
    <row r="145" spans="1:36" ht="15" x14ac:dyDescent="0.2">
      <c r="A145" s="43" t="s">
        <v>1813</v>
      </c>
      <c r="B145" s="33" t="s">
        <v>2123</v>
      </c>
      <c r="C145" s="7" t="s">
        <v>67</v>
      </c>
      <c r="D145" s="7" t="s">
        <v>2147</v>
      </c>
      <c r="E145" s="44">
        <v>5</v>
      </c>
      <c r="F145" s="7"/>
      <c r="G145" s="7"/>
      <c r="H145" s="2" t="s">
        <v>2126</v>
      </c>
      <c r="I145" s="7" t="s">
        <v>2150</v>
      </c>
      <c r="J145" s="7" t="s">
        <v>2151</v>
      </c>
      <c r="K145" s="7" t="s">
        <v>55</v>
      </c>
      <c r="L145" s="7" t="s">
        <v>2152</v>
      </c>
      <c r="M145" s="7" t="s">
        <v>2130</v>
      </c>
      <c r="N145" s="45" t="str">
        <f t="shared" si="98"/>
        <v>@RhodySoftball</v>
      </c>
      <c r="O145" s="74" t="str">
        <f t="shared" si="99"/>
        <v>Questionnaire</v>
      </c>
      <c r="P145" s="57" t="s">
        <v>2139</v>
      </c>
      <c r="Q145" s="57" t="s">
        <v>2123</v>
      </c>
      <c r="R145" s="7" t="s">
        <v>2140</v>
      </c>
      <c r="S145" s="60" t="s">
        <v>205</v>
      </c>
      <c r="T145" s="49" t="s">
        <v>74</v>
      </c>
      <c r="U145" s="7" t="s">
        <v>75</v>
      </c>
      <c r="V145" s="7"/>
      <c r="W145" s="50">
        <v>3.45</v>
      </c>
      <c r="X145" s="7" t="s">
        <v>2141</v>
      </c>
      <c r="Y145" s="7" t="s">
        <v>675</v>
      </c>
      <c r="Z145" s="7" t="s">
        <v>320</v>
      </c>
      <c r="AA145" s="61">
        <v>0.73</v>
      </c>
      <c r="AB145" s="48" t="s">
        <v>2142</v>
      </c>
      <c r="AC145" s="40" t="s">
        <v>2139</v>
      </c>
      <c r="AD145" s="74" t="str">
        <f t="shared" si="100"/>
        <v>Link</v>
      </c>
      <c r="AE145" s="54">
        <v>14812</v>
      </c>
      <c r="AF145" s="54">
        <v>156</v>
      </c>
      <c r="AG145" s="7"/>
      <c r="AH145" s="56">
        <v>217484</v>
      </c>
      <c r="AI145" s="7"/>
      <c r="AJ145" s="7"/>
    </row>
    <row r="146" spans="1:36" ht="15" x14ac:dyDescent="0.2">
      <c r="A146" s="43" t="s">
        <v>1813</v>
      </c>
      <c r="B146" s="33" t="s">
        <v>2123</v>
      </c>
      <c r="C146" s="7" t="s">
        <v>67</v>
      </c>
      <c r="D146" s="7" t="s">
        <v>2160</v>
      </c>
      <c r="E146" s="44">
        <v>5</v>
      </c>
      <c r="F146" s="7"/>
      <c r="G146" s="7"/>
      <c r="H146" s="2" t="s">
        <v>2126</v>
      </c>
      <c r="I146" s="7" t="s">
        <v>635</v>
      </c>
      <c r="J146" s="7" t="s">
        <v>2161</v>
      </c>
      <c r="K146" s="7" t="s">
        <v>55</v>
      </c>
      <c r="L146" s="7" t="s">
        <v>2162</v>
      </c>
      <c r="M146" s="7" t="s">
        <v>2130</v>
      </c>
      <c r="N146" s="45" t="str">
        <f t="shared" si="98"/>
        <v>@RhodySoftball</v>
      </c>
      <c r="O146" s="74" t="str">
        <f t="shared" si="99"/>
        <v>Questionnaire</v>
      </c>
      <c r="P146" s="57" t="s">
        <v>2139</v>
      </c>
      <c r="Q146" s="57" t="s">
        <v>2123</v>
      </c>
      <c r="R146" s="7" t="s">
        <v>2140</v>
      </c>
      <c r="S146" s="60" t="s">
        <v>205</v>
      </c>
      <c r="T146" s="49" t="s">
        <v>74</v>
      </c>
      <c r="U146" s="7" t="s">
        <v>75</v>
      </c>
      <c r="V146" s="7"/>
      <c r="W146" s="50">
        <v>3.45</v>
      </c>
      <c r="X146" s="7" t="s">
        <v>2141</v>
      </c>
      <c r="Y146" s="7" t="s">
        <v>675</v>
      </c>
      <c r="Z146" s="7" t="s">
        <v>320</v>
      </c>
      <c r="AA146" s="61">
        <v>0.73</v>
      </c>
      <c r="AB146" s="48" t="s">
        <v>2142</v>
      </c>
      <c r="AC146" s="40" t="s">
        <v>2139</v>
      </c>
      <c r="AD146" s="74" t="str">
        <f t="shared" si="100"/>
        <v>Link</v>
      </c>
      <c r="AE146" s="54">
        <v>14812</v>
      </c>
      <c r="AF146" s="54">
        <v>156</v>
      </c>
      <c r="AG146" s="7"/>
      <c r="AH146" s="56">
        <v>217484</v>
      </c>
      <c r="AI146" s="7"/>
      <c r="AJ146" s="7"/>
    </row>
    <row r="147" spans="1:36" ht="15" x14ac:dyDescent="0.2">
      <c r="A147" s="43" t="s">
        <v>1813</v>
      </c>
      <c r="B147" s="33" t="s">
        <v>1304</v>
      </c>
      <c r="C147" s="7" t="s">
        <v>67</v>
      </c>
      <c r="D147" s="7" t="s">
        <v>2172</v>
      </c>
      <c r="E147" s="44">
        <v>5</v>
      </c>
      <c r="F147" s="7"/>
      <c r="G147" s="7"/>
      <c r="H147" s="2" t="s">
        <v>2173</v>
      </c>
      <c r="I147" s="7" t="s">
        <v>754</v>
      </c>
      <c r="J147" s="7" t="s">
        <v>2174</v>
      </c>
      <c r="K147" s="7" t="s">
        <v>48</v>
      </c>
      <c r="L147" s="7" t="s">
        <v>2175</v>
      </c>
      <c r="M147" s="7" t="s">
        <v>2176</v>
      </c>
      <c r="N147" s="45" t="str">
        <f t="shared" ref="N147:N149" si="101">HYPERLINK("twitter.com/bonniessoftball","@bonniessoftball")</f>
        <v>@bonniessoftball</v>
      </c>
      <c r="O147" s="74" t="str">
        <f t="shared" ref="O147:O149" si="102">HYPERLINK("https://college.jumpforward.com/questionnaire.aspx?iid=558&amp;sportid=31","Questionnaire")</f>
        <v>Questionnaire</v>
      </c>
      <c r="P147" s="57" t="s">
        <v>2184</v>
      </c>
      <c r="Q147" s="57" t="s">
        <v>1304</v>
      </c>
      <c r="R147" s="7" t="s">
        <v>2186</v>
      </c>
      <c r="S147" s="60" t="s">
        <v>205</v>
      </c>
      <c r="T147" s="49" t="s">
        <v>63</v>
      </c>
      <c r="U147" s="7" t="s">
        <v>343</v>
      </c>
      <c r="V147" s="7"/>
      <c r="W147" s="50">
        <v>3.4</v>
      </c>
      <c r="X147" s="7" t="s">
        <v>276</v>
      </c>
      <c r="Y147" s="7" t="s">
        <v>2189</v>
      </c>
      <c r="Z147" s="7" t="s">
        <v>2190</v>
      </c>
      <c r="AA147" s="80">
        <v>0.66</v>
      </c>
      <c r="AB147" s="71">
        <v>46004</v>
      </c>
      <c r="AC147" s="40" t="s">
        <v>2184</v>
      </c>
      <c r="AD147" s="74" t="str">
        <f t="shared" ref="AD147:AD149" si="103">HYPERLINK("http://www.sbu.edu/academics/programs-a-z-listings","Link")</f>
        <v>Link</v>
      </c>
      <c r="AE147" s="54">
        <v>1652</v>
      </c>
      <c r="AF147" s="55"/>
      <c r="AG147" s="7"/>
      <c r="AH147" s="56">
        <v>195164</v>
      </c>
      <c r="AI147" s="7"/>
      <c r="AJ147" s="7"/>
    </row>
    <row r="148" spans="1:36" ht="15" x14ac:dyDescent="0.2">
      <c r="A148" s="43" t="s">
        <v>1813</v>
      </c>
      <c r="B148" s="33" t="s">
        <v>1304</v>
      </c>
      <c r="C148" s="7" t="s">
        <v>67</v>
      </c>
      <c r="D148" s="7" t="s">
        <v>2198</v>
      </c>
      <c r="E148" s="44">
        <v>5</v>
      </c>
      <c r="F148" s="7"/>
      <c r="G148" s="7"/>
      <c r="H148" s="2" t="s">
        <v>2173</v>
      </c>
      <c r="I148" s="7" t="s">
        <v>2200</v>
      </c>
      <c r="J148" s="7" t="s">
        <v>2201</v>
      </c>
      <c r="K148" s="7" t="s">
        <v>55</v>
      </c>
      <c r="L148" s="7" t="s">
        <v>2202</v>
      </c>
      <c r="M148" s="7" t="s">
        <v>2176</v>
      </c>
      <c r="N148" s="45" t="str">
        <f t="shared" si="101"/>
        <v>@bonniessoftball</v>
      </c>
      <c r="O148" s="74" t="str">
        <f t="shared" si="102"/>
        <v>Questionnaire</v>
      </c>
      <c r="P148" s="57" t="s">
        <v>2184</v>
      </c>
      <c r="Q148" s="57" t="s">
        <v>1304</v>
      </c>
      <c r="R148" s="7" t="s">
        <v>2186</v>
      </c>
      <c r="S148" s="60" t="s">
        <v>205</v>
      </c>
      <c r="T148" s="49" t="s">
        <v>63</v>
      </c>
      <c r="U148" s="7" t="s">
        <v>343</v>
      </c>
      <c r="V148" s="7"/>
      <c r="W148" s="50">
        <v>3.4</v>
      </c>
      <c r="X148" s="7" t="s">
        <v>276</v>
      </c>
      <c r="Y148" s="7" t="s">
        <v>2189</v>
      </c>
      <c r="Z148" s="7" t="s">
        <v>2190</v>
      </c>
      <c r="AA148" s="80">
        <v>0.66</v>
      </c>
      <c r="AB148" s="71">
        <v>46004</v>
      </c>
      <c r="AC148" s="40" t="s">
        <v>2184</v>
      </c>
      <c r="AD148" s="74" t="str">
        <f t="shared" si="103"/>
        <v>Link</v>
      </c>
      <c r="AE148" s="54">
        <v>1652</v>
      </c>
      <c r="AF148" s="55"/>
      <c r="AG148" s="7"/>
      <c r="AH148" s="56">
        <v>195164</v>
      </c>
      <c r="AI148" s="7"/>
      <c r="AJ148" s="7"/>
    </row>
    <row r="149" spans="1:36" ht="15" x14ac:dyDescent="0.2">
      <c r="A149" s="43" t="s">
        <v>1813</v>
      </c>
      <c r="B149" s="33" t="s">
        <v>1304</v>
      </c>
      <c r="C149" s="7" t="s">
        <v>67</v>
      </c>
      <c r="D149" s="7" t="s">
        <v>2209</v>
      </c>
      <c r="E149" s="44">
        <v>5</v>
      </c>
      <c r="F149" s="7" t="s">
        <v>116</v>
      </c>
      <c r="G149" s="7"/>
      <c r="H149" s="2" t="s">
        <v>2173</v>
      </c>
      <c r="I149" s="7" t="s">
        <v>1902</v>
      </c>
      <c r="J149" s="7" t="s">
        <v>2210</v>
      </c>
      <c r="K149" s="7" t="s">
        <v>55</v>
      </c>
      <c r="L149" s="57" t="s">
        <v>2211</v>
      </c>
      <c r="M149" s="57" t="s">
        <v>2212</v>
      </c>
      <c r="N149" s="45" t="str">
        <f t="shared" si="101"/>
        <v>@bonniessoftball</v>
      </c>
      <c r="O149" s="74" t="str">
        <f t="shared" si="102"/>
        <v>Questionnaire</v>
      </c>
      <c r="P149" s="57" t="s">
        <v>2184</v>
      </c>
      <c r="Q149" s="57" t="s">
        <v>1304</v>
      </c>
      <c r="R149" s="7" t="s">
        <v>2186</v>
      </c>
      <c r="S149" s="60" t="s">
        <v>205</v>
      </c>
      <c r="T149" s="49" t="s">
        <v>63</v>
      </c>
      <c r="U149" s="7" t="s">
        <v>343</v>
      </c>
      <c r="V149" s="7"/>
      <c r="W149" s="50">
        <v>3.4</v>
      </c>
      <c r="X149" s="7" t="s">
        <v>276</v>
      </c>
      <c r="Y149" s="7" t="s">
        <v>2189</v>
      </c>
      <c r="Z149" s="7" t="s">
        <v>2190</v>
      </c>
      <c r="AA149" s="80">
        <v>0.66</v>
      </c>
      <c r="AB149" s="71">
        <v>46004</v>
      </c>
      <c r="AC149" s="40" t="s">
        <v>2184</v>
      </c>
      <c r="AD149" s="74" t="str">
        <f t="shared" si="103"/>
        <v>Link</v>
      </c>
      <c r="AE149" s="54">
        <v>1652</v>
      </c>
      <c r="AF149" s="55"/>
      <c r="AG149" s="7"/>
      <c r="AH149" s="56">
        <v>195164</v>
      </c>
      <c r="AI149" s="7"/>
      <c r="AJ149" s="7"/>
    </row>
    <row r="150" spans="1:36" ht="15" x14ac:dyDescent="0.2">
      <c r="A150" s="43" t="s">
        <v>1813</v>
      </c>
      <c r="B150" s="33" t="s">
        <v>1231</v>
      </c>
      <c r="C150" s="7" t="s">
        <v>67</v>
      </c>
      <c r="D150" s="7" t="s">
        <v>2217</v>
      </c>
      <c r="E150" s="44">
        <v>5</v>
      </c>
      <c r="F150" s="7"/>
      <c r="G150" s="7"/>
      <c r="H150" s="2" t="s">
        <v>2218</v>
      </c>
      <c r="I150" s="7" t="s">
        <v>338</v>
      </c>
      <c r="J150" s="7" t="s">
        <v>2219</v>
      </c>
      <c r="K150" s="7" t="s">
        <v>48</v>
      </c>
      <c r="L150" s="7" t="s">
        <v>2220</v>
      </c>
      <c r="M150" s="7" t="s">
        <v>2221</v>
      </c>
      <c r="N150" s="45" t="str">
        <f t="shared" ref="N150:N151" si="104">HYPERLINK("twitter.com/sjuhawks_sb","@sjuhawks_sb")</f>
        <v>@sjuhawks_sb</v>
      </c>
      <c r="O150" s="74" t="str">
        <f t="shared" ref="O150:O151" si="105">HYPERLINK("http://www.sjuhawks.com/ViewArticle.dbml?DB_OEM_ID=31200&amp;ATCLID=209257795","Questionnaire")</f>
        <v>Questionnaire</v>
      </c>
      <c r="P150" s="7" t="s">
        <v>2227</v>
      </c>
      <c r="Q150" s="57" t="s">
        <v>1231</v>
      </c>
      <c r="R150" s="7" t="s">
        <v>2043</v>
      </c>
      <c r="S150" s="48" t="s">
        <v>288</v>
      </c>
      <c r="T150" s="49" t="s">
        <v>63</v>
      </c>
      <c r="U150" s="7" t="s">
        <v>343</v>
      </c>
      <c r="V150" s="7"/>
      <c r="W150" s="50">
        <v>3.6</v>
      </c>
      <c r="X150" s="7" t="s">
        <v>2228</v>
      </c>
      <c r="Y150" s="7" t="s">
        <v>415</v>
      </c>
      <c r="Z150" s="7" t="s">
        <v>689</v>
      </c>
      <c r="AA150" s="81">
        <v>0.78</v>
      </c>
      <c r="AB150" s="71">
        <v>59574</v>
      </c>
      <c r="AC150" s="78" t="s">
        <v>2227</v>
      </c>
      <c r="AD150" s="74" t="str">
        <f t="shared" ref="AD150:AD151" si="106">HYPERLINK("https://www.sju.edu/majors-programs","Link")</f>
        <v>Link</v>
      </c>
      <c r="AE150" s="54">
        <v>5377</v>
      </c>
      <c r="AF150" s="55"/>
      <c r="AG150" s="7"/>
      <c r="AH150" s="56">
        <v>215770</v>
      </c>
      <c r="AI150" s="7"/>
      <c r="AJ150" s="7"/>
    </row>
    <row r="151" spans="1:36" ht="15" x14ac:dyDescent="0.2">
      <c r="A151" s="43" t="s">
        <v>1813</v>
      </c>
      <c r="B151" s="33" t="s">
        <v>1231</v>
      </c>
      <c r="C151" s="7" t="s">
        <v>67</v>
      </c>
      <c r="D151" s="7" t="s">
        <v>2237</v>
      </c>
      <c r="E151" s="44">
        <v>5</v>
      </c>
      <c r="F151" s="7"/>
      <c r="G151" s="7"/>
      <c r="H151" s="2" t="s">
        <v>2218</v>
      </c>
      <c r="I151" s="7" t="s">
        <v>453</v>
      </c>
      <c r="J151" s="7" t="s">
        <v>2238</v>
      </c>
      <c r="K151" s="7" t="s">
        <v>55</v>
      </c>
      <c r="L151" s="7" t="s">
        <v>2239</v>
      </c>
      <c r="M151" s="7" t="s">
        <v>2221</v>
      </c>
      <c r="N151" s="45" t="str">
        <f t="shared" si="104"/>
        <v>@sjuhawks_sb</v>
      </c>
      <c r="O151" s="74" t="str">
        <f t="shared" si="105"/>
        <v>Questionnaire</v>
      </c>
      <c r="P151" s="7" t="s">
        <v>2227</v>
      </c>
      <c r="Q151" s="57" t="s">
        <v>1231</v>
      </c>
      <c r="R151" s="7" t="s">
        <v>2043</v>
      </c>
      <c r="S151" s="48" t="s">
        <v>288</v>
      </c>
      <c r="T151" s="49" t="s">
        <v>63</v>
      </c>
      <c r="U151" s="7" t="s">
        <v>343</v>
      </c>
      <c r="V151" s="7"/>
      <c r="W151" s="50">
        <v>3.6</v>
      </c>
      <c r="X151" s="7" t="s">
        <v>2228</v>
      </c>
      <c r="Y151" s="7" t="s">
        <v>415</v>
      </c>
      <c r="Z151" s="7" t="s">
        <v>689</v>
      </c>
      <c r="AA151" s="81">
        <v>0.78</v>
      </c>
      <c r="AB151" s="71">
        <v>59574</v>
      </c>
      <c r="AC151" s="78" t="s">
        <v>2227</v>
      </c>
      <c r="AD151" s="74" t="str">
        <f t="shared" si="106"/>
        <v>Link</v>
      </c>
      <c r="AE151" s="54">
        <v>5377</v>
      </c>
      <c r="AF151" s="55"/>
      <c r="AG151" s="7"/>
      <c r="AH151" s="56">
        <v>215770</v>
      </c>
      <c r="AI151" s="7"/>
      <c r="AJ151" s="7"/>
    </row>
    <row r="152" spans="1:36" ht="15" x14ac:dyDescent="0.2">
      <c r="A152" s="43" t="s">
        <v>1813</v>
      </c>
      <c r="B152" s="33" t="s">
        <v>2246</v>
      </c>
      <c r="C152" s="7" t="s">
        <v>67</v>
      </c>
      <c r="D152" s="7" t="s">
        <v>2247</v>
      </c>
      <c r="E152" s="44">
        <v>5</v>
      </c>
      <c r="F152" s="7"/>
      <c r="G152" s="7"/>
      <c r="H152" s="2" t="s">
        <v>2248</v>
      </c>
      <c r="I152" s="7" t="s">
        <v>2249</v>
      </c>
      <c r="J152" s="7" t="s">
        <v>2250</v>
      </c>
      <c r="K152" s="7" t="s">
        <v>48</v>
      </c>
      <c r="L152" s="7" t="s">
        <v>2251</v>
      </c>
      <c r="M152" s="7" t="s">
        <v>2252</v>
      </c>
      <c r="N152" s="45" t="str">
        <f t="shared" ref="N152:N155" si="107">HYPERLINK("twitter.com/slusoftball","@slusoftball")</f>
        <v>@slusoftball</v>
      </c>
      <c r="O152" s="74" t="str">
        <f t="shared" ref="O152:O155" si="108">HYPERLINK("http://www.slubillikens.com/ViewArticle.dbml?DB_OEM_ID=27200&amp;ATCLID=205420289","Questionnaire")</f>
        <v>Questionnaire</v>
      </c>
      <c r="P152" s="36" t="s">
        <v>2259</v>
      </c>
      <c r="Q152" s="36" t="s">
        <v>2246</v>
      </c>
      <c r="R152" s="7" t="s">
        <v>2259</v>
      </c>
      <c r="S152" s="48" t="s">
        <v>354</v>
      </c>
      <c r="T152" s="73" t="s">
        <v>63</v>
      </c>
      <c r="U152" s="7" t="s">
        <v>343</v>
      </c>
      <c r="V152" s="7"/>
      <c r="W152" s="50">
        <v>3.89</v>
      </c>
      <c r="X152" s="7" t="s">
        <v>2260</v>
      </c>
      <c r="Y152" s="7" t="s">
        <v>1685</v>
      </c>
      <c r="Z152" s="7" t="s">
        <v>81</v>
      </c>
      <c r="AA152" s="61">
        <v>0.65</v>
      </c>
      <c r="AB152" s="71">
        <v>56014</v>
      </c>
      <c r="AC152" s="82" t="s">
        <v>2259</v>
      </c>
      <c r="AD152" s="74" t="str">
        <f t="shared" ref="AD152:AD155" si="109">HYPERLINK("https://www.slu.edu/programs/undergraduate/index.php","Link")</f>
        <v>Link</v>
      </c>
      <c r="AE152" s="54">
        <v>11779</v>
      </c>
      <c r="AF152" s="54">
        <v>94</v>
      </c>
      <c r="AG152" s="7"/>
      <c r="AH152" s="56">
        <v>179159</v>
      </c>
      <c r="AI152" s="7"/>
      <c r="AJ152" s="7"/>
    </row>
    <row r="153" spans="1:36" ht="15" x14ac:dyDescent="0.2">
      <c r="A153" s="43" t="s">
        <v>1813</v>
      </c>
      <c r="B153" s="33" t="s">
        <v>2246</v>
      </c>
      <c r="C153" s="7" t="s">
        <v>67</v>
      </c>
      <c r="D153" s="7" t="s">
        <v>2268</v>
      </c>
      <c r="E153" s="44">
        <v>5</v>
      </c>
      <c r="F153" s="7"/>
      <c r="G153" s="7"/>
      <c r="H153" s="2" t="s">
        <v>2248</v>
      </c>
      <c r="I153" s="7" t="s">
        <v>1041</v>
      </c>
      <c r="J153" s="7" t="s">
        <v>2269</v>
      </c>
      <c r="K153" s="7" t="s">
        <v>55</v>
      </c>
      <c r="L153" s="7" t="s">
        <v>2270</v>
      </c>
      <c r="M153" s="7" t="s">
        <v>2272</v>
      </c>
      <c r="N153" s="45" t="str">
        <f t="shared" si="107"/>
        <v>@slusoftball</v>
      </c>
      <c r="O153" s="74" t="str">
        <f t="shared" si="108"/>
        <v>Questionnaire</v>
      </c>
      <c r="P153" s="36" t="s">
        <v>2259</v>
      </c>
      <c r="Q153" s="36" t="s">
        <v>2246</v>
      </c>
      <c r="R153" s="7" t="s">
        <v>2259</v>
      </c>
      <c r="S153" s="48" t="s">
        <v>354</v>
      </c>
      <c r="T153" s="73" t="s">
        <v>63</v>
      </c>
      <c r="U153" s="7" t="s">
        <v>343</v>
      </c>
      <c r="V153" s="7"/>
      <c r="W153" s="50">
        <v>3.89</v>
      </c>
      <c r="X153" s="7" t="s">
        <v>2260</v>
      </c>
      <c r="Y153" s="7" t="s">
        <v>1685</v>
      </c>
      <c r="Z153" s="7" t="s">
        <v>81</v>
      </c>
      <c r="AA153" s="61">
        <v>0.65</v>
      </c>
      <c r="AB153" s="71">
        <v>56014</v>
      </c>
      <c r="AC153" s="82" t="s">
        <v>2259</v>
      </c>
      <c r="AD153" s="74" t="str">
        <f t="shared" si="109"/>
        <v>Link</v>
      </c>
      <c r="AE153" s="54">
        <v>11779</v>
      </c>
      <c r="AF153" s="54">
        <v>94</v>
      </c>
      <c r="AG153" s="7"/>
      <c r="AH153" s="56">
        <v>179159</v>
      </c>
      <c r="AI153" s="7"/>
      <c r="AJ153" s="7"/>
    </row>
    <row r="154" spans="1:36" ht="15" x14ac:dyDescent="0.2">
      <c r="A154" s="43" t="s">
        <v>1813</v>
      </c>
      <c r="B154" s="33" t="s">
        <v>2246</v>
      </c>
      <c r="C154" s="7" t="s">
        <v>67</v>
      </c>
      <c r="D154" s="7" t="s">
        <v>2276</v>
      </c>
      <c r="E154" s="44">
        <v>5</v>
      </c>
      <c r="F154" s="7"/>
      <c r="G154" s="7"/>
      <c r="H154" s="2" t="s">
        <v>2248</v>
      </c>
      <c r="I154" s="7" t="s">
        <v>2279</v>
      </c>
      <c r="J154" s="7" t="s">
        <v>1934</v>
      </c>
      <c r="K154" s="7" t="s">
        <v>55</v>
      </c>
      <c r="L154" s="7" t="s">
        <v>2281</v>
      </c>
      <c r="M154" s="7" t="s">
        <v>2283</v>
      </c>
      <c r="N154" s="45" t="str">
        <f t="shared" si="107"/>
        <v>@slusoftball</v>
      </c>
      <c r="O154" s="74" t="str">
        <f t="shared" si="108"/>
        <v>Questionnaire</v>
      </c>
      <c r="P154" s="36" t="s">
        <v>2259</v>
      </c>
      <c r="Q154" s="36" t="s">
        <v>2246</v>
      </c>
      <c r="R154" s="7" t="s">
        <v>2259</v>
      </c>
      <c r="S154" s="48" t="s">
        <v>354</v>
      </c>
      <c r="T154" s="73" t="s">
        <v>63</v>
      </c>
      <c r="U154" s="7" t="s">
        <v>343</v>
      </c>
      <c r="V154" s="7"/>
      <c r="W154" s="50">
        <v>3.89</v>
      </c>
      <c r="X154" s="7" t="s">
        <v>2260</v>
      </c>
      <c r="Y154" s="7" t="s">
        <v>1685</v>
      </c>
      <c r="Z154" s="7" t="s">
        <v>81</v>
      </c>
      <c r="AA154" s="61">
        <v>0.65</v>
      </c>
      <c r="AB154" s="71">
        <v>56014</v>
      </c>
      <c r="AC154" s="82" t="s">
        <v>2259</v>
      </c>
      <c r="AD154" s="74" t="str">
        <f t="shared" si="109"/>
        <v>Link</v>
      </c>
      <c r="AE154" s="54">
        <v>11779</v>
      </c>
      <c r="AF154" s="54">
        <v>94</v>
      </c>
      <c r="AG154" s="7"/>
      <c r="AH154" s="56">
        <v>179159</v>
      </c>
      <c r="AI154" s="7"/>
      <c r="AJ154" s="7"/>
    </row>
    <row r="155" spans="1:36" ht="15" x14ac:dyDescent="0.2">
      <c r="A155" s="43" t="s">
        <v>1813</v>
      </c>
      <c r="B155" s="33" t="s">
        <v>2246</v>
      </c>
      <c r="C155" s="7" t="s">
        <v>67</v>
      </c>
      <c r="D155" s="7" t="s">
        <v>2285</v>
      </c>
      <c r="E155" s="44">
        <v>5</v>
      </c>
      <c r="F155" s="7"/>
      <c r="G155" s="7" t="s">
        <v>126</v>
      </c>
      <c r="H155" s="2" t="s">
        <v>2248</v>
      </c>
      <c r="I155" s="7" t="s">
        <v>2287</v>
      </c>
      <c r="J155" s="7"/>
      <c r="K155" s="7"/>
      <c r="L155" s="7"/>
      <c r="M155" s="7"/>
      <c r="N155" s="45" t="str">
        <f t="shared" si="107"/>
        <v>@slusoftball</v>
      </c>
      <c r="O155" s="74" t="str">
        <f t="shared" si="108"/>
        <v>Questionnaire</v>
      </c>
      <c r="P155" s="36" t="s">
        <v>2259</v>
      </c>
      <c r="Q155" s="36" t="s">
        <v>2246</v>
      </c>
      <c r="R155" s="7" t="s">
        <v>2259</v>
      </c>
      <c r="S155" s="48" t="s">
        <v>354</v>
      </c>
      <c r="T155" s="73" t="s">
        <v>63</v>
      </c>
      <c r="U155" s="7" t="s">
        <v>343</v>
      </c>
      <c r="V155" s="7"/>
      <c r="W155" s="50">
        <v>3.89</v>
      </c>
      <c r="X155" s="7" t="s">
        <v>2260</v>
      </c>
      <c r="Y155" s="7" t="s">
        <v>1685</v>
      </c>
      <c r="Z155" s="7" t="s">
        <v>81</v>
      </c>
      <c r="AA155" s="61">
        <v>0.65</v>
      </c>
      <c r="AB155" s="71">
        <v>56014</v>
      </c>
      <c r="AC155" s="82" t="s">
        <v>2259</v>
      </c>
      <c r="AD155" s="74" t="str">
        <f t="shared" si="109"/>
        <v>Link</v>
      </c>
      <c r="AE155" s="54">
        <v>11779</v>
      </c>
      <c r="AF155" s="54">
        <v>94</v>
      </c>
      <c r="AG155" s="7"/>
      <c r="AH155" s="56">
        <v>179159</v>
      </c>
      <c r="AI155" s="7"/>
      <c r="AJ155" s="7"/>
    </row>
    <row r="156" spans="1:36" ht="15" x14ac:dyDescent="0.2">
      <c r="A156" s="43" t="s">
        <v>2298</v>
      </c>
      <c r="B156" s="33" t="s">
        <v>66</v>
      </c>
      <c r="C156" s="7" t="s">
        <v>67</v>
      </c>
      <c r="D156" s="7" t="s">
        <v>2299</v>
      </c>
      <c r="E156" s="44">
        <v>5</v>
      </c>
      <c r="F156" s="7"/>
      <c r="G156" s="7"/>
      <c r="H156" s="2" t="s">
        <v>2300</v>
      </c>
      <c r="I156" s="7" t="s">
        <v>728</v>
      </c>
      <c r="J156" s="7" t="s">
        <v>2301</v>
      </c>
      <c r="K156" s="7" t="s">
        <v>48</v>
      </c>
      <c r="L156" s="7" t="s">
        <v>2302</v>
      </c>
      <c r="M156" s="7" t="s">
        <v>2303</v>
      </c>
      <c r="N156" s="45" t="str">
        <f>HYPERLINK("twitter.com/FGCUSBDeiros","@FGCUSBDeiros")</f>
        <v>@FGCUSBDeiros</v>
      </c>
      <c r="O156" s="74" t="str">
        <f t="shared" ref="O156:O158" si="110">HYPERLINK("https://fgcuathletics.com/sb_output.aspx?form=15&amp;path=softball","Questionnaire")</f>
        <v>Questionnaire</v>
      </c>
      <c r="P156" s="57" t="s">
        <v>2311</v>
      </c>
      <c r="Q156" s="57" t="s">
        <v>66</v>
      </c>
      <c r="R156" s="7" t="s">
        <v>2313</v>
      </c>
      <c r="S156" s="48" t="s">
        <v>238</v>
      </c>
      <c r="T156" s="49" t="s">
        <v>74</v>
      </c>
      <c r="U156" s="7" t="s">
        <v>75</v>
      </c>
      <c r="V156" s="7"/>
      <c r="W156" s="50">
        <v>3.83</v>
      </c>
      <c r="X156" s="7" t="s">
        <v>2315</v>
      </c>
      <c r="Y156" s="7" t="s">
        <v>77</v>
      </c>
      <c r="Z156" s="7" t="s">
        <v>1510</v>
      </c>
      <c r="AA156" s="61">
        <v>0.56000000000000005</v>
      </c>
      <c r="AB156" s="48" t="s">
        <v>2319</v>
      </c>
      <c r="AC156" s="40" t="s">
        <v>2311</v>
      </c>
      <c r="AD156" s="74" t="str">
        <f t="shared" ref="AD156:AD158" si="111">HYPERLINK("https://www2.fgcu.edu/Catalog/ulist.asp","Link")</f>
        <v>Link</v>
      </c>
      <c r="AE156" s="54">
        <v>13733</v>
      </c>
      <c r="AF156" s="55"/>
      <c r="AG156" s="7"/>
      <c r="AH156" s="56">
        <v>433660</v>
      </c>
      <c r="AI156" s="7"/>
      <c r="AJ156" s="7"/>
    </row>
    <row r="157" spans="1:36" ht="15" x14ac:dyDescent="0.2">
      <c r="A157" s="43" t="s">
        <v>2298</v>
      </c>
      <c r="B157" s="33" t="s">
        <v>66</v>
      </c>
      <c r="C157" s="7" t="s">
        <v>67</v>
      </c>
      <c r="D157" s="7" t="s">
        <v>2321</v>
      </c>
      <c r="E157" s="44">
        <v>5</v>
      </c>
      <c r="F157" s="7"/>
      <c r="G157" s="7"/>
      <c r="H157" s="2" t="s">
        <v>2300</v>
      </c>
      <c r="I157" s="7" t="s">
        <v>1217</v>
      </c>
      <c r="J157" s="7" t="s">
        <v>2324</v>
      </c>
      <c r="K157" s="7" t="s">
        <v>55</v>
      </c>
      <c r="L157" s="7" t="s">
        <v>2326</v>
      </c>
      <c r="M157" s="7" t="s">
        <v>2328</v>
      </c>
      <c r="N157" s="45" t="str">
        <f t="shared" ref="N157:N158" si="112">HYPERLINK("twitter.com/FGCU_Softball","@FGCU_Softball")</f>
        <v>@FGCU_Softball</v>
      </c>
      <c r="O157" s="74" t="str">
        <f t="shared" si="110"/>
        <v>Questionnaire</v>
      </c>
      <c r="P157" s="57" t="s">
        <v>2311</v>
      </c>
      <c r="Q157" s="57" t="s">
        <v>66</v>
      </c>
      <c r="R157" s="7" t="s">
        <v>2313</v>
      </c>
      <c r="S157" s="48" t="s">
        <v>238</v>
      </c>
      <c r="T157" s="49" t="s">
        <v>74</v>
      </c>
      <c r="U157" s="7" t="s">
        <v>75</v>
      </c>
      <c r="V157" s="7"/>
      <c r="W157" s="50">
        <v>3.83</v>
      </c>
      <c r="X157" s="7" t="s">
        <v>2315</v>
      </c>
      <c r="Y157" s="7" t="s">
        <v>77</v>
      </c>
      <c r="Z157" s="7" t="s">
        <v>1510</v>
      </c>
      <c r="AA157" s="61">
        <v>0.56000000000000005</v>
      </c>
      <c r="AB157" s="48" t="s">
        <v>2319</v>
      </c>
      <c r="AC157" s="40" t="s">
        <v>2311</v>
      </c>
      <c r="AD157" s="74" t="str">
        <f t="shared" si="111"/>
        <v>Link</v>
      </c>
      <c r="AE157" s="54">
        <v>13733</v>
      </c>
      <c r="AF157" s="55"/>
      <c r="AG157" s="7"/>
      <c r="AH157" s="56">
        <v>433660</v>
      </c>
      <c r="AI157" s="7"/>
      <c r="AJ157" s="7"/>
    </row>
    <row r="158" spans="1:36" ht="15" x14ac:dyDescent="0.2">
      <c r="A158" s="43" t="s">
        <v>2298</v>
      </c>
      <c r="B158" s="33" t="s">
        <v>66</v>
      </c>
      <c r="C158" s="7" t="s">
        <v>67</v>
      </c>
      <c r="D158" s="7" t="s">
        <v>2334</v>
      </c>
      <c r="E158" s="44">
        <v>5</v>
      </c>
      <c r="F158" s="7"/>
      <c r="G158" s="7"/>
      <c r="H158" s="2" t="s">
        <v>2300</v>
      </c>
      <c r="I158" s="7" t="s">
        <v>1735</v>
      </c>
      <c r="J158" s="7" t="s">
        <v>2335</v>
      </c>
      <c r="K158" s="7" t="s">
        <v>55</v>
      </c>
      <c r="L158" s="7" t="s">
        <v>2337</v>
      </c>
      <c r="M158" s="7" t="s">
        <v>2328</v>
      </c>
      <c r="N158" s="45" t="str">
        <f t="shared" si="112"/>
        <v>@FGCU_Softball</v>
      </c>
      <c r="O158" s="74" t="str">
        <f t="shared" si="110"/>
        <v>Questionnaire</v>
      </c>
      <c r="P158" s="57" t="s">
        <v>2311</v>
      </c>
      <c r="Q158" s="57" t="s">
        <v>66</v>
      </c>
      <c r="R158" s="7" t="s">
        <v>2313</v>
      </c>
      <c r="S158" s="48" t="s">
        <v>238</v>
      </c>
      <c r="T158" s="49" t="s">
        <v>74</v>
      </c>
      <c r="U158" s="7" t="s">
        <v>75</v>
      </c>
      <c r="V158" s="7"/>
      <c r="W158" s="50">
        <v>3.83</v>
      </c>
      <c r="X158" s="7" t="s">
        <v>2315</v>
      </c>
      <c r="Y158" s="7" t="s">
        <v>77</v>
      </c>
      <c r="Z158" s="7" t="s">
        <v>1510</v>
      </c>
      <c r="AA158" s="61">
        <v>0.56000000000000005</v>
      </c>
      <c r="AB158" s="48" t="s">
        <v>2319</v>
      </c>
      <c r="AC158" s="40" t="s">
        <v>2311</v>
      </c>
      <c r="AD158" s="74" t="str">
        <f t="shared" si="111"/>
        <v>Link</v>
      </c>
      <c r="AE158" s="54">
        <v>13733</v>
      </c>
      <c r="AF158" s="55"/>
      <c r="AG158" s="7"/>
      <c r="AH158" s="56">
        <v>433660</v>
      </c>
      <c r="AI158" s="7"/>
      <c r="AJ158" s="7"/>
    </row>
    <row r="159" spans="1:36" ht="15" x14ac:dyDescent="0.2">
      <c r="A159" s="43" t="s">
        <v>2298</v>
      </c>
      <c r="B159" s="33" t="s">
        <v>66</v>
      </c>
      <c r="C159" s="7" t="s">
        <v>67</v>
      </c>
      <c r="D159" s="7" t="s">
        <v>2346</v>
      </c>
      <c r="E159" s="44">
        <v>5</v>
      </c>
      <c r="F159" s="7"/>
      <c r="G159" s="7"/>
      <c r="H159" s="2" t="s">
        <v>2347</v>
      </c>
      <c r="I159" s="7" t="s">
        <v>2348</v>
      </c>
      <c r="J159" s="7" t="s">
        <v>2350</v>
      </c>
      <c r="K159" s="7" t="s">
        <v>48</v>
      </c>
      <c r="L159" s="7" t="s">
        <v>2353</v>
      </c>
      <c r="M159" s="7" t="s">
        <v>2354</v>
      </c>
      <c r="N159" s="45" t="str">
        <f t="shared" ref="N159:N162" si="113">HYPERLINK("twitter.com/jax_softball","@jax_softball")</f>
        <v>@jax_softball</v>
      </c>
      <c r="O159" s="7" t="s">
        <v>22</v>
      </c>
      <c r="P159" s="7" t="s">
        <v>2146</v>
      </c>
      <c r="Q159" s="57" t="s">
        <v>66</v>
      </c>
      <c r="R159" s="7" t="s">
        <v>2146</v>
      </c>
      <c r="S159" s="48" t="s">
        <v>354</v>
      </c>
      <c r="T159" s="49" t="s">
        <v>74</v>
      </c>
      <c r="U159" s="7" t="s">
        <v>75</v>
      </c>
      <c r="V159" s="7"/>
      <c r="W159" s="50">
        <v>3.18</v>
      </c>
      <c r="X159" s="7" t="s">
        <v>1029</v>
      </c>
      <c r="Y159" s="7" t="s">
        <v>1029</v>
      </c>
      <c r="Z159" s="7" t="s">
        <v>746</v>
      </c>
      <c r="AA159" s="61">
        <v>0.49</v>
      </c>
      <c r="AB159" s="71">
        <v>51513</v>
      </c>
      <c r="AC159" s="78" t="s">
        <v>2146</v>
      </c>
      <c r="AD159" s="74" t="str">
        <f t="shared" ref="AD159:AD162" si="114">HYPERLINK("https://www.ju.edu/academicadvising/guide-sheets.php","Link")</f>
        <v>Link</v>
      </c>
      <c r="AE159" s="54">
        <v>2889</v>
      </c>
      <c r="AF159" s="55"/>
      <c r="AG159" s="7"/>
      <c r="AH159" s="56">
        <v>225876</v>
      </c>
      <c r="AI159" s="7"/>
      <c r="AJ159" s="7"/>
    </row>
    <row r="160" spans="1:36" ht="15" x14ac:dyDescent="0.2">
      <c r="A160" s="43" t="s">
        <v>2298</v>
      </c>
      <c r="B160" s="33" t="s">
        <v>66</v>
      </c>
      <c r="C160" s="7" t="s">
        <v>67</v>
      </c>
      <c r="D160" s="7" t="s">
        <v>2360</v>
      </c>
      <c r="E160" s="44">
        <v>5</v>
      </c>
      <c r="F160" s="7"/>
      <c r="G160" s="7"/>
      <c r="H160" s="2" t="s">
        <v>2347</v>
      </c>
      <c r="I160" s="7" t="s">
        <v>1875</v>
      </c>
      <c r="J160" s="7" t="s">
        <v>2361</v>
      </c>
      <c r="K160" s="7" t="s">
        <v>55</v>
      </c>
      <c r="L160" s="7" t="s">
        <v>2363</v>
      </c>
      <c r="M160" s="7"/>
      <c r="N160" s="45" t="str">
        <f t="shared" si="113"/>
        <v>@jax_softball</v>
      </c>
      <c r="O160" s="7" t="s">
        <v>22</v>
      </c>
      <c r="P160" s="7" t="s">
        <v>2146</v>
      </c>
      <c r="Q160" s="57" t="s">
        <v>66</v>
      </c>
      <c r="R160" s="7" t="s">
        <v>2146</v>
      </c>
      <c r="S160" s="48" t="s">
        <v>354</v>
      </c>
      <c r="T160" s="49" t="s">
        <v>74</v>
      </c>
      <c r="U160" s="7" t="s">
        <v>75</v>
      </c>
      <c r="V160" s="7"/>
      <c r="W160" s="50">
        <v>3.18</v>
      </c>
      <c r="X160" s="7" t="s">
        <v>1029</v>
      </c>
      <c r="Y160" s="7" t="s">
        <v>1029</v>
      </c>
      <c r="Z160" s="7" t="s">
        <v>746</v>
      </c>
      <c r="AA160" s="61">
        <v>0.49</v>
      </c>
      <c r="AB160" s="71">
        <v>51513</v>
      </c>
      <c r="AC160" s="78" t="s">
        <v>2146</v>
      </c>
      <c r="AD160" s="74" t="str">
        <f t="shared" si="114"/>
        <v>Link</v>
      </c>
      <c r="AE160" s="54">
        <v>2889</v>
      </c>
      <c r="AF160" s="55"/>
      <c r="AG160" s="7"/>
      <c r="AH160" s="56">
        <v>225876</v>
      </c>
      <c r="AI160" s="7"/>
      <c r="AJ160" s="7"/>
    </row>
    <row r="161" spans="1:36" ht="15" x14ac:dyDescent="0.2">
      <c r="A161" s="43" t="s">
        <v>2298</v>
      </c>
      <c r="B161" s="33" t="s">
        <v>66</v>
      </c>
      <c r="C161" s="7" t="s">
        <v>67</v>
      </c>
      <c r="D161" s="7" t="s">
        <v>2369</v>
      </c>
      <c r="E161" s="44">
        <v>5</v>
      </c>
      <c r="F161" s="7" t="s">
        <v>116</v>
      </c>
      <c r="G161" s="7"/>
      <c r="H161" s="2" t="s">
        <v>2347</v>
      </c>
      <c r="I161" s="7" t="s">
        <v>222</v>
      </c>
      <c r="J161" s="7" t="s">
        <v>2370</v>
      </c>
      <c r="K161" s="7" t="s">
        <v>120</v>
      </c>
      <c r="L161" s="57" t="s">
        <v>2371</v>
      </c>
      <c r="M161" s="7"/>
      <c r="N161" s="45" t="str">
        <f t="shared" si="113"/>
        <v>@jax_softball</v>
      </c>
      <c r="O161" s="7" t="s">
        <v>22</v>
      </c>
      <c r="P161" s="7" t="s">
        <v>2146</v>
      </c>
      <c r="Q161" s="57" t="s">
        <v>66</v>
      </c>
      <c r="R161" s="7" t="s">
        <v>2146</v>
      </c>
      <c r="S161" s="48" t="s">
        <v>354</v>
      </c>
      <c r="T161" s="49" t="s">
        <v>74</v>
      </c>
      <c r="U161" s="7" t="s">
        <v>75</v>
      </c>
      <c r="V161" s="7"/>
      <c r="W161" s="50">
        <v>3.18</v>
      </c>
      <c r="X161" s="7" t="s">
        <v>1029</v>
      </c>
      <c r="Y161" s="7" t="s">
        <v>1029</v>
      </c>
      <c r="Z161" s="7" t="s">
        <v>746</v>
      </c>
      <c r="AA161" s="61">
        <v>0.49</v>
      </c>
      <c r="AB161" s="71">
        <v>51513</v>
      </c>
      <c r="AC161" s="78" t="s">
        <v>2146</v>
      </c>
      <c r="AD161" s="74" t="str">
        <f t="shared" si="114"/>
        <v>Link</v>
      </c>
      <c r="AE161" s="54">
        <v>2889</v>
      </c>
      <c r="AF161" s="55"/>
      <c r="AG161" s="7"/>
      <c r="AH161" s="56">
        <v>225876</v>
      </c>
      <c r="AI161" s="7"/>
      <c r="AJ161" s="7"/>
    </row>
    <row r="162" spans="1:36" ht="15" x14ac:dyDescent="0.2">
      <c r="A162" s="43" t="s">
        <v>2298</v>
      </c>
      <c r="B162" s="33" t="s">
        <v>66</v>
      </c>
      <c r="C162" s="7" t="s">
        <v>67</v>
      </c>
      <c r="D162" s="7" t="s">
        <v>2376</v>
      </c>
      <c r="E162" s="44">
        <v>5</v>
      </c>
      <c r="F162" s="7"/>
      <c r="G162" s="7"/>
      <c r="H162" s="2" t="s">
        <v>2347</v>
      </c>
      <c r="I162" s="7" t="s">
        <v>2377</v>
      </c>
      <c r="J162" s="7" t="s">
        <v>2378</v>
      </c>
      <c r="K162" s="7" t="s">
        <v>139</v>
      </c>
      <c r="L162" s="7" t="s">
        <v>2379</v>
      </c>
      <c r="M162" s="7"/>
      <c r="N162" s="45" t="str">
        <f t="shared" si="113"/>
        <v>@jax_softball</v>
      </c>
      <c r="O162" s="7" t="s">
        <v>22</v>
      </c>
      <c r="P162" s="7" t="s">
        <v>2146</v>
      </c>
      <c r="Q162" s="57" t="s">
        <v>66</v>
      </c>
      <c r="R162" s="7" t="s">
        <v>2146</v>
      </c>
      <c r="S162" s="48" t="s">
        <v>354</v>
      </c>
      <c r="T162" s="49" t="s">
        <v>74</v>
      </c>
      <c r="U162" s="7" t="s">
        <v>75</v>
      </c>
      <c r="V162" s="7"/>
      <c r="W162" s="50">
        <v>3.18</v>
      </c>
      <c r="X162" s="7" t="s">
        <v>1029</v>
      </c>
      <c r="Y162" s="7" t="s">
        <v>1029</v>
      </c>
      <c r="Z162" s="7" t="s">
        <v>746</v>
      </c>
      <c r="AA162" s="61">
        <v>0.49</v>
      </c>
      <c r="AB162" s="71">
        <v>51513</v>
      </c>
      <c r="AC162" s="78" t="s">
        <v>2146</v>
      </c>
      <c r="AD162" s="74" t="str">
        <f t="shared" si="114"/>
        <v>Link</v>
      </c>
      <c r="AE162" s="54">
        <v>2889</v>
      </c>
      <c r="AF162" s="55"/>
      <c r="AG162" s="7"/>
      <c r="AH162" s="56">
        <v>225876</v>
      </c>
      <c r="AI162" s="7"/>
      <c r="AJ162" s="7"/>
    </row>
    <row r="163" spans="1:36" ht="15" x14ac:dyDescent="0.2">
      <c r="A163" s="43" t="s">
        <v>2298</v>
      </c>
      <c r="B163" s="33" t="s">
        <v>871</v>
      </c>
      <c r="C163" s="7" t="s">
        <v>67</v>
      </c>
      <c r="D163" s="7" t="s">
        <v>2387</v>
      </c>
      <c r="E163" s="44">
        <v>5</v>
      </c>
      <c r="F163" s="7"/>
      <c r="G163" s="7"/>
      <c r="H163" s="2" t="s">
        <v>2389</v>
      </c>
      <c r="I163" s="7" t="s">
        <v>2390</v>
      </c>
      <c r="J163" s="7" t="s">
        <v>2391</v>
      </c>
      <c r="K163" s="7" t="s">
        <v>48</v>
      </c>
      <c r="L163" s="7" t="s">
        <v>2392</v>
      </c>
      <c r="M163" s="7" t="s">
        <v>2393</v>
      </c>
      <c r="N163" s="45" t="str">
        <f t="shared" ref="N163:N166" si="115">HYPERLINK("twitter.com/KSUOwlsSB","@KSUOwlsSB")</f>
        <v>@KSUOwlsSB</v>
      </c>
      <c r="O163" s="7" t="s">
        <v>22</v>
      </c>
      <c r="P163" s="7" t="s">
        <v>2397</v>
      </c>
      <c r="Q163" s="57" t="s">
        <v>871</v>
      </c>
      <c r="R163" s="7" t="s">
        <v>2398</v>
      </c>
      <c r="S163" s="48" t="s">
        <v>468</v>
      </c>
      <c r="T163" s="49" t="s">
        <v>74</v>
      </c>
      <c r="U163" s="7" t="s">
        <v>75</v>
      </c>
      <c r="V163" s="7"/>
      <c r="W163" s="50">
        <v>3.31</v>
      </c>
      <c r="X163" s="7" t="s">
        <v>345</v>
      </c>
      <c r="Y163" s="7" t="s">
        <v>345</v>
      </c>
      <c r="Z163" s="7" t="s">
        <v>1650</v>
      </c>
      <c r="AA163" s="61">
        <v>0.59</v>
      </c>
      <c r="AB163" s="48" t="s">
        <v>2399</v>
      </c>
      <c r="AC163" s="78" t="s">
        <v>2397</v>
      </c>
      <c r="AD163" s="74" t="str">
        <f t="shared" ref="AD163:AD166" si="116">HYPERLINK("http://www.kennesaw.edu/majorsprograms.php","Link")</f>
        <v>Link</v>
      </c>
      <c r="AE163" s="54">
        <v>32166</v>
      </c>
      <c r="AF163" s="55"/>
      <c r="AG163" s="7"/>
      <c r="AH163" s="56">
        <v>140164</v>
      </c>
      <c r="AI163" s="7"/>
      <c r="AJ163" s="7"/>
    </row>
    <row r="164" spans="1:36" ht="15" x14ac:dyDescent="0.2">
      <c r="A164" s="43" t="s">
        <v>2298</v>
      </c>
      <c r="B164" s="33" t="s">
        <v>871</v>
      </c>
      <c r="C164" s="7" t="s">
        <v>67</v>
      </c>
      <c r="D164" s="7" t="s">
        <v>2400</v>
      </c>
      <c r="E164" s="44">
        <v>5</v>
      </c>
      <c r="F164" s="7"/>
      <c r="G164" s="7"/>
      <c r="H164" s="2" t="s">
        <v>2389</v>
      </c>
      <c r="I164" s="7" t="s">
        <v>2402</v>
      </c>
      <c r="J164" s="7" t="s">
        <v>2403</v>
      </c>
      <c r="K164" s="7" t="s">
        <v>55</v>
      </c>
      <c r="L164" s="7" t="s">
        <v>2406</v>
      </c>
      <c r="M164" s="7" t="s">
        <v>2409</v>
      </c>
      <c r="N164" s="45" t="str">
        <f t="shared" si="115"/>
        <v>@KSUOwlsSB</v>
      </c>
      <c r="O164" s="7" t="s">
        <v>22</v>
      </c>
      <c r="P164" s="7" t="s">
        <v>2397</v>
      </c>
      <c r="Q164" s="57" t="s">
        <v>871</v>
      </c>
      <c r="R164" s="7" t="s">
        <v>2398</v>
      </c>
      <c r="S164" s="48" t="s">
        <v>468</v>
      </c>
      <c r="T164" s="49" t="s">
        <v>74</v>
      </c>
      <c r="U164" s="7" t="s">
        <v>75</v>
      </c>
      <c r="V164" s="7"/>
      <c r="W164" s="50">
        <v>3.31</v>
      </c>
      <c r="X164" s="7" t="s">
        <v>345</v>
      </c>
      <c r="Y164" s="7" t="s">
        <v>345</v>
      </c>
      <c r="Z164" s="7" t="s">
        <v>1650</v>
      </c>
      <c r="AA164" s="61">
        <v>0.59</v>
      </c>
      <c r="AB164" s="48" t="s">
        <v>2399</v>
      </c>
      <c r="AC164" s="78" t="s">
        <v>2397</v>
      </c>
      <c r="AD164" s="74" t="str">
        <f t="shared" si="116"/>
        <v>Link</v>
      </c>
      <c r="AE164" s="54">
        <v>32166</v>
      </c>
      <c r="AF164" s="55"/>
      <c r="AG164" s="7"/>
      <c r="AH164" s="56">
        <v>140164</v>
      </c>
      <c r="AI164" s="7"/>
      <c r="AJ164" s="7"/>
    </row>
    <row r="165" spans="1:36" ht="15" x14ac:dyDescent="0.2">
      <c r="A165" s="43" t="s">
        <v>2298</v>
      </c>
      <c r="B165" s="33" t="s">
        <v>871</v>
      </c>
      <c r="C165" s="7" t="s">
        <v>67</v>
      </c>
      <c r="D165" s="7" t="s">
        <v>2417</v>
      </c>
      <c r="E165" s="44">
        <v>5</v>
      </c>
      <c r="F165" s="7"/>
      <c r="G165" s="7"/>
      <c r="H165" s="2" t="s">
        <v>2389</v>
      </c>
      <c r="I165" s="7" t="s">
        <v>2419</v>
      </c>
      <c r="J165" s="7" t="s">
        <v>2420</v>
      </c>
      <c r="K165" s="7" t="s">
        <v>55</v>
      </c>
      <c r="L165" s="7" t="s">
        <v>2421</v>
      </c>
      <c r="M165" s="7" t="s">
        <v>2422</v>
      </c>
      <c r="N165" s="45" t="str">
        <f t="shared" si="115"/>
        <v>@KSUOwlsSB</v>
      </c>
      <c r="O165" s="7" t="s">
        <v>22</v>
      </c>
      <c r="P165" s="7" t="s">
        <v>2397</v>
      </c>
      <c r="Q165" s="57" t="s">
        <v>871</v>
      </c>
      <c r="R165" s="7" t="s">
        <v>2398</v>
      </c>
      <c r="S165" s="48" t="s">
        <v>468</v>
      </c>
      <c r="T165" s="49" t="s">
        <v>74</v>
      </c>
      <c r="U165" s="7" t="s">
        <v>75</v>
      </c>
      <c r="V165" s="7"/>
      <c r="W165" s="50">
        <v>3.31</v>
      </c>
      <c r="X165" s="7" t="s">
        <v>345</v>
      </c>
      <c r="Y165" s="7" t="s">
        <v>345</v>
      </c>
      <c r="Z165" s="7" t="s">
        <v>1650</v>
      </c>
      <c r="AA165" s="61">
        <v>0.59</v>
      </c>
      <c r="AB165" s="48" t="s">
        <v>2399</v>
      </c>
      <c r="AC165" s="78" t="s">
        <v>2397</v>
      </c>
      <c r="AD165" s="74" t="str">
        <f t="shared" si="116"/>
        <v>Link</v>
      </c>
      <c r="AE165" s="54">
        <v>32166</v>
      </c>
      <c r="AF165" s="55"/>
      <c r="AG165" s="7"/>
      <c r="AH165" s="56">
        <v>140164</v>
      </c>
      <c r="AI165" s="7"/>
      <c r="AJ165" s="7"/>
    </row>
    <row r="166" spans="1:36" ht="15" x14ac:dyDescent="0.2">
      <c r="A166" s="43" t="s">
        <v>2298</v>
      </c>
      <c r="B166" s="33" t="s">
        <v>871</v>
      </c>
      <c r="C166" s="7" t="s">
        <v>67</v>
      </c>
      <c r="D166" s="7" t="s">
        <v>2427</v>
      </c>
      <c r="E166" s="44">
        <v>5</v>
      </c>
      <c r="F166" s="7" t="s">
        <v>116</v>
      </c>
      <c r="G166" s="7"/>
      <c r="H166" s="2" t="s">
        <v>2389</v>
      </c>
      <c r="I166" s="7" t="s">
        <v>1875</v>
      </c>
      <c r="J166" s="7" t="s">
        <v>2428</v>
      </c>
      <c r="K166" s="7" t="s">
        <v>139</v>
      </c>
      <c r="L166" s="57" t="s">
        <v>2429</v>
      </c>
      <c r="M166" s="57"/>
      <c r="N166" s="45" t="str">
        <f t="shared" si="115"/>
        <v>@KSUOwlsSB</v>
      </c>
      <c r="O166" s="7" t="s">
        <v>22</v>
      </c>
      <c r="P166" s="7" t="s">
        <v>2397</v>
      </c>
      <c r="Q166" s="57" t="s">
        <v>871</v>
      </c>
      <c r="R166" s="7" t="s">
        <v>2398</v>
      </c>
      <c r="S166" s="48" t="s">
        <v>468</v>
      </c>
      <c r="T166" s="49" t="s">
        <v>74</v>
      </c>
      <c r="U166" s="7" t="s">
        <v>75</v>
      </c>
      <c r="V166" s="7"/>
      <c r="W166" s="50">
        <v>3.31</v>
      </c>
      <c r="X166" s="7" t="s">
        <v>345</v>
      </c>
      <c r="Y166" s="7" t="s">
        <v>345</v>
      </c>
      <c r="Z166" s="7" t="s">
        <v>1650</v>
      </c>
      <c r="AA166" s="61">
        <v>0.59</v>
      </c>
      <c r="AB166" s="48" t="s">
        <v>2399</v>
      </c>
      <c r="AC166" s="78" t="s">
        <v>2397</v>
      </c>
      <c r="AD166" s="74" t="str">
        <f t="shared" si="116"/>
        <v>Link</v>
      </c>
      <c r="AE166" s="54">
        <v>32166</v>
      </c>
      <c r="AF166" s="55"/>
      <c r="AG166" s="7"/>
      <c r="AH166" s="56">
        <v>140164</v>
      </c>
      <c r="AI166" s="7"/>
      <c r="AJ166" s="7"/>
    </row>
    <row r="167" spans="1:36" ht="15" x14ac:dyDescent="0.2">
      <c r="A167" s="32" t="s">
        <v>2298</v>
      </c>
      <c r="B167" s="33" t="s">
        <v>346</v>
      </c>
      <c r="C167" s="35" t="s">
        <v>67</v>
      </c>
      <c r="D167" s="57"/>
      <c r="E167" s="83">
        <v>5</v>
      </c>
      <c r="F167" s="7"/>
      <c r="G167" s="57"/>
      <c r="H167" s="2" t="s">
        <v>2443</v>
      </c>
      <c r="I167" s="2" t="s">
        <v>283</v>
      </c>
      <c r="J167" s="2" t="s">
        <v>2444</v>
      </c>
      <c r="K167" s="2" t="s">
        <v>48</v>
      </c>
      <c r="L167" s="2" t="s">
        <v>2445</v>
      </c>
      <c r="M167" s="2" t="s">
        <v>2446</v>
      </c>
      <c r="N167" s="45" t="str">
        <f t="shared" ref="N167:N169" si="117">HYPERLINK("twitter.com/LipscombSB","@LipscombSB")</f>
        <v>@LipscombSB</v>
      </c>
      <c r="O167" s="7" t="s">
        <v>22</v>
      </c>
      <c r="P167" s="48" t="s">
        <v>2449</v>
      </c>
      <c r="Q167" s="60" t="s">
        <v>346</v>
      </c>
      <c r="R167" s="48" t="s">
        <v>2450</v>
      </c>
      <c r="S167" s="6" t="s">
        <v>354</v>
      </c>
      <c r="T167" s="4" t="s">
        <v>63</v>
      </c>
      <c r="U167" s="6" t="s">
        <v>686</v>
      </c>
      <c r="V167" s="49"/>
      <c r="W167" s="37">
        <v>3.56</v>
      </c>
      <c r="X167" s="49" t="s">
        <v>2453</v>
      </c>
      <c r="Y167" s="49" t="s">
        <v>2455</v>
      </c>
      <c r="Z167" s="49" t="s">
        <v>689</v>
      </c>
      <c r="AA167" s="65">
        <v>0.61</v>
      </c>
      <c r="AB167" s="39">
        <v>46046</v>
      </c>
      <c r="AC167" s="84" t="s">
        <v>2449</v>
      </c>
      <c r="AD167" s="53" t="str">
        <f t="shared" ref="AD167:AD169" si="118">HYPERLINK("https://www.lipscomb.edu/academics/programs","Link")</f>
        <v>Link</v>
      </c>
      <c r="AE167" s="42">
        <v>2986</v>
      </c>
      <c r="AF167" s="42">
        <v>181</v>
      </c>
      <c r="AG167" s="55"/>
      <c r="AH167" s="56">
        <v>219976</v>
      </c>
      <c r="AI167" s="56" t="s">
        <v>2459</v>
      </c>
      <c r="AJ167" s="56"/>
    </row>
    <row r="168" spans="1:36" ht="15" x14ac:dyDescent="0.2">
      <c r="A168" s="32" t="s">
        <v>2298</v>
      </c>
      <c r="B168" s="33" t="s">
        <v>346</v>
      </c>
      <c r="C168" s="35" t="s">
        <v>67</v>
      </c>
      <c r="D168" s="57"/>
      <c r="E168" s="83">
        <v>5</v>
      </c>
      <c r="F168" s="7"/>
      <c r="G168" s="57"/>
      <c r="H168" s="2" t="s">
        <v>2443</v>
      </c>
      <c r="I168" s="2" t="s">
        <v>2460</v>
      </c>
      <c r="J168" s="2" t="s">
        <v>2461</v>
      </c>
      <c r="K168" s="2" t="s">
        <v>55</v>
      </c>
      <c r="L168" s="2" t="s">
        <v>2462</v>
      </c>
      <c r="M168" s="2" t="s">
        <v>2463</v>
      </c>
      <c r="N168" s="45" t="str">
        <f t="shared" si="117"/>
        <v>@LipscombSB</v>
      </c>
      <c r="O168" s="7" t="s">
        <v>22</v>
      </c>
      <c r="P168" s="48" t="s">
        <v>2449</v>
      </c>
      <c r="Q168" s="60" t="s">
        <v>346</v>
      </c>
      <c r="R168" s="48" t="s">
        <v>2450</v>
      </c>
      <c r="S168" s="6" t="s">
        <v>354</v>
      </c>
      <c r="T168" s="4" t="s">
        <v>63</v>
      </c>
      <c r="U168" s="6" t="s">
        <v>686</v>
      </c>
      <c r="V168" s="49"/>
      <c r="W168" s="37">
        <v>3.56</v>
      </c>
      <c r="X168" s="49" t="s">
        <v>2453</v>
      </c>
      <c r="Y168" s="49" t="s">
        <v>2455</v>
      </c>
      <c r="Z168" s="49" t="s">
        <v>689</v>
      </c>
      <c r="AA168" s="65">
        <v>0.61</v>
      </c>
      <c r="AB168" s="39">
        <v>46046</v>
      </c>
      <c r="AC168" s="84" t="s">
        <v>2449</v>
      </c>
      <c r="AD168" s="53" t="str">
        <f t="shared" si="118"/>
        <v>Link</v>
      </c>
      <c r="AE168" s="42">
        <v>2986</v>
      </c>
      <c r="AF168" s="42">
        <v>181</v>
      </c>
      <c r="AG168" s="55"/>
      <c r="AH168" s="56">
        <v>219976</v>
      </c>
      <c r="AI168" s="56" t="s">
        <v>2459</v>
      </c>
      <c r="AJ168" s="56"/>
    </row>
    <row r="169" spans="1:36" ht="15" x14ac:dyDescent="0.2">
      <c r="A169" s="32" t="s">
        <v>2298</v>
      </c>
      <c r="B169" s="33" t="s">
        <v>346</v>
      </c>
      <c r="C169" s="35" t="s">
        <v>67</v>
      </c>
      <c r="D169" s="57"/>
      <c r="E169" s="83">
        <v>5</v>
      </c>
      <c r="F169" s="7" t="s">
        <v>116</v>
      </c>
      <c r="G169" s="57"/>
      <c r="H169" s="2" t="s">
        <v>2443</v>
      </c>
      <c r="I169" s="2" t="s">
        <v>402</v>
      </c>
      <c r="J169" s="2" t="s">
        <v>2472</v>
      </c>
      <c r="K169" s="2" t="s">
        <v>55</v>
      </c>
      <c r="L169" s="2"/>
      <c r="M169" s="2"/>
      <c r="N169" s="45" t="str">
        <f t="shared" si="117"/>
        <v>@LipscombSB</v>
      </c>
      <c r="O169" s="7" t="s">
        <v>22</v>
      </c>
      <c r="P169" s="48" t="s">
        <v>2449</v>
      </c>
      <c r="Q169" s="60" t="s">
        <v>346</v>
      </c>
      <c r="R169" s="48" t="s">
        <v>2450</v>
      </c>
      <c r="S169" s="6" t="s">
        <v>354</v>
      </c>
      <c r="T169" s="4" t="s">
        <v>63</v>
      </c>
      <c r="U169" s="6" t="s">
        <v>686</v>
      </c>
      <c r="V169" s="49"/>
      <c r="W169" s="37">
        <v>3.56</v>
      </c>
      <c r="X169" s="49" t="s">
        <v>2453</v>
      </c>
      <c r="Y169" s="49" t="s">
        <v>2455</v>
      </c>
      <c r="Z169" s="49" t="s">
        <v>689</v>
      </c>
      <c r="AA169" s="65">
        <v>0.61</v>
      </c>
      <c r="AB169" s="39">
        <v>46046</v>
      </c>
      <c r="AC169" s="84" t="s">
        <v>2449</v>
      </c>
      <c r="AD169" s="53" t="str">
        <f t="shared" si="118"/>
        <v>Link</v>
      </c>
      <c r="AE169" s="42">
        <v>2986</v>
      </c>
      <c r="AF169" s="42">
        <v>181</v>
      </c>
      <c r="AG169" s="55"/>
      <c r="AH169" s="56">
        <v>219976</v>
      </c>
      <c r="AI169" s="56" t="s">
        <v>2459</v>
      </c>
      <c r="AJ169" s="56"/>
    </row>
    <row r="170" spans="1:36" ht="13" x14ac:dyDescent="0.15">
      <c r="A170" s="64" t="s">
        <v>2298</v>
      </c>
      <c r="B170" s="7" t="s">
        <v>59</v>
      </c>
      <c r="C170" s="7" t="s">
        <v>67</v>
      </c>
      <c r="D170" s="7" t="s">
        <v>2474</v>
      </c>
      <c r="E170" s="44">
        <v>5</v>
      </c>
      <c r="F170" s="7"/>
      <c r="G170" s="7"/>
      <c r="H170" s="2" t="s">
        <v>2477</v>
      </c>
      <c r="I170" s="7" t="s">
        <v>981</v>
      </c>
      <c r="J170" s="7" t="s">
        <v>2478</v>
      </c>
      <c r="K170" s="7" t="s">
        <v>48</v>
      </c>
      <c r="L170" s="7" t="s">
        <v>2479</v>
      </c>
      <c r="M170" s="7" t="s">
        <v>2481</v>
      </c>
      <c r="N170" s="45" t="str">
        <f t="shared" ref="N170:N172" si="119">HYPERLINK("twitter.com/unasoftball","@unasoftball")</f>
        <v>@unasoftball</v>
      </c>
      <c r="O170" s="48" t="s">
        <v>22</v>
      </c>
      <c r="P170" s="48" t="s">
        <v>2485</v>
      </c>
      <c r="Q170" s="47" t="s">
        <v>59</v>
      </c>
      <c r="R170" s="48" t="s">
        <v>2486</v>
      </c>
      <c r="S170" s="48" t="s">
        <v>468</v>
      </c>
      <c r="T170" s="49" t="s">
        <v>74</v>
      </c>
      <c r="U170" s="49" t="s">
        <v>75</v>
      </c>
      <c r="V170" s="7"/>
      <c r="W170" s="50">
        <v>3.26</v>
      </c>
      <c r="X170" s="49" t="s">
        <v>2487</v>
      </c>
      <c r="Y170" s="49" t="s">
        <v>2488</v>
      </c>
      <c r="Z170" s="49" t="s">
        <v>746</v>
      </c>
      <c r="AA170" s="61">
        <v>0.56000000000000005</v>
      </c>
      <c r="AB170" s="48" t="s">
        <v>2489</v>
      </c>
      <c r="AC170" s="62" t="s">
        <v>2485</v>
      </c>
      <c r="AD170" s="53" t="str">
        <f t="shared" ref="AD170:AD172" si="120">HYPERLINK("https://www.una.edu/academics/majors/#/","Link")</f>
        <v>Link</v>
      </c>
      <c r="AE170" s="54">
        <v>6254</v>
      </c>
      <c r="AF170" s="55"/>
      <c r="AG170" s="7"/>
      <c r="AH170" s="56">
        <v>101879</v>
      </c>
      <c r="AI170" s="7"/>
      <c r="AJ170" s="7"/>
    </row>
    <row r="171" spans="1:36" ht="13" x14ac:dyDescent="0.15">
      <c r="A171" s="64" t="s">
        <v>2298</v>
      </c>
      <c r="B171" s="7" t="s">
        <v>59</v>
      </c>
      <c r="C171" s="7" t="s">
        <v>67</v>
      </c>
      <c r="D171" s="7" t="s">
        <v>2494</v>
      </c>
      <c r="E171" s="44">
        <v>5</v>
      </c>
      <c r="F171" s="7"/>
      <c r="G171" s="7"/>
      <c r="H171" s="2" t="s">
        <v>2477</v>
      </c>
      <c r="I171" s="7" t="s">
        <v>1447</v>
      </c>
      <c r="J171" s="7" t="s">
        <v>2482</v>
      </c>
      <c r="K171" s="7" t="s">
        <v>55</v>
      </c>
      <c r="L171" s="7" t="s">
        <v>2495</v>
      </c>
      <c r="M171" s="7" t="s">
        <v>2496</v>
      </c>
      <c r="N171" s="45" t="str">
        <f t="shared" si="119"/>
        <v>@unasoftball</v>
      </c>
      <c r="O171" s="48" t="s">
        <v>22</v>
      </c>
      <c r="P171" s="48" t="s">
        <v>2485</v>
      </c>
      <c r="Q171" s="47" t="s">
        <v>59</v>
      </c>
      <c r="R171" s="48" t="s">
        <v>2486</v>
      </c>
      <c r="S171" s="48" t="s">
        <v>468</v>
      </c>
      <c r="T171" s="49" t="s">
        <v>74</v>
      </c>
      <c r="U171" s="49" t="s">
        <v>75</v>
      </c>
      <c r="V171" s="7"/>
      <c r="W171" s="50">
        <v>3.26</v>
      </c>
      <c r="X171" s="49" t="s">
        <v>2487</v>
      </c>
      <c r="Y171" s="49" t="s">
        <v>2488</v>
      </c>
      <c r="Z171" s="49" t="s">
        <v>746</v>
      </c>
      <c r="AA171" s="61">
        <v>0.56000000000000005</v>
      </c>
      <c r="AB171" s="48" t="s">
        <v>2489</v>
      </c>
      <c r="AC171" s="62" t="s">
        <v>2485</v>
      </c>
      <c r="AD171" s="53" t="str">
        <f t="shared" si="120"/>
        <v>Link</v>
      </c>
      <c r="AE171" s="54">
        <v>6254</v>
      </c>
      <c r="AF171" s="55"/>
      <c r="AG171" s="7"/>
      <c r="AH171" s="56">
        <v>101879</v>
      </c>
      <c r="AI171" s="7"/>
      <c r="AJ171" s="7"/>
    </row>
    <row r="172" spans="1:36" ht="13" x14ac:dyDescent="0.15">
      <c r="A172" s="64" t="s">
        <v>2298</v>
      </c>
      <c r="B172" s="7" t="s">
        <v>59</v>
      </c>
      <c r="C172" s="7" t="s">
        <v>67</v>
      </c>
      <c r="D172" s="7" t="s">
        <v>2499</v>
      </c>
      <c r="E172" s="44">
        <v>5</v>
      </c>
      <c r="F172" s="7"/>
      <c r="G172" s="7"/>
      <c r="H172" s="2" t="s">
        <v>2477</v>
      </c>
      <c r="I172" s="7" t="s">
        <v>143</v>
      </c>
      <c r="J172" s="7" t="s">
        <v>2501</v>
      </c>
      <c r="K172" s="7" t="s">
        <v>120</v>
      </c>
      <c r="L172" s="7"/>
      <c r="M172" s="7"/>
      <c r="N172" s="45" t="str">
        <f t="shared" si="119"/>
        <v>@unasoftball</v>
      </c>
      <c r="O172" s="48" t="s">
        <v>22</v>
      </c>
      <c r="P172" s="48" t="s">
        <v>2485</v>
      </c>
      <c r="Q172" s="47" t="s">
        <v>59</v>
      </c>
      <c r="R172" s="48" t="s">
        <v>2486</v>
      </c>
      <c r="S172" s="48" t="s">
        <v>468</v>
      </c>
      <c r="T172" s="49" t="s">
        <v>74</v>
      </c>
      <c r="U172" s="49" t="s">
        <v>75</v>
      </c>
      <c r="V172" s="7"/>
      <c r="W172" s="50">
        <v>3.26</v>
      </c>
      <c r="X172" s="49" t="s">
        <v>2487</v>
      </c>
      <c r="Y172" s="49" t="s">
        <v>2488</v>
      </c>
      <c r="Z172" s="49" t="s">
        <v>746</v>
      </c>
      <c r="AA172" s="61">
        <v>0.56000000000000005</v>
      </c>
      <c r="AB172" s="48" t="s">
        <v>2489</v>
      </c>
      <c r="AC172" s="62" t="s">
        <v>2485</v>
      </c>
      <c r="AD172" s="53" t="str">
        <f t="shared" si="120"/>
        <v>Link</v>
      </c>
      <c r="AE172" s="54">
        <v>6254</v>
      </c>
      <c r="AF172" s="55"/>
      <c r="AG172" s="7"/>
      <c r="AH172" s="56">
        <v>101879</v>
      </c>
      <c r="AI172" s="7"/>
      <c r="AJ172" s="7"/>
    </row>
    <row r="173" spans="1:36" ht="15" x14ac:dyDescent="0.2">
      <c r="A173" s="43" t="s">
        <v>2298</v>
      </c>
      <c r="B173" s="33" t="s">
        <v>66</v>
      </c>
      <c r="C173" s="7" t="s">
        <v>67</v>
      </c>
      <c r="D173" s="7" t="s">
        <v>2512</v>
      </c>
      <c r="E173" s="44">
        <v>5</v>
      </c>
      <c r="F173" s="7"/>
      <c r="G173" s="7"/>
      <c r="H173" s="2" t="s">
        <v>2513</v>
      </c>
      <c r="I173" s="7" t="s">
        <v>2514</v>
      </c>
      <c r="J173" s="7" t="s">
        <v>1804</v>
      </c>
      <c r="K173" s="7" t="s">
        <v>48</v>
      </c>
      <c r="L173" s="7" t="s">
        <v>2515</v>
      </c>
      <c r="M173" s="7" t="s">
        <v>2516</v>
      </c>
      <c r="N173" s="45" t="str">
        <f t="shared" ref="N173:N176" si="121">HYPERLINK("twitter.com/OspreySB","@OspreySB")</f>
        <v>@OspreySB</v>
      </c>
      <c r="O173" s="7" t="s">
        <v>22</v>
      </c>
      <c r="P173" s="57" t="s">
        <v>2518</v>
      </c>
      <c r="Q173" s="57" t="s">
        <v>66</v>
      </c>
      <c r="R173" s="7" t="s">
        <v>2146</v>
      </c>
      <c r="S173" s="48" t="s">
        <v>354</v>
      </c>
      <c r="T173" s="49" t="s">
        <v>74</v>
      </c>
      <c r="U173" s="7" t="s">
        <v>75</v>
      </c>
      <c r="V173" s="7"/>
      <c r="W173" s="50">
        <v>3.82</v>
      </c>
      <c r="X173" s="7" t="s">
        <v>1230</v>
      </c>
      <c r="Y173" s="7" t="s">
        <v>2273</v>
      </c>
      <c r="Z173" s="7" t="s">
        <v>1650</v>
      </c>
      <c r="AA173" s="61">
        <v>0.65</v>
      </c>
      <c r="AB173" s="48" t="s">
        <v>2524</v>
      </c>
      <c r="AC173" s="40" t="s">
        <v>2518</v>
      </c>
      <c r="AD173" s="74" t="str">
        <f t="shared" ref="AD173:AD176" si="122">HYPERLINK("https://www.unf.edu/catalog/programs/ug/","Link")</f>
        <v>Link</v>
      </c>
      <c r="AE173" s="54">
        <v>13846</v>
      </c>
      <c r="AF173" s="55"/>
      <c r="AG173" s="7"/>
      <c r="AH173" s="56">
        <v>136172</v>
      </c>
      <c r="AI173" s="7"/>
      <c r="AJ173" s="7"/>
    </row>
    <row r="174" spans="1:36" ht="15" x14ac:dyDescent="0.2">
      <c r="A174" s="43" t="s">
        <v>2298</v>
      </c>
      <c r="B174" s="33" t="s">
        <v>66</v>
      </c>
      <c r="C174" s="7" t="s">
        <v>67</v>
      </c>
      <c r="D174" s="7" t="s">
        <v>2529</v>
      </c>
      <c r="E174" s="44">
        <v>5</v>
      </c>
      <c r="F174" s="7"/>
      <c r="G174" s="7"/>
      <c r="H174" s="2" t="s">
        <v>2513</v>
      </c>
      <c r="I174" s="7" t="s">
        <v>94</v>
      </c>
      <c r="J174" s="7" t="s">
        <v>2531</v>
      </c>
      <c r="K174" s="7" t="s">
        <v>55</v>
      </c>
      <c r="L174" s="7" t="s">
        <v>2533</v>
      </c>
      <c r="M174" s="7" t="s">
        <v>2534</v>
      </c>
      <c r="N174" s="45" t="str">
        <f t="shared" si="121"/>
        <v>@OspreySB</v>
      </c>
      <c r="O174" s="7" t="s">
        <v>22</v>
      </c>
      <c r="P174" s="57" t="s">
        <v>2518</v>
      </c>
      <c r="Q174" s="57" t="s">
        <v>66</v>
      </c>
      <c r="R174" s="7" t="s">
        <v>2146</v>
      </c>
      <c r="S174" s="48" t="s">
        <v>354</v>
      </c>
      <c r="T174" s="49" t="s">
        <v>74</v>
      </c>
      <c r="U174" s="7" t="s">
        <v>75</v>
      </c>
      <c r="V174" s="7"/>
      <c r="W174" s="50">
        <v>3.82</v>
      </c>
      <c r="X174" s="7" t="s">
        <v>1230</v>
      </c>
      <c r="Y174" s="7" t="s">
        <v>2273</v>
      </c>
      <c r="Z174" s="7" t="s">
        <v>1650</v>
      </c>
      <c r="AA174" s="61">
        <v>0.65</v>
      </c>
      <c r="AB174" s="48" t="s">
        <v>2524</v>
      </c>
      <c r="AC174" s="40" t="s">
        <v>2518</v>
      </c>
      <c r="AD174" s="74" t="str">
        <f t="shared" si="122"/>
        <v>Link</v>
      </c>
      <c r="AE174" s="54">
        <v>13846</v>
      </c>
      <c r="AF174" s="55"/>
      <c r="AG174" s="7"/>
      <c r="AH174" s="56">
        <v>136172</v>
      </c>
      <c r="AI174" s="7"/>
      <c r="AJ174" s="7"/>
    </row>
    <row r="175" spans="1:36" ht="15" x14ac:dyDescent="0.2">
      <c r="A175" s="43" t="s">
        <v>2298</v>
      </c>
      <c r="B175" s="33" t="s">
        <v>66</v>
      </c>
      <c r="C175" s="7" t="s">
        <v>67</v>
      </c>
      <c r="D175" s="7" t="s">
        <v>2540</v>
      </c>
      <c r="E175" s="44">
        <v>5</v>
      </c>
      <c r="F175" s="7"/>
      <c r="G175" s="7"/>
      <c r="H175" s="2" t="s">
        <v>2513</v>
      </c>
      <c r="I175" s="7" t="s">
        <v>2541</v>
      </c>
      <c r="J175" s="7" t="s">
        <v>2542</v>
      </c>
      <c r="K175" s="7" t="s">
        <v>55</v>
      </c>
      <c r="L175" s="7" t="s">
        <v>2543</v>
      </c>
      <c r="M175" s="7" t="s">
        <v>2544</v>
      </c>
      <c r="N175" s="45" t="str">
        <f t="shared" si="121"/>
        <v>@OspreySB</v>
      </c>
      <c r="O175" s="7" t="s">
        <v>22</v>
      </c>
      <c r="P175" s="57" t="s">
        <v>2518</v>
      </c>
      <c r="Q175" s="57" t="s">
        <v>66</v>
      </c>
      <c r="R175" s="7" t="s">
        <v>2146</v>
      </c>
      <c r="S175" s="48" t="s">
        <v>354</v>
      </c>
      <c r="T175" s="49" t="s">
        <v>74</v>
      </c>
      <c r="U175" s="7" t="s">
        <v>75</v>
      </c>
      <c r="V175" s="7"/>
      <c r="W175" s="50">
        <v>3.82</v>
      </c>
      <c r="X175" s="7" t="s">
        <v>1230</v>
      </c>
      <c r="Y175" s="7" t="s">
        <v>2273</v>
      </c>
      <c r="Z175" s="7" t="s">
        <v>1650</v>
      </c>
      <c r="AA175" s="61">
        <v>0.65</v>
      </c>
      <c r="AB175" s="48" t="s">
        <v>2524</v>
      </c>
      <c r="AC175" s="40" t="s">
        <v>2518</v>
      </c>
      <c r="AD175" s="74" t="str">
        <f t="shared" si="122"/>
        <v>Link</v>
      </c>
      <c r="AE175" s="54">
        <v>13846</v>
      </c>
      <c r="AF175" s="55"/>
      <c r="AG175" s="7"/>
      <c r="AH175" s="56">
        <v>136172</v>
      </c>
      <c r="AI175" s="7"/>
      <c r="AJ175" s="7"/>
    </row>
    <row r="176" spans="1:36" ht="15" x14ac:dyDescent="0.2">
      <c r="A176" s="43" t="s">
        <v>2298</v>
      </c>
      <c r="B176" s="33" t="s">
        <v>66</v>
      </c>
      <c r="C176" s="7" t="s">
        <v>67</v>
      </c>
      <c r="D176" s="7" t="s">
        <v>2551</v>
      </c>
      <c r="E176" s="44">
        <v>5</v>
      </c>
      <c r="F176" s="7"/>
      <c r="G176" s="7"/>
      <c r="H176" s="2" t="s">
        <v>2513</v>
      </c>
      <c r="I176" s="7" t="s">
        <v>2556</v>
      </c>
      <c r="J176" s="7" t="s">
        <v>2557</v>
      </c>
      <c r="K176" s="7" t="s">
        <v>139</v>
      </c>
      <c r="L176" s="7"/>
      <c r="M176" s="7"/>
      <c r="N176" s="45" t="str">
        <f t="shared" si="121"/>
        <v>@OspreySB</v>
      </c>
      <c r="O176" s="7" t="s">
        <v>22</v>
      </c>
      <c r="P176" s="57" t="s">
        <v>2518</v>
      </c>
      <c r="Q176" s="57" t="s">
        <v>66</v>
      </c>
      <c r="R176" s="7" t="s">
        <v>2146</v>
      </c>
      <c r="S176" s="48" t="s">
        <v>354</v>
      </c>
      <c r="T176" s="49" t="s">
        <v>74</v>
      </c>
      <c r="U176" s="7" t="s">
        <v>75</v>
      </c>
      <c r="V176" s="7"/>
      <c r="W176" s="50">
        <v>3.82</v>
      </c>
      <c r="X176" s="7" t="s">
        <v>1230</v>
      </c>
      <c r="Y176" s="7" t="s">
        <v>2273</v>
      </c>
      <c r="Z176" s="7" t="s">
        <v>1650</v>
      </c>
      <c r="AA176" s="61">
        <v>0.65</v>
      </c>
      <c r="AB176" s="48" t="s">
        <v>2524</v>
      </c>
      <c r="AC176" s="40" t="s">
        <v>2518</v>
      </c>
      <c r="AD176" s="74" t="str">
        <f t="shared" si="122"/>
        <v>Link</v>
      </c>
      <c r="AE176" s="54">
        <v>13846</v>
      </c>
      <c r="AF176" s="55"/>
      <c r="AG176" s="7"/>
      <c r="AH176" s="56">
        <v>136172</v>
      </c>
      <c r="AI176" s="7"/>
      <c r="AJ176" s="7"/>
    </row>
    <row r="177" spans="1:36" ht="15" x14ac:dyDescent="0.2">
      <c r="A177" s="43" t="s">
        <v>2298</v>
      </c>
      <c r="B177" s="33" t="s">
        <v>66</v>
      </c>
      <c r="C177" s="7" t="s">
        <v>67</v>
      </c>
      <c r="D177" s="7" t="s">
        <v>2568</v>
      </c>
      <c r="E177" s="44">
        <v>5</v>
      </c>
      <c r="F177" s="7"/>
      <c r="G177" s="7"/>
      <c r="H177" s="2" t="s">
        <v>2569</v>
      </c>
      <c r="I177" s="7" t="s">
        <v>2570</v>
      </c>
      <c r="J177" s="7" t="s">
        <v>968</v>
      </c>
      <c r="K177" s="7" t="s">
        <v>48</v>
      </c>
      <c r="L177" s="7" t="s">
        <v>2571</v>
      </c>
      <c r="M177" s="7" t="s">
        <v>2572</v>
      </c>
      <c r="N177" s="45" t="str">
        <f t="shared" ref="N177:N178" si="123">HYPERLINK("twitter.com/StetsonSoftball","@StetsonSoftball")</f>
        <v>@StetsonSoftball</v>
      </c>
      <c r="O177" s="74" t="str">
        <f t="shared" ref="O177:O179" si="124">HYPERLINK("https://college.jumpforward.com/questionnaire.aspx?SPSID=69245&amp;SPID=7837&amp;DB_LANG=C&amp;DB_OEM_ID=14600&amp;iid=1626&amp;sportid=31","Questionnaire")</f>
        <v>Questionnaire</v>
      </c>
      <c r="P177" s="7" t="s">
        <v>2575</v>
      </c>
      <c r="Q177" s="57" t="s">
        <v>66</v>
      </c>
      <c r="R177" s="7" t="s">
        <v>2577</v>
      </c>
      <c r="S177" s="48" t="s">
        <v>468</v>
      </c>
      <c r="T177" s="49" t="s">
        <v>63</v>
      </c>
      <c r="U177" s="7" t="s">
        <v>75</v>
      </c>
      <c r="V177" s="7"/>
      <c r="W177" s="50">
        <v>3.86</v>
      </c>
      <c r="X177" s="7" t="s">
        <v>292</v>
      </c>
      <c r="Y177" s="7" t="s">
        <v>1230</v>
      </c>
      <c r="Z177" s="7" t="s">
        <v>87</v>
      </c>
      <c r="AA177" s="80">
        <v>0.66</v>
      </c>
      <c r="AB177" s="71">
        <v>59766</v>
      </c>
      <c r="AC177" s="78" t="s">
        <v>2575</v>
      </c>
      <c r="AD177" s="74" t="str">
        <f t="shared" ref="AD177:AD179" si="125">HYPERLINK("http://www.stetson.edu/other/academics/programs.php","Link")</f>
        <v>Link</v>
      </c>
      <c r="AE177" s="54">
        <v>3089</v>
      </c>
      <c r="AF177" s="55"/>
      <c r="AG177" s="7"/>
      <c r="AH177" s="56">
        <v>137546</v>
      </c>
      <c r="AI177" s="7"/>
      <c r="AJ177" s="7"/>
    </row>
    <row r="178" spans="1:36" ht="15" x14ac:dyDescent="0.2">
      <c r="A178" s="43" t="s">
        <v>2298</v>
      </c>
      <c r="B178" s="33" t="s">
        <v>66</v>
      </c>
      <c r="C178" s="7" t="s">
        <v>67</v>
      </c>
      <c r="D178" s="7" t="s">
        <v>2585</v>
      </c>
      <c r="E178" s="44">
        <v>5</v>
      </c>
      <c r="F178" s="7"/>
      <c r="G178" s="7"/>
      <c r="H178" s="2" t="s">
        <v>2569</v>
      </c>
      <c r="I178" s="7" t="s">
        <v>2586</v>
      </c>
      <c r="J178" s="7" t="s">
        <v>2587</v>
      </c>
      <c r="K178" s="7" t="s">
        <v>55</v>
      </c>
      <c r="L178" s="7" t="s">
        <v>2588</v>
      </c>
      <c r="M178" s="7" t="s">
        <v>2589</v>
      </c>
      <c r="N178" s="45" t="str">
        <f t="shared" si="123"/>
        <v>@StetsonSoftball</v>
      </c>
      <c r="O178" s="74" t="str">
        <f t="shared" si="124"/>
        <v>Questionnaire</v>
      </c>
      <c r="P178" s="7" t="s">
        <v>2575</v>
      </c>
      <c r="Q178" s="57" t="s">
        <v>66</v>
      </c>
      <c r="R178" s="7" t="s">
        <v>2577</v>
      </c>
      <c r="S178" s="48" t="s">
        <v>468</v>
      </c>
      <c r="T178" s="49" t="s">
        <v>63</v>
      </c>
      <c r="U178" s="7" t="s">
        <v>75</v>
      </c>
      <c r="V178" s="7"/>
      <c r="W178" s="50">
        <v>3.86</v>
      </c>
      <c r="X178" s="7" t="s">
        <v>292</v>
      </c>
      <c r="Y178" s="7" t="s">
        <v>1230</v>
      </c>
      <c r="Z178" s="7" t="s">
        <v>87</v>
      </c>
      <c r="AA178" s="80">
        <v>0.66</v>
      </c>
      <c r="AB178" s="71">
        <v>59766</v>
      </c>
      <c r="AC178" s="78" t="s">
        <v>2575</v>
      </c>
      <c r="AD178" s="74" t="str">
        <f t="shared" si="125"/>
        <v>Link</v>
      </c>
      <c r="AE178" s="54">
        <v>3089</v>
      </c>
      <c r="AF178" s="55"/>
      <c r="AG178" s="7"/>
      <c r="AH178" s="56">
        <v>137546</v>
      </c>
      <c r="AI178" s="7"/>
      <c r="AJ178" s="7"/>
    </row>
    <row r="179" spans="1:36" ht="15" x14ac:dyDescent="0.2">
      <c r="A179" s="43" t="s">
        <v>2298</v>
      </c>
      <c r="B179" s="33" t="s">
        <v>66</v>
      </c>
      <c r="C179" s="7" t="s">
        <v>67</v>
      </c>
      <c r="D179" s="7" t="s">
        <v>2593</v>
      </c>
      <c r="E179" s="44">
        <v>5</v>
      </c>
      <c r="F179" s="7"/>
      <c r="G179" s="7"/>
      <c r="H179" s="2" t="s">
        <v>2569</v>
      </c>
      <c r="I179" s="7" t="s">
        <v>2594</v>
      </c>
      <c r="J179" s="7" t="s">
        <v>578</v>
      </c>
      <c r="K179" s="7" t="s">
        <v>55</v>
      </c>
      <c r="L179" s="7" t="s">
        <v>2596</v>
      </c>
      <c r="M179" s="7" t="s">
        <v>2597</v>
      </c>
      <c r="N179" s="74" t="s">
        <v>2598</v>
      </c>
      <c r="O179" s="74" t="str">
        <f t="shared" si="124"/>
        <v>Questionnaire</v>
      </c>
      <c r="P179" s="7" t="s">
        <v>2575</v>
      </c>
      <c r="Q179" s="57" t="s">
        <v>66</v>
      </c>
      <c r="R179" s="7" t="s">
        <v>2577</v>
      </c>
      <c r="S179" s="48" t="s">
        <v>468</v>
      </c>
      <c r="T179" s="49" t="s">
        <v>63</v>
      </c>
      <c r="U179" s="7" t="s">
        <v>75</v>
      </c>
      <c r="V179" s="7"/>
      <c r="W179" s="50">
        <v>3.86</v>
      </c>
      <c r="X179" s="7" t="s">
        <v>292</v>
      </c>
      <c r="Y179" s="7" t="s">
        <v>1230</v>
      </c>
      <c r="Z179" s="7" t="s">
        <v>87</v>
      </c>
      <c r="AA179" s="80">
        <v>0.66</v>
      </c>
      <c r="AB179" s="71">
        <v>59766</v>
      </c>
      <c r="AC179" s="78" t="s">
        <v>2575</v>
      </c>
      <c r="AD179" s="74" t="str">
        <f t="shared" si="125"/>
        <v>Link</v>
      </c>
      <c r="AE179" s="54">
        <v>3089</v>
      </c>
      <c r="AF179" s="55"/>
      <c r="AG179" s="7"/>
      <c r="AH179" s="56">
        <v>137546</v>
      </c>
      <c r="AI179" s="7"/>
      <c r="AJ179" s="7"/>
    </row>
    <row r="180" spans="1:36" ht="15" x14ac:dyDescent="0.2">
      <c r="A180" s="43" t="s">
        <v>2601</v>
      </c>
      <c r="B180" s="33" t="s">
        <v>280</v>
      </c>
      <c r="C180" s="7" t="s">
        <v>67</v>
      </c>
      <c r="D180" s="7" t="s">
        <v>2603</v>
      </c>
      <c r="E180" s="44">
        <v>5</v>
      </c>
      <c r="F180" s="7"/>
      <c r="G180" s="7"/>
      <c r="H180" s="2" t="s">
        <v>2605</v>
      </c>
      <c r="I180" s="7" t="s">
        <v>2606</v>
      </c>
      <c r="J180" s="7" t="s">
        <v>423</v>
      </c>
      <c r="K180" s="7" t="s">
        <v>48</v>
      </c>
      <c r="L180" s="7" t="s">
        <v>2610</v>
      </c>
      <c r="M180" s="7" t="s">
        <v>2611</v>
      </c>
      <c r="N180" s="45" t="str">
        <f t="shared" ref="N180:N184" si="126">HYPERLINK("twitter.com/BaylorSoftball","@BaylorSoftball")</f>
        <v>@BaylorSoftball</v>
      </c>
      <c r="O180" s="74" t="str">
        <f t="shared" ref="O180:O184" si="127">HYPERLINK("https://secure.assistantcoach.net/colleges/athlete_webform.asp?oid=6&amp;sid=1357","Questionnaire")</f>
        <v>Questionnaire</v>
      </c>
      <c r="P180" s="7" t="s">
        <v>2617</v>
      </c>
      <c r="Q180" s="57" t="s">
        <v>280</v>
      </c>
      <c r="R180" s="48" t="s">
        <v>2618</v>
      </c>
      <c r="S180" s="48" t="s">
        <v>238</v>
      </c>
      <c r="T180" s="49" t="s">
        <v>63</v>
      </c>
      <c r="U180" s="7" t="s">
        <v>2619</v>
      </c>
      <c r="V180" s="7"/>
      <c r="W180" s="44">
        <v>3.64</v>
      </c>
      <c r="X180" s="7" t="s">
        <v>176</v>
      </c>
      <c r="Y180" s="7" t="s">
        <v>1094</v>
      </c>
      <c r="Z180" s="49" t="s">
        <v>2620</v>
      </c>
      <c r="AA180" s="51">
        <v>0.3972</v>
      </c>
      <c r="AB180" s="71">
        <v>59174</v>
      </c>
      <c r="AC180" s="40" t="s">
        <v>2617</v>
      </c>
      <c r="AD180" s="53" t="str">
        <f t="shared" ref="AD180:AD184" si="128">HYPERLINK("https://www.baylor.edu/admissions/index.php?id=871985","Link")</f>
        <v>Link</v>
      </c>
      <c r="AE180" s="54">
        <v>14348</v>
      </c>
      <c r="AF180" s="54">
        <v>75</v>
      </c>
      <c r="AG180" s="85"/>
      <c r="AH180" s="56">
        <v>223232</v>
      </c>
      <c r="AI180" s="7"/>
      <c r="AJ180" s="7"/>
    </row>
    <row r="181" spans="1:36" ht="15" x14ac:dyDescent="0.2">
      <c r="A181" s="43" t="s">
        <v>2601</v>
      </c>
      <c r="B181" s="33" t="s">
        <v>280</v>
      </c>
      <c r="C181" s="7" t="s">
        <v>67</v>
      </c>
      <c r="D181" s="7" t="s">
        <v>2627</v>
      </c>
      <c r="E181" s="44">
        <v>5</v>
      </c>
      <c r="F181" s="7"/>
      <c r="G181" s="7"/>
      <c r="H181" s="2" t="s">
        <v>2605</v>
      </c>
      <c r="I181" s="7" t="s">
        <v>904</v>
      </c>
      <c r="J181" s="7" t="s">
        <v>2628</v>
      </c>
      <c r="K181" s="7" t="s">
        <v>55</v>
      </c>
      <c r="L181" s="7" t="s">
        <v>2630</v>
      </c>
      <c r="M181" s="7" t="s">
        <v>2631</v>
      </c>
      <c r="N181" s="45" t="str">
        <f t="shared" si="126"/>
        <v>@BaylorSoftball</v>
      </c>
      <c r="O181" s="74" t="str">
        <f t="shared" si="127"/>
        <v>Questionnaire</v>
      </c>
      <c r="P181" s="7" t="s">
        <v>2617</v>
      </c>
      <c r="Q181" s="57" t="s">
        <v>280</v>
      </c>
      <c r="R181" s="48" t="s">
        <v>2618</v>
      </c>
      <c r="S181" s="48" t="s">
        <v>238</v>
      </c>
      <c r="T181" s="49" t="s">
        <v>63</v>
      </c>
      <c r="U181" s="7" t="s">
        <v>2619</v>
      </c>
      <c r="V181" s="7"/>
      <c r="W181" s="44">
        <v>3.64</v>
      </c>
      <c r="X181" s="7" t="s">
        <v>176</v>
      </c>
      <c r="Y181" s="7" t="s">
        <v>1094</v>
      </c>
      <c r="Z181" s="49" t="s">
        <v>2620</v>
      </c>
      <c r="AA181" s="51">
        <v>0.3972</v>
      </c>
      <c r="AB181" s="71">
        <v>59174</v>
      </c>
      <c r="AC181" s="40" t="s">
        <v>2617</v>
      </c>
      <c r="AD181" s="53" t="str">
        <f t="shared" si="128"/>
        <v>Link</v>
      </c>
      <c r="AE181" s="54">
        <v>14348</v>
      </c>
      <c r="AF181" s="54">
        <v>75</v>
      </c>
      <c r="AG181" s="85"/>
      <c r="AH181" s="56">
        <v>223232</v>
      </c>
      <c r="AI181" s="7"/>
      <c r="AJ181" s="7"/>
    </row>
    <row r="182" spans="1:36" ht="15" x14ac:dyDescent="0.2">
      <c r="A182" s="43" t="s">
        <v>2601</v>
      </c>
      <c r="B182" s="33" t="s">
        <v>280</v>
      </c>
      <c r="C182" s="7" t="s">
        <v>67</v>
      </c>
      <c r="D182" s="7" t="s">
        <v>2636</v>
      </c>
      <c r="E182" s="44">
        <v>5</v>
      </c>
      <c r="F182" s="7"/>
      <c r="G182" s="7"/>
      <c r="H182" s="2" t="s">
        <v>2605</v>
      </c>
      <c r="I182" s="7" t="s">
        <v>2637</v>
      </c>
      <c r="J182" s="7" t="s">
        <v>2638</v>
      </c>
      <c r="K182" s="7" t="s">
        <v>55</v>
      </c>
      <c r="L182" s="7" t="s">
        <v>2639</v>
      </c>
      <c r="M182" s="7" t="s">
        <v>2640</v>
      </c>
      <c r="N182" s="45" t="str">
        <f t="shared" si="126"/>
        <v>@BaylorSoftball</v>
      </c>
      <c r="O182" s="74" t="str">
        <f t="shared" si="127"/>
        <v>Questionnaire</v>
      </c>
      <c r="P182" s="7" t="s">
        <v>2617</v>
      </c>
      <c r="Q182" s="57" t="s">
        <v>280</v>
      </c>
      <c r="R182" s="48" t="s">
        <v>2618</v>
      </c>
      <c r="S182" s="48" t="s">
        <v>238</v>
      </c>
      <c r="T182" s="49" t="s">
        <v>63</v>
      </c>
      <c r="U182" s="7" t="s">
        <v>2619</v>
      </c>
      <c r="V182" s="7"/>
      <c r="W182" s="44">
        <v>3.64</v>
      </c>
      <c r="X182" s="7" t="s">
        <v>176</v>
      </c>
      <c r="Y182" s="7" t="s">
        <v>1094</v>
      </c>
      <c r="Z182" s="49" t="s">
        <v>2620</v>
      </c>
      <c r="AA182" s="51">
        <v>0.3972</v>
      </c>
      <c r="AB182" s="71">
        <v>59174</v>
      </c>
      <c r="AC182" s="40" t="s">
        <v>2617</v>
      </c>
      <c r="AD182" s="53" t="str">
        <f t="shared" si="128"/>
        <v>Link</v>
      </c>
      <c r="AE182" s="54">
        <v>14348</v>
      </c>
      <c r="AF182" s="54">
        <v>75</v>
      </c>
      <c r="AG182" s="85"/>
      <c r="AH182" s="56">
        <v>223232</v>
      </c>
      <c r="AI182" s="7"/>
      <c r="AJ182" s="7"/>
    </row>
    <row r="183" spans="1:36" ht="15" x14ac:dyDescent="0.2">
      <c r="A183" s="43" t="s">
        <v>2601</v>
      </c>
      <c r="B183" s="33" t="s">
        <v>280</v>
      </c>
      <c r="C183" s="7" t="s">
        <v>67</v>
      </c>
      <c r="D183" s="7" t="s">
        <v>2648</v>
      </c>
      <c r="E183" s="44">
        <v>5</v>
      </c>
      <c r="F183" s="7"/>
      <c r="G183" s="7"/>
      <c r="H183" s="2" t="s">
        <v>2605</v>
      </c>
      <c r="I183" s="7" t="s">
        <v>2580</v>
      </c>
      <c r="J183" s="7" t="s">
        <v>196</v>
      </c>
      <c r="K183" s="7" t="s">
        <v>139</v>
      </c>
      <c r="L183" s="7" t="s">
        <v>2649</v>
      </c>
      <c r="M183" s="7"/>
      <c r="N183" s="45" t="str">
        <f t="shared" si="126"/>
        <v>@BaylorSoftball</v>
      </c>
      <c r="O183" s="74" t="str">
        <f t="shared" si="127"/>
        <v>Questionnaire</v>
      </c>
      <c r="P183" s="7" t="s">
        <v>2617</v>
      </c>
      <c r="Q183" s="57" t="s">
        <v>280</v>
      </c>
      <c r="R183" s="48" t="s">
        <v>2618</v>
      </c>
      <c r="S183" s="48" t="s">
        <v>238</v>
      </c>
      <c r="T183" s="49" t="s">
        <v>63</v>
      </c>
      <c r="U183" s="7" t="s">
        <v>2619</v>
      </c>
      <c r="V183" s="7"/>
      <c r="W183" s="44">
        <v>3.64</v>
      </c>
      <c r="X183" s="7" t="s">
        <v>176</v>
      </c>
      <c r="Y183" s="7" t="s">
        <v>1094</v>
      </c>
      <c r="Z183" s="49" t="s">
        <v>2620</v>
      </c>
      <c r="AA183" s="51">
        <v>0.3972</v>
      </c>
      <c r="AB183" s="71">
        <v>59174</v>
      </c>
      <c r="AC183" s="40" t="s">
        <v>2617</v>
      </c>
      <c r="AD183" s="53" t="str">
        <f t="shared" si="128"/>
        <v>Link</v>
      </c>
      <c r="AE183" s="54">
        <v>14348</v>
      </c>
      <c r="AF183" s="54">
        <v>75</v>
      </c>
      <c r="AG183" s="85"/>
      <c r="AH183" s="56">
        <v>223232</v>
      </c>
      <c r="AI183" s="7"/>
      <c r="AJ183" s="7"/>
    </row>
    <row r="184" spans="1:36" ht="15" x14ac:dyDescent="0.2">
      <c r="A184" s="43" t="s">
        <v>2601</v>
      </c>
      <c r="B184" s="33" t="s">
        <v>280</v>
      </c>
      <c r="C184" s="7" t="s">
        <v>67</v>
      </c>
      <c r="D184" s="7" t="s">
        <v>2657</v>
      </c>
      <c r="E184" s="44">
        <v>5</v>
      </c>
      <c r="F184" s="7"/>
      <c r="G184" s="7"/>
      <c r="H184" s="2" t="s">
        <v>2605</v>
      </c>
      <c r="I184" s="7" t="s">
        <v>2658</v>
      </c>
      <c r="J184" s="7" t="s">
        <v>2659</v>
      </c>
      <c r="K184" s="7" t="s">
        <v>154</v>
      </c>
      <c r="L184" s="7" t="s">
        <v>2660</v>
      </c>
      <c r="M184" s="7" t="s">
        <v>2661</v>
      </c>
      <c r="N184" s="45" t="str">
        <f t="shared" si="126"/>
        <v>@BaylorSoftball</v>
      </c>
      <c r="O184" s="74" t="str">
        <f t="shared" si="127"/>
        <v>Questionnaire</v>
      </c>
      <c r="P184" s="7" t="s">
        <v>2617</v>
      </c>
      <c r="Q184" s="57" t="s">
        <v>280</v>
      </c>
      <c r="R184" s="48" t="s">
        <v>2618</v>
      </c>
      <c r="S184" s="48" t="s">
        <v>238</v>
      </c>
      <c r="T184" s="49" t="s">
        <v>63</v>
      </c>
      <c r="U184" s="7" t="s">
        <v>2619</v>
      </c>
      <c r="V184" s="7"/>
      <c r="W184" s="44">
        <v>3.64</v>
      </c>
      <c r="X184" s="7" t="s">
        <v>176</v>
      </c>
      <c r="Y184" s="7" t="s">
        <v>1094</v>
      </c>
      <c r="Z184" s="49" t="s">
        <v>2620</v>
      </c>
      <c r="AA184" s="51">
        <v>0.3972</v>
      </c>
      <c r="AB184" s="71">
        <v>59174</v>
      </c>
      <c r="AC184" s="40" t="s">
        <v>2617</v>
      </c>
      <c r="AD184" s="53" t="str">
        <f t="shared" si="128"/>
        <v>Link</v>
      </c>
      <c r="AE184" s="54">
        <v>14348</v>
      </c>
      <c r="AF184" s="54">
        <v>75</v>
      </c>
      <c r="AG184" s="85"/>
      <c r="AH184" s="56">
        <v>223232</v>
      </c>
      <c r="AI184" s="7"/>
      <c r="AJ184" s="7"/>
    </row>
    <row r="185" spans="1:36" ht="13" x14ac:dyDescent="0.15">
      <c r="A185" s="64" t="s">
        <v>2601</v>
      </c>
      <c r="B185" s="2" t="s">
        <v>2663</v>
      </c>
      <c r="C185" s="7" t="s">
        <v>67</v>
      </c>
      <c r="D185" s="7" t="s">
        <v>2664</v>
      </c>
      <c r="E185" s="44">
        <v>5</v>
      </c>
      <c r="F185" s="7"/>
      <c r="G185" s="7"/>
      <c r="H185" s="2" t="s">
        <v>2666</v>
      </c>
      <c r="I185" s="7" t="s">
        <v>222</v>
      </c>
      <c r="J185" s="7" t="s">
        <v>2668</v>
      </c>
      <c r="K185" s="7" t="s">
        <v>55</v>
      </c>
      <c r="L185" s="7" t="s">
        <v>2669</v>
      </c>
      <c r="M185" s="86" t="s">
        <v>2671</v>
      </c>
      <c r="N185" s="45" t="str">
        <f t="shared" ref="N185:N188" si="129">HYPERLINK("twitter.com/CycloneSB","@CycloneSB")</f>
        <v>@CycloneSB</v>
      </c>
      <c r="O185" s="74" t="str">
        <f t="shared" ref="O185:O188" si="130">HYPERLINK("https://spark.adobe.com/page/3X7i1DppD2XcF/","Questionnaire")</f>
        <v>Questionnaire</v>
      </c>
      <c r="P185" s="7" t="s">
        <v>2680</v>
      </c>
      <c r="Q185" s="57" t="s">
        <v>2663</v>
      </c>
      <c r="R185" s="48" t="s">
        <v>2681</v>
      </c>
      <c r="S185" s="49" t="s">
        <v>186</v>
      </c>
      <c r="T185" s="49" t="s">
        <v>74</v>
      </c>
      <c r="U185" s="7" t="s">
        <v>75</v>
      </c>
      <c r="V185" s="7"/>
      <c r="W185" s="44">
        <v>3.6</v>
      </c>
      <c r="X185" s="7" t="s">
        <v>2683</v>
      </c>
      <c r="Y185" s="7" t="s">
        <v>79</v>
      </c>
      <c r="Z185" s="49" t="s">
        <v>689</v>
      </c>
      <c r="AA185" s="65">
        <v>0.87</v>
      </c>
      <c r="AB185" s="48" t="s">
        <v>2685</v>
      </c>
      <c r="AC185" s="76" t="s">
        <v>2680</v>
      </c>
      <c r="AD185" s="67" t="str">
        <f t="shared" ref="AD185:AD188" si="131">HYPERLINK("http://catalog.iastate.edu/undergraduatemajors-alpha/","Link")</f>
        <v>Link</v>
      </c>
      <c r="AE185" s="54">
        <v>30671</v>
      </c>
      <c r="AF185" s="44">
        <v>115</v>
      </c>
      <c r="AG185" s="85"/>
      <c r="AH185" s="56">
        <v>153603</v>
      </c>
      <c r="AI185" s="7"/>
      <c r="AJ185" s="7"/>
    </row>
    <row r="186" spans="1:36" ht="13" x14ac:dyDescent="0.15">
      <c r="A186" s="64" t="s">
        <v>2601</v>
      </c>
      <c r="B186" s="2" t="s">
        <v>2663</v>
      </c>
      <c r="C186" s="7" t="s">
        <v>67</v>
      </c>
      <c r="D186" s="7" t="s">
        <v>2690</v>
      </c>
      <c r="E186" s="44">
        <v>5</v>
      </c>
      <c r="F186" s="7"/>
      <c r="G186" s="7"/>
      <c r="H186" s="2" t="s">
        <v>2666</v>
      </c>
      <c r="I186" s="7" t="s">
        <v>1217</v>
      </c>
      <c r="J186" s="7" t="s">
        <v>2692</v>
      </c>
      <c r="K186" s="7" t="s">
        <v>48</v>
      </c>
      <c r="L186" s="7" t="s">
        <v>2693</v>
      </c>
      <c r="M186" s="7" t="s">
        <v>2695</v>
      </c>
      <c r="N186" s="45" t="str">
        <f t="shared" si="129"/>
        <v>@CycloneSB</v>
      </c>
      <c r="O186" s="74" t="str">
        <f t="shared" si="130"/>
        <v>Questionnaire</v>
      </c>
      <c r="P186" s="7" t="s">
        <v>2680</v>
      </c>
      <c r="Q186" s="57" t="s">
        <v>2663</v>
      </c>
      <c r="R186" s="48" t="s">
        <v>2681</v>
      </c>
      <c r="S186" s="49" t="s">
        <v>186</v>
      </c>
      <c r="T186" s="49" t="s">
        <v>74</v>
      </c>
      <c r="U186" s="7" t="s">
        <v>75</v>
      </c>
      <c r="V186" s="7"/>
      <c r="W186" s="44">
        <v>3.6</v>
      </c>
      <c r="X186" s="7" t="s">
        <v>2683</v>
      </c>
      <c r="Y186" s="7" t="s">
        <v>79</v>
      </c>
      <c r="Z186" s="49" t="s">
        <v>689</v>
      </c>
      <c r="AA186" s="65">
        <v>0.87</v>
      </c>
      <c r="AB186" s="48" t="s">
        <v>2685</v>
      </c>
      <c r="AC186" s="76" t="s">
        <v>2680</v>
      </c>
      <c r="AD186" s="67" t="str">
        <f t="shared" si="131"/>
        <v>Link</v>
      </c>
      <c r="AE186" s="54">
        <v>30671</v>
      </c>
      <c r="AF186" s="44">
        <v>115</v>
      </c>
      <c r="AG186" s="85"/>
      <c r="AH186" s="56">
        <v>153603</v>
      </c>
      <c r="AI186" s="7"/>
      <c r="AJ186" s="7"/>
    </row>
    <row r="187" spans="1:36" ht="13" x14ac:dyDescent="0.15">
      <c r="A187" s="64" t="s">
        <v>2601</v>
      </c>
      <c r="B187" s="2" t="s">
        <v>2663</v>
      </c>
      <c r="C187" s="7" t="s">
        <v>67</v>
      </c>
      <c r="D187" s="7" t="s">
        <v>2700</v>
      </c>
      <c r="E187" s="44">
        <v>5</v>
      </c>
      <c r="F187" s="7"/>
      <c r="G187" s="7"/>
      <c r="H187" s="2" t="s">
        <v>2666</v>
      </c>
      <c r="I187" s="7" t="s">
        <v>1528</v>
      </c>
      <c r="J187" s="7" t="s">
        <v>2701</v>
      </c>
      <c r="K187" s="7" t="s">
        <v>55</v>
      </c>
      <c r="L187" s="7" t="s">
        <v>2702</v>
      </c>
      <c r="M187" s="7" t="s">
        <v>2695</v>
      </c>
      <c r="N187" s="45" t="str">
        <f t="shared" si="129"/>
        <v>@CycloneSB</v>
      </c>
      <c r="O187" s="74" t="str">
        <f t="shared" si="130"/>
        <v>Questionnaire</v>
      </c>
      <c r="P187" s="7" t="s">
        <v>2680</v>
      </c>
      <c r="Q187" s="57" t="s">
        <v>2663</v>
      </c>
      <c r="R187" s="48" t="s">
        <v>2681</v>
      </c>
      <c r="S187" s="49" t="s">
        <v>186</v>
      </c>
      <c r="T187" s="49" t="s">
        <v>74</v>
      </c>
      <c r="U187" s="7" t="s">
        <v>75</v>
      </c>
      <c r="V187" s="7"/>
      <c r="W187" s="44">
        <v>3.6</v>
      </c>
      <c r="X187" s="7" t="s">
        <v>2683</v>
      </c>
      <c r="Y187" s="7" t="s">
        <v>79</v>
      </c>
      <c r="Z187" s="49" t="s">
        <v>689</v>
      </c>
      <c r="AA187" s="65">
        <v>0.87</v>
      </c>
      <c r="AB187" s="48" t="s">
        <v>2685</v>
      </c>
      <c r="AC187" s="76" t="s">
        <v>2680</v>
      </c>
      <c r="AD187" s="67" t="str">
        <f t="shared" si="131"/>
        <v>Link</v>
      </c>
      <c r="AE187" s="54">
        <v>30671</v>
      </c>
      <c r="AF187" s="44">
        <v>115</v>
      </c>
      <c r="AG187" s="85"/>
      <c r="AH187" s="56">
        <v>153603</v>
      </c>
      <c r="AI187" s="7"/>
      <c r="AJ187" s="7"/>
    </row>
    <row r="188" spans="1:36" ht="13" x14ac:dyDescent="0.15">
      <c r="A188" s="64" t="s">
        <v>2601</v>
      </c>
      <c r="B188" s="2" t="s">
        <v>2663</v>
      </c>
      <c r="C188" s="7" t="s">
        <v>67</v>
      </c>
      <c r="D188" s="7" t="s">
        <v>2711</v>
      </c>
      <c r="E188" s="44">
        <v>5</v>
      </c>
      <c r="F188" s="7"/>
      <c r="G188" s="7"/>
      <c r="H188" s="2" t="s">
        <v>2666</v>
      </c>
      <c r="I188" s="7" t="s">
        <v>2054</v>
      </c>
      <c r="J188" s="7" t="s">
        <v>2713</v>
      </c>
      <c r="K188" s="7" t="s">
        <v>154</v>
      </c>
      <c r="L188" s="7" t="s">
        <v>2714</v>
      </c>
      <c r="M188" s="7"/>
      <c r="N188" s="45" t="str">
        <f t="shared" si="129"/>
        <v>@CycloneSB</v>
      </c>
      <c r="O188" s="74" t="str">
        <f t="shared" si="130"/>
        <v>Questionnaire</v>
      </c>
      <c r="P188" s="7" t="s">
        <v>2680</v>
      </c>
      <c r="Q188" s="57" t="s">
        <v>2663</v>
      </c>
      <c r="R188" s="48" t="s">
        <v>2681</v>
      </c>
      <c r="S188" s="49" t="s">
        <v>186</v>
      </c>
      <c r="T188" s="49" t="s">
        <v>74</v>
      </c>
      <c r="U188" s="7" t="s">
        <v>75</v>
      </c>
      <c r="V188" s="7"/>
      <c r="W188" s="44">
        <v>3.6</v>
      </c>
      <c r="X188" s="7" t="s">
        <v>2683</v>
      </c>
      <c r="Y188" s="7" t="s">
        <v>79</v>
      </c>
      <c r="Z188" s="49" t="s">
        <v>689</v>
      </c>
      <c r="AA188" s="65">
        <v>0.87</v>
      </c>
      <c r="AB188" s="48" t="s">
        <v>2685</v>
      </c>
      <c r="AC188" s="76" t="s">
        <v>2680</v>
      </c>
      <c r="AD188" s="67" t="str">
        <f t="shared" si="131"/>
        <v>Link</v>
      </c>
      <c r="AE188" s="54">
        <v>30671</v>
      </c>
      <c r="AF188" s="44">
        <v>115</v>
      </c>
      <c r="AG188" s="85"/>
      <c r="AH188" s="56">
        <v>153603</v>
      </c>
      <c r="AI188" s="7"/>
      <c r="AJ188" s="7"/>
    </row>
    <row r="189" spans="1:36" ht="15" x14ac:dyDescent="0.2">
      <c r="A189" s="43" t="s">
        <v>2601</v>
      </c>
      <c r="B189" s="33" t="s">
        <v>528</v>
      </c>
      <c r="C189" s="7" t="s">
        <v>67</v>
      </c>
      <c r="D189" s="7" t="s">
        <v>2717</v>
      </c>
      <c r="E189" s="44">
        <v>5</v>
      </c>
      <c r="F189" s="7"/>
      <c r="G189" s="7"/>
      <c r="H189" s="2" t="s">
        <v>2719</v>
      </c>
      <c r="I189" s="7" t="s">
        <v>1080</v>
      </c>
      <c r="J189" s="7" t="s">
        <v>2721</v>
      </c>
      <c r="K189" s="7" t="s">
        <v>48</v>
      </c>
      <c r="L189" s="7" t="s">
        <v>2722</v>
      </c>
      <c r="M189" s="7" t="s">
        <v>2723</v>
      </c>
      <c r="N189" s="45" t="str">
        <f t="shared" ref="N189:N193" si="132">HYPERLINK("twitter.com/KUSoftball","@KUSoftball")</f>
        <v>@KUSoftball</v>
      </c>
      <c r="O189" s="74" t="str">
        <f t="shared" ref="O189:O193" si="133">HYPERLINK("https://questionnaire.frontrush.com/Questionnaire/Questionnaire.aspx?q=2526&amp;s=2407&amp;o=114","Questionnaire")</f>
        <v>Questionnaire</v>
      </c>
      <c r="P189" s="7" t="s">
        <v>2730</v>
      </c>
      <c r="Q189" s="57" t="s">
        <v>528</v>
      </c>
      <c r="R189" s="48" t="s">
        <v>2731</v>
      </c>
      <c r="S189" s="48" t="s">
        <v>238</v>
      </c>
      <c r="T189" s="49" t="s">
        <v>74</v>
      </c>
      <c r="U189" s="7" t="s">
        <v>75</v>
      </c>
      <c r="V189" s="7"/>
      <c r="W189" s="44">
        <v>3.6</v>
      </c>
      <c r="X189" s="7" t="s">
        <v>214</v>
      </c>
      <c r="Y189" s="7" t="s">
        <v>214</v>
      </c>
      <c r="Z189" s="49" t="s">
        <v>2734</v>
      </c>
      <c r="AA189" s="61">
        <v>0.93</v>
      </c>
      <c r="AB189" s="48" t="s">
        <v>2736</v>
      </c>
      <c r="AC189" s="78" t="s">
        <v>2730</v>
      </c>
      <c r="AD189" s="53" t="str">
        <f t="shared" ref="AD189:AD193" si="134">HYPERLINK("http://career.ku.edu/careersandmajors","Link")</f>
        <v>Link</v>
      </c>
      <c r="AE189" s="54">
        <v>19262</v>
      </c>
      <c r="AF189" s="54">
        <v>115</v>
      </c>
      <c r="AG189" s="85"/>
      <c r="AH189" s="56">
        <v>155317</v>
      </c>
      <c r="AI189" s="7"/>
      <c r="AJ189" s="7"/>
    </row>
    <row r="190" spans="1:36" ht="15" x14ac:dyDescent="0.2">
      <c r="A190" s="43" t="s">
        <v>2601</v>
      </c>
      <c r="B190" s="33" t="s">
        <v>528</v>
      </c>
      <c r="C190" s="7" t="s">
        <v>67</v>
      </c>
      <c r="D190" s="7" t="s">
        <v>2737</v>
      </c>
      <c r="E190" s="44">
        <v>5</v>
      </c>
      <c r="F190" s="7"/>
      <c r="G190" s="7"/>
      <c r="H190" s="2" t="s">
        <v>2719</v>
      </c>
      <c r="I190" s="7" t="s">
        <v>2739</v>
      </c>
      <c r="J190" s="7" t="s">
        <v>2740</v>
      </c>
      <c r="K190" s="7" t="s">
        <v>55</v>
      </c>
      <c r="L190" s="7" t="s">
        <v>2741</v>
      </c>
      <c r="M190" s="7" t="s">
        <v>2742</v>
      </c>
      <c r="N190" s="45" t="str">
        <f t="shared" si="132"/>
        <v>@KUSoftball</v>
      </c>
      <c r="O190" s="74" t="str">
        <f t="shared" si="133"/>
        <v>Questionnaire</v>
      </c>
      <c r="P190" s="7" t="s">
        <v>2730</v>
      </c>
      <c r="Q190" s="57" t="s">
        <v>528</v>
      </c>
      <c r="R190" s="48" t="s">
        <v>2731</v>
      </c>
      <c r="S190" s="48" t="s">
        <v>238</v>
      </c>
      <c r="T190" s="49" t="s">
        <v>74</v>
      </c>
      <c r="U190" s="7" t="s">
        <v>75</v>
      </c>
      <c r="V190" s="7"/>
      <c r="W190" s="44">
        <v>3.6</v>
      </c>
      <c r="X190" s="7" t="s">
        <v>214</v>
      </c>
      <c r="Y190" s="7" t="s">
        <v>214</v>
      </c>
      <c r="Z190" s="49" t="s">
        <v>2734</v>
      </c>
      <c r="AA190" s="61">
        <v>0.93</v>
      </c>
      <c r="AB190" s="48" t="s">
        <v>2736</v>
      </c>
      <c r="AC190" s="78" t="s">
        <v>2730</v>
      </c>
      <c r="AD190" s="53" t="str">
        <f t="shared" si="134"/>
        <v>Link</v>
      </c>
      <c r="AE190" s="54">
        <v>19262</v>
      </c>
      <c r="AF190" s="54">
        <v>115</v>
      </c>
      <c r="AG190" s="85"/>
      <c r="AH190" s="56">
        <v>155317</v>
      </c>
      <c r="AI190" s="7"/>
      <c r="AJ190" s="7"/>
    </row>
    <row r="191" spans="1:36" ht="15" x14ac:dyDescent="0.2">
      <c r="A191" s="43" t="s">
        <v>2601</v>
      </c>
      <c r="B191" s="33" t="s">
        <v>528</v>
      </c>
      <c r="C191" s="7" t="s">
        <v>67</v>
      </c>
      <c r="D191" s="7" t="s">
        <v>2750</v>
      </c>
      <c r="E191" s="44">
        <v>5</v>
      </c>
      <c r="F191" s="7"/>
      <c r="G191" s="7"/>
      <c r="H191" s="2" t="s">
        <v>2719</v>
      </c>
      <c r="I191" s="7" t="s">
        <v>2135</v>
      </c>
      <c r="J191" s="7" t="s">
        <v>2751</v>
      </c>
      <c r="K191" s="7" t="s">
        <v>55</v>
      </c>
      <c r="L191" s="7" t="s">
        <v>2752</v>
      </c>
      <c r="M191" s="7" t="s">
        <v>2754</v>
      </c>
      <c r="N191" s="45" t="str">
        <f t="shared" si="132"/>
        <v>@KUSoftball</v>
      </c>
      <c r="O191" s="74" t="str">
        <f t="shared" si="133"/>
        <v>Questionnaire</v>
      </c>
      <c r="P191" s="7" t="s">
        <v>2730</v>
      </c>
      <c r="Q191" s="57" t="s">
        <v>528</v>
      </c>
      <c r="R191" s="48" t="s">
        <v>2731</v>
      </c>
      <c r="S191" s="48" t="s">
        <v>238</v>
      </c>
      <c r="T191" s="49" t="s">
        <v>74</v>
      </c>
      <c r="U191" s="7" t="s">
        <v>75</v>
      </c>
      <c r="V191" s="7"/>
      <c r="W191" s="44">
        <v>3.6</v>
      </c>
      <c r="X191" s="7" t="s">
        <v>214</v>
      </c>
      <c r="Y191" s="7" t="s">
        <v>214</v>
      </c>
      <c r="Z191" s="49" t="s">
        <v>2734</v>
      </c>
      <c r="AA191" s="61">
        <v>0.93</v>
      </c>
      <c r="AB191" s="48" t="s">
        <v>2736</v>
      </c>
      <c r="AC191" s="78" t="s">
        <v>2730</v>
      </c>
      <c r="AD191" s="53" t="str">
        <f t="shared" si="134"/>
        <v>Link</v>
      </c>
      <c r="AE191" s="54">
        <v>19262</v>
      </c>
      <c r="AF191" s="54">
        <v>115</v>
      </c>
      <c r="AG191" s="85"/>
      <c r="AH191" s="56">
        <v>155317</v>
      </c>
      <c r="AI191" s="7"/>
      <c r="AJ191" s="7"/>
    </row>
    <row r="192" spans="1:36" ht="15" x14ac:dyDescent="0.2">
      <c r="A192" s="43" t="s">
        <v>2601</v>
      </c>
      <c r="B192" s="33" t="s">
        <v>528</v>
      </c>
      <c r="C192" s="7" t="s">
        <v>67</v>
      </c>
      <c r="D192" s="7" t="s">
        <v>2764</v>
      </c>
      <c r="E192" s="44">
        <v>5</v>
      </c>
      <c r="F192" s="7"/>
      <c r="G192" s="7"/>
      <c r="H192" s="2" t="s">
        <v>2719</v>
      </c>
      <c r="I192" s="7" t="s">
        <v>453</v>
      </c>
      <c r="J192" s="7" t="s">
        <v>2766</v>
      </c>
      <c r="K192" s="7" t="s">
        <v>139</v>
      </c>
      <c r="L192" s="7"/>
      <c r="M192" s="7"/>
      <c r="N192" s="45" t="str">
        <f t="shared" si="132"/>
        <v>@KUSoftball</v>
      </c>
      <c r="O192" s="74" t="str">
        <f t="shared" si="133"/>
        <v>Questionnaire</v>
      </c>
      <c r="P192" s="7" t="s">
        <v>2730</v>
      </c>
      <c r="Q192" s="57" t="s">
        <v>528</v>
      </c>
      <c r="R192" s="48" t="s">
        <v>2731</v>
      </c>
      <c r="S192" s="48" t="s">
        <v>238</v>
      </c>
      <c r="T192" s="49" t="s">
        <v>74</v>
      </c>
      <c r="U192" s="7" t="s">
        <v>75</v>
      </c>
      <c r="V192" s="7"/>
      <c r="W192" s="44">
        <v>3.6</v>
      </c>
      <c r="X192" s="7" t="s">
        <v>214</v>
      </c>
      <c r="Y192" s="7" t="s">
        <v>214</v>
      </c>
      <c r="Z192" s="49" t="s">
        <v>2734</v>
      </c>
      <c r="AA192" s="61">
        <v>0.93</v>
      </c>
      <c r="AB192" s="48" t="s">
        <v>2736</v>
      </c>
      <c r="AC192" s="78" t="s">
        <v>2730</v>
      </c>
      <c r="AD192" s="53" t="str">
        <f t="shared" si="134"/>
        <v>Link</v>
      </c>
      <c r="AE192" s="54">
        <v>19262</v>
      </c>
      <c r="AF192" s="54">
        <v>115</v>
      </c>
      <c r="AG192" s="85"/>
      <c r="AH192" s="56">
        <v>155317</v>
      </c>
      <c r="AI192" s="7"/>
      <c r="AJ192" s="7"/>
    </row>
    <row r="193" spans="1:36" ht="15" x14ac:dyDescent="0.2">
      <c r="A193" s="43" t="s">
        <v>2601</v>
      </c>
      <c r="B193" s="33" t="s">
        <v>528</v>
      </c>
      <c r="C193" s="7" t="s">
        <v>67</v>
      </c>
      <c r="D193" s="7" t="s">
        <v>2771</v>
      </c>
      <c r="E193" s="44">
        <v>5</v>
      </c>
      <c r="F193" s="7"/>
      <c r="G193" s="7"/>
      <c r="H193" s="2" t="s">
        <v>2719</v>
      </c>
      <c r="I193" s="7" t="s">
        <v>2773</v>
      </c>
      <c r="J193" s="7" t="s">
        <v>1906</v>
      </c>
      <c r="K193" s="7" t="s">
        <v>154</v>
      </c>
      <c r="L193" s="7" t="s">
        <v>2774</v>
      </c>
      <c r="M193" s="7"/>
      <c r="N193" s="45" t="str">
        <f t="shared" si="132"/>
        <v>@KUSoftball</v>
      </c>
      <c r="O193" s="74" t="str">
        <f t="shared" si="133"/>
        <v>Questionnaire</v>
      </c>
      <c r="P193" s="7" t="s">
        <v>2730</v>
      </c>
      <c r="Q193" s="57" t="s">
        <v>528</v>
      </c>
      <c r="R193" s="48" t="s">
        <v>2731</v>
      </c>
      <c r="S193" s="48" t="s">
        <v>238</v>
      </c>
      <c r="T193" s="49" t="s">
        <v>74</v>
      </c>
      <c r="U193" s="7" t="s">
        <v>75</v>
      </c>
      <c r="V193" s="7"/>
      <c r="W193" s="44">
        <v>3.6</v>
      </c>
      <c r="X193" s="7" t="s">
        <v>214</v>
      </c>
      <c r="Y193" s="7" t="s">
        <v>214</v>
      </c>
      <c r="Z193" s="49" t="s">
        <v>2734</v>
      </c>
      <c r="AA193" s="61">
        <v>0.93</v>
      </c>
      <c r="AB193" s="48" t="s">
        <v>2736</v>
      </c>
      <c r="AC193" s="78" t="s">
        <v>2730</v>
      </c>
      <c r="AD193" s="53" t="str">
        <f t="shared" si="134"/>
        <v>Link</v>
      </c>
      <c r="AE193" s="54">
        <v>19262</v>
      </c>
      <c r="AF193" s="54">
        <v>115</v>
      </c>
      <c r="AG193" s="85"/>
      <c r="AH193" s="56">
        <v>155317</v>
      </c>
      <c r="AI193" s="7"/>
      <c r="AJ193" s="7"/>
    </row>
    <row r="194" spans="1:36" ht="15" x14ac:dyDescent="0.2">
      <c r="A194" s="43" t="s">
        <v>2601</v>
      </c>
      <c r="B194" s="33" t="s">
        <v>472</v>
      </c>
      <c r="C194" s="7" t="s">
        <v>67</v>
      </c>
      <c r="D194" s="7" t="s">
        <v>2781</v>
      </c>
      <c r="E194" s="44">
        <v>5</v>
      </c>
      <c r="F194" s="7"/>
      <c r="G194" s="7"/>
      <c r="H194" s="2" t="s">
        <v>2783</v>
      </c>
      <c r="I194" s="7" t="s">
        <v>2784</v>
      </c>
      <c r="J194" s="7" t="s">
        <v>2785</v>
      </c>
      <c r="K194" s="7" t="s">
        <v>48</v>
      </c>
      <c r="L194" s="2" t="s">
        <v>2786</v>
      </c>
      <c r="M194" s="2" t="s">
        <v>2787</v>
      </c>
      <c r="N194" s="45" t="str">
        <f t="shared" ref="N194:N197" si="135">HYPERLINK("twitter.com/OU_Softball","@OU_Softball")</f>
        <v>@OU_Softball</v>
      </c>
      <c r="O194" s="74" t="str">
        <f t="shared" ref="O194:O197" si="136">HYPERLINK("http://www.soonersports.com/quest/Questionaire.dbml?QID=218121&amp;DB_OEM_ID=31000","Questionnaire")</f>
        <v>Questionnaire</v>
      </c>
      <c r="P194" s="7" t="s">
        <v>2797</v>
      </c>
      <c r="Q194" s="57" t="s">
        <v>472</v>
      </c>
      <c r="R194" s="48" t="s">
        <v>2798</v>
      </c>
      <c r="S194" s="48" t="s">
        <v>238</v>
      </c>
      <c r="T194" s="49" t="s">
        <v>74</v>
      </c>
      <c r="U194" s="7" t="s">
        <v>75</v>
      </c>
      <c r="V194" s="7"/>
      <c r="W194" s="44">
        <v>3.62</v>
      </c>
      <c r="X194" s="7" t="s">
        <v>2799</v>
      </c>
      <c r="Y194" s="7" t="s">
        <v>80</v>
      </c>
      <c r="Z194" s="49" t="s">
        <v>2734</v>
      </c>
      <c r="AA194" s="61">
        <v>0.71</v>
      </c>
      <c r="AB194" s="48" t="s">
        <v>2800</v>
      </c>
      <c r="AC194" s="78" t="s">
        <v>2797</v>
      </c>
      <c r="AD194" s="53" t="str">
        <f t="shared" ref="AD194:AD197" si="137">HYPERLINK("https://catalog.ou.edu/current/mjrs+minors.htm","Link")</f>
        <v>Link</v>
      </c>
      <c r="AE194" s="54">
        <v>21609</v>
      </c>
      <c r="AF194" s="54">
        <v>97</v>
      </c>
      <c r="AG194" s="85"/>
      <c r="AH194" s="56">
        <v>207500</v>
      </c>
      <c r="AI194" s="7"/>
      <c r="AJ194" s="7"/>
    </row>
    <row r="195" spans="1:36" ht="15" x14ac:dyDescent="0.2">
      <c r="A195" s="43" t="s">
        <v>2601</v>
      </c>
      <c r="B195" s="33" t="s">
        <v>472</v>
      </c>
      <c r="C195" s="7" t="s">
        <v>67</v>
      </c>
      <c r="D195" s="7" t="s">
        <v>2810</v>
      </c>
      <c r="E195" s="44">
        <v>5</v>
      </c>
      <c r="F195" s="7"/>
      <c r="G195" s="7"/>
      <c r="H195" s="2" t="s">
        <v>2783</v>
      </c>
      <c r="I195" s="7" t="s">
        <v>1080</v>
      </c>
      <c r="J195" s="7" t="s">
        <v>2811</v>
      </c>
      <c r="K195" s="7" t="s">
        <v>55</v>
      </c>
      <c r="L195" s="2" t="s">
        <v>2812</v>
      </c>
      <c r="M195" s="2" t="s">
        <v>2787</v>
      </c>
      <c r="N195" s="45" t="str">
        <f t="shared" si="135"/>
        <v>@OU_Softball</v>
      </c>
      <c r="O195" s="74" t="str">
        <f t="shared" si="136"/>
        <v>Questionnaire</v>
      </c>
      <c r="P195" s="7" t="s">
        <v>2797</v>
      </c>
      <c r="Q195" s="57" t="s">
        <v>472</v>
      </c>
      <c r="R195" s="48" t="s">
        <v>2798</v>
      </c>
      <c r="S195" s="48" t="s">
        <v>238</v>
      </c>
      <c r="T195" s="49" t="s">
        <v>74</v>
      </c>
      <c r="U195" s="7" t="s">
        <v>75</v>
      </c>
      <c r="V195" s="7"/>
      <c r="W195" s="44">
        <v>3.62</v>
      </c>
      <c r="X195" s="7" t="s">
        <v>2799</v>
      </c>
      <c r="Y195" s="7" t="s">
        <v>80</v>
      </c>
      <c r="Z195" s="49" t="s">
        <v>2734</v>
      </c>
      <c r="AA195" s="61">
        <v>0.71</v>
      </c>
      <c r="AB195" s="48" t="s">
        <v>2800</v>
      </c>
      <c r="AC195" s="78" t="s">
        <v>2797</v>
      </c>
      <c r="AD195" s="53" t="str">
        <f t="shared" si="137"/>
        <v>Link</v>
      </c>
      <c r="AE195" s="54">
        <v>21609</v>
      </c>
      <c r="AF195" s="54">
        <v>97</v>
      </c>
      <c r="AG195" s="85"/>
      <c r="AH195" s="56">
        <v>207500</v>
      </c>
      <c r="AI195" s="7"/>
      <c r="AJ195" s="7"/>
    </row>
    <row r="196" spans="1:36" ht="15" x14ac:dyDescent="0.2">
      <c r="A196" s="43" t="s">
        <v>2601</v>
      </c>
      <c r="B196" s="33" t="s">
        <v>472</v>
      </c>
      <c r="C196" s="7" t="s">
        <v>67</v>
      </c>
      <c r="D196" s="7" t="s">
        <v>2819</v>
      </c>
      <c r="E196" s="44">
        <v>5</v>
      </c>
      <c r="F196" s="7"/>
      <c r="G196" s="7"/>
      <c r="H196" s="2" t="s">
        <v>2783</v>
      </c>
      <c r="I196" s="7" t="s">
        <v>2822</v>
      </c>
      <c r="J196" s="7" t="s">
        <v>2785</v>
      </c>
      <c r="K196" s="7" t="s">
        <v>55</v>
      </c>
      <c r="L196" s="2" t="s">
        <v>2824</v>
      </c>
      <c r="M196" s="2" t="s">
        <v>2787</v>
      </c>
      <c r="N196" s="45" t="str">
        <f t="shared" si="135"/>
        <v>@OU_Softball</v>
      </c>
      <c r="O196" s="74" t="str">
        <f t="shared" si="136"/>
        <v>Questionnaire</v>
      </c>
      <c r="P196" s="7" t="s">
        <v>2797</v>
      </c>
      <c r="Q196" s="57" t="s">
        <v>472</v>
      </c>
      <c r="R196" s="48" t="s">
        <v>2798</v>
      </c>
      <c r="S196" s="48" t="s">
        <v>238</v>
      </c>
      <c r="T196" s="49" t="s">
        <v>74</v>
      </c>
      <c r="U196" s="7" t="s">
        <v>75</v>
      </c>
      <c r="V196" s="7"/>
      <c r="W196" s="44">
        <v>3.62</v>
      </c>
      <c r="X196" s="7" t="s">
        <v>2799</v>
      </c>
      <c r="Y196" s="7" t="s">
        <v>80</v>
      </c>
      <c r="Z196" s="49" t="s">
        <v>2734</v>
      </c>
      <c r="AA196" s="61">
        <v>0.71</v>
      </c>
      <c r="AB196" s="48" t="s">
        <v>2800</v>
      </c>
      <c r="AC196" s="78" t="s">
        <v>2797</v>
      </c>
      <c r="AD196" s="53" t="str">
        <f t="shared" si="137"/>
        <v>Link</v>
      </c>
      <c r="AE196" s="54">
        <v>21609</v>
      </c>
      <c r="AF196" s="54">
        <v>97</v>
      </c>
      <c r="AG196" s="85"/>
      <c r="AH196" s="56">
        <v>207500</v>
      </c>
      <c r="AI196" s="7"/>
      <c r="AJ196" s="7"/>
    </row>
    <row r="197" spans="1:36" ht="15" x14ac:dyDescent="0.2">
      <c r="A197" s="43" t="s">
        <v>2601</v>
      </c>
      <c r="B197" s="33" t="s">
        <v>472</v>
      </c>
      <c r="C197" s="7" t="s">
        <v>67</v>
      </c>
      <c r="D197" s="7" t="s">
        <v>2828</v>
      </c>
      <c r="E197" s="44">
        <v>5</v>
      </c>
      <c r="F197" s="7"/>
      <c r="G197" s="7"/>
      <c r="H197" s="2" t="s">
        <v>2783</v>
      </c>
      <c r="I197" s="7" t="s">
        <v>2829</v>
      </c>
      <c r="J197" s="7" t="s">
        <v>446</v>
      </c>
      <c r="K197" s="7" t="s">
        <v>154</v>
      </c>
      <c r="L197" s="2" t="s">
        <v>2830</v>
      </c>
      <c r="M197" s="2" t="s">
        <v>2787</v>
      </c>
      <c r="N197" s="45" t="str">
        <f t="shared" si="135"/>
        <v>@OU_Softball</v>
      </c>
      <c r="O197" s="74" t="str">
        <f t="shared" si="136"/>
        <v>Questionnaire</v>
      </c>
      <c r="P197" s="7" t="s">
        <v>2797</v>
      </c>
      <c r="Q197" s="57" t="s">
        <v>472</v>
      </c>
      <c r="R197" s="48" t="s">
        <v>2798</v>
      </c>
      <c r="S197" s="48" t="s">
        <v>238</v>
      </c>
      <c r="T197" s="49" t="s">
        <v>74</v>
      </c>
      <c r="U197" s="7" t="s">
        <v>75</v>
      </c>
      <c r="V197" s="7"/>
      <c r="W197" s="44">
        <v>3.62</v>
      </c>
      <c r="X197" s="7" t="s">
        <v>2799</v>
      </c>
      <c r="Y197" s="7" t="s">
        <v>80</v>
      </c>
      <c r="Z197" s="49" t="s">
        <v>2734</v>
      </c>
      <c r="AA197" s="61">
        <v>0.71</v>
      </c>
      <c r="AB197" s="48" t="s">
        <v>2800</v>
      </c>
      <c r="AC197" s="78" t="s">
        <v>2797</v>
      </c>
      <c r="AD197" s="53" t="str">
        <f t="shared" si="137"/>
        <v>Link</v>
      </c>
      <c r="AE197" s="54">
        <v>21609</v>
      </c>
      <c r="AF197" s="54">
        <v>97</v>
      </c>
      <c r="AG197" s="85"/>
      <c r="AH197" s="56">
        <v>207500</v>
      </c>
      <c r="AI197" s="7"/>
      <c r="AJ197" s="7"/>
    </row>
    <row r="198" spans="1:36" ht="15" x14ac:dyDescent="0.2">
      <c r="A198" s="43" t="s">
        <v>2601</v>
      </c>
      <c r="B198" s="33" t="s">
        <v>472</v>
      </c>
      <c r="C198" s="7" t="s">
        <v>67</v>
      </c>
      <c r="D198" s="7" t="s">
        <v>2841</v>
      </c>
      <c r="E198" s="44">
        <v>5</v>
      </c>
      <c r="F198" s="7"/>
      <c r="G198" s="7"/>
      <c r="H198" s="2" t="s">
        <v>2843</v>
      </c>
      <c r="I198" s="7" t="s">
        <v>2844</v>
      </c>
      <c r="J198" s="7" t="s">
        <v>2845</v>
      </c>
      <c r="K198" s="7" t="s">
        <v>48</v>
      </c>
      <c r="L198" s="7" t="s">
        <v>2846</v>
      </c>
      <c r="M198" s="7" t="s">
        <v>2847</v>
      </c>
      <c r="N198" s="45" t="str">
        <f t="shared" ref="N198:N202" si="138">HYPERLINK("twitter.com/CowgirlSB","@CowgirlSB")</f>
        <v>@CowgirlSB</v>
      </c>
      <c r="O198" s="74" t="str">
        <f t="shared" ref="O198:O202" si="139">HYPERLINK("https://okstate.com/sb_output.aspx?form=10&amp;path=softball","Questionnaire")</f>
        <v>Questionnaire</v>
      </c>
      <c r="P198" s="7" t="s">
        <v>2849</v>
      </c>
      <c r="Q198" s="57" t="s">
        <v>472</v>
      </c>
      <c r="R198" s="48" t="s">
        <v>2851</v>
      </c>
      <c r="S198" s="48" t="s">
        <v>468</v>
      </c>
      <c r="T198" s="73" t="s">
        <v>74</v>
      </c>
      <c r="U198" s="7" t="s">
        <v>75</v>
      </c>
      <c r="V198" s="7"/>
      <c r="W198" s="44">
        <v>3.54</v>
      </c>
      <c r="X198" s="7" t="s">
        <v>802</v>
      </c>
      <c r="Y198" s="7" t="s">
        <v>2853</v>
      </c>
      <c r="Z198" s="49" t="s">
        <v>545</v>
      </c>
      <c r="AA198" s="61">
        <v>0.75</v>
      </c>
      <c r="AB198" s="48" t="s">
        <v>2855</v>
      </c>
      <c r="AC198" s="78" t="s">
        <v>2849</v>
      </c>
      <c r="AD198" s="53" t="str">
        <f t="shared" ref="AD198:AD202" si="140">HYPERLINK("https://admissions.okstate.edu/academics/majors/","Link")</f>
        <v>Link</v>
      </c>
      <c r="AE198" s="54">
        <v>21101</v>
      </c>
      <c r="AF198" s="54">
        <v>156</v>
      </c>
      <c r="AG198" s="85"/>
      <c r="AH198" s="56">
        <v>207388</v>
      </c>
      <c r="AI198" s="7"/>
      <c r="AJ198" s="7"/>
    </row>
    <row r="199" spans="1:36" ht="15" x14ac:dyDescent="0.2">
      <c r="A199" s="43" t="s">
        <v>2601</v>
      </c>
      <c r="B199" s="33" t="s">
        <v>472</v>
      </c>
      <c r="C199" s="7" t="s">
        <v>67</v>
      </c>
      <c r="D199" s="7" t="s">
        <v>2858</v>
      </c>
      <c r="E199" s="44">
        <v>5</v>
      </c>
      <c r="F199" s="7"/>
      <c r="G199" s="7"/>
      <c r="H199" s="2" t="s">
        <v>2843</v>
      </c>
      <c r="I199" s="7" t="s">
        <v>2859</v>
      </c>
      <c r="J199" s="7" t="s">
        <v>2860</v>
      </c>
      <c r="K199" s="7" t="s">
        <v>2861</v>
      </c>
      <c r="L199" s="7" t="s">
        <v>2863</v>
      </c>
      <c r="M199" s="7" t="s">
        <v>2865</v>
      </c>
      <c r="N199" s="45" t="str">
        <f t="shared" si="138"/>
        <v>@CowgirlSB</v>
      </c>
      <c r="O199" s="74" t="str">
        <f t="shared" si="139"/>
        <v>Questionnaire</v>
      </c>
      <c r="P199" s="7" t="s">
        <v>2849</v>
      </c>
      <c r="Q199" s="57" t="s">
        <v>472</v>
      </c>
      <c r="R199" s="48" t="s">
        <v>2851</v>
      </c>
      <c r="S199" s="48" t="s">
        <v>468</v>
      </c>
      <c r="T199" s="73" t="s">
        <v>74</v>
      </c>
      <c r="U199" s="7" t="s">
        <v>75</v>
      </c>
      <c r="V199" s="7"/>
      <c r="W199" s="44">
        <v>3.54</v>
      </c>
      <c r="X199" s="7" t="s">
        <v>802</v>
      </c>
      <c r="Y199" s="7" t="s">
        <v>2853</v>
      </c>
      <c r="Z199" s="49" t="s">
        <v>545</v>
      </c>
      <c r="AA199" s="61">
        <v>0.75</v>
      </c>
      <c r="AB199" s="48" t="s">
        <v>2855</v>
      </c>
      <c r="AC199" s="78" t="s">
        <v>2849</v>
      </c>
      <c r="AD199" s="53" t="str">
        <f t="shared" si="140"/>
        <v>Link</v>
      </c>
      <c r="AE199" s="54">
        <v>21101</v>
      </c>
      <c r="AF199" s="54">
        <v>156</v>
      </c>
      <c r="AG199" s="85"/>
      <c r="AH199" s="56">
        <v>207388</v>
      </c>
      <c r="AI199" s="7"/>
      <c r="AJ199" s="7"/>
    </row>
    <row r="200" spans="1:36" ht="15" x14ac:dyDescent="0.2">
      <c r="A200" s="43" t="s">
        <v>2601</v>
      </c>
      <c r="B200" s="33" t="s">
        <v>472</v>
      </c>
      <c r="C200" s="7" t="s">
        <v>67</v>
      </c>
      <c r="D200" s="7" t="s">
        <v>2880</v>
      </c>
      <c r="E200" s="44">
        <v>5</v>
      </c>
      <c r="F200" s="7"/>
      <c r="G200" s="7"/>
      <c r="H200" s="2" t="s">
        <v>2843</v>
      </c>
      <c r="I200" s="7" t="s">
        <v>94</v>
      </c>
      <c r="J200" s="7" t="s">
        <v>2881</v>
      </c>
      <c r="K200" s="7" t="s">
        <v>55</v>
      </c>
      <c r="L200" s="7" t="s">
        <v>2882</v>
      </c>
      <c r="M200" s="7" t="s">
        <v>2883</v>
      </c>
      <c r="N200" s="45" t="str">
        <f t="shared" si="138"/>
        <v>@CowgirlSB</v>
      </c>
      <c r="O200" s="74" t="str">
        <f t="shared" si="139"/>
        <v>Questionnaire</v>
      </c>
      <c r="P200" s="7" t="s">
        <v>2849</v>
      </c>
      <c r="Q200" s="57" t="s">
        <v>472</v>
      </c>
      <c r="R200" s="48" t="s">
        <v>2851</v>
      </c>
      <c r="S200" s="48" t="s">
        <v>468</v>
      </c>
      <c r="T200" s="73" t="s">
        <v>74</v>
      </c>
      <c r="U200" s="7" t="s">
        <v>75</v>
      </c>
      <c r="V200" s="7"/>
      <c r="W200" s="44">
        <v>3.54</v>
      </c>
      <c r="X200" s="7" t="s">
        <v>802</v>
      </c>
      <c r="Y200" s="7" t="s">
        <v>2853</v>
      </c>
      <c r="Z200" s="49" t="s">
        <v>545</v>
      </c>
      <c r="AA200" s="61">
        <v>0.75</v>
      </c>
      <c r="AB200" s="48" t="s">
        <v>2855</v>
      </c>
      <c r="AC200" s="78" t="s">
        <v>2849</v>
      </c>
      <c r="AD200" s="53" t="str">
        <f t="shared" si="140"/>
        <v>Link</v>
      </c>
      <c r="AE200" s="54">
        <v>21101</v>
      </c>
      <c r="AF200" s="54">
        <v>156</v>
      </c>
      <c r="AG200" s="85"/>
      <c r="AH200" s="56">
        <v>207388</v>
      </c>
      <c r="AI200" s="7"/>
      <c r="AJ200" s="7"/>
    </row>
    <row r="201" spans="1:36" ht="15" x14ac:dyDescent="0.2">
      <c r="A201" s="43" t="s">
        <v>2601</v>
      </c>
      <c r="B201" s="33" t="s">
        <v>472</v>
      </c>
      <c r="C201" s="7" t="s">
        <v>67</v>
      </c>
      <c r="D201" s="7" t="s">
        <v>2895</v>
      </c>
      <c r="E201" s="44">
        <v>5</v>
      </c>
      <c r="F201" s="7"/>
      <c r="G201" s="7"/>
      <c r="H201" s="2" t="s">
        <v>2843</v>
      </c>
      <c r="I201" s="7" t="s">
        <v>658</v>
      </c>
      <c r="J201" s="7" t="s">
        <v>2896</v>
      </c>
      <c r="K201" s="7" t="s">
        <v>55</v>
      </c>
      <c r="L201" s="7" t="s">
        <v>2897</v>
      </c>
      <c r="M201" s="7" t="s">
        <v>2865</v>
      </c>
      <c r="N201" s="45" t="str">
        <f t="shared" si="138"/>
        <v>@CowgirlSB</v>
      </c>
      <c r="O201" s="74" t="str">
        <f t="shared" si="139"/>
        <v>Questionnaire</v>
      </c>
      <c r="P201" s="7" t="s">
        <v>2849</v>
      </c>
      <c r="Q201" s="57" t="s">
        <v>472</v>
      </c>
      <c r="R201" s="48" t="s">
        <v>2851</v>
      </c>
      <c r="S201" s="48" t="s">
        <v>468</v>
      </c>
      <c r="T201" s="73" t="s">
        <v>74</v>
      </c>
      <c r="U201" s="7" t="s">
        <v>75</v>
      </c>
      <c r="V201" s="7"/>
      <c r="W201" s="44">
        <v>3.54</v>
      </c>
      <c r="X201" s="7" t="s">
        <v>802</v>
      </c>
      <c r="Y201" s="7" t="s">
        <v>2853</v>
      </c>
      <c r="Z201" s="49" t="s">
        <v>545</v>
      </c>
      <c r="AA201" s="61">
        <v>0.75</v>
      </c>
      <c r="AB201" s="48" t="s">
        <v>2855</v>
      </c>
      <c r="AC201" s="78" t="s">
        <v>2849</v>
      </c>
      <c r="AD201" s="53" t="str">
        <f t="shared" si="140"/>
        <v>Link</v>
      </c>
      <c r="AE201" s="54">
        <v>21101</v>
      </c>
      <c r="AF201" s="54">
        <v>156</v>
      </c>
      <c r="AG201" s="85"/>
      <c r="AH201" s="56">
        <v>207388</v>
      </c>
      <c r="AI201" s="7"/>
      <c r="AJ201" s="7"/>
    </row>
    <row r="202" spans="1:36" ht="15" x14ac:dyDescent="0.2">
      <c r="A202" s="43" t="s">
        <v>2601</v>
      </c>
      <c r="B202" s="33" t="s">
        <v>472</v>
      </c>
      <c r="C202" s="7" t="s">
        <v>67</v>
      </c>
      <c r="D202" s="7" t="s">
        <v>2902</v>
      </c>
      <c r="E202" s="44">
        <v>5</v>
      </c>
      <c r="F202" s="7"/>
      <c r="G202" s="7"/>
      <c r="H202" s="2" t="s">
        <v>2843</v>
      </c>
      <c r="I202" s="7" t="s">
        <v>92</v>
      </c>
      <c r="J202" s="7" t="s">
        <v>2903</v>
      </c>
      <c r="K202" s="7" t="s">
        <v>139</v>
      </c>
      <c r="L202" s="7" t="s">
        <v>2904</v>
      </c>
      <c r="M202" s="7"/>
      <c r="N202" s="45" t="str">
        <f t="shared" si="138"/>
        <v>@CowgirlSB</v>
      </c>
      <c r="O202" s="74" t="str">
        <f t="shared" si="139"/>
        <v>Questionnaire</v>
      </c>
      <c r="P202" s="7" t="s">
        <v>2849</v>
      </c>
      <c r="Q202" s="57" t="s">
        <v>472</v>
      </c>
      <c r="R202" s="48" t="s">
        <v>2851</v>
      </c>
      <c r="S202" s="48" t="s">
        <v>468</v>
      </c>
      <c r="T202" s="73" t="s">
        <v>74</v>
      </c>
      <c r="U202" s="7" t="s">
        <v>75</v>
      </c>
      <c r="V202" s="7"/>
      <c r="W202" s="44">
        <v>3.54</v>
      </c>
      <c r="X202" s="7" t="s">
        <v>802</v>
      </c>
      <c r="Y202" s="7" t="s">
        <v>2853</v>
      </c>
      <c r="Z202" s="49" t="s">
        <v>545</v>
      </c>
      <c r="AA202" s="61">
        <v>0.75</v>
      </c>
      <c r="AB202" s="48" t="s">
        <v>2855</v>
      </c>
      <c r="AC202" s="78" t="s">
        <v>2849</v>
      </c>
      <c r="AD202" s="53" t="str">
        <f t="shared" si="140"/>
        <v>Link</v>
      </c>
      <c r="AE202" s="54">
        <v>21101</v>
      </c>
      <c r="AF202" s="54">
        <v>156</v>
      </c>
      <c r="AG202" s="85"/>
      <c r="AH202" s="56">
        <v>207388</v>
      </c>
      <c r="AI202" s="7"/>
      <c r="AJ202" s="7"/>
    </row>
    <row r="203" spans="1:36" ht="15" x14ac:dyDescent="0.2">
      <c r="A203" s="43" t="s">
        <v>2601</v>
      </c>
      <c r="B203" s="33" t="s">
        <v>280</v>
      </c>
      <c r="C203" s="7" t="s">
        <v>67</v>
      </c>
      <c r="D203" s="7" t="s">
        <v>2908</v>
      </c>
      <c r="E203" s="44">
        <v>5</v>
      </c>
      <c r="F203" s="7"/>
      <c r="G203" s="7"/>
      <c r="H203" s="2" t="s">
        <v>2910</v>
      </c>
      <c r="I203" s="7" t="s">
        <v>754</v>
      </c>
      <c r="J203" s="7" t="s">
        <v>2912</v>
      </c>
      <c r="K203" s="7" t="s">
        <v>48</v>
      </c>
      <c r="L203" s="2" t="s">
        <v>2914</v>
      </c>
      <c r="M203" s="2" t="s">
        <v>2916</v>
      </c>
      <c r="N203" s="45" t="str">
        <f t="shared" ref="N203:N206" si="141">HYPERLINK("twitter.com/TexasSoftball","@TexasSoftball")</f>
        <v>@TexasSoftball</v>
      </c>
      <c r="O203" s="74" t="str">
        <f t="shared" ref="O203:O206" si="142">HYPERLINK("https://texassports.com/news/2005/4/12/041205aaa_879.aspx","Questionnaire")</f>
        <v>Questionnaire</v>
      </c>
      <c r="P203" s="7" t="s">
        <v>2922</v>
      </c>
      <c r="Q203" s="57" t="s">
        <v>280</v>
      </c>
      <c r="R203" s="48" t="s">
        <v>2924</v>
      </c>
      <c r="S203" s="48" t="s">
        <v>354</v>
      </c>
      <c r="T203" s="49" t="s">
        <v>74</v>
      </c>
      <c r="U203" s="7" t="s">
        <v>75</v>
      </c>
      <c r="V203" s="7"/>
      <c r="W203" s="44">
        <v>3.75</v>
      </c>
      <c r="X203" s="7" t="s">
        <v>1372</v>
      </c>
      <c r="Y203" s="7" t="s">
        <v>2925</v>
      </c>
      <c r="Z203" s="49" t="s">
        <v>191</v>
      </c>
      <c r="AA203" s="61">
        <v>0.4</v>
      </c>
      <c r="AB203" s="48" t="s">
        <v>2927</v>
      </c>
      <c r="AC203" s="40" t="s">
        <v>2922</v>
      </c>
      <c r="AD203" s="53" t="str">
        <f t="shared" ref="AD203:AD206" si="143">HYPERLINK("https://admissions.utexas.edu/explore/academics","Link")</f>
        <v>Link</v>
      </c>
      <c r="AE203" s="54">
        <v>40168</v>
      </c>
      <c r="AF203" s="54">
        <v>56</v>
      </c>
      <c r="AG203" s="85"/>
      <c r="AH203" s="56">
        <v>228778</v>
      </c>
      <c r="AI203" s="7"/>
      <c r="AJ203" s="7"/>
    </row>
    <row r="204" spans="1:36" ht="15" x14ac:dyDescent="0.2">
      <c r="A204" s="43" t="s">
        <v>2601</v>
      </c>
      <c r="B204" s="33" t="s">
        <v>280</v>
      </c>
      <c r="C204" s="7" t="s">
        <v>67</v>
      </c>
      <c r="D204" s="7" t="s">
        <v>2935</v>
      </c>
      <c r="E204" s="44">
        <v>5</v>
      </c>
      <c r="F204" s="7"/>
      <c r="G204" s="7"/>
      <c r="H204" s="2" t="s">
        <v>2910</v>
      </c>
      <c r="I204" s="7" t="s">
        <v>363</v>
      </c>
      <c r="J204" s="7" t="s">
        <v>2938</v>
      </c>
      <c r="K204" s="7" t="s">
        <v>55</v>
      </c>
      <c r="L204" s="2" t="s">
        <v>2939</v>
      </c>
      <c r="M204" s="2"/>
      <c r="N204" s="45" t="str">
        <f t="shared" si="141"/>
        <v>@TexasSoftball</v>
      </c>
      <c r="O204" s="74" t="str">
        <f t="shared" si="142"/>
        <v>Questionnaire</v>
      </c>
      <c r="P204" s="7" t="s">
        <v>2922</v>
      </c>
      <c r="Q204" s="57" t="s">
        <v>280</v>
      </c>
      <c r="R204" s="48" t="s">
        <v>2924</v>
      </c>
      <c r="S204" s="48" t="s">
        <v>354</v>
      </c>
      <c r="T204" s="49" t="s">
        <v>74</v>
      </c>
      <c r="U204" s="7" t="s">
        <v>75</v>
      </c>
      <c r="V204" s="7"/>
      <c r="W204" s="44">
        <v>3.75</v>
      </c>
      <c r="X204" s="7" t="s">
        <v>1372</v>
      </c>
      <c r="Y204" s="7" t="s">
        <v>2925</v>
      </c>
      <c r="Z204" s="49" t="s">
        <v>191</v>
      </c>
      <c r="AA204" s="61">
        <v>0.4</v>
      </c>
      <c r="AB204" s="48" t="s">
        <v>2927</v>
      </c>
      <c r="AC204" s="40" t="s">
        <v>2922</v>
      </c>
      <c r="AD204" s="53" t="str">
        <f t="shared" si="143"/>
        <v>Link</v>
      </c>
      <c r="AE204" s="54">
        <v>40168</v>
      </c>
      <c r="AF204" s="54">
        <v>56</v>
      </c>
      <c r="AG204" s="85"/>
      <c r="AH204" s="56">
        <v>228778</v>
      </c>
      <c r="AI204" s="7"/>
      <c r="AJ204" s="7"/>
    </row>
    <row r="205" spans="1:36" ht="15" x14ac:dyDescent="0.2">
      <c r="A205" s="43" t="s">
        <v>2601</v>
      </c>
      <c r="B205" s="33" t="s">
        <v>280</v>
      </c>
      <c r="C205" s="7" t="s">
        <v>67</v>
      </c>
      <c r="D205" s="7" t="s">
        <v>2945</v>
      </c>
      <c r="E205" s="44">
        <v>5</v>
      </c>
      <c r="F205" s="7"/>
      <c r="G205" s="7"/>
      <c r="H205" s="2" t="s">
        <v>2910</v>
      </c>
      <c r="I205" s="7" t="s">
        <v>683</v>
      </c>
      <c r="J205" s="7" t="s">
        <v>2946</v>
      </c>
      <c r="K205" s="7" t="s">
        <v>55</v>
      </c>
      <c r="L205" s="2" t="s">
        <v>2947</v>
      </c>
      <c r="M205" s="2" t="s">
        <v>2948</v>
      </c>
      <c r="N205" s="45" t="str">
        <f t="shared" si="141"/>
        <v>@TexasSoftball</v>
      </c>
      <c r="O205" s="74" t="str">
        <f t="shared" si="142"/>
        <v>Questionnaire</v>
      </c>
      <c r="P205" s="7" t="s">
        <v>2922</v>
      </c>
      <c r="Q205" s="57" t="s">
        <v>280</v>
      </c>
      <c r="R205" s="48" t="s">
        <v>2924</v>
      </c>
      <c r="S205" s="48" t="s">
        <v>354</v>
      </c>
      <c r="T205" s="49" t="s">
        <v>74</v>
      </c>
      <c r="U205" s="7" t="s">
        <v>75</v>
      </c>
      <c r="V205" s="7"/>
      <c r="W205" s="44">
        <v>3.75</v>
      </c>
      <c r="X205" s="7" t="s">
        <v>1372</v>
      </c>
      <c r="Y205" s="7" t="s">
        <v>2925</v>
      </c>
      <c r="Z205" s="49" t="s">
        <v>191</v>
      </c>
      <c r="AA205" s="61">
        <v>0.4</v>
      </c>
      <c r="AB205" s="48" t="s">
        <v>2927</v>
      </c>
      <c r="AC205" s="40" t="s">
        <v>2922</v>
      </c>
      <c r="AD205" s="53" t="str">
        <f t="shared" si="143"/>
        <v>Link</v>
      </c>
      <c r="AE205" s="54">
        <v>40168</v>
      </c>
      <c r="AF205" s="54">
        <v>56</v>
      </c>
      <c r="AG205" s="85"/>
      <c r="AH205" s="56">
        <v>228778</v>
      </c>
      <c r="AI205" s="7"/>
      <c r="AJ205" s="7"/>
    </row>
    <row r="206" spans="1:36" ht="15" x14ac:dyDescent="0.2">
      <c r="A206" s="43" t="s">
        <v>2601</v>
      </c>
      <c r="B206" s="33" t="s">
        <v>280</v>
      </c>
      <c r="C206" s="7" t="s">
        <v>67</v>
      </c>
      <c r="D206" s="7" t="s">
        <v>2954</v>
      </c>
      <c r="E206" s="44">
        <v>5</v>
      </c>
      <c r="F206" s="7"/>
      <c r="G206" s="7"/>
      <c r="H206" s="2" t="s">
        <v>2910</v>
      </c>
      <c r="I206" s="7" t="s">
        <v>2955</v>
      </c>
      <c r="J206" s="7" t="s">
        <v>2956</v>
      </c>
      <c r="K206" s="7" t="s">
        <v>154</v>
      </c>
      <c r="L206" s="2" t="s">
        <v>2958</v>
      </c>
      <c r="M206" s="2" t="s">
        <v>2959</v>
      </c>
      <c r="N206" s="45" t="str">
        <f t="shared" si="141"/>
        <v>@TexasSoftball</v>
      </c>
      <c r="O206" s="74" t="str">
        <f t="shared" si="142"/>
        <v>Questionnaire</v>
      </c>
      <c r="P206" s="7" t="s">
        <v>2922</v>
      </c>
      <c r="Q206" s="57" t="s">
        <v>280</v>
      </c>
      <c r="R206" s="48" t="s">
        <v>2924</v>
      </c>
      <c r="S206" s="48" t="s">
        <v>354</v>
      </c>
      <c r="T206" s="49" t="s">
        <v>74</v>
      </c>
      <c r="U206" s="7" t="s">
        <v>75</v>
      </c>
      <c r="V206" s="7"/>
      <c r="W206" s="44">
        <v>3.75</v>
      </c>
      <c r="X206" s="7" t="s">
        <v>1372</v>
      </c>
      <c r="Y206" s="7" t="s">
        <v>2925</v>
      </c>
      <c r="Z206" s="49" t="s">
        <v>191</v>
      </c>
      <c r="AA206" s="61">
        <v>0.4</v>
      </c>
      <c r="AB206" s="48" t="s">
        <v>2927</v>
      </c>
      <c r="AC206" s="40" t="s">
        <v>2922</v>
      </c>
      <c r="AD206" s="53" t="str">
        <f t="shared" si="143"/>
        <v>Link</v>
      </c>
      <c r="AE206" s="54">
        <v>40168</v>
      </c>
      <c r="AF206" s="54">
        <v>56</v>
      </c>
      <c r="AG206" s="85"/>
      <c r="AH206" s="56">
        <v>228778</v>
      </c>
      <c r="AI206" s="7"/>
      <c r="AJ206" s="7"/>
    </row>
    <row r="207" spans="1:36" ht="15" x14ac:dyDescent="0.2">
      <c r="A207" s="43" t="s">
        <v>2601</v>
      </c>
      <c r="B207" s="33" t="s">
        <v>280</v>
      </c>
      <c r="C207" s="7" t="s">
        <v>67</v>
      </c>
      <c r="D207" s="7" t="s">
        <v>2963</v>
      </c>
      <c r="E207" s="44">
        <v>5</v>
      </c>
      <c r="F207" s="7"/>
      <c r="G207" s="7"/>
      <c r="H207" s="2" t="s">
        <v>2966</v>
      </c>
      <c r="I207" s="7" t="s">
        <v>1258</v>
      </c>
      <c r="J207" s="7" t="s">
        <v>2968</v>
      </c>
      <c r="K207" s="7" t="s">
        <v>120</v>
      </c>
      <c r="L207" s="7"/>
      <c r="M207" s="7"/>
      <c r="N207" s="48"/>
      <c r="O207" s="7"/>
      <c r="P207" s="7" t="s">
        <v>2972</v>
      </c>
      <c r="Q207" s="57" t="s">
        <v>280</v>
      </c>
      <c r="R207" s="48" t="s">
        <v>2973</v>
      </c>
      <c r="S207" s="48" t="s">
        <v>62</v>
      </c>
      <c r="T207" s="49" t="s">
        <v>74</v>
      </c>
      <c r="U207" s="7" t="s">
        <v>75</v>
      </c>
      <c r="V207" s="48"/>
      <c r="W207" s="71">
        <v>3.5</v>
      </c>
      <c r="X207" s="48" t="s">
        <v>345</v>
      </c>
      <c r="Y207" s="48" t="s">
        <v>2228</v>
      </c>
      <c r="Z207" s="49" t="s">
        <v>320</v>
      </c>
      <c r="AA207" s="61">
        <v>0.63</v>
      </c>
      <c r="AB207" s="48" t="s">
        <v>2979</v>
      </c>
      <c r="AC207" s="40" t="s">
        <v>2972</v>
      </c>
      <c r="AD207" s="53" t="str">
        <f t="shared" ref="AD207:AD213" si="144">HYPERLINK("https://www.ttu.edu/majors-and-colleges/undergraduate-majors/","Link")</f>
        <v>Link</v>
      </c>
      <c r="AE207" s="54">
        <v>29963</v>
      </c>
      <c r="AF207" s="54">
        <v>176</v>
      </c>
      <c r="AG207" s="85"/>
      <c r="AH207" s="56">
        <v>229115</v>
      </c>
      <c r="AI207" s="87"/>
      <c r="AJ207" s="87"/>
    </row>
    <row r="208" spans="1:36" ht="15" x14ac:dyDescent="0.2">
      <c r="A208" s="43" t="s">
        <v>2601</v>
      </c>
      <c r="B208" s="33" t="s">
        <v>280</v>
      </c>
      <c r="C208" s="7" t="s">
        <v>67</v>
      </c>
      <c r="D208" s="7" t="s">
        <v>2985</v>
      </c>
      <c r="E208" s="44">
        <v>5</v>
      </c>
      <c r="F208" s="7"/>
      <c r="G208" s="7"/>
      <c r="H208" s="2" t="s">
        <v>2966</v>
      </c>
      <c r="I208" s="7" t="s">
        <v>2816</v>
      </c>
      <c r="J208" s="7" t="s">
        <v>2986</v>
      </c>
      <c r="K208" s="7" t="s">
        <v>139</v>
      </c>
      <c r="L208" s="7"/>
      <c r="M208" s="7"/>
      <c r="N208" s="48"/>
      <c r="O208" s="7"/>
      <c r="P208" s="7" t="s">
        <v>2972</v>
      </c>
      <c r="Q208" s="57" t="s">
        <v>280</v>
      </c>
      <c r="R208" s="48" t="s">
        <v>2973</v>
      </c>
      <c r="S208" s="48" t="s">
        <v>62</v>
      </c>
      <c r="T208" s="49" t="s">
        <v>74</v>
      </c>
      <c r="U208" s="7" t="s">
        <v>75</v>
      </c>
      <c r="V208" s="48"/>
      <c r="W208" s="71">
        <v>3.5</v>
      </c>
      <c r="X208" s="48" t="s">
        <v>345</v>
      </c>
      <c r="Y208" s="48" t="s">
        <v>2228</v>
      </c>
      <c r="Z208" s="49" t="s">
        <v>320</v>
      </c>
      <c r="AA208" s="61">
        <v>0.63</v>
      </c>
      <c r="AB208" s="48" t="s">
        <v>2979</v>
      </c>
      <c r="AC208" s="40" t="s">
        <v>2972</v>
      </c>
      <c r="AD208" s="53" t="str">
        <f t="shared" si="144"/>
        <v>Link</v>
      </c>
      <c r="AE208" s="54">
        <v>29963</v>
      </c>
      <c r="AF208" s="54">
        <v>176</v>
      </c>
      <c r="AG208" s="85"/>
      <c r="AH208" s="56">
        <v>229115</v>
      </c>
      <c r="AI208" s="87"/>
      <c r="AJ208" s="87"/>
    </row>
    <row r="209" spans="1:36" ht="15" x14ac:dyDescent="0.2">
      <c r="A209" s="43" t="s">
        <v>2601</v>
      </c>
      <c r="B209" s="33" t="s">
        <v>280</v>
      </c>
      <c r="C209" s="7" t="s">
        <v>67</v>
      </c>
      <c r="D209" s="7" t="s">
        <v>2997</v>
      </c>
      <c r="E209" s="44">
        <v>5</v>
      </c>
      <c r="F209" s="7"/>
      <c r="G209" s="7"/>
      <c r="H209" s="2" t="s">
        <v>2966</v>
      </c>
      <c r="I209" s="7" t="s">
        <v>2998</v>
      </c>
      <c r="J209" s="7" t="s">
        <v>2999</v>
      </c>
      <c r="K209" s="7" t="s">
        <v>48</v>
      </c>
      <c r="L209" s="7" t="s">
        <v>3000</v>
      </c>
      <c r="M209" s="7"/>
      <c r="N209" s="45" t="str">
        <f>HYPERLINK("twitter.com/CoachGregoryTTU","@CoachGregoryTTU")</f>
        <v>@CoachGregoryTTU</v>
      </c>
      <c r="O209" s="74" t="str">
        <f t="shared" ref="O209:O213" si="145">HYPERLINK("https://questionnaire.acsathletics.com/Questionnaire/Questionnaire.aspx?q=174&amp;s=1939&amp;o=107","Questionnaire")</f>
        <v>Questionnaire</v>
      </c>
      <c r="P209" s="7" t="s">
        <v>2972</v>
      </c>
      <c r="Q209" s="57" t="s">
        <v>280</v>
      </c>
      <c r="R209" s="48" t="s">
        <v>2973</v>
      </c>
      <c r="S209" s="48" t="s">
        <v>62</v>
      </c>
      <c r="T209" s="49" t="s">
        <v>74</v>
      </c>
      <c r="U209" s="7" t="s">
        <v>75</v>
      </c>
      <c r="V209" s="7"/>
      <c r="W209" s="44">
        <v>3.5</v>
      </c>
      <c r="X209" s="7" t="s">
        <v>345</v>
      </c>
      <c r="Y209" s="7" t="s">
        <v>2228</v>
      </c>
      <c r="Z209" s="49" t="s">
        <v>320</v>
      </c>
      <c r="AA209" s="61">
        <v>0.63</v>
      </c>
      <c r="AB209" s="48" t="s">
        <v>2979</v>
      </c>
      <c r="AC209" s="40" t="s">
        <v>2972</v>
      </c>
      <c r="AD209" s="53" t="str">
        <f t="shared" si="144"/>
        <v>Link</v>
      </c>
      <c r="AE209" s="54">
        <v>29963</v>
      </c>
      <c r="AF209" s="54">
        <v>176</v>
      </c>
      <c r="AG209" s="85"/>
      <c r="AH209" s="56">
        <v>229115</v>
      </c>
      <c r="AI209" s="7"/>
      <c r="AJ209" s="7"/>
    </row>
    <row r="210" spans="1:36" ht="15" x14ac:dyDescent="0.2">
      <c r="A210" s="43" t="s">
        <v>2601</v>
      </c>
      <c r="B210" s="33" t="s">
        <v>280</v>
      </c>
      <c r="C210" s="7" t="s">
        <v>67</v>
      </c>
      <c r="D210" s="7" t="s">
        <v>3022</v>
      </c>
      <c r="E210" s="44">
        <v>5</v>
      </c>
      <c r="F210" s="7"/>
      <c r="G210" s="7"/>
      <c r="H210" s="2" t="s">
        <v>2966</v>
      </c>
      <c r="I210" s="7" t="s">
        <v>1286</v>
      </c>
      <c r="J210" s="7" t="s">
        <v>3023</v>
      </c>
      <c r="K210" s="7" t="s">
        <v>55</v>
      </c>
      <c r="L210" s="7" t="s">
        <v>3024</v>
      </c>
      <c r="M210" s="7"/>
      <c r="N210" s="45" t="str">
        <f>HYPERLINK("twitter.com/Sam_Marder","@Sam_Marder")</f>
        <v>@Sam_Marder</v>
      </c>
      <c r="O210" s="74" t="str">
        <f t="shared" si="145"/>
        <v>Questionnaire</v>
      </c>
      <c r="P210" s="7" t="s">
        <v>2972</v>
      </c>
      <c r="Q210" s="57" t="s">
        <v>280</v>
      </c>
      <c r="R210" s="48" t="s">
        <v>2973</v>
      </c>
      <c r="S210" s="48" t="s">
        <v>62</v>
      </c>
      <c r="T210" s="49" t="s">
        <v>74</v>
      </c>
      <c r="U210" s="7" t="s">
        <v>75</v>
      </c>
      <c r="V210" s="7"/>
      <c r="W210" s="44">
        <v>3.5</v>
      </c>
      <c r="X210" s="7" t="s">
        <v>345</v>
      </c>
      <c r="Y210" s="7" t="s">
        <v>2228</v>
      </c>
      <c r="Z210" s="49" t="s">
        <v>320</v>
      </c>
      <c r="AA210" s="61">
        <v>0.63</v>
      </c>
      <c r="AB210" s="48" t="s">
        <v>2979</v>
      </c>
      <c r="AC210" s="40" t="s">
        <v>2972</v>
      </c>
      <c r="AD210" s="53" t="str">
        <f t="shared" si="144"/>
        <v>Link</v>
      </c>
      <c r="AE210" s="54">
        <v>29963</v>
      </c>
      <c r="AF210" s="54">
        <v>176</v>
      </c>
      <c r="AG210" s="85"/>
      <c r="AH210" s="56">
        <v>229115</v>
      </c>
      <c r="AI210" s="7"/>
      <c r="AJ210" s="7"/>
    </row>
    <row r="211" spans="1:36" ht="15" x14ac:dyDescent="0.2">
      <c r="A211" s="43" t="s">
        <v>2601</v>
      </c>
      <c r="B211" s="33" t="s">
        <v>280</v>
      </c>
      <c r="C211" s="7" t="s">
        <v>67</v>
      </c>
      <c r="D211" s="7" t="s">
        <v>3033</v>
      </c>
      <c r="E211" s="44">
        <v>5</v>
      </c>
      <c r="F211" s="7"/>
      <c r="G211" s="7"/>
      <c r="H211" s="2" t="s">
        <v>2966</v>
      </c>
      <c r="I211" s="7" t="s">
        <v>3035</v>
      </c>
      <c r="J211" s="7" t="s">
        <v>3036</v>
      </c>
      <c r="K211" s="7" t="s">
        <v>55</v>
      </c>
      <c r="L211" s="7" t="s">
        <v>3037</v>
      </c>
      <c r="M211" s="7"/>
      <c r="N211" s="45" t="str">
        <f>HYPERLINK("twitter.com/coachlettyo","@coachlettyo")</f>
        <v>@coachlettyo</v>
      </c>
      <c r="O211" s="74" t="str">
        <f t="shared" si="145"/>
        <v>Questionnaire</v>
      </c>
      <c r="P211" s="7" t="s">
        <v>2972</v>
      </c>
      <c r="Q211" s="57" t="s">
        <v>280</v>
      </c>
      <c r="R211" s="48" t="s">
        <v>2973</v>
      </c>
      <c r="S211" s="48" t="s">
        <v>62</v>
      </c>
      <c r="T211" s="49" t="s">
        <v>74</v>
      </c>
      <c r="U211" s="7" t="s">
        <v>75</v>
      </c>
      <c r="V211" s="7"/>
      <c r="W211" s="44">
        <v>3.5</v>
      </c>
      <c r="X211" s="7" t="s">
        <v>345</v>
      </c>
      <c r="Y211" s="7" t="s">
        <v>2228</v>
      </c>
      <c r="Z211" s="49" t="s">
        <v>320</v>
      </c>
      <c r="AA211" s="61">
        <v>0.63</v>
      </c>
      <c r="AB211" s="48" t="s">
        <v>2979</v>
      </c>
      <c r="AC211" s="40" t="s">
        <v>2972</v>
      </c>
      <c r="AD211" s="53" t="str">
        <f t="shared" si="144"/>
        <v>Link</v>
      </c>
      <c r="AE211" s="54">
        <v>29963</v>
      </c>
      <c r="AF211" s="54">
        <v>176</v>
      </c>
      <c r="AG211" s="85"/>
      <c r="AH211" s="56">
        <v>229115</v>
      </c>
      <c r="AI211" s="7"/>
      <c r="AJ211" s="7"/>
    </row>
    <row r="212" spans="1:36" ht="15" x14ac:dyDescent="0.2">
      <c r="A212" s="43" t="s">
        <v>2601</v>
      </c>
      <c r="B212" s="33" t="s">
        <v>280</v>
      </c>
      <c r="C212" s="7" t="s">
        <v>67</v>
      </c>
      <c r="D212" s="7" t="s">
        <v>3045</v>
      </c>
      <c r="E212" s="44">
        <v>5</v>
      </c>
      <c r="F212" s="7"/>
      <c r="G212" s="7"/>
      <c r="H212" s="2" t="s">
        <v>2966</v>
      </c>
      <c r="I212" s="7" t="s">
        <v>878</v>
      </c>
      <c r="J212" s="7" t="s">
        <v>3046</v>
      </c>
      <c r="K212" s="7" t="s">
        <v>154</v>
      </c>
      <c r="L212" s="7" t="s">
        <v>3047</v>
      </c>
      <c r="M212" s="7" t="s">
        <v>3048</v>
      </c>
      <c r="N212" s="45" t="str">
        <f>HYPERLINK("twitter.com/BrookeYReed5","@BrookeYReed5")</f>
        <v>@BrookeYReed5</v>
      </c>
      <c r="O212" s="74" t="str">
        <f t="shared" si="145"/>
        <v>Questionnaire</v>
      </c>
      <c r="P212" s="7" t="s">
        <v>2972</v>
      </c>
      <c r="Q212" s="57" t="s">
        <v>280</v>
      </c>
      <c r="R212" s="48" t="s">
        <v>2973</v>
      </c>
      <c r="S212" s="48" t="s">
        <v>62</v>
      </c>
      <c r="T212" s="49" t="s">
        <v>74</v>
      </c>
      <c r="U212" s="7" t="s">
        <v>75</v>
      </c>
      <c r="V212" s="7"/>
      <c r="W212" s="44">
        <v>3.5</v>
      </c>
      <c r="X212" s="7" t="s">
        <v>345</v>
      </c>
      <c r="Y212" s="7" t="s">
        <v>2228</v>
      </c>
      <c r="Z212" s="49" t="s">
        <v>320</v>
      </c>
      <c r="AA212" s="61">
        <v>0.63</v>
      </c>
      <c r="AB212" s="48" t="s">
        <v>2979</v>
      </c>
      <c r="AC212" s="40" t="s">
        <v>2972</v>
      </c>
      <c r="AD212" s="53" t="str">
        <f t="shared" si="144"/>
        <v>Link</v>
      </c>
      <c r="AE212" s="54">
        <v>29963</v>
      </c>
      <c r="AF212" s="54">
        <v>176</v>
      </c>
      <c r="AG212" s="85"/>
      <c r="AH212" s="56">
        <v>229115</v>
      </c>
      <c r="AI212" s="7"/>
      <c r="AJ212" s="7"/>
    </row>
    <row r="213" spans="1:36" ht="15" x14ac:dyDescent="0.2">
      <c r="A213" s="43" t="s">
        <v>2601</v>
      </c>
      <c r="B213" s="33" t="s">
        <v>280</v>
      </c>
      <c r="C213" s="7" t="s">
        <v>67</v>
      </c>
      <c r="D213" s="7" t="s">
        <v>3058</v>
      </c>
      <c r="E213" s="44">
        <v>5</v>
      </c>
      <c r="F213" s="7"/>
      <c r="G213" s="7"/>
      <c r="H213" s="2" t="s">
        <v>2966</v>
      </c>
      <c r="I213" s="7" t="s">
        <v>2150</v>
      </c>
      <c r="J213" s="7" t="s">
        <v>3060</v>
      </c>
      <c r="K213" s="7" t="s">
        <v>139</v>
      </c>
      <c r="L213" s="7"/>
      <c r="M213" s="7"/>
      <c r="N213" s="45" t="str">
        <f>HYPERLINK("twitter.com/texastechsb","@texastechsb")</f>
        <v>@texastechsb</v>
      </c>
      <c r="O213" s="74" t="str">
        <f t="shared" si="145"/>
        <v>Questionnaire</v>
      </c>
      <c r="P213" s="7" t="s">
        <v>2972</v>
      </c>
      <c r="Q213" s="57" t="s">
        <v>280</v>
      </c>
      <c r="R213" s="48" t="s">
        <v>2973</v>
      </c>
      <c r="S213" s="48" t="s">
        <v>62</v>
      </c>
      <c r="T213" s="49" t="s">
        <v>74</v>
      </c>
      <c r="U213" s="7" t="s">
        <v>75</v>
      </c>
      <c r="V213" s="7"/>
      <c r="W213" s="44">
        <v>3.5</v>
      </c>
      <c r="X213" s="7" t="s">
        <v>345</v>
      </c>
      <c r="Y213" s="7" t="s">
        <v>2228</v>
      </c>
      <c r="Z213" s="49" t="s">
        <v>320</v>
      </c>
      <c r="AA213" s="61">
        <v>0.63</v>
      </c>
      <c r="AB213" s="48" t="s">
        <v>2979</v>
      </c>
      <c r="AC213" s="40" t="s">
        <v>2972</v>
      </c>
      <c r="AD213" s="53" t="str">
        <f t="shared" si="144"/>
        <v>Link</v>
      </c>
      <c r="AE213" s="54">
        <v>29963</v>
      </c>
      <c r="AF213" s="54">
        <v>176</v>
      </c>
      <c r="AG213" s="85"/>
      <c r="AH213" s="56">
        <v>229115</v>
      </c>
      <c r="AI213" s="7"/>
      <c r="AJ213" s="7"/>
    </row>
    <row r="214" spans="1:36" ht="15" x14ac:dyDescent="0.2">
      <c r="A214" s="43" t="s">
        <v>3070</v>
      </c>
      <c r="B214" s="33" t="s">
        <v>1151</v>
      </c>
      <c r="C214" s="7" t="s">
        <v>67</v>
      </c>
      <c r="D214" s="7" t="s">
        <v>3072</v>
      </c>
      <c r="E214" s="44">
        <v>5</v>
      </c>
      <c r="F214" s="7"/>
      <c r="G214" s="7"/>
      <c r="H214" s="2" t="s">
        <v>3073</v>
      </c>
      <c r="I214" s="7" t="s">
        <v>2031</v>
      </c>
      <c r="J214" s="7" t="s">
        <v>1267</v>
      </c>
      <c r="K214" s="7" t="s">
        <v>48</v>
      </c>
      <c r="L214" s="7" t="s">
        <v>3074</v>
      </c>
      <c r="M214" s="7" t="s">
        <v>3075</v>
      </c>
      <c r="N214" s="45" t="str">
        <f t="shared" ref="N214:N216" si="146">HYPERLINK("twitter.com/ButlerSoftball","@ButlerSoftball")</f>
        <v>@ButlerSoftball</v>
      </c>
      <c r="O214" s="7" t="s">
        <v>22</v>
      </c>
      <c r="P214" s="7" t="s">
        <v>3078</v>
      </c>
      <c r="Q214" s="57" t="s">
        <v>1151</v>
      </c>
      <c r="R214" s="48" t="s">
        <v>3079</v>
      </c>
      <c r="S214" s="48" t="s">
        <v>354</v>
      </c>
      <c r="T214" s="49" t="s">
        <v>63</v>
      </c>
      <c r="U214" s="7" t="s">
        <v>75</v>
      </c>
      <c r="V214" s="7"/>
      <c r="W214" s="44">
        <v>3.78</v>
      </c>
      <c r="X214" s="7" t="s">
        <v>1319</v>
      </c>
      <c r="Y214" s="7" t="s">
        <v>3080</v>
      </c>
      <c r="Z214" s="49" t="s">
        <v>412</v>
      </c>
      <c r="AA214" s="51">
        <v>0.72699999999999998</v>
      </c>
      <c r="AB214" s="71">
        <v>54857</v>
      </c>
      <c r="AC214" s="40" t="s">
        <v>3078</v>
      </c>
      <c r="AD214" s="53" t="str">
        <f t="shared" ref="AD214:AD216" si="147">HYPERLINK("https://www.butler.edu/academics/majors-minors","Link")</f>
        <v>Link</v>
      </c>
      <c r="AE214" s="54">
        <v>4290</v>
      </c>
      <c r="AF214" s="55"/>
      <c r="AG214" s="85"/>
      <c r="AH214" s="56">
        <v>150163</v>
      </c>
      <c r="AI214" s="7"/>
      <c r="AJ214" s="7"/>
    </row>
    <row r="215" spans="1:36" ht="15" x14ac:dyDescent="0.2">
      <c r="A215" s="43" t="s">
        <v>3070</v>
      </c>
      <c r="B215" s="33" t="s">
        <v>1151</v>
      </c>
      <c r="C215" s="7" t="s">
        <v>67</v>
      </c>
      <c r="D215" s="7" t="s">
        <v>3085</v>
      </c>
      <c r="E215" s="44">
        <v>5</v>
      </c>
      <c r="F215" s="7"/>
      <c r="G215" s="7"/>
      <c r="H215" s="2" t="s">
        <v>3073</v>
      </c>
      <c r="I215" s="7" t="s">
        <v>3088</v>
      </c>
      <c r="J215" s="7" t="s">
        <v>3089</v>
      </c>
      <c r="K215" s="7" t="s">
        <v>55</v>
      </c>
      <c r="L215" s="7" t="s">
        <v>3090</v>
      </c>
      <c r="M215" s="7" t="s">
        <v>3091</v>
      </c>
      <c r="N215" s="45" t="str">
        <f t="shared" si="146"/>
        <v>@ButlerSoftball</v>
      </c>
      <c r="O215" s="7" t="s">
        <v>22</v>
      </c>
      <c r="P215" s="7" t="s">
        <v>3078</v>
      </c>
      <c r="Q215" s="57" t="s">
        <v>1151</v>
      </c>
      <c r="R215" s="48" t="s">
        <v>3079</v>
      </c>
      <c r="S215" s="48" t="s">
        <v>354</v>
      </c>
      <c r="T215" s="49" t="s">
        <v>63</v>
      </c>
      <c r="U215" s="7" t="s">
        <v>75</v>
      </c>
      <c r="V215" s="7"/>
      <c r="W215" s="44">
        <v>3.78</v>
      </c>
      <c r="X215" s="7" t="s">
        <v>1319</v>
      </c>
      <c r="Y215" s="7" t="s">
        <v>3080</v>
      </c>
      <c r="Z215" s="49" t="s">
        <v>412</v>
      </c>
      <c r="AA215" s="51">
        <v>0.72699999999999998</v>
      </c>
      <c r="AB215" s="71">
        <v>54857</v>
      </c>
      <c r="AC215" s="40" t="s">
        <v>3078</v>
      </c>
      <c r="AD215" s="53" t="str">
        <f t="shared" si="147"/>
        <v>Link</v>
      </c>
      <c r="AE215" s="54">
        <v>4290</v>
      </c>
      <c r="AF215" s="55"/>
      <c r="AG215" s="85"/>
      <c r="AH215" s="56">
        <v>150163</v>
      </c>
      <c r="AI215" s="7"/>
      <c r="AJ215" s="7"/>
    </row>
    <row r="216" spans="1:36" ht="15" x14ac:dyDescent="0.2">
      <c r="A216" s="43" t="s">
        <v>3070</v>
      </c>
      <c r="B216" s="33" t="s">
        <v>1151</v>
      </c>
      <c r="C216" s="7" t="s">
        <v>67</v>
      </c>
      <c r="D216" s="7" t="s">
        <v>3098</v>
      </c>
      <c r="E216" s="44">
        <v>5</v>
      </c>
      <c r="F216" s="7"/>
      <c r="G216" s="7"/>
      <c r="H216" s="2" t="s">
        <v>3073</v>
      </c>
      <c r="I216" s="7" t="s">
        <v>1594</v>
      </c>
      <c r="J216" s="7" t="s">
        <v>3099</v>
      </c>
      <c r="K216" s="7" t="s">
        <v>55</v>
      </c>
      <c r="L216" s="7" t="s">
        <v>3100</v>
      </c>
      <c r="M216" s="7" t="s">
        <v>3091</v>
      </c>
      <c r="N216" s="45" t="str">
        <f t="shared" si="146"/>
        <v>@ButlerSoftball</v>
      </c>
      <c r="O216" s="7" t="s">
        <v>22</v>
      </c>
      <c r="P216" s="7" t="s">
        <v>3078</v>
      </c>
      <c r="Q216" s="57" t="s">
        <v>1151</v>
      </c>
      <c r="R216" s="48" t="s">
        <v>3079</v>
      </c>
      <c r="S216" s="48" t="s">
        <v>354</v>
      </c>
      <c r="T216" s="49" t="s">
        <v>63</v>
      </c>
      <c r="U216" s="7" t="s">
        <v>75</v>
      </c>
      <c r="V216" s="7"/>
      <c r="W216" s="44">
        <v>3.78</v>
      </c>
      <c r="X216" s="7" t="s">
        <v>1319</v>
      </c>
      <c r="Y216" s="7" t="s">
        <v>3080</v>
      </c>
      <c r="Z216" s="49" t="s">
        <v>412</v>
      </c>
      <c r="AA216" s="51">
        <v>0.72699999999999998</v>
      </c>
      <c r="AB216" s="71">
        <v>54857</v>
      </c>
      <c r="AC216" s="40" t="s">
        <v>3078</v>
      </c>
      <c r="AD216" s="53" t="str">
        <f t="shared" si="147"/>
        <v>Link</v>
      </c>
      <c r="AE216" s="54">
        <v>4290</v>
      </c>
      <c r="AF216" s="55"/>
      <c r="AG216" s="85"/>
      <c r="AH216" s="56">
        <v>150163</v>
      </c>
      <c r="AI216" s="7"/>
      <c r="AJ216" s="7"/>
    </row>
    <row r="217" spans="1:36" ht="15" x14ac:dyDescent="0.2">
      <c r="A217" s="43" t="s">
        <v>3070</v>
      </c>
      <c r="B217" s="33" t="s">
        <v>3105</v>
      </c>
      <c r="C217" s="7" t="s">
        <v>67</v>
      </c>
      <c r="D217" s="7" t="s">
        <v>3106</v>
      </c>
      <c r="E217" s="44">
        <v>5</v>
      </c>
      <c r="F217" s="7"/>
      <c r="G217" s="7"/>
      <c r="H217" s="2" t="s">
        <v>3107</v>
      </c>
      <c r="I217" s="7" t="s">
        <v>3108</v>
      </c>
      <c r="J217" s="7" t="s">
        <v>3109</v>
      </c>
      <c r="K217" s="7" t="s">
        <v>48</v>
      </c>
      <c r="L217" s="7" t="s">
        <v>3110</v>
      </c>
      <c r="M217" s="7" t="s">
        <v>3111</v>
      </c>
      <c r="N217" s="45" t="str">
        <f t="shared" ref="N217:N219" si="148">HYPERLINK("twitter.com/BluejaySoftball","@BluejaySoftball")</f>
        <v>@BluejaySoftball</v>
      </c>
      <c r="O217" s="74" t="str">
        <f t="shared" ref="O217:O219" si="149">HYPERLINK("https://gocreighton.com/sb_output.aspx?form=3&amp;path=sb","Questionnaire")</f>
        <v>Questionnaire</v>
      </c>
      <c r="P217" s="7" t="s">
        <v>3116</v>
      </c>
      <c r="Q217" s="57" t="s">
        <v>3105</v>
      </c>
      <c r="R217" s="48" t="s">
        <v>3117</v>
      </c>
      <c r="S217" s="48" t="s">
        <v>354</v>
      </c>
      <c r="T217" s="49" t="s">
        <v>63</v>
      </c>
      <c r="U217" s="7" t="s">
        <v>343</v>
      </c>
      <c r="V217" s="7"/>
      <c r="W217" s="44">
        <v>3.76</v>
      </c>
      <c r="X217" s="7" t="s">
        <v>1229</v>
      </c>
      <c r="Y217" s="7" t="s">
        <v>3119</v>
      </c>
      <c r="Z217" s="49" t="s">
        <v>1373</v>
      </c>
      <c r="AA217" s="61">
        <v>0.71</v>
      </c>
      <c r="AB217" s="71">
        <v>52206</v>
      </c>
      <c r="AC217" s="78" t="s">
        <v>3116</v>
      </c>
      <c r="AD217" s="53" t="str">
        <f t="shared" ref="AD217:AD219" si="150">HYPERLINK("https://www.creighton.edu/programs","Link")</f>
        <v>Link</v>
      </c>
      <c r="AE217" s="54">
        <v>4203</v>
      </c>
      <c r="AF217" s="55"/>
      <c r="AG217" s="85"/>
      <c r="AH217" s="56">
        <v>181002</v>
      </c>
      <c r="AI217" s="7"/>
      <c r="AJ217" s="7"/>
    </row>
    <row r="218" spans="1:36" ht="15" x14ac:dyDescent="0.2">
      <c r="A218" s="43" t="s">
        <v>3070</v>
      </c>
      <c r="B218" s="33" t="s">
        <v>3105</v>
      </c>
      <c r="C218" s="7" t="s">
        <v>67</v>
      </c>
      <c r="D218" s="7" t="s">
        <v>3122</v>
      </c>
      <c r="E218" s="44">
        <v>5</v>
      </c>
      <c r="F218" s="7"/>
      <c r="G218" s="7"/>
      <c r="H218" s="2" t="s">
        <v>3107</v>
      </c>
      <c r="I218" s="7" t="s">
        <v>3123</v>
      </c>
      <c r="J218" s="7" t="s">
        <v>3124</v>
      </c>
      <c r="K218" s="7" t="s">
        <v>55</v>
      </c>
      <c r="L218" s="7" t="s">
        <v>3126</v>
      </c>
      <c r="M218" s="7" t="s">
        <v>3127</v>
      </c>
      <c r="N218" s="45" t="str">
        <f t="shared" si="148"/>
        <v>@BluejaySoftball</v>
      </c>
      <c r="O218" s="74" t="str">
        <f t="shared" si="149"/>
        <v>Questionnaire</v>
      </c>
      <c r="P218" s="7" t="s">
        <v>3116</v>
      </c>
      <c r="Q218" s="57" t="s">
        <v>3105</v>
      </c>
      <c r="R218" s="48" t="s">
        <v>3117</v>
      </c>
      <c r="S218" s="48" t="s">
        <v>354</v>
      </c>
      <c r="T218" s="49" t="s">
        <v>63</v>
      </c>
      <c r="U218" s="7" t="s">
        <v>343</v>
      </c>
      <c r="V218" s="7"/>
      <c r="W218" s="44">
        <v>3.76</v>
      </c>
      <c r="X218" s="7" t="s">
        <v>1229</v>
      </c>
      <c r="Y218" s="7" t="s">
        <v>3119</v>
      </c>
      <c r="Z218" s="49" t="s">
        <v>1373</v>
      </c>
      <c r="AA218" s="61">
        <v>0.71</v>
      </c>
      <c r="AB218" s="71">
        <v>52206</v>
      </c>
      <c r="AC218" s="78" t="s">
        <v>3116</v>
      </c>
      <c r="AD218" s="53" t="str">
        <f t="shared" si="150"/>
        <v>Link</v>
      </c>
      <c r="AE218" s="54">
        <v>4203</v>
      </c>
      <c r="AF218" s="55"/>
      <c r="AG218" s="85"/>
      <c r="AH218" s="56">
        <v>181002</v>
      </c>
      <c r="AI218" s="7"/>
      <c r="AJ218" s="7"/>
    </row>
    <row r="219" spans="1:36" ht="15" x14ac:dyDescent="0.2">
      <c r="A219" s="43" t="s">
        <v>3070</v>
      </c>
      <c r="B219" s="33" t="s">
        <v>3105</v>
      </c>
      <c r="C219" s="7" t="s">
        <v>67</v>
      </c>
      <c r="D219" s="7" t="s">
        <v>3122</v>
      </c>
      <c r="E219" s="44">
        <v>5</v>
      </c>
      <c r="F219" s="7" t="s">
        <v>116</v>
      </c>
      <c r="G219" s="7"/>
      <c r="H219" s="2" t="s">
        <v>3107</v>
      </c>
      <c r="I219" s="7" t="s">
        <v>3134</v>
      </c>
      <c r="J219" s="7" t="s">
        <v>1038</v>
      </c>
      <c r="K219" s="7" t="s">
        <v>120</v>
      </c>
      <c r="L219" s="7" t="s">
        <v>3135</v>
      </c>
      <c r="M219" s="7"/>
      <c r="N219" s="45" t="str">
        <f t="shared" si="148"/>
        <v>@BluejaySoftball</v>
      </c>
      <c r="O219" s="74" t="str">
        <f t="shared" si="149"/>
        <v>Questionnaire</v>
      </c>
      <c r="P219" s="7" t="s">
        <v>3116</v>
      </c>
      <c r="Q219" s="57" t="s">
        <v>3105</v>
      </c>
      <c r="R219" s="48" t="s">
        <v>3117</v>
      </c>
      <c r="S219" s="48" t="s">
        <v>354</v>
      </c>
      <c r="T219" s="49" t="s">
        <v>63</v>
      </c>
      <c r="U219" s="7" t="s">
        <v>343</v>
      </c>
      <c r="V219" s="7"/>
      <c r="W219" s="44">
        <v>3.76</v>
      </c>
      <c r="X219" s="7" t="s">
        <v>1229</v>
      </c>
      <c r="Y219" s="7" t="s">
        <v>3119</v>
      </c>
      <c r="Z219" s="49" t="s">
        <v>1373</v>
      </c>
      <c r="AA219" s="61">
        <v>0.71</v>
      </c>
      <c r="AB219" s="71">
        <v>52206</v>
      </c>
      <c r="AC219" s="78" t="s">
        <v>3116</v>
      </c>
      <c r="AD219" s="53" t="str">
        <f t="shared" si="150"/>
        <v>Link</v>
      </c>
      <c r="AE219" s="54">
        <v>4203</v>
      </c>
      <c r="AF219" s="55"/>
      <c r="AG219" s="85"/>
      <c r="AH219" s="56">
        <v>181002</v>
      </c>
      <c r="AI219" s="7"/>
      <c r="AJ219" s="7"/>
    </row>
    <row r="220" spans="1:36" ht="13" x14ac:dyDescent="0.15">
      <c r="A220" s="64" t="s">
        <v>3070</v>
      </c>
      <c r="B220" s="2" t="s">
        <v>1721</v>
      </c>
      <c r="C220" s="7" t="s">
        <v>67</v>
      </c>
      <c r="D220" s="7" t="s">
        <v>3144</v>
      </c>
      <c r="E220" s="44">
        <v>5</v>
      </c>
      <c r="F220" s="7"/>
      <c r="G220" s="7"/>
      <c r="H220" s="2" t="s">
        <v>3145</v>
      </c>
      <c r="I220" s="7" t="s">
        <v>3146</v>
      </c>
      <c r="J220" s="7" t="s">
        <v>3147</v>
      </c>
      <c r="K220" s="7" t="s">
        <v>48</v>
      </c>
      <c r="L220" s="7" t="s">
        <v>3148</v>
      </c>
      <c r="M220" s="7" t="s">
        <v>3149</v>
      </c>
      <c r="N220" s="7"/>
      <c r="O220" s="74" t="str">
        <f t="shared" ref="O220:O222" si="151">HYPERLINK("https://college.jumpforward.com/questionnaire.aspx?iid=1607&amp;sportid=31","Questionnaire")</f>
        <v>Questionnaire</v>
      </c>
      <c r="P220" s="48" t="s">
        <v>3153</v>
      </c>
      <c r="Q220" s="60" t="s">
        <v>1721</v>
      </c>
      <c r="R220" s="48" t="s">
        <v>1877</v>
      </c>
      <c r="S220" s="48" t="s">
        <v>288</v>
      </c>
      <c r="T220" s="4" t="s">
        <v>63</v>
      </c>
      <c r="U220" s="2" t="s">
        <v>343</v>
      </c>
      <c r="V220" s="7"/>
      <c r="W220" s="37">
        <v>3.56</v>
      </c>
      <c r="X220" s="49" t="s">
        <v>214</v>
      </c>
      <c r="Y220" s="49" t="s">
        <v>214</v>
      </c>
      <c r="Z220" s="49" t="s">
        <v>214</v>
      </c>
      <c r="AA220" s="65">
        <v>0.7</v>
      </c>
      <c r="AB220" s="39">
        <v>54481</v>
      </c>
      <c r="AC220" s="84" t="s">
        <v>3153</v>
      </c>
      <c r="AD220" s="53" t="str">
        <f t="shared" ref="AD220:AD222" si="152">HYPERLINK("https://www.depaul.edu/academics/undergraduate/majors/Pages/default.aspx","Link")</f>
        <v>Link</v>
      </c>
      <c r="AE220" s="42">
        <v>15407</v>
      </c>
      <c r="AF220" s="42">
        <v>120</v>
      </c>
      <c r="AG220" s="85"/>
      <c r="AH220" s="56">
        <v>144740</v>
      </c>
      <c r="AI220" s="7"/>
      <c r="AJ220" s="7"/>
    </row>
    <row r="221" spans="1:36" ht="13" x14ac:dyDescent="0.15">
      <c r="A221" s="64" t="s">
        <v>3070</v>
      </c>
      <c r="B221" s="2" t="s">
        <v>1721</v>
      </c>
      <c r="C221" s="7" t="s">
        <v>67</v>
      </c>
      <c r="D221" s="7" t="s">
        <v>3161</v>
      </c>
      <c r="E221" s="44">
        <v>5</v>
      </c>
      <c r="F221" s="7"/>
      <c r="G221" s="7"/>
      <c r="H221" s="2" t="s">
        <v>3145</v>
      </c>
      <c r="I221" s="7" t="s">
        <v>1541</v>
      </c>
      <c r="J221" s="7" t="s">
        <v>3163</v>
      </c>
      <c r="K221" s="7" t="s">
        <v>55</v>
      </c>
      <c r="L221" s="7" t="s">
        <v>3164</v>
      </c>
      <c r="M221" s="7" t="s">
        <v>3165</v>
      </c>
      <c r="N221" s="7"/>
      <c r="O221" s="74" t="str">
        <f t="shared" si="151"/>
        <v>Questionnaire</v>
      </c>
      <c r="P221" s="48" t="s">
        <v>3153</v>
      </c>
      <c r="Q221" s="60" t="s">
        <v>1721</v>
      </c>
      <c r="R221" s="48" t="s">
        <v>1877</v>
      </c>
      <c r="S221" s="48" t="s">
        <v>288</v>
      </c>
      <c r="T221" s="4" t="s">
        <v>63</v>
      </c>
      <c r="U221" s="2" t="s">
        <v>343</v>
      </c>
      <c r="V221" s="7"/>
      <c r="W221" s="37">
        <v>3.56</v>
      </c>
      <c r="X221" s="49" t="s">
        <v>214</v>
      </c>
      <c r="Y221" s="49" t="s">
        <v>214</v>
      </c>
      <c r="Z221" s="49" t="s">
        <v>214</v>
      </c>
      <c r="AA221" s="65">
        <v>0.7</v>
      </c>
      <c r="AB221" s="39">
        <v>54481</v>
      </c>
      <c r="AC221" s="84" t="s">
        <v>3153</v>
      </c>
      <c r="AD221" s="53" t="str">
        <f t="shared" si="152"/>
        <v>Link</v>
      </c>
      <c r="AE221" s="42">
        <v>15407</v>
      </c>
      <c r="AF221" s="42">
        <v>120</v>
      </c>
      <c r="AG221" s="85"/>
      <c r="AH221" s="56">
        <v>144740</v>
      </c>
      <c r="AI221" s="7"/>
      <c r="AJ221" s="7"/>
    </row>
    <row r="222" spans="1:36" ht="13" x14ac:dyDescent="0.15">
      <c r="A222" s="64" t="s">
        <v>3070</v>
      </c>
      <c r="B222" s="2" t="s">
        <v>1721</v>
      </c>
      <c r="C222" s="7" t="s">
        <v>67</v>
      </c>
      <c r="D222" s="7" t="s">
        <v>3167</v>
      </c>
      <c r="E222" s="44">
        <v>5</v>
      </c>
      <c r="F222" s="7"/>
      <c r="G222" s="7"/>
      <c r="H222" s="2" t="s">
        <v>3145</v>
      </c>
      <c r="I222" s="7" t="s">
        <v>1875</v>
      </c>
      <c r="J222" s="7" t="s">
        <v>3168</v>
      </c>
      <c r="K222" s="7" t="s">
        <v>55</v>
      </c>
      <c r="L222" s="7" t="s">
        <v>3169</v>
      </c>
      <c r="M222" s="7" t="s">
        <v>3171</v>
      </c>
      <c r="N222" s="7"/>
      <c r="O222" s="74" t="str">
        <f t="shared" si="151"/>
        <v>Questionnaire</v>
      </c>
      <c r="P222" s="48" t="s">
        <v>3153</v>
      </c>
      <c r="Q222" s="60" t="s">
        <v>1721</v>
      </c>
      <c r="R222" s="48" t="s">
        <v>1877</v>
      </c>
      <c r="S222" s="48" t="s">
        <v>288</v>
      </c>
      <c r="T222" s="4" t="s">
        <v>63</v>
      </c>
      <c r="U222" s="2" t="s">
        <v>343</v>
      </c>
      <c r="V222" s="7"/>
      <c r="W222" s="37">
        <v>3.56</v>
      </c>
      <c r="X222" s="49" t="s">
        <v>214</v>
      </c>
      <c r="Y222" s="49" t="s">
        <v>214</v>
      </c>
      <c r="Z222" s="49" t="s">
        <v>214</v>
      </c>
      <c r="AA222" s="65">
        <v>0.7</v>
      </c>
      <c r="AB222" s="39">
        <v>54481</v>
      </c>
      <c r="AC222" s="84" t="s">
        <v>3153</v>
      </c>
      <c r="AD222" s="53" t="str">
        <f t="shared" si="152"/>
        <v>Link</v>
      </c>
      <c r="AE222" s="42">
        <v>15407</v>
      </c>
      <c r="AF222" s="42">
        <v>120</v>
      </c>
      <c r="AG222" s="85"/>
      <c r="AH222" s="56">
        <v>144740</v>
      </c>
      <c r="AI222" s="7"/>
      <c r="AJ222" s="7"/>
    </row>
    <row r="223" spans="1:36" ht="15" x14ac:dyDescent="0.2">
      <c r="A223" s="43" t="s">
        <v>3070</v>
      </c>
      <c r="B223" s="33" t="s">
        <v>1223</v>
      </c>
      <c r="C223" s="7" t="s">
        <v>67</v>
      </c>
      <c r="D223" s="7" t="s">
        <v>3184</v>
      </c>
      <c r="E223" s="44">
        <v>5</v>
      </c>
      <c r="F223" s="7"/>
      <c r="G223" s="7"/>
      <c r="H223" s="2" t="s">
        <v>3185</v>
      </c>
      <c r="I223" s="7" t="s">
        <v>2608</v>
      </c>
      <c r="J223" s="7" t="s">
        <v>3186</v>
      </c>
      <c r="K223" s="7" t="s">
        <v>48</v>
      </c>
      <c r="L223" s="7" t="s">
        <v>3187</v>
      </c>
      <c r="M223" s="7" t="s">
        <v>3188</v>
      </c>
      <c r="N223" s="45" t="str">
        <f t="shared" ref="N223:N224" si="153">HYPERLINK("twitter.com/hoyasoftball","@hoyasoftball")</f>
        <v>@hoyasoftball</v>
      </c>
      <c r="O223" s="7" t="s">
        <v>22</v>
      </c>
      <c r="P223" s="7" t="s">
        <v>3192</v>
      </c>
      <c r="Q223" s="57" t="s">
        <v>1223</v>
      </c>
      <c r="R223" s="48" t="s">
        <v>1996</v>
      </c>
      <c r="S223" s="48" t="s">
        <v>354</v>
      </c>
      <c r="T223" s="49" t="s">
        <v>63</v>
      </c>
      <c r="U223" s="7" t="s">
        <v>343</v>
      </c>
      <c r="V223" s="7"/>
      <c r="W223" s="44">
        <v>4.03</v>
      </c>
      <c r="X223" s="7" t="s">
        <v>3195</v>
      </c>
      <c r="Y223" s="7" t="s">
        <v>3195</v>
      </c>
      <c r="Z223" s="49" t="s">
        <v>889</v>
      </c>
      <c r="AA223" s="61">
        <v>0.17</v>
      </c>
      <c r="AB223" s="71">
        <v>69313</v>
      </c>
      <c r="AC223" s="79" t="s">
        <v>3192</v>
      </c>
      <c r="AD223" s="53" t="str">
        <f t="shared" ref="AD223:AD224" si="154">HYPERLINK("https://www.georgetown.edu/academics/academic-programs","Link")</f>
        <v>Link</v>
      </c>
      <c r="AE223" s="54">
        <v>7453</v>
      </c>
      <c r="AF223" s="54">
        <v>20</v>
      </c>
      <c r="AG223" s="85"/>
      <c r="AH223" s="56">
        <v>131496</v>
      </c>
      <c r="AI223" s="7"/>
      <c r="AJ223" s="7"/>
    </row>
    <row r="224" spans="1:36" ht="15" x14ac:dyDescent="0.2">
      <c r="A224" s="43" t="s">
        <v>3070</v>
      </c>
      <c r="B224" s="33" t="s">
        <v>1223</v>
      </c>
      <c r="C224" s="7" t="s">
        <v>67</v>
      </c>
      <c r="D224" s="7" t="s">
        <v>3204</v>
      </c>
      <c r="E224" s="44">
        <v>5</v>
      </c>
      <c r="F224" s="7"/>
      <c r="G224" s="7"/>
      <c r="H224" s="2" t="s">
        <v>3185</v>
      </c>
      <c r="I224" s="7" t="s">
        <v>3205</v>
      </c>
      <c r="J224" s="7" t="s">
        <v>3206</v>
      </c>
      <c r="K224" s="7" t="s">
        <v>55</v>
      </c>
      <c r="L224" s="7" t="s">
        <v>3207</v>
      </c>
      <c r="M224" s="7"/>
      <c r="N224" s="45" t="str">
        <f t="shared" si="153"/>
        <v>@hoyasoftball</v>
      </c>
      <c r="O224" s="7" t="s">
        <v>22</v>
      </c>
      <c r="P224" s="7" t="s">
        <v>3192</v>
      </c>
      <c r="Q224" s="57" t="s">
        <v>1223</v>
      </c>
      <c r="R224" s="48" t="s">
        <v>1996</v>
      </c>
      <c r="S224" s="48" t="s">
        <v>354</v>
      </c>
      <c r="T224" s="49" t="s">
        <v>63</v>
      </c>
      <c r="U224" s="7" t="s">
        <v>343</v>
      </c>
      <c r="V224" s="7"/>
      <c r="W224" s="44">
        <v>4.03</v>
      </c>
      <c r="X224" s="7" t="s">
        <v>3195</v>
      </c>
      <c r="Y224" s="7" t="s">
        <v>3195</v>
      </c>
      <c r="Z224" s="49" t="s">
        <v>889</v>
      </c>
      <c r="AA224" s="61">
        <v>0.17</v>
      </c>
      <c r="AB224" s="71">
        <v>69313</v>
      </c>
      <c r="AC224" s="79" t="s">
        <v>3192</v>
      </c>
      <c r="AD224" s="53" t="str">
        <f t="shared" si="154"/>
        <v>Link</v>
      </c>
      <c r="AE224" s="54">
        <v>7453</v>
      </c>
      <c r="AF224" s="54">
        <v>20</v>
      </c>
      <c r="AG224" s="85"/>
      <c r="AH224" s="56">
        <v>131496</v>
      </c>
      <c r="AI224" s="7"/>
      <c r="AJ224" s="7"/>
    </row>
    <row r="225" spans="1:36" ht="13" x14ac:dyDescent="0.15">
      <c r="A225" s="64" t="s">
        <v>3070</v>
      </c>
      <c r="B225" s="2" t="s">
        <v>2123</v>
      </c>
      <c r="C225" s="7" t="s">
        <v>67</v>
      </c>
      <c r="D225" s="7" t="s">
        <v>3216</v>
      </c>
      <c r="E225" s="44">
        <v>5</v>
      </c>
      <c r="F225" s="7"/>
      <c r="G225" s="7"/>
      <c r="H225" s="2" t="s">
        <v>3217</v>
      </c>
      <c r="I225" s="7" t="s">
        <v>3201</v>
      </c>
      <c r="J225" s="7" t="s">
        <v>3218</v>
      </c>
      <c r="K225" s="7" t="s">
        <v>48</v>
      </c>
      <c r="L225" s="7" t="s">
        <v>3221</v>
      </c>
      <c r="M225" s="7" t="s">
        <v>3223</v>
      </c>
      <c r="N225" s="45" t="str">
        <f t="shared" ref="N225:N228" si="155">HYPERLINK("twitter.com/pcfriarsoftball","@pcfriarsoftball")</f>
        <v>@pcfriarsoftball</v>
      </c>
      <c r="O225" s="74" t="str">
        <f t="shared" ref="O225:O228" si="156">HYPERLINK("https://questionnaires.armssoftware.com/178ad5e6fb11","Questionnaire")</f>
        <v>Questionnaire</v>
      </c>
      <c r="P225" s="48" t="s">
        <v>3233</v>
      </c>
      <c r="Q225" s="60" t="s">
        <v>2123</v>
      </c>
      <c r="R225" s="48" t="s">
        <v>3234</v>
      </c>
      <c r="S225" s="6" t="s">
        <v>62</v>
      </c>
      <c r="T225" s="4" t="s">
        <v>63</v>
      </c>
      <c r="U225" s="2" t="s">
        <v>343</v>
      </c>
      <c r="V225" s="7"/>
      <c r="W225" s="37">
        <v>3.41</v>
      </c>
      <c r="X225" s="49" t="s">
        <v>291</v>
      </c>
      <c r="Y225" s="49" t="s">
        <v>1229</v>
      </c>
      <c r="Z225" s="49" t="s">
        <v>78</v>
      </c>
      <c r="AA225" s="65">
        <v>0.55000000000000004</v>
      </c>
      <c r="AB225" s="39">
        <v>62700</v>
      </c>
      <c r="AC225" s="84" t="s">
        <v>3233</v>
      </c>
      <c r="AD225" s="53" t="str">
        <f t="shared" ref="AD225:AD228" si="157">HYPERLINK("https://about.providence.edu/fast-facts/majors-minors/","Link")</f>
        <v>Link</v>
      </c>
      <c r="AE225" s="42">
        <v>4034</v>
      </c>
      <c r="AF225" s="55"/>
      <c r="AG225" s="85"/>
      <c r="AH225" s="56">
        <v>217402</v>
      </c>
      <c r="AI225" s="7"/>
      <c r="AJ225" s="7"/>
    </row>
    <row r="226" spans="1:36" ht="13" x14ac:dyDescent="0.15">
      <c r="A226" s="64" t="s">
        <v>3070</v>
      </c>
      <c r="B226" s="2" t="s">
        <v>2123</v>
      </c>
      <c r="C226" s="7" t="s">
        <v>67</v>
      </c>
      <c r="D226" s="7" t="s">
        <v>3240</v>
      </c>
      <c r="E226" s="44">
        <v>5</v>
      </c>
      <c r="F226" s="7"/>
      <c r="G226" s="7"/>
      <c r="H226" s="2" t="s">
        <v>3217</v>
      </c>
      <c r="I226" s="7" t="s">
        <v>3245</v>
      </c>
      <c r="J226" s="7" t="s">
        <v>3247</v>
      </c>
      <c r="K226" s="7" t="s">
        <v>55</v>
      </c>
      <c r="L226" s="7" t="s">
        <v>3248</v>
      </c>
      <c r="M226" s="7" t="s">
        <v>3249</v>
      </c>
      <c r="N226" s="45" t="str">
        <f t="shared" si="155"/>
        <v>@pcfriarsoftball</v>
      </c>
      <c r="O226" s="74" t="str">
        <f t="shared" si="156"/>
        <v>Questionnaire</v>
      </c>
      <c r="P226" s="48" t="s">
        <v>3233</v>
      </c>
      <c r="Q226" s="60" t="s">
        <v>2123</v>
      </c>
      <c r="R226" s="48" t="s">
        <v>3234</v>
      </c>
      <c r="S226" s="6" t="s">
        <v>62</v>
      </c>
      <c r="T226" s="4" t="s">
        <v>63</v>
      </c>
      <c r="U226" s="2" t="s">
        <v>343</v>
      </c>
      <c r="V226" s="7"/>
      <c r="W226" s="37">
        <v>3.41</v>
      </c>
      <c r="X226" s="49" t="s">
        <v>291</v>
      </c>
      <c r="Y226" s="49" t="s">
        <v>1229</v>
      </c>
      <c r="Z226" s="49" t="s">
        <v>78</v>
      </c>
      <c r="AA226" s="65">
        <v>0.55000000000000004</v>
      </c>
      <c r="AB226" s="39">
        <v>62700</v>
      </c>
      <c r="AC226" s="84" t="s">
        <v>3233</v>
      </c>
      <c r="AD226" s="53" t="str">
        <f t="shared" si="157"/>
        <v>Link</v>
      </c>
      <c r="AE226" s="42">
        <v>4034</v>
      </c>
      <c r="AF226" s="55"/>
      <c r="AG226" s="85"/>
      <c r="AH226" s="56">
        <v>217402</v>
      </c>
      <c r="AI226" s="7"/>
      <c r="AJ226" s="7"/>
    </row>
    <row r="227" spans="1:36" ht="13" x14ac:dyDescent="0.15">
      <c r="A227" s="64" t="s">
        <v>3070</v>
      </c>
      <c r="B227" s="2" t="s">
        <v>2123</v>
      </c>
      <c r="C227" s="7" t="s">
        <v>67</v>
      </c>
      <c r="D227" s="7" t="s">
        <v>3255</v>
      </c>
      <c r="E227" s="44">
        <v>5</v>
      </c>
      <c r="F227" s="7"/>
      <c r="G227" s="7"/>
      <c r="H227" s="2" t="s">
        <v>3217</v>
      </c>
      <c r="I227" s="7" t="s">
        <v>1902</v>
      </c>
      <c r="J227" s="7" t="s">
        <v>3258</v>
      </c>
      <c r="K227" s="7" t="s">
        <v>919</v>
      </c>
      <c r="L227" s="7" t="s">
        <v>3260</v>
      </c>
      <c r="M227" s="7" t="s">
        <v>3261</v>
      </c>
      <c r="N227" s="45" t="str">
        <f t="shared" si="155"/>
        <v>@pcfriarsoftball</v>
      </c>
      <c r="O227" s="74" t="str">
        <f t="shared" si="156"/>
        <v>Questionnaire</v>
      </c>
      <c r="P227" s="48" t="s">
        <v>3233</v>
      </c>
      <c r="Q227" s="60" t="s">
        <v>2123</v>
      </c>
      <c r="R227" s="48" t="s">
        <v>3234</v>
      </c>
      <c r="S227" s="6" t="s">
        <v>62</v>
      </c>
      <c r="T227" s="4" t="s">
        <v>63</v>
      </c>
      <c r="U227" s="2" t="s">
        <v>343</v>
      </c>
      <c r="V227" s="7"/>
      <c r="W227" s="37">
        <v>3.41</v>
      </c>
      <c r="X227" s="49" t="s">
        <v>291</v>
      </c>
      <c r="Y227" s="49" t="s">
        <v>1229</v>
      </c>
      <c r="Z227" s="49" t="s">
        <v>78</v>
      </c>
      <c r="AA227" s="65">
        <v>0.55000000000000004</v>
      </c>
      <c r="AB227" s="39">
        <v>62700</v>
      </c>
      <c r="AC227" s="84" t="s">
        <v>3233</v>
      </c>
      <c r="AD227" s="53" t="str">
        <f t="shared" si="157"/>
        <v>Link</v>
      </c>
      <c r="AE227" s="42">
        <v>4034</v>
      </c>
      <c r="AF227" s="55"/>
      <c r="AG227" s="85"/>
      <c r="AH227" s="56">
        <v>217402</v>
      </c>
      <c r="AI227" s="7"/>
      <c r="AJ227" s="7"/>
    </row>
    <row r="228" spans="1:36" ht="13" x14ac:dyDescent="0.15">
      <c r="A228" s="64" t="s">
        <v>3070</v>
      </c>
      <c r="B228" s="2" t="s">
        <v>2123</v>
      </c>
      <c r="C228" s="7" t="s">
        <v>67</v>
      </c>
      <c r="D228" s="7" t="s">
        <v>3266</v>
      </c>
      <c r="E228" s="44">
        <v>5</v>
      </c>
      <c r="F228" s="7"/>
      <c r="G228" s="7"/>
      <c r="H228" s="2" t="s">
        <v>3217</v>
      </c>
      <c r="I228" s="7" t="s">
        <v>1124</v>
      </c>
      <c r="J228" s="7" t="s">
        <v>3267</v>
      </c>
      <c r="K228" s="7" t="s">
        <v>120</v>
      </c>
      <c r="L228" s="7" t="s">
        <v>3268</v>
      </c>
      <c r="M228" s="7" t="s">
        <v>3261</v>
      </c>
      <c r="N228" s="45" t="str">
        <f t="shared" si="155"/>
        <v>@pcfriarsoftball</v>
      </c>
      <c r="O228" s="74" t="str">
        <f t="shared" si="156"/>
        <v>Questionnaire</v>
      </c>
      <c r="P228" s="48" t="s">
        <v>3233</v>
      </c>
      <c r="Q228" s="60" t="s">
        <v>2123</v>
      </c>
      <c r="R228" s="48" t="s">
        <v>3234</v>
      </c>
      <c r="S228" s="6" t="s">
        <v>62</v>
      </c>
      <c r="T228" s="4" t="s">
        <v>63</v>
      </c>
      <c r="U228" s="2" t="s">
        <v>343</v>
      </c>
      <c r="V228" s="7"/>
      <c r="W228" s="37">
        <v>3.41</v>
      </c>
      <c r="X228" s="49" t="s">
        <v>291</v>
      </c>
      <c r="Y228" s="49" t="s">
        <v>1229</v>
      </c>
      <c r="Z228" s="49" t="s">
        <v>78</v>
      </c>
      <c r="AA228" s="65">
        <v>0.55000000000000004</v>
      </c>
      <c r="AB228" s="39">
        <v>62700</v>
      </c>
      <c r="AC228" s="84" t="s">
        <v>3233</v>
      </c>
      <c r="AD228" s="53" t="str">
        <f t="shared" si="157"/>
        <v>Link</v>
      </c>
      <c r="AE228" s="42">
        <v>4034</v>
      </c>
      <c r="AF228" s="55"/>
      <c r="AG228" s="85"/>
      <c r="AH228" s="56">
        <v>217402</v>
      </c>
      <c r="AI228" s="7"/>
      <c r="AJ228" s="7"/>
    </row>
    <row r="229" spans="1:36" ht="15" x14ac:dyDescent="0.2">
      <c r="A229" s="43" t="s">
        <v>3070</v>
      </c>
      <c r="B229" s="33" t="s">
        <v>3272</v>
      </c>
      <c r="C229" s="7" t="s">
        <v>67</v>
      </c>
      <c r="D229" s="7" t="s">
        <v>3273</v>
      </c>
      <c r="E229" s="44">
        <v>5</v>
      </c>
      <c r="F229" s="7"/>
      <c r="G229" s="7"/>
      <c r="H229" s="2" t="s">
        <v>3274</v>
      </c>
      <c r="I229" s="7" t="s">
        <v>2747</v>
      </c>
      <c r="J229" s="7" t="s">
        <v>2919</v>
      </c>
      <c r="K229" s="7" t="s">
        <v>48</v>
      </c>
      <c r="L229" s="7" t="s">
        <v>3275</v>
      </c>
      <c r="M229" s="7" t="s">
        <v>3276</v>
      </c>
      <c r="N229" s="45" t="str">
        <f t="shared" ref="N229:N233" si="158">HYPERLINK("twitter.com/shusoftball","@shusoftball")</f>
        <v>@shusoftball</v>
      </c>
      <c r="O229" s="74" t="str">
        <f t="shared" ref="O229:O233" si="159">HYPERLINK("https://college.jumpforward.com/questionnaire.aspx?iid=508&amp;sportid=31","Questionnaire")</f>
        <v>Questionnaire</v>
      </c>
      <c r="P229" s="7" t="s">
        <v>3284</v>
      </c>
      <c r="Q229" s="57" t="s">
        <v>3272</v>
      </c>
      <c r="R229" s="48" t="s">
        <v>3286</v>
      </c>
      <c r="S229" s="48" t="s">
        <v>172</v>
      </c>
      <c r="T229" s="49" t="s">
        <v>63</v>
      </c>
      <c r="U229" s="7" t="s">
        <v>343</v>
      </c>
      <c r="V229" s="7"/>
      <c r="W229" s="44">
        <v>3.45</v>
      </c>
      <c r="X229" s="7" t="s">
        <v>415</v>
      </c>
      <c r="Y229" s="7" t="s">
        <v>85</v>
      </c>
      <c r="Z229" s="49" t="s">
        <v>3287</v>
      </c>
      <c r="AA229" s="61">
        <v>0.67</v>
      </c>
      <c r="AB229" s="71">
        <v>55366</v>
      </c>
      <c r="AC229" s="78" t="s">
        <v>3284</v>
      </c>
      <c r="AD229" s="53" t="str">
        <f t="shared" ref="AD229:AD233" si="160">HYPERLINK("http://www.shu.edu/academics/undergraduate-programs.cfm","Link")</f>
        <v>Link</v>
      </c>
      <c r="AE229" s="54">
        <v>5956</v>
      </c>
      <c r="AF229" s="54">
        <v>124</v>
      </c>
      <c r="AG229" s="85"/>
      <c r="AH229" s="56">
        <v>186584</v>
      </c>
      <c r="AI229" s="7"/>
      <c r="AJ229" s="7"/>
    </row>
    <row r="230" spans="1:36" ht="15" x14ac:dyDescent="0.2">
      <c r="A230" s="43" t="s">
        <v>3070</v>
      </c>
      <c r="B230" s="33" t="s">
        <v>3272</v>
      </c>
      <c r="C230" s="7" t="s">
        <v>67</v>
      </c>
      <c r="D230" s="7" t="s">
        <v>3292</v>
      </c>
      <c r="E230" s="44">
        <v>5</v>
      </c>
      <c r="F230" s="7"/>
      <c r="G230" s="7"/>
      <c r="H230" s="2" t="s">
        <v>3274</v>
      </c>
      <c r="I230" s="7" t="s">
        <v>3293</v>
      </c>
      <c r="J230" s="7" t="s">
        <v>3294</v>
      </c>
      <c r="K230" s="7" t="s">
        <v>55</v>
      </c>
      <c r="L230" s="7" t="s">
        <v>3295</v>
      </c>
      <c r="M230" s="7"/>
      <c r="N230" s="45" t="str">
        <f t="shared" si="158"/>
        <v>@shusoftball</v>
      </c>
      <c r="O230" s="74" t="str">
        <f t="shared" si="159"/>
        <v>Questionnaire</v>
      </c>
      <c r="P230" s="7" t="s">
        <v>3284</v>
      </c>
      <c r="Q230" s="57" t="s">
        <v>3272</v>
      </c>
      <c r="R230" s="48" t="s">
        <v>3286</v>
      </c>
      <c r="S230" s="48" t="s">
        <v>172</v>
      </c>
      <c r="T230" s="49" t="s">
        <v>63</v>
      </c>
      <c r="U230" s="7" t="s">
        <v>343</v>
      </c>
      <c r="V230" s="7"/>
      <c r="W230" s="44">
        <v>3.45</v>
      </c>
      <c r="X230" s="7" t="s">
        <v>415</v>
      </c>
      <c r="Y230" s="7" t="s">
        <v>85</v>
      </c>
      <c r="Z230" s="49" t="s">
        <v>3287</v>
      </c>
      <c r="AA230" s="61">
        <v>0.67</v>
      </c>
      <c r="AB230" s="71">
        <v>55366</v>
      </c>
      <c r="AC230" s="78" t="s">
        <v>3284</v>
      </c>
      <c r="AD230" s="53" t="str">
        <f t="shared" si="160"/>
        <v>Link</v>
      </c>
      <c r="AE230" s="54">
        <v>5956</v>
      </c>
      <c r="AF230" s="54">
        <v>124</v>
      </c>
      <c r="AG230" s="85"/>
      <c r="AH230" s="56">
        <v>186584</v>
      </c>
      <c r="AI230" s="7"/>
      <c r="AJ230" s="7"/>
    </row>
    <row r="231" spans="1:36" ht="15" x14ac:dyDescent="0.2">
      <c r="A231" s="43" t="s">
        <v>3070</v>
      </c>
      <c r="B231" s="33" t="s">
        <v>3272</v>
      </c>
      <c r="C231" s="7" t="s">
        <v>67</v>
      </c>
      <c r="D231" s="7" t="s">
        <v>3296</v>
      </c>
      <c r="E231" s="44">
        <v>5</v>
      </c>
      <c r="F231" s="7"/>
      <c r="G231" s="7"/>
      <c r="H231" s="2" t="s">
        <v>3274</v>
      </c>
      <c r="I231" s="7" t="s">
        <v>3298</v>
      </c>
      <c r="J231" s="7" t="s">
        <v>3299</v>
      </c>
      <c r="K231" s="7" t="s">
        <v>55</v>
      </c>
      <c r="L231" s="7"/>
      <c r="M231" s="7" t="s">
        <v>3300</v>
      </c>
      <c r="N231" s="45" t="str">
        <f t="shared" si="158"/>
        <v>@shusoftball</v>
      </c>
      <c r="O231" s="74" t="str">
        <f t="shared" si="159"/>
        <v>Questionnaire</v>
      </c>
      <c r="P231" s="7" t="s">
        <v>3284</v>
      </c>
      <c r="Q231" s="57" t="s">
        <v>3272</v>
      </c>
      <c r="R231" s="48" t="s">
        <v>3286</v>
      </c>
      <c r="S231" s="48" t="s">
        <v>172</v>
      </c>
      <c r="T231" s="49" t="s">
        <v>63</v>
      </c>
      <c r="U231" s="7" t="s">
        <v>343</v>
      </c>
      <c r="V231" s="7"/>
      <c r="W231" s="44">
        <v>3.45</v>
      </c>
      <c r="X231" s="7" t="s">
        <v>415</v>
      </c>
      <c r="Y231" s="7" t="s">
        <v>85</v>
      </c>
      <c r="Z231" s="49" t="s">
        <v>3287</v>
      </c>
      <c r="AA231" s="61">
        <v>0.67</v>
      </c>
      <c r="AB231" s="71">
        <v>55366</v>
      </c>
      <c r="AC231" s="78" t="s">
        <v>3284</v>
      </c>
      <c r="AD231" s="53" t="str">
        <f t="shared" si="160"/>
        <v>Link</v>
      </c>
      <c r="AE231" s="54">
        <v>5956</v>
      </c>
      <c r="AF231" s="54">
        <v>124</v>
      </c>
      <c r="AG231" s="85"/>
      <c r="AH231" s="56">
        <v>186584</v>
      </c>
      <c r="AI231" s="7"/>
      <c r="AJ231" s="7"/>
    </row>
    <row r="232" spans="1:36" ht="15" x14ac:dyDescent="0.2">
      <c r="A232" s="43" t="s">
        <v>3070</v>
      </c>
      <c r="B232" s="33" t="s">
        <v>3272</v>
      </c>
      <c r="C232" s="7" t="s">
        <v>67</v>
      </c>
      <c r="D232" s="7" t="s">
        <v>3304</v>
      </c>
      <c r="E232" s="44">
        <v>5</v>
      </c>
      <c r="F232" s="7" t="s">
        <v>116</v>
      </c>
      <c r="G232" s="7"/>
      <c r="H232" s="2" t="s">
        <v>3274</v>
      </c>
      <c r="I232" s="7" t="s">
        <v>1132</v>
      </c>
      <c r="J232" s="7" t="s">
        <v>3305</v>
      </c>
      <c r="K232" s="7" t="s">
        <v>55</v>
      </c>
      <c r="L232" s="7"/>
      <c r="M232" s="7"/>
      <c r="N232" s="45" t="str">
        <f t="shared" si="158"/>
        <v>@shusoftball</v>
      </c>
      <c r="O232" s="74" t="str">
        <f t="shared" si="159"/>
        <v>Questionnaire</v>
      </c>
      <c r="P232" s="7" t="s">
        <v>3284</v>
      </c>
      <c r="Q232" s="57" t="s">
        <v>3272</v>
      </c>
      <c r="R232" s="48" t="s">
        <v>3286</v>
      </c>
      <c r="S232" s="48" t="s">
        <v>172</v>
      </c>
      <c r="T232" s="49" t="s">
        <v>63</v>
      </c>
      <c r="U232" s="7" t="s">
        <v>343</v>
      </c>
      <c r="V232" s="7"/>
      <c r="W232" s="44">
        <v>3.45</v>
      </c>
      <c r="X232" s="7" t="s">
        <v>415</v>
      </c>
      <c r="Y232" s="7" t="s">
        <v>85</v>
      </c>
      <c r="Z232" s="49" t="s">
        <v>3287</v>
      </c>
      <c r="AA232" s="61">
        <v>0.67</v>
      </c>
      <c r="AB232" s="71">
        <v>55366</v>
      </c>
      <c r="AC232" s="78" t="s">
        <v>3284</v>
      </c>
      <c r="AD232" s="53" t="str">
        <f t="shared" si="160"/>
        <v>Link</v>
      </c>
      <c r="AE232" s="54">
        <v>5956</v>
      </c>
      <c r="AF232" s="54">
        <v>124</v>
      </c>
      <c r="AG232" s="85"/>
      <c r="AH232" s="56">
        <v>186584</v>
      </c>
      <c r="AI232" s="7"/>
      <c r="AJ232" s="7"/>
    </row>
    <row r="233" spans="1:36" ht="15" x14ac:dyDescent="0.2">
      <c r="A233" s="43" t="s">
        <v>3070</v>
      </c>
      <c r="B233" s="33" t="s">
        <v>3272</v>
      </c>
      <c r="C233" s="7" t="s">
        <v>67</v>
      </c>
      <c r="D233" s="7" t="s">
        <v>3313</v>
      </c>
      <c r="E233" s="44">
        <v>5</v>
      </c>
      <c r="F233" s="7" t="s">
        <v>116</v>
      </c>
      <c r="G233" s="7"/>
      <c r="H233" s="2" t="s">
        <v>3274</v>
      </c>
      <c r="I233" s="7" t="s">
        <v>3315</v>
      </c>
      <c r="J233" s="7" t="s">
        <v>3316</v>
      </c>
      <c r="K233" s="7" t="s">
        <v>139</v>
      </c>
      <c r="L233" s="7"/>
      <c r="M233" s="7"/>
      <c r="N233" s="45" t="str">
        <f t="shared" si="158"/>
        <v>@shusoftball</v>
      </c>
      <c r="O233" s="74" t="str">
        <f t="shared" si="159"/>
        <v>Questionnaire</v>
      </c>
      <c r="P233" s="48" t="s">
        <v>3284</v>
      </c>
      <c r="Q233" s="47" t="s">
        <v>3272</v>
      </c>
      <c r="R233" s="48" t="s">
        <v>3286</v>
      </c>
      <c r="S233" s="48" t="s">
        <v>172</v>
      </c>
      <c r="T233" s="49" t="s">
        <v>63</v>
      </c>
      <c r="U233" s="49" t="s">
        <v>343</v>
      </c>
      <c r="V233" s="7"/>
      <c r="W233" s="44">
        <v>3.45</v>
      </c>
      <c r="X233" s="49" t="s">
        <v>415</v>
      </c>
      <c r="Y233" s="49" t="s">
        <v>85</v>
      </c>
      <c r="Z233" s="49" t="s">
        <v>3287</v>
      </c>
      <c r="AA233" s="61">
        <v>0.67</v>
      </c>
      <c r="AB233" s="71">
        <v>55366</v>
      </c>
      <c r="AC233" s="62" t="s">
        <v>3284</v>
      </c>
      <c r="AD233" s="53" t="str">
        <f t="shared" si="160"/>
        <v>Link</v>
      </c>
      <c r="AE233" s="54">
        <v>5956</v>
      </c>
      <c r="AF233" s="54">
        <v>124</v>
      </c>
      <c r="AG233" s="85"/>
      <c r="AH233" s="56">
        <v>186584</v>
      </c>
      <c r="AI233" s="7"/>
      <c r="AJ233" s="7"/>
    </row>
    <row r="234" spans="1:36" ht="15" x14ac:dyDescent="0.2">
      <c r="A234" s="43" t="s">
        <v>3070</v>
      </c>
      <c r="B234" s="33" t="s">
        <v>1304</v>
      </c>
      <c r="C234" s="7" t="s">
        <v>67</v>
      </c>
      <c r="D234" s="7" t="s">
        <v>3321</v>
      </c>
      <c r="E234" s="44">
        <v>5</v>
      </c>
      <c r="F234" s="7"/>
      <c r="G234" s="7"/>
      <c r="H234" s="2" t="s">
        <v>3323</v>
      </c>
      <c r="I234" s="7" t="s">
        <v>481</v>
      </c>
      <c r="J234" s="7" t="s">
        <v>3325</v>
      </c>
      <c r="K234" s="7" t="s">
        <v>48</v>
      </c>
      <c r="L234" s="7" t="s">
        <v>3326</v>
      </c>
      <c r="M234" s="7" t="s">
        <v>3327</v>
      </c>
      <c r="N234" s="45" t="str">
        <f t="shared" ref="N234:N236" si="161">HYPERLINK("twitter.com/stjohnssoftball","@stjohnssoftball")</f>
        <v>@stjohnssoftball</v>
      </c>
      <c r="O234" s="74" t="str">
        <f t="shared" ref="O234:O236" si="162">HYPERLINK("https://questionnaires.armssoftware.com/acb26f6f203f","Questionnaire")</f>
        <v>Questionnaire</v>
      </c>
      <c r="P234" s="7" t="s">
        <v>3334</v>
      </c>
      <c r="Q234" s="57" t="s">
        <v>1304</v>
      </c>
      <c r="R234" s="48" t="s">
        <v>1897</v>
      </c>
      <c r="S234" s="48" t="s">
        <v>288</v>
      </c>
      <c r="T234" s="49" t="s">
        <v>63</v>
      </c>
      <c r="U234" s="7" t="s">
        <v>343</v>
      </c>
      <c r="V234" s="7"/>
      <c r="W234" s="44">
        <v>3.48</v>
      </c>
      <c r="X234" s="7" t="s">
        <v>2141</v>
      </c>
      <c r="Y234" s="7" t="s">
        <v>676</v>
      </c>
      <c r="Z234" s="49" t="s">
        <v>689</v>
      </c>
      <c r="AA234" s="80">
        <v>0.63</v>
      </c>
      <c r="AB234" s="71">
        <v>58527</v>
      </c>
      <c r="AC234" s="78" t="s">
        <v>3334</v>
      </c>
      <c r="AD234" s="53" t="str">
        <f t="shared" ref="AD234:AD236" si="163">HYPERLINK("https://www.stjohns.edu/academics/programs-and-majors","Link")</f>
        <v>Link</v>
      </c>
      <c r="AE234" s="54">
        <v>16429</v>
      </c>
      <c r="AF234" s="54">
        <v>165</v>
      </c>
      <c r="AG234" s="85"/>
      <c r="AH234" s="56">
        <v>174792</v>
      </c>
      <c r="AI234" s="7"/>
      <c r="AJ234" s="7"/>
    </row>
    <row r="235" spans="1:36" ht="15" x14ac:dyDescent="0.2">
      <c r="A235" s="43" t="s">
        <v>3070</v>
      </c>
      <c r="B235" s="33" t="s">
        <v>1304</v>
      </c>
      <c r="C235" s="7" t="s">
        <v>67</v>
      </c>
      <c r="D235" s="7" t="s">
        <v>3340</v>
      </c>
      <c r="E235" s="44">
        <v>5</v>
      </c>
      <c r="F235" s="7"/>
      <c r="G235" s="7"/>
      <c r="H235" s="2" t="s">
        <v>3323</v>
      </c>
      <c r="I235" s="7" t="s">
        <v>2402</v>
      </c>
      <c r="J235" s="7" t="s">
        <v>3343</v>
      </c>
      <c r="K235" s="7" t="s">
        <v>55</v>
      </c>
      <c r="L235" s="7" t="s">
        <v>3344</v>
      </c>
      <c r="M235" s="7" t="s">
        <v>3345</v>
      </c>
      <c r="N235" s="45" t="str">
        <f t="shared" si="161"/>
        <v>@stjohnssoftball</v>
      </c>
      <c r="O235" s="74" t="str">
        <f t="shared" si="162"/>
        <v>Questionnaire</v>
      </c>
      <c r="P235" s="7" t="s">
        <v>3334</v>
      </c>
      <c r="Q235" s="57" t="s">
        <v>1304</v>
      </c>
      <c r="R235" s="48" t="s">
        <v>1897</v>
      </c>
      <c r="S235" s="48" t="s">
        <v>288</v>
      </c>
      <c r="T235" s="49" t="s">
        <v>63</v>
      </c>
      <c r="U235" s="7" t="s">
        <v>343</v>
      </c>
      <c r="V235" s="7"/>
      <c r="W235" s="44">
        <v>3.48</v>
      </c>
      <c r="X235" s="7" t="s">
        <v>2141</v>
      </c>
      <c r="Y235" s="7" t="s">
        <v>676</v>
      </c>
      <c r="Z235" s="49" t="s">
        <v>689</v>
      </c>
      <c r="AA235" s="80">
        <v>0.63</v>
      </c>
      <c r="AB235" s="71">
        <v>58527</v>
      </c>
      <c r="AC235" s="78" t="s">
        <v>3334</v>
      </c>
      <c r="AD235" s="53" t="str">
        <f t="shared" si="163"/>
        <v>Link</v>
      </c>
      <c r="AE235" s="54">
        <v>16429</v>
      </c>
      <c r="AF235" s="54">
        <v>165</v>
      </c>
      <c r="AG235" s="85"/>
      <c r="AH235" s="56">
        <v>174792</v>
      </c>
      <c r="AI235" s="7"/>
      <c r="AJ235" s="7"/>
    </row>
    <row r="236" spans="1:36" ht="15" x14ac:dyDescent="0.2">
      <c r="A236" s="43" t="s">
        <v>3070</v>
      </c>
      <c r="B236" s="33" t="s">
        <v>1304</v>
      </c>
      <c r="C236" s="7" t="s">
        <v>67</v>
      </c>
      <c r="D236" s="7" t="s">
        <v>3352</v>
      </c>
      <c r="E236" s="44">
        <v>5</v>
      </c>
      <c r="F236" s="7"/>
      <c r="G236" s="7"/>
      <c r="H236" s="2" t="s">
        <v>3323</v>
      </c>
      <c r="I236" s="7" t="s">
        <v>3354</v>
      </c>
      <c r="J236" s="7" t="s">
        <v>3355</v>
      </c>
      <c r="K236" s="7" t="s">
        <v>139</v>
      </c>
      <c r="L236" s="7"/>
      <c r="M236" s="7"/>
      <c r="N236" s="45" t="str">
        <f t="shared" si="161"/>
        <v>@stjohnssoftball</v>
      </c>
      <c r="O236" s="74" t="str">
        <f t="shared" si="162"/>
        <v>Questionnaire</v>
      </c>
      <c r="P236" s="7" t="s">
        <v>3334</v>
      </c>
      <c r="Q236" s="57" t="s">
        <v>1304</v>
      </c>
      <c r="R236" s="48" t="s">
        <v>1897</v>
      </c>
      <c r="S236" s="48" t="s">
        <v>288</v>
      </c>
      <c r="T236" s="49" t="s">
        <v>63</v>
      </c>
      <c r="U236" s="7" t="s">
        <v>343</v>
      </c>
      <c r="V236" s="7"/>
      <c r="W236" s="44">
        <v>3.48</v>
      </c>
      <c r="X236" s="7" t="s">
        <v>2141</v>
      </c>
      <c r="Y236" s="7" t="s">
        <v>676</v>
      </c>
      <c r="Z236" s="49" t="s">
        <v>689</v>
      </c>
      <c r="AA236" s="80">
        <v>0.63</v>
      </c>
      <c r="AB236" s="71">
        <v>58527</v>
      </c>
      <c r="AC236" s="78" t="s">
        <v>3334</v>
      </c>
      <c r="AD236" s="53" t="str">
        <f t="shared" si="163"/>
        <v>Link</v>
      </c>
      <c r="AE236" s="54">
        <v>16429</v>
      </c>
      <c r="AF236" s="54">
        <v>165</v>
      </c>
      <c r="AG236" s="85"/>
      <c r="AH236" s="56">
        <v>174792</v>
      </c>
      <c r="AI236" s="7"/>
      <c r="AJ236" s="7"/>
    </row>
    <row r="237" spans="1:36" ht="15" x14ac:dyDescent="0.2">
      <c r="A237" s="43" t="s">
        <v>3070</v>
      </c>
      <c r="B237" s="33" t="s">
        <v>1231</v>
      </c>
      <c r="C237" s="7" t="s">
        <v>67</v>
      </c>
      <c r="D237" s="7" t="s">
        <v>3358</v>
      </c>
      <c r="E237" s="44">
        <v>5</v>
      </c>
      <c r="F237" s="7"/>
      <c r="G237" s="7"/>
      <c r="H237" s="2" t="s">
        <v>3359</v>
      </c>
      <c r="I237" s="7" t="s">
        <v>2127</v>
      </c>
      <c r="J237" s="7" t="s">
        <v>3361</v>
      </c>
      <c r="K237" s="7" t="s">
        <v>48</v>
      </c>
      <c r="L237" s="7" t="s">
        <v>3362</v>
      </c>
      <c r="M237" s="7" t="s">
        <v>3364</v>
      </c>
      <c r="N237" s="45" t="str">
        <f t="shared" ref="N237:N240" si="164">HYPERLINK("twitter.com/VUSoftball","@VUSoftball")</f>
        <v>@VUSoftball</v>
      </c>
      <c r="O237" s="74" t="str">
        <f t="shared" ref="O237:O240" si="165">HYPERLINK("https://villanova.com/sb_output.aspx?form=3","Questionnaire")</f>
        <v>Questionnaire</v>
      </c>
      <c r="P237" s="7" t="s">
        <v>3371</v>
      </c>
      <c r="Q237" s="57" t="s">
        <v>1231</v>
      </c>
      <c r="R237" s="48" t="s">
        <v>3371</v>
      </c>
      <c r="S237" s="60" t="s">
        <v>205</v>
      </c>
      <c r="T237" s="49" t="s">
        <v>63</v>
      </c>
      <c r="U237" s="7" t="s">
        <v>343</v>
      </c>
      <c r="V237" s="7"/>
      <c r="W237" s="44">
        <v>4.0199999999999996</v>
      </c>
      <c r="X237" s="7" t="s">
        <v>576</v>
      </c>
      <c r="Y237" s="7" t="s">
        <v>624</v>
      </c>
      <c r="Z237" s="49" t="s">
        <v>3374</v>
      </c>
      <c r="AA237" s="61">
        <v>0.44</v>
      </c>
      <c r="AB237" s="71">
        <v>65773</v>
      </c>
      <c r="AC237" s="78" t="s">
        <v>3371</v>
      </c>
      <c r="AD237" s="53" t="str">
        <f t="shared" ref="AD237:AD240" si="166">HYPERLINK("https://www1.villanova.edu/villanova/admission/academics.html","Link")</f>
        <v>Link</v>
      </c>
      <c r="AE237" s="54">
        <v>6999</v>
      </c>
      <c r="AF237" s="54">
        <v>46</v>
      </c>
      <c r="AG237" s="85"/>
      <c r="AH237" s="56">
        <v>216597</v>
      </c>
      <c r="AI237" s="7"/>
      <c r="AJ237" s="7"/>
    </row>
    <row r="238" spans="1:36" ht="15" x14ac:dyDescent="0.2">
      <c r="A238" s="43" t="s">
        <v>3070</v>
      </c>
      <c r="B238" s="33" t="s">
        <v>1231</v>
      </c>
      <c r="C238" s="7" t="s">
        <v>67</v>
      </c>
      <c r="D238" s="7" t="s">
        <v>3375</v>
      </c>
      <c r="E238" s="44">
        <v>5</v>
      </c>
      <c r="F238" s="7"/>
      <c r="G238" s="7"/>
      <c r="H238" s="2" t="s">
        <v>3359</v>
      </c>
      <c r="I238" s="7" t="s">
        <v>2677</v>
      </c>
      <c r="J238" s="7" t="s">
        <v>3377</v>
      </c>
      <c r="K238" s="7" t="s">
        <v>55</v>
      </c>
      <c r="L238" s="7" t="s">
        <v>3378</v>
      </c>
      <c r="M238" s="7"/>
      <c r="N238" s="45" t="str">
        <f t="shared" si="164"/>
        <v>@VUSoftball</v>
      </c>
      <c r="O238" s="74" t="str">
        <f t="shared" si="165"/>
        <v>Questionnaire</v>
      </c>
      <c r="P238" s="7" t="s">
        <v>3371</v>
      </c>
      <c r="Q238" s="57" t="s">
        <v>1231</v>
      </c>
      <c r="R238" s="48" t="s">
        <v>3371</v>
      </c>
      <c r="S238" s="60" t="s">
        <v>205</v>
      </c>
      <c r="T238" s="49" t="s">
        <v>63</v>
      </c>
      <c r="U238" s="7" t="s">
        <v>343</v>
      </c>
      <c r="V238" s="7"/>
      <c r="W238" s="44">
        <v>4.0199999999999996</v>
      </c>
      <c r="X238" s="7" t="s">
        <v>576</v>
      </c>
      <c r="Y238" s="7" t="s">
        <v>624</v>
      </c>
      <c r="Z238" s="49" t="s">
        <v>3374</v>
      </c>
      <c r="AA238" s="61">
        <v>0.44</v>
      </c>
      <c r="AB238" s="71">
        <v>65773</v>
      </c>
      <c r="AC238" s="78" t="s">
        <v>3371</v>
      </c>
      <c r="AD238" s="53" t="str">
        <f t="shared" si="166"/>
        <v>Link</v>
      </c>
      <c r="AE238" s="54">
        <v>6999</v>
      </c>
      <c r="AF238" s="54">
        <v>46</v>
      </c>
      <c r="AG238" s="85"/>
      <c r="AH238" s="56">
        <v>216597</v>
      </c>
      <c r="AI238" s="7"/>
      <c r="AJ238" s="7"/>
    </row>
    <row r="239" spans="1:36" ht="15" x14ac:dyDescent="0.2">
      <c r="A239" s="43" t="s">
        <v>3070</v>
      </c>
      <c r="B239" s="33" t="s">
        <v>1231</v>
      </c>
      <c r="C239" s="7" t="s">
        <v>67</v>
      </c>
      <c r="D239" s="7" t="s">
        <v>3386</v>
      </c>
      <c r="E239" s="44">
        <v>5</v>
      </c>
      <c r="F239" s="7"/>
      <c r="G239" s="7"/>
      <c r="H239" s="2" t="s">
        <v>3359</v>
      </c>
      <c r="I239" s="7" t="s">
        <v>683</v>
      </c>
      <c r="J239" s="7" t="s">
        <v>3389</v>
      </c>
      <c r="K239" s="7" t="s">
        <v>919</v>
      </c>
      <c r="L239" s="7" t="s">
        <v>3390</v>
      </c>
      <c r="M239" s="7"/>
      <c r="N239" s="45" t="str">
        <f t="shared" si="164"/>
        <v>@VUSoftball</v>
      </c>
      <c r="O239" s="74" t="str">
        <f t="shared" si="165"/>
        <v>Questionnaire</v>
      </c>
      <c r="P239" s="7" t="s">
        <v>3371</v>
      </c>
      <c r="Q239" s="57" t="s">
        <v>1231</v>
      </c>
      <c r="R239" s="48" t="s">
        <v>3371</v>
      </c>
      <c r="S239" s="60" t="s">
        <v>205</v>
      </c>
      <c r="T239" s="49" t="s">
        <v>63</v>
      </c>
      <c r="U239" s="7" t="s">
        <v>343</v>
      </c>
      <c r="V239" s="7"/>
      <c r="W239" s="44">
        <v>4.0199999999999996</v>
      </c>
      <c r="X239" s="7" t="s">
        <v>576</v>
      </c>
      <c r="Y239" s="7" t="s">
        <v>624</v>
      </c>
      <c r="Z239" s="49" t="s">
        <v>3374</v>
      </c>
      <c r="AA239" s="61">
        <v>0.44</v>
      </c>
      <c r="AB239" s="71">
        <v>65773</v>
      </c>
      <c r="AC239" s="78" t="s">
        <v>3371</v>
      </c>
      <c r="AD239" s="53" t="str">
        <f t="shared" si="166"/>
        <v>Link</v>
      </c>
      <c r="AE239" s="54">
        <v>6999</v>
      </c>
      <c r="AF239" s="54">
        <v>46</v>
      </c>
      <c r="AG239" s="85"/>
      <c r="AH239" s="56">
        <v>216597</v>
      </c>
      <c r="AI239" s="7"/>
      <c r="AJ239" s="7"/>
    </row>
    <row r="240" spans="1:36" ht="15" x14ac:dyDescent="0.2">
      <c r="A240" s="43" t="s">
        <v>3070</v>
      </c>
      <c r="B240" s="33" t="s">
        <v>1231</v>
      </c>
      <c r="C240" s="7" t="s">
        <v>67</v>
      </c>
      <c r="D240" s="7" t="s">
        <v>3399</v>
      </c>
      <c r="E240" s="44">
        <v>5</v>
      </c>
      <c r="F240" s="7"/>
      <c r="G240" s="7"/>
      <c r="H240" s="2" t="s">
        <v>3359</v>
      </c>
      <c r="I240" s="7" t="s">
        <v>3402</v>
      </c>
      <c r="J240" s="7" t="s">
        <v>3403</v>
      </c>
      <c r="K240" s="7" t="s">
        <v>139</v>
      </c>
      <c r="L240" s="7"/>
      <c r="M240" s="7"/>
      <c r="N240" s="45" t="str">
        <f t="shared" si="164"/>
        <v>@VUSoftball</v>
      </c>
      <c r="O240" s="74" t="str">
        <f t="shared" si="165"/>
        <v>Questionnaire</v>
      </c>
      <c r="P240" s="7" t="s">
        <v>3371</v>
      </c>
      <c r="Q240" s="57" t="s">
        <v>1231</v>
      </c>
      <c r="R240" s="48" t="s">
        <v>3371</v>
      </c>
      <c r="S240" s="60" t="s">
        <v>205</v>
      </c>
      <c r="T240" s="49" t="s">
        <v>63</v>
      </c>
      <c r="U240" s="7" t="s">
        <v>343</v>
      </c>
      <c r="V240" s="7"/>
      <c r="W240" s="44">
        <v>4.0199999999999996</v>
      </c>
      <c r="X240" s="7" t="s">
        <v>576</v>
      </c>
      <c r="Y240" s="7" t="s">
        <v>624</v>
      </c>
      <c r="Z240" s="49" t="s">
        <v>3374</v>
      </c>
      <c r="AA240" s="61">
        <v>0.44</v>
      </c>
      <c r="AB240" s="71">
        <v>65773</v>
      </c>
      <c r="AC240" s="78" t="s">
        <v>3371</v>
      </c>
      <c r="AD240" s="53" t="str">
        <f t="shared" si="166"/>
        <v>Link</v>
      </c>
      <c r="AE240" s="54">
        <v>6999</v>
      </c>
      <c r="AF240" s="54">
        <v>46</v>
      </c>
      <c r="AG240" s="85"/>
      <c r="AH240" s="56">
        <v>216597</v>
      </c>
      <c r="AI240" s="7"/>
      <c r="AJ240" s="7"/>
    </row>
    <row r="241" spans="1:36" ht="15" x14ac:dyDescent="0.2">
      <c r="A241" s="88" t="s">
        <v>3407</v>
      </c>
      <c r="B241" s="33" t="s">
        <v>312</v>
      </c>
      <c r="C241" s="7" t="s">
        <v>67</v>
      </c>
      <c r="D241" s="7" t="s">
        <v>3408</v>
      </c>
      <c r="E241" s="44">
        <v>5</v>
      </c>
      <c r="F241" s="7"/>
      <c r="G241" s="7"/>
      <c r="H241" s="2" t="s">
        <v>3410</v>
      </c>
      <c r="I241" s="7" t="s">
        <v>3279</v>
      </c>
      <c r="J241" s="7" t="s">
        <v>3411</v>
      </c>
      <c r="K241" s="7" t="s">
        <v>48</v>
      </c>
      <c r="L241" s="7" t="s">
        <v>3413</v>
      </c>
      <c r="M241" s="7" t="s">
        <v>3415</v>
      </c>
      <c r="N241" s="45" t="str">
        <f t="shared" ref="N241:N243" si="167">HYPERLINK("twitter.com/sacstsoftball","@sacstsoftball")</f>
        <v>@sacstsoftball</v>
      </c>
      <c r="O241" s="74" t="str">
        <f t="shared" ref="O241:O243" si="168">HYPERLINK("https://questionnaires.armssoftware.com/21519a25b1ef","Questionnaire")</f>
        <v>Questionnaire</v>
      </c>
      <c r="P241" s="48" t="s">
        <v>3422</v>
      </c>
      <c r="Q241" s="47" t="s">
        <v>312</v>
      </c>
      <c r="R241" s="48" t="s">
        <v>3424</v>
      </c>
      <c r="S241" s="48" t="s">
        <v>354</v>
      </c>
      <c r="T241" s="49" t="s">
        <v>74</v>
      </c>
      <c r="U241" s="49" t="s">
        <v>75</v>
      </c>
      <c r="V241" s="7"/>
      <c r="W241" s="44">
        <v>3.27</v>
      </c>
      <c r="X241" s="49" t="s">
        <v>3428</v>
      </c>
      <c r="Y241" s="49" t="s">
        <v>1338</v>
      </c>
      <c r="Z241" s="49" t="s">
        <v>1948</v>
      </c>
      <c r="AA241" s="51">
        <v>0.71940000000000004</v>
      </c>
      <c r="AB241" s="48" t="s">
        <v>3430</v>
      </c>
      <c r="AC241" s="87" t="s">
        <v>3422</v>
      </c>
      <c r="AD241" s="53" t="str">
        <f t="shared" ref="AD241:AD243" si="169">HYPERLINK("http://www.csus.edu/colleges-and-majors/","Link")</f>
        <v>Link</v>
      </c>
      <c r="AE241" s="54">
        <v>27951</v>
      </c>
      <c r="AF241" s="55"/>
      <c r="AG241" s="85"/>
      <c r="AH241" s="56">
        <v>110617</v>
      </c>
      <c r="AI241" s="7"/>
      <c r="AJ241" s="7"/>
    </row>
    <row r="242" spans="1:36" ht="15" x14ac:dyDescent="0.2">
      <c r="A242" s="88" t="s">
        <v>3407</v>
      </c>
      <c r="B242" s="33" t="s">
        <v>312</v>
      </c>
      <c r="C242" s="7" t="s">
        <v>67</v>
      </c>
      <c r="D242" s="7" t="s">
        <v>3432</v>
      </c>
      <c r="E242" s="44">
        <v>5</v>
      </c>
      <c r="F242" s="7"/>
      <c r="G242" s="7"/>
      <c r="H242" s="2" t="s">
        <v>3410</v>
      </c>
      <c r="I242" s="7" t="s">
        <v>3433</v>
      </c>
      <c r="J242" s="7" t="s">
        <v>3434</v>
      </c>
      <c r="K242" s="7" t="s">
        <v>55</v>
      </c>
      <c r="L242" s="7" t="s">
        <v>3436</v>
      </c>
      <c r="M242" s="7" t="s">
        <v>3415</v>
      </c>
      <c r="N242" s="45" t="str">
        <f t="shared" si="167"/>
        <v>@sacstsoftball</v>
      </c>
      <c r="O242" s="74" t="str">
        <f t="shared" si="168"/>
        <v>Questionnaire</v>
      </c>
      <c r="P242" s="48" t="s">
        <v>3422</v>
      </c>
      <c r="Q242" s="47" t="s">
        <v>312</v>
      </c>
      <c r="R242" s="48" t="s">
        <v>3424</v>
      </c>
      <c r="S242" s="48" t="s">
        <v>354</v>
      </c>
      <c r="T242" s="49" t="s">
        <v>74</v>
      </c>
      <c r="U242" s="49" t="s">
        <v>75</v>
      </c>
      <c r="V242" s="7"/>
      <c r="W242" s="44">
        <v>3.27</v>
      </c>
      <c r="X242" s="49" t="s">
        <v>3428</v>
      </c>
      <c r="Y242" s="49" t="s">
        <v>1338</v>
      </c>
      <c r="Z242" s="49" t="s">
        <v>1948</v>
      </c>
      <c r="AA242" s="51">
        <v>0.71940000000000004</v>
      </c>
      <c r="AB242" s="48" t="s">
        <v>3430</v>
      </c>
      <c r="AC242" s="87" t="s">
        <v>3422</v>
      </c>
      <c r="AD242" s="53" t="str">
        <f t="shared" si="169"/>
        <v>Link</v>
      </c>
      <c r="AE242" s="54">
        <v>27951</v>
      </c>
      <c r="AF242" s="55"/>
      <c r="AG242" s="85"/>
      <c r="AH242" s="56">
        <v>110617</v>
      </c>
      <c r="AI242" s="7"/>
      <c r="AJ242" s="7"/>
    </row>
    <row r="243" spans="1:36" ht="15" x14ac:dyDescent="0.2">
      <c r="A243" s="88" t="s">
        <v>3407</v>
      </c>
      <c r="B243" s="33" t="s">
        <v>312</v>
      </c>
      <c r="C243" s="7" t="s">
        <v>67</v>
      </c>
      <c r="D243" s="7" t="s">
        <v>3443</v>
      </c>
      <c r="E243" s="44">
        <v>5</v>
      </c>
      <c r="F243" s="7"/>
      <c r="G243" s="7"/>
      <c r="H243" s="2" t="s">
        <v>3410</v>
      </c>
      <c r="I243" s="7" t="s">
        <v>3444</v>
      </c>
      <c r="J243" s="7" t="s">
        <v>3445</v>
      </c>
      <c r="K243" s="7" t="s">
        <v>139</v>
      </c>
      <c r="L243" s="7"/>
      <c r="M243" s="7"/>
      <c r="N243" s="45" t="str">
        <f t="shared" si="167"/>
        <v>@sacstsoftball</v>
      </c>
      <c r="O243" s="74" t="str">
        <f t="shared" si="168"/>
        <v>Questionnaire</v>
      </c>
      <c r="P243" s="48" t="s">
        <v>3422</v>
      </c>
      <c r="Q243" s="47" t="s">
        <v>312</v>
      </c>
      <c r="R243" s="48" t="s">
        <v>3424</v>
      </c>
      <c r="S243" s="48" t="s">
        <v>354</v>
      </c>
      <c r="T243" s="49" t="s">
        <v>74</v>
      </c>
      <c r="U243" s="49" t="s">
        <v>75</v>
      </c>
      <c r="V243" s="7"/>
      <c r="W243" s="44">
        <v>3.27</v>
      </c>
      <c r="X243" s="49" t="s">
        <v>3428</v>
      </c>
      <c r="Y243" s="49" t="s">
        <v>1338</v>
      </c>
      <c r="Z243" s="49" t="s">
        <v>1948</v>
      </c>
      <c r="AA243" s="51">
        <v>0.71940000000000004</v>
      </c>
      <c r="AB243" s="48" t="s">
        <v>3430</v>
      </c>
      <c r="AC243" s="87" t="s">
        <v>3422</v>
      </c>
      <c r="AD243" s="53" t="str">
        <f t="shared" si="169"/>
        <v>Link</v>
      </c>
      <c r="AE243" s="54">
        <v>27951</v>
      </c>
      <c r="AF243" s="55"/>
      <c r="AG243" s="85"/>
      <c r="AH243" s="56">
        <v>110617</v>
      </c>
      <c r="AI243" s="7"/>
      <c r="AJ243" s="7"/>
    </row>
    <row r="244" spans="1:36" ht="13" x14ac:dyDescent="0.15">
      <c r="A244" s="88" t="s">
        <v>3407</v>
      </c>
      <c r="B244" s="2" t="s">
        <v>3457</v>
      </c>
      <c r="C244" s="7" t="s">
        <v>67</v>
      </c>
      <c r="D244" s="7" t="s">
        <v>3458</v>
      </c>
      <c r="E244" s="44">
        <v>5</v>
      </c>
      <c r="F244" s="7"/>
      <c r="G244" s="7"/>
      <c r="H244" s="2" t="s">
        <v>3459</v>
      </c>
      <c r="I244" s="7" t="s">
        <v>3460</v>
      </c>
      <c r="J244" s="7" t="s">
        <v>196</v>
      </c>
      <c r="K244" s="7" t="s">
        <v>48</v>
      </c>
      <c r="L244" s="7" t="s">
        <v>3461</v>
      </c>
      <c r="M244" s="7" t="s">
        <v>3462</v>
      </c>
      <c r="N244" s="45" t="str">
        <f t="shared" ref="N244:N246" si="170">HYPERLINK("twitter.com/idahostatesb","@idahostatesb")</f>
        <v>@idahostatesb</v>
      </c>
      <c r="O244" s="74" t="str">
        <f t="shared" ref="O244:O246" si="171">HYPERLINK("https://isubengals.com/sb_output.aspx?form=3","Questionnaire")</f>
        <v>Questionnaire</v>
      </c>
      <c r="P244" s="7" t="s">
        <v>3468</v>
      </c>
      <c r="Q244" s="36" t="s">
        <v>3457</v>
      </c>
      <c r="R244" s="48" t="s">
        <v>3469</v>
      </c>
      <c r="S244" s="4" t="s">
        <v>186</v>
      </c>
      <c r="T244" s="4" t="s">
        <v>74</v>
      </c>
      <c r="U244" s="4" t="s">
        <v>75</v>
      </c>
      <c r="V244" s="2"/>
      <c r="W244" s="37">
        <v>3.27</v>
      </c>
      <c r="X244" s="2" t="s">
        <v>3484</v>
      </c>
      <c r="Y244" s="2" t="s">
        <v>3485</v>
      </c>
      <c r="Z244" s="4" t="s">
        <v>357</v>
      </c>
      <c r="AA244" s="65">
        <v>1</v>
      </c>
      <c r="AB244" s="48" t="s">
        <v>3486</v>
      </c>
      <c r="AC244" s="76" t="s">
        <v>3468</v>
      </c>
      <c r="AD244" s="67" t="str">
        <f t="shared" ref="AD244:AD246" si="172">HYPERLINK("http://coursecat.isu.edu/undergraduate_programs/","Link")</f>
        <v>Link</v>
      </c>
      <c r="AE244" s="42">
        <v>10966</v>
      </c>
      <c r="AF244" s="55"/>
      <c r="AG244" s="85"/>
      <c r="AH244" s="56">
        <v>142276</v>
      </c>
      <c r="AI244" s="7"/>
      <c r="AJ244" s="7"/>
    </row>
    <row r="245" spans="1:36" ht="13" x14ac:dyDescent="0.15">
      <c r="A245" s="88" t="s">
        <v>3407</v>
      </c>
      <c r="B245" s="2" t="s">
        <v>3457</v>
      </c>
      <c r="C245" s="7" t="s">
        <v>67</v>
      </c>
      <c r="D245" s="7" t="s">
        <v>3496</v>
      </c>
      <c r="E245" s="44">
        <v>5</v>
      </c>
      <c r="F245" s="7"/>
      <c r="G245" s="7"/>
      <c r="H245" s="2" t="s">
        <v>3459</v>
      </c>
      <c r="I245" s="7" t="s">
        <v>3497</v>
      </c>
      <c r="J245" s="7" t="s">
        <v>3498</v>
      </c>
      <c r="K245" s="7" t="s">
        <v>55</v>
      </c>
      <c r="L245" s="7" t="s">
        <v>3499</v>
      </c>
      <c r="M245" s="7"/>
      <c r="N245" s="45" t="str">
        <f t="shared" si="170"/>
        <v>@idahostatesb</v>
      </c>
      <c r="O245" s="74" t="str">
        <f t="shared" si="171"/>
        <v>Questionnaire</v>
      </c>
      <c r="P245" s="7" t="s">
        <v>3468</v>
      </c>
      <c r="Q245" s="36" t="s">
        <v>3457</v>
      </c>
      <c r="R245" s="48" t="s">
        <v>3469</v>
      </c>
      <c r="S245" s="4" t="s">
        <v>186</v>
      </c>
      <c r="T245" s="4" t="s">
        <v>74</v>
      </c>
      <c r="U245" s="4" t="s">
        <v>75</v>
      </c>
      <c r="V245" s="2"/>
      <c r="W245" s="37">
        <v>3.27</v>
      </c>
      <c r="X245" s="2" t="s">
        <v>3484</v>
      </c>
      <c r="Y245" s="2" t="s">
        <v>3485</v>
      </c>
      <c r="Z245" s="4" t="s">
        <v>357</v>
      </c>
      <c r="AA245" s="65">
        <v>1</v>
      </c>
      <c r="AB245" s="48" t="s">
        <v>3486</v>
      </c>
      <c r="AC245" s="76" t="s">
        <v>3468</v>
      </c>
      <c r="AD245" s="67" t="str">
        <f t="shared" si="172"/>
        <v>Link</v>
      </c>
      <c r="AE245" s="42">
        <v>10966</v>
      </c>
      <c r="AF245" s="55"/>
      <c r="AG245" s="85"/>
      <c r="AH245" s="56">
        <v>142276</v>
      </c>
      <c r="AI245" s="7"/>
      <c r="AJ245" s="7"/>
    </row>
    <row r="246" spans="1:36" ht="13" x14ac:dyDescent="0.15">
      <c r="A246" s="88" t="s">
        <v>3407</v>
      </c>
      <c r="B246" s="2" t="s">
        <v>3457</v>
      </c>
      <c r="C246" s="7" t="s">
        <v>67</v>
      </c>
      <c r="D246" s="7" t="s">
        <v>3510</v>
      </c>
      <c r="E246" s="44">
        <v>5</v>
      </c>
      <c r="F246" s="7"/>
      <c r="G246" s="7"/>
      <c r="H246" s="2" t="s">
        <v>3459</v>
      </c>
      <c r="I246" s="7" t="s">
        <v>3511</v>
      </c>
      <c r="J246" s="7" t="s">
        <v>1249</v>
      </c>
      <c r="K246" s="7" t="s">
        <v>55</v>
      </c>
      <c r="L246" s="7" t="s">
        <v>3499</v>
      </c>
      <c r="M246" s="7" t="s">
        <v>3512</v>
      </c>
      <c r="N246" s="45" t="str">
        <f t="shared" si="170"/>
        <v>@idahostatesb</v>
      </c>
      <c r="O246" s="74" t="str">
        <f t="shared" si="171"/>
        <v>Questionnaire</v>
      </c>
      <c r="P246" s="7" t="s">
        <v>3468</v>
      </c>
      <c r="Q246" s="36" t="s">
        <v>3457</v>
      </c>
      <c r="R246" s="48" t="s">
        <v>3469</v>
      </c>
      <c r="S246" s="4" t="s">
        <v>186</v>
      </c>
      <c r="T246" s="4" t="s">
        <v>74</v>
      </c>
      <c r="U246" s="4" t="s">
        <v>75</v>
      </c>
      <c r="V246" s="2"/>
      <c r="W246" s="37">
        <v>3.27</v>
      </c>
      <c r="X246" s="2" t="s">
        <v>3484</v>
      </c>
      <c r="Y246" s="2" t="s">
        <v>3485</v>
      </c>
      <c r="Z246" s="4" t="s">
        <v>357</v>
      </c>
      <c r="AA246" s="65">
        <v>1</v>
      </c>
      <c r="AB246" s="48" t="s">
        <v>3486</v>
      </c>
      <c r="AC246" s="76" t="s">
        <v>3468</v>
      </c>
      <c r="AD246" s="67" t="str">
        <f t="shared" si="172"/>
        <v>Link</v>
      </c>
      <c r="AE246" s="42">
        <v>10966</v>
      </c>
      <c r="AF246" s="55"/>
      <c r="AG246" s="85"/>
      <c r="AH246" s="56">
        <v>142276</v>
      </c>
      <c r="AI246" s="7"/>
      <c r="AJ246" s="7"/>
    </row>
    <row r="247" spans="1:36" ht="13" x14ac:dyDescent="0.15">
      <c r="A247" s="88" t="s">
        <v>3407</v>
      </c>
      <c r="B247" s="2" t="s">
        <v>3515</v>
      </c>
      <c r="C247" s="7" t="s">
        <v>67</v>
      </c>
      <c r="D247" s="7" t="s">
        <v>3516</v>
      </c>
      <c r="E247" s="44">
        <v>5</v>
      </c>
      <c r="F247" s="7"/>
      <c r="G247" s="7"/>
      <c r="H247" s="2" t="s">
        <v>3517</v>
      </c>
      <c r="I247" s="7" t="s">
        <v>53</v>
      </c>
      <c r="J247" s="7" t="s">
        <v>3518</v>
      </c>
      <c r="K247" s="7" t="s">
        <v>48</v>
      </c>
      <c r="L247" s="7" t="s">
        <v>3519</v>
      </c>
      <c r="M247" s="7" t="s">
        <v>3521</v>
      </c>
      <c r="N247" s="45" t="str">
        <f t="shared" ref="N247:N249" si="173">HYPERLINK("twitter.com/montanagrizsb","@montanagrizsb")</f>
        <v>@montanagrizsb</v>
      </c>
      <c r="O247" s="74" t="str">
        <f t="shared" ref="O247:O249" si="174">HYPERLINK("http://winapps.umt.edu/winapps/athletics/recruiting/softballquestionnaire.aspx","Questionnaire")</f>
        <v>Questionnaire</v>
      </c>
      <c r="P247" s="7" t="s">
        <v>3523</v>
      </c>
      <c r="Q247" s="36" t="s">
        <v>3515</v>
      </c>
      <c r="R247" s="48" t="s">
        <v>3525</v>
      </c>
      <c r="S247" s="4" t="s">
        <v>186</v>
      </c>
      <c r="T247" s="4" t="s">
        <v>74</v>
      </c>
      <c r="U247" s="4" t="s">
        <v>75</v>
      </c>
      <c r="V247" s="2"/>
      <c r="W247" s="37">
        <v>3.33</v>
      </c>
      <c r="X247" s="2" t="s">
        <v>688</v>
      </c>
      <c r="Y247" s="2" t="s">
        <v>1648</v>
      </c>
      <c r="Z247" s="4" t="s">
        <v>278</v>
      </c>
      <c r="AA247" s="65">
        <v>0.92</v>
      </c>
      <c r="AB247" s="48" t="s">
        <v>3529</v>
      </c>
      <c r="AC247" s="66" t="s">
        <v>3523</v>
      </c>
      <c r="AD247" s="67" t="str">
        <f t="shared" ref="AD247:AD249" si="175">HYPERLINK("http://www.umt.edu/academics/degrees-and-majors/","Link")</f>
        <v>Link</v>
      </c>
      <c r="AE247" s="42">
        <v>10077</v>
      </c>
      <c r="AF247" s="42">
        <v>207</v>
      </c>
      <c r="AG247" s="85"/>
      <c r="AH247" s="56">
        <v>180489</v>
      </c>
      <c r="AI247" s="7"/>
      <c r="AJ247" s="7"/>
    </row>
    <row r="248" spans="1:36" ht="13" x14ac:dyDescent="0.15">
      <c r="A248" s="88" t="s">
        <v>3407</v>
      </c>
      <c r="B248" s="2" t="s">
        <v>3515</v>
      </c>
      <c r="C248" s="7" t="s">
        <v>67</v>
      </c>
      <c r="D248" s="7" t="s">
        <v>3532</v>
      </c>
      <c r="E248" s="44">
        <v>5</v>
      </c>
      <c r="F248" s="7"/>
      <c r="G248" s="7"/>
      <c r="H248" s="2" t="s">
        <v>3517</v>
      </c>
      <c r="I248" s="7" t="s">
        <v>539</v>
      </c>
      <c r="J248" s="7" t="s">
        <v>3016</v>
      </c>
      <c r="K248" s="7" t="s">
        <v>55</v>
      </c>
      <c r="L248" s="7" t="s">
        <v>3536</v>
      </c>
      <c r="M248" s="7" t="s">
        <v>3537</v>
      </c>
      <c r="N248" s="45" t="str">
        <f t="shared" si="173"/>
        <v>@montanagrizsb</v>
      </c>
      <c r="O248" s="74" t="str">
        <f t="shared" si="174"/>
        <v>Questionnaire</v>
      </c>
      <c r="P248" s="7" t="s">
        <v>3523</v>
      </c>
      <c r="Q248" s="36" t="s">
        <v>3515</v>
      </c>
      <c r="R248" s="48" t="s">
        <v>3525</v>
      </c>
      <c r="S248" s="4" t="s">
        <v>186</v>
      </c>
      <c r="T248" s="4" t="s">
        <v>74</v>
      </c>
      <c r="U248" s="4" t="s">
        <v>75</v>
      </c>
      <c r="V248" s="2"/>
      <c r="W248" s="37">
        <v>3.33</v>
      </c>
      <c r="X248" s="2" t="s">
        <v>688</v>
      </c>
      <c r="Y248" s="2" t="s">
        <v>1648</v>
      </c>
      <c r="Z248" s="4" t="s">
        <v>278</v>
      </c>
      <c r="AA248" s="65">
        <v>0.92</v>
      </c>
      <c r="AB248" s="48" t="s">
        <v>3529</v>
      </c>
      <c r="AC248" s="66" t="s">
        <v>3523</v>
      </c>
      <c r="AD248" s="67" t="str">
        <f t="shared" si="175"/>
        <v>Link</v>
      </c>
      <c r="AE248" s="42">
        <v>10077</v>
      </c>
      <c r="AF248" s="42">
        <v>207</v>
      </c>
      <c r="AG248" s="85"/>
      <c r="AH248" s="56">
        <v>180489</v>
      </c>
      <c r="AI248" s="7"/>
      <c r="AJ248" s="7"/>
    </row>
    <row r="249" spans="1:36" ht="13" x14ac:dyDescent="0.15">
      <c r="A249" s="88" t="s">
        <v>3407</v>
      </c>
      <c r="B249" s="2" t="s">
        <v>3515</v>
      </c>
      <c r="C249" s="7" t="s">
        <v>67</v>
      </c>
      <c r="D249" s="7" t="s">
        <v>3548</v>
      </c>
      <c r="E249" s="44">
        <v>5</v>
      </c>
      <c r="F249" s="7"/>
      <c r="G249" s="7"/>
      <c r="H249" s="2" t="s">
        <v>3517</v>
      </c>
      <c r="I249" s="7" t="s">
        <v>3549</v>
      </c>
      <c r="J249" s="7" t="s">
        <v>3550</v>
      </c>
      <c r="K249" s="7" t="s">
        <v>120</v>
      </c>
      <c r="L249" s="7" t="s">
        <v>3551</v>
      </c>
      <c r="M249" s="7"/>
      <c r="N249" s="45" t="str">
        <f t="shared" si="173"/>
        <v>@montanagrizsb</v>
      </c>
      <c r="O249" s="74" t="str">
        <f t="shared" si="174"/>
        <v>Questionnaire</v>
      </c>
      <c r="P249" s="7" t="s">
        <v>3523</v>
      </c>
      <c r="Q249" s="36" t="s">
        <v>3515</v>
      </c>
      <c r="R249" s="48" t="s">
        <v>3525</v>
      </c>
      <c r="S249" s="4" t="s">
        <v>186</v>
      </c>
      <c r="T249" s="4" t="s">
        <v>74</v>
      </c>
      <c r="U249" s="4" t="s">
        <v>75</v>
      </c>
      <c r="V249" s="2"/>
      <c r="W249" s="37">
        <v>3.33</v>
      </c>
      <c r="X249" s="2" t="s">
        <v>688</v>
      </c>
      <c r="Y249" s="2" t="s">
        <v>1648</v>
      </c>
      <c r="Z249" s="4" t="s">
        <v>278</v>
      </c>
      <c r="AA249" s="65">
        <v>0.92</v>
      </c>
      <c r="AB249" s="48" t="s">
        <v>3529</v>
      </c>
      <c r="AC249" s="66" t="s">
        <v>3523</v>
      </c>
      <c r="AD249" s="67" t="str">
        <f t="shared" si="175"/>
        <v>Link</v>
      </c>
      <c r="AE249" s="42">
        <v>10077</v>
      </c>
      <c r="AF249" s="42">
        <v>207</v>
      </c>
      <c r="AG249" s="85"/>
      <c r="AH249" s="56">
        <v>180489</v>
      </c>
      <c r="AI249" s="7"/>
      <c r="AJ249" s="7"/>
    </row>
    <row r="250" spans="1:36" ht="13" x14ac:dyDescent="0.15">
      <c r="A250" s="88" t="s">
        <v>3407</v>
      </c>
      <c r="B250" s="2" t="s">
        <v>3564</v>
      </c>
      <c r="C250" s="7" t="s">
        <v>67</v>
      </c>
      <c r="D250" s="7" t="s">
        <v>3565</v>
      </c>
      <c r="E250" s="44">
        <v>5</v>
      </c>
      <c r="F250" s="7"/>
      <c r="G250" s="7"/>
      <c r="H250" s="2" t="s">
        <v>3566</v>
      </c>
      <c r="I250" s="7" t="s">
        <v>93</v>
      </c>
      <c r="J250" s="7" t="s">
        <v>3567</v>
      </c>
      <c r="K250" s="7" t="s">
        <v>48</v>
      </c>
      <c r="L250" s="7" t="s">
        <v>3568</v>
      </c>
      <c r="M250" s="44" t="s">
        <v>3569</v>
      </c>
      <c r="N250" s="45" t="str">
        <f t="shared" ref="N250:N252" si="176">HYPERLINK("twitter.com/undsoftball","@undsoftball")</f>
        <v>@undsoftball</v>
      </c>
      <c r="O250" s="74" t="str">
        <f t="shared" ref="O250:O252" si="177">HYPERLINK("https://fightinghawks.com/sb_output.aspx?form=20","Questionnaire")</f>
        <v>Questionnaire</v>
      </c>
      <c r="P250" s="7" t="s">
        <v>3576</v>
      </c>
      <c r="Q250" s="36" t="s">
        <v>3564</v>
      </c>
      <c r="R250" s="48" t="s">
        <v>3579</v>
      </c>
      <c r="S250" s="4" t="s">
        <v>186</v>
      </c>
      <c r="T250" s="4" t="s">
        <v>74</v>
      </c>
      <c r="U250" s="4" t="s">
        <v>75</v>
      </c>
      <c r="V250" s="2"/>
      <c r="W250" s="37">
        <v>3.4</v>
      </c>
      <c r="X250" s="2" t="s">
        <v>2141</v>
      </c>
      <c r="Y250" s="2" t="s">
        <v>688</v>
      </c>
      <c r="Z250" s="4" t="s">
        <v>1650</v>
      </c>
      <c r="AA250" s="65">
        <v>0.84</v>
      </c>
      <c r="AB250" s="48" t="s">
        <v>3584</v>
      </c>
      <c r="AC250" s="76" t="s">
        <v>3576</v>
      </c>
      <c r="AD250" s="67" t="str">
        <f t="shared" ref="AD250:AD252" si="178">HYPERLINK("http://und.edu/admissions/undergraduate/academics/index.cfm","Link")</f>
        <v>Link</v>
      </c>
      <c r="AE250" s="42">
        <v>11255</v>
      </c>
      <c r="AF250" s="42">
        <v>192</v>
      </c>
      <c r="AG250" s="85"/>
      <c r="AH250" s="56">
        <v>200280</v>
      </c>
      <c r="AI250" s="7"/>
      <c r="AJ250" s="7"/>
    </row>
    <row r="251" spans="1:36" ht="13" x14ac:dyDescent="0.15">
      <c r="A251" s="88" t="s">
        <v>3407</v>
      </c>
      <c r="B251" s="2" t="s">
        <v>3564</v>
      </c>
      <c r="C251" s="7" t="s">
        <v>67</v>
      </c>
      <c r="D251" s="7" t="s">
        <v>3586</v>
      </c>
      <c r="E251" s="44">
        <v>5</v>
      </c>
      <c r="F251" s="7"/>
      <c r="G251" s="7"/>
      <c r="H251" s="2" t="s">
        <v>3566</v>
      </c>
      <c r="I251" s="7" t="s">
        <v>3587</v>
      </c>
      <c r="J251" s="7" t="s">
        <v>3590</v>
      </c>
      <c r="K251" s="7" t="s">
        <v>55</v>
      </c>
      <c r="L251" s="7" t="s">
        <v>3591</v>
      </c>
      <c r="M251" s="44" t="s">
        <v>3595</v>
      </c>
      <c r="N251" s="45" t="str">
        <f t="shared" si="176"/>
        <v>@undsoftball</v>
      </c>
      <c r="O251" s="74" t="str">
        <f t="shared" si="177"/>
        <v>Questionnaire</v>
      </c>
      <c r="P251" s="7" t="s">
        <v>3576</v>
      </c>
      <c r="Q251" s="36" t="s">
        <v>3564</v>
      </c>
      <c r="R251" s="48" t="s">
        <v>3579</v>
      </c>
      <c r="S251" s="4" t="s">
        <v>186</v>
      </c>
      <c r="T251" s="4" t="s">
        <v>74</v>
      </c>
      <c r="U251" s="4" t="s">
        <v>75</v>
      </c>
      <c r="V251" s="2"/>
      <c r="W251" s="37">
        <v>3.4</v>
      </c>
      <c r="X251" s="2" t="s">
        <v>2141</v>
      </c>
      <c r="Y251" s="2" t="s">
        <v>688</v>
      </c>
      <c r="Z251" s="4" t="s">
        <v>1650</v>
      </c>
      <c r="AA251" s="65">
        <v>0.84</v>
      </c>
      <c r="AB251" s="48" t="s">
        <v>3584</v>
      </c>
      <c r="AC251" s="76" t="s">
        <v>3576</v>
      </c>
      <c r="AD251" s="67" t="str">
        <f t="shared" si="178"/>
        <v>Link</v>
      </c>
      <c r="AE251" s="42">
        <v>11255</v>
      </c>
      <c r="AF251" s="42">
        <v>192</v>
      </c>
      <c r="AG251" s="85"/>
      <c r="AH251" s="56">
        <v>200280</v>
      </c>
      <c r="AI251" s="7"/>
      <c r="AJ251" s="7"/>
    </row>
    <row r="252" spans="1:36" ht="13" x14ac:dyDescent="0.15">
      <c r="A252" s="88" t="s">
        <v>3407</v>
      </c>
      <c r="B252" s="2" t="s">
        <v>3564</v>
      </c>
      <c r="C252" s="7" t="s">
        <v>67</v>
      </c>
      <c r="D252" s="7" t="s">
        <v>3603</v>
      </c>
      <c r="E252" s="44">
        <v>5</v>
      </c>
      <c r="F252" s="7"/>
      <c r="G252" s="7"/>
      <c r="H252" s="2" t="s">
        <v>3566</v>
      </c>
      <c r="I252" s="7" t="s">
        <v>1239</v>
      </c>
      <c r="J252" s="7" t="s">
        <v>3604</v>
      </c>
      <c r="K252" s="7" t="s">
        <v>55</v>
      </c>
      <c r="L252" s="7" t="s">
        <v>3605</v>
      </c>
      <c r="M252" s="44" t="s">
        <v>3606</v>
      </c>
      <c r="N252" s="45" t="str">
        <f t="shared" si="176"/>
        <v>@undsoftball</v>
      </c>
      <c r="O252" s="74" t="str">
        <f t="shared" si="177"/>
        <v>Questionnaire</v>
      </c>
      <c r="P252" s="7" t="s">
        <v>3576</v>
      </c>
      <c r="Q252" s="36" t="s">
        <v>3564</v>
      </c>
      <c r="R252" s="48" t="s">
        <v>3579</v>
      </c>
      <c r="S252" s="4" t="s">
        <v>186</v>
      </c>
      <c r="T252" s="4" t="s">
        <v>74</v>
      </c>
      <c r="U252" s="4" t="s">
        <v>75</v>
      </c>
      <c r="V252" s="2"/>
      <c r="W252" s="37">
        <v>3.4</v>
      </c>
      <c r="X252" s="2" t="s">
        <v>2141</v>
      </c>
      <c r="Y252" s="2" t="s">
        <v>688</v>
      </c>
      <c r="Z252" s="4" t="s">
        <v>1650</v>
      </c>
      <c r="AA252" s="65">
        <v>0.84</v>
      </c>
      <c r="AB252" s="48" t="s">
        <v>3584</v>
      </c>
      <c r="AC252" s="76" t="s">
        <v>3576</v>
      </c>
      <c r="AD252" s="67" t="str">
        <f t="shared" si="178"/>
        <v>Link</v>
      </c>
      <c r="AE252" s="42">
        <v>11255</v>
      </c>
      <c r="AF252" s="42">
        <v>192</v>
      </c>
      <c r="AG252" s="85"/>
      <c r="AH252" s="56">
        <v>200280</v>
      </c>
      <c r="AI252" s="7"/>
      <c r="AJ252" s="7"/>
    </row>
    <row r="253" spans="1:36" ht="15" x14ac:dyDescent="0.2">
      <c r="A253" s="88" t="s">
        <v>3407</v>
      </c>
      <c r="B253" s="33" t="s">
        <v>2088</v>
      </c>
      <c r="C253" s="7" t="s">
        <v>67</v>
      </c>
      <c r="D253" s="7" t="s">
        <v>3615</v>
      </c>
      <c r="E253" s="44">
        <v>5</v>
      </c>
      <c r="F253" s="7"/>
      <c r="G253" s="7"/>
      <c r="H253" s="2" t="s">
        <v>3616</v>
      </c>
      <c r="I253" s="7" t="s">
        <v>3197</v>
      </c>
      <c r="J253" s="7" t="s">
        <v>1226</v>
      </c>
      <c r="K253" s="7" t="s">
        <v>48</v>
      </c>
      <c r="L253" s="7" t="s">
        <v>3618</v>
      </c>
      <c r="M253" s="7" t="s">
        <v>3621</v>
      </c>
      <c r="N253" s="48"/>
      <c r="O253" s="74" t="str">
        <f t="shared" ref="O253:O257" si="179">HYPERLINK("https://uncbears.com/sports/2014/10/9/GEN_1009141833.aspx","Questionnaire")</f>
        <v>Questionnaire</v>
      </c>
      <c r="P253" s="48" t="s">
        <v>3625</v>
      </c>
      <c r="Q253" s="47" t="s">
        <v>2088</v>
      </c>
      <c r="R253" s="48" t="s">
        <v>3626</v>
      </c>
      <c r="S253" s="48" t="s">
        <v>238</v>
      </c>
      <c r="T253" s="49" t="s">
        <v>74</v>
      </c>
      <c r="U253" s="49" t="s">
        <v>75</v>
      </c>
      <c r="V253" s="7"/>
      <c r="W253" s="44">
        <v>3.33</v>
      </c>
      <c r="X253" s="49" t="s">
        <v>3629</v>
      </c>
      <c r="Y253" s="49" t="s">
        <v>720</v>
      </c>
      <c r="Z253" s="49" t="s">
        <v>746</v>
      </c>
      <c r="AA253" s="61">
        <v>0.9</v>
      </c>
      <c r="AB253" s="48" t="s">
        <v>3630</v>
      </c>
      <c r="AC253" s="62" t="s">
        <v>3625</v>
      </c>
      <c r="AD253" s="53" t="str">
        <f t="shared" ref="AD253:AD257" si="180">HYPERLINK("http://www.unco.edu/programs/","Link")</f>
        <v>Link</v>
      </c>
      <c r="AE253" s="54">
        <v>10011</v>
      </c>
      <c r="AF253" s="55"/>
      <c r="AG253" s="85"/>
      <c r="AH253" s="56">
        <v>127741</v>
      </c>
      <c r="AI253" s="7"/>
      <c r="AJ253" s="7"/>
    </row>
    <row r="254" spans="1:36" ht="15" x14ac:dyDescent="0.2">
      <c r="A254" s="88" t="s">
        <v>3407</v>
      </c>
      <c r="B254" s="33" t="s">
        <v>2088</v>
      </c>
      <c r="C254" s="7" t="s">
        <v>67</v>
      </c>
      <c r="D254" s="7" t="s">
        <v>3633</v>
      </c>
      <c r="E254" s="44">
        <v>5</v>
      </c>
      <c r="F254" s="7"/>
      <c r="G254" s="7"/>
      <c r="H254" s="2" t="s">
        <v>3616</v>
      </c>
      <c r="I254" s="7" t="s">
        <v>878</v>
      </c>
      <c r="J254" s="7" t="s">
        <v>3635</v>
      </c>
      <c r="K254" s="7" t="s">
        <v>55</v>
      </c>
      <c r="L254" s="7" t="s">
        <v>3638</v>
      </c>
      <c r="M254" s="7" t="s">
        <v>3639</v>
      </c>
      <c r="N254" s="48"/>
      <c r="O254" s="74" t="str">
        <f t="shared" si="179"/>
        <v>Questionnaire</v>
      </c>
      <c r="P254" s="48" t="s">
        <v>3625</v>
      </c>
      <c r="Q254" s="47" t="s">
        <v>2088</v>
      </c>
      <c r="R254" s="48" t="s">
        <v>3626</v>
      </c>
      <c r="S254" s="48" t="s">
        <v>238</v>
      </c>
      <c r="T254" s="49" t="s">
        <v>74</v>
      </c>
      <c r="U254" s="49" t="s">
        <v>75</v>
      </c>
      <c r="V254" s="7"/>
      <c r="W254" s="44">
        <v>3.33</v>
      </c>
      <c r="X254" s="49" t="s">
        <v>3629</v>
      </c>
      <c r="Y254" s="49" t="s">
        <v>720</v>
      </c>
      <c r="Z254" s="49" t="s">
        <v>746</v>
      </c>
      <c r="AA254" s="61">
        <v>0.9</v>
      </c>
      <c r="AB254" s="48" t="s">
        <v>3630</v>
      </c>
      <c r="AC254" s="62" t="s">
        <v>3625</v>
      </c>
      <c r="AD254" s="53" t="str">
        <f t="shared" si="180"/>
        <v>Link</v>
      </c>
      <c r="AE254" s="54">
        <v>10011</v>
      </c>
      <c r="AF254" s="55"/>
      <c r="AG254" s="85"/>
      <c r="AH254" s="56">
        <v>127741</v>
      </c>
      <c r="AI254" s="7"/>
      <c r="AJ254" s="7"/>
    </row>
    <row r="255" spans="1:36" ht="15" x14ac:dyDescent="0.2">
      <c r="A255" s="88" t="s">
        <v>3407</v>
      </c>
      <c r="B255" s="33" t="s">
        <v>2088</v>
      </c>
      <c r="C255" s="7" t="s">
        <v>67</v>
      </c>
      <c r="D255" s="7" t="s">
        <v>3647</v>
      </c>
      <c r="E255" s="44">
        <v>5</v>
      </c>
      <c r="F255" s="7"/>
      <c r="G255" s="7"/>
      <c r="H255" s="2" t="s">
        <v>3616</v>
      </c>
      <c r="I255" s="7" t="s">
        <v>481</v>
      </c>
      <c r="J255" s="7" t="s">
        <v>3648</v>
      </c>
      <c r="K255" s="7" t="s">
        <v>55</v>
      </c>
      <c r="L255" s="7"/>
      <c r="M255" s="7"/>
      <c r="N255" s="48"/>
      <c r="O255" s="74" t="str">
        <f t="shared" si="179"/>
        <v>Questionnaire</v>
      </c>
      <c r="P255" s="48" t="s">
        <v>3625</v>
      </c>
      <c r="Q255" s="47" t="s">
        <v>2088</v>
      </c>
      <c r="R255" s="48" t="s">
        <v>3626</v>
      </c>
      <c r="S255" s="48" t="s">
        <v>238</v>
      </c>
      <c r="T255" s="49" t="s">
        <v>74</v>
      </c>
      <c r="U255" s="49" t="s">
        <v>75</v>
      </c>
      <c r="V255" s="7"/>
      <c r="W255" s="44">
        <v>3.33</v>
      </c>
      <c r="X255" s="49" t="s">
        <v>3629</v>
      </c>
      <c r="Y255" s="49" t="s">
        <v>720</v>
      </c>
      <c r="Z255" s="49" t="s">
        <v>746</v>
      </c>
      <c r="AA255" s="61">
        <v>0.9</v>
      </c>
      <c r="AB255" s="48" t="s">
        <v>3630</v>
      </c>
      <c r="AC255" s="62" t="s">
        <v>3625</v>
      </c>
      <c r="AD255" s="53" t="str">
        <f t="shared" si="180"/>
        <v>Link</v>
      </c>
      <c r="AE255" s="54">
        <v>10011</v>
      </c>
      <c r="AF255" s="55"/>
      <c r="AG255" s="85"/>
      <c r="AH255" s="56">
        <v>127741</v>
      </c>
      <c r="AI255" s="7"/>
      <c r="AJ255" s="7"/>
    </row>
    <row r="256" spans="1:36" ht="15" x14ac:dyDescent="0.2">
      <c r="A256" s="88" t="s">
        <v>3407</v>
      </c>
      <c r="B256" s="33" t="s">
        <v>2088</v>
      </c>
      <c r="C256" s="7" t="s">
        <v>67</v>
      </c>
      <c r="D256" s="7" t="s">
        <v>3653</v>
      </c>
      <c r="E256" s="44">
        <v>5</v>
      </c>
      <c r="F256" s="7"/>
      <c r="G256" s="7"/>
      <c r="H256" s="2" t="s">
        <v>3616</v>
      </c>
      <c r="I256" s="7" t="s">
        <v>3654</v>
      </c>
      <c r="J256" s="7" t="s">
        <v>1226</v>
      </c>
      <c r="K256" s="7" t="s">
        <v>120</v>
      </c>
      <c r="L256" s="7"/>
      <c r="M256" s="7"/>
      <c r="N256" s="48"/>
      <c r="O256" s="74" t="str">
        <f t="shared" si="179"/>
        <v>Questionnaire</v>
      </c>
      <c r="P256" s="48" t="s">
        <v>3625</v>
      </c>
      <c r="Q256" s="47" t="s">
        <v>2088</v>
      </c>
      <c r="R256" s="48" t="s">
        <v>3626</v>
      </c>
      <c r="S256" s="48" t="s">
        <v>238</v>
      </c>
      <c r="T256" s="49" t="s">
        <v>74</v>
      </c>
      <c r="U256" s="49" t="s">
        <v>75</v>
      </c>
      <c r="V256" s="7"/>
      <c r="W256" s="44">
        <v>3.33</v>
      </c>
      <c r="X256" s="49" t="s">
        <v>3629</v>
      </c>
      <c r="Y256" s="49" t="s">
        <v>720</v>
      </c>
      <c r="Z256" s="49" t="s">
        <v>746</v>
      </c>
      <c r="AA256" s="61">
        <v>0.9</v>
      </c>
      <c r="AB256" s="48" t="s">
        <v>3630</v>
      </c>
      <c r="AC256" s="62" t="s">
        <v>3625</v>
      </c>
      <c r="AD256" s="53" t="str">
        <f t="shared" si="180"/>
        <v>Link</v>
      </c>
      <c r="AE256" s="54">
        <v>10011</v>
      </c>
      <c r="AF256" s="55"/>
      <c r="AG256" s="85"/>
      <c r="AH256" s="56">
        <v>127741</v>
      </c>
      <c r="AI256" s="7"/>
      <c r="AJ256" s="7"/>
    </row>
    <row r="257" spans="1:36" ht="15" x14ac:dyDescent="0.2">
      <c r="A257" s="88" t="s">
        <v>3407</v>
      </c>
      <c r="B257" s="33" t="s">
        <v>2088</v>
      </c>
      <c r="C257" s="7" t="s">
        <v>67</v>
      </c>
      <c r="D257" s="7" t="s">
        <v>3662</v>
      </c>
      <c r="E257" s="44">
        <v>5</v>
      </c>
      <c r="F257" s="7"/>
      <c r="G257" s="7"/>
      <c r="H257" s="2" t="s">
        <v>3616</v>
      </c>
      <c r="I257" s="7" t="s">
        <v>3664</v>
      </c>
      <c r="J257" s="7" t="s">
        <v>2574</v>
      </c>
      <c r="K257" s="7" t="s">
        <v>55</v>
      </c>
      <c r="L257" s="7" t="s">
        <v>3666</v>
      </c>
      <c r="M257" s="7" t="s">
        <v>3667</v>
      </c>
      <c r="N257" s="48"/>
      <c r="O257" s="74" t="str">
        <f t="shared" si="179"/>
        <v>Questionnaire</v>
      </c>
      <c r="P257" s="48" t="s">
        <v>3625</v>
      </c>
      <c r="Q257" s="47" t="s">
        <v>2088</v>
      </c>
      <c r="R257" s="48" t="s">
        <v>3626</v>
      </c>
      <c r="S257" s="48" t="s">
        <v>238</v>
      </c>
      <c r="T257" s="49" t="s">
        <v>74</v>
      </c>
      <c r="U257" s="49" t="s">
        <v>75</v>
      </c>
      <c r="V257" s="7"/>
      <c r="W257" s="44">
        <v>3.33</v>
      </c>
      <c r="X257" s="49" t="s">
        <v>3629</v>
      </c>
      <c r="Y257" s="49" t="s">
        <v>720</v>
      </c>
      <c r="Z257" s="49" t="s">
        <v>746</v>
      </c>
      <c r="AA257" s="61">
        <v>0.9</v>
      </c>
      <c r="AB257" s="48" t="s">
        <v>3630</v>
      </c>
      <c r="AC257" s="62" t="s">
        <v>3625</v>
      </c>
      <c r="AD257" s="53" t="str">
        <f t="shared" si="180"/>
        <v>Link</v>
      </c>
      <c r="AE257" s="54">
        <v>10011</v>
      </c>
      <c r="AF257" s="55"/>
      <c r="AG257" s="85"/>
      <c r="AH257" s="56">
        <v>127741</v>
      </c>
      <c r="AI257" s="7"/>
      <c r="AJ257" s="7"/>
    </row>
    <row r="258" spans="1:36" ht="13" x14ac:dyDescent="0.15">
      <c r="A258" s="88" t="s">
        <v>3407</v>
      </c>
      <c r="B258" s="2" t="s">
        <v>3670</v>
      </c>
      <c r="C258" s="7" t="s">
        <v>67</v>
      </c>
      <c r="D258" s="7" t="s">
        <v>3673</v>
      </c>
      <c r="E258" s="44">
        <v>5</v>
      </c>
      <c r="F258" s="7"/>
      <c r="G258" s="7"/>
      <c r="H258" s="2" t="s">
        <v>3675</v>
      </c>
      <c r="I258" s="7" t="s">
        <v>3676</v>
      </c>
      <c r="J258" s="7" t="s">
        <v>3677</v>
      </c>
      <c r="K258" s="7" t="s">
        <v>48</v>
      </c>
      <c r="L258" s="7" t="s">
        <v>3679</v>
      </c>
      <c r="M258" s="7" t="s">
        <v>3680</v>
      </c>
      <c r="N258" s="45" t="str">
        <f t="shared" ref="N258:N261" si="181">HYPERLINK("twitter.com/psuvikssb","@psuvikssb")</f>
        <v>@psuvikssb</v>
      </c>
      <c r="O258" s="74" t="str">
        <f t="shared" ref="O258:O261" si="182">HYPERLINK("https://goviks.com/sports/2010/7/21/SB_0721100707.aspx","Questionnaire")</f>
        <v>Questionnaire</v>
      </c>
      <c r="P258" s="7" t="s">
        <v>3683</v>
      </c>
      <c r="Q258" s="36" t="s">
        <v>3670</v>
      </c>
      <c r="R258" s="48" t="s">
        <v>3684</v>
      </c>
      <c r="S258" s="48" t="s">
        <v>354</v>
      </c>
      <c r="T258" s="4" t="s">
        <v>74</v>
      </c>
      <c r="U258" s="4" t="s">
        <v>75</v>
      </c>
      <c r="V258" s="2"/>
      <c r="W258" s="37">
        <v>3.37</v>
      </c>
      <c r="X258" s="2" t="s">
        <v>1648</v>
      </c>
      <c r="Y258" s="2" t="s">
        <v>720</v>
      </c>
      <c r="Z258" s="4" t="s">
        <v>746</v>
      </c>
      <c r="AA258" s="65">
        <v>0.89</v>
      </c>
      <c r="AB258" s="48" t="s">
        <v>3686</v>
      </c>
      <c r="AC258" s="76" t="s">
        <v>3683</v>
      </c>
      <c r="AD258" s="67" t="str">
        <f t="shared" ref="AD258:AD261" si="183">HYPERLINK("https://www.pdx.edu/academic-programs/undergraduate-programs","Link")</f>
        <v>Link</v>
      </c>
      <c r="AE258" s="42">
        <v>21071</v>
      </c>
      <c r="AF258" s="55"/>
      <c r="AG258" s="85"/>
      <c r="AH258" s="56">
        <v>209807</v>
      </c>
      <c r="AI258" s="7"/>
      <c r="AJ258" s="7"/>
    </row>
    <row r="259" spans="1:36" ht="13" x14ac:dyDescent="0.15">
      <c r="A259" s="88" t="s">
        <v>3407</v>
      </c>
      <c r="B259" s="2" t="s">
        <v>3670</v>
      </c>
      <c r="C259" s="7" t="s">
        <v>67</v>
      </c>
      <c r="D259" s="7" t="s">
        <v>3692</v>
      </c>
      <c r="E259" s="44">
        <v>5</v>
      </c>
      <c r="F259" s="7"/>
      <c r="G259" s="7"/>
      <c r="H259" s="2" t="s">
        <v>3675</v>
      </c>
      <c r="I259" s="7" t="s">
        <v>807</v>
      </c>
      <c r="J259" s="7" t="s">
        <v>3693</v>
      </c>
      <c r="K259" s="7" t="s">
        <v>55</v>
      </c>
      <c r="L259" s="7" t="s">
        <v>3694</v>
      </c>
      <c r="M259" s="7" t="s">
        <v>3680</v>
      </c>
      <c r="N259" s="45" t="str">
        <f t="shared" si="181"/>
        <v>@psuvikssb</v>
      </c>
      <c r="O259" s="74" t="str">
        <f t="shared" si="182"/>
        <v>Questionnaire</v>
      </c>
      <c r="P259" s="7" t="s">
        <v>3683</v>
      </c>
      <c r="Q259" s="36" t="s">
        <v>3670</v>
      </c>
      <c r="R259" s="48" t="s">
        <v>3684</v>
      </c>
      <c r="S259" s="48" t="s">
        <v>354</v>
      </c>
      <c r="T259" s="4" t="s">
        <v>74</v>
      </c>
      <c r="U259" s="4" t="s">
        <v>75</v>
      </c>
      <c r="V259" s="2"/>
      <c r="W259" s="37">
        <v>3.37</v>
      </c>
      <c r="X259" s="2" t="s">
        <v>1648</v>
      </c>
      <c r="Y259" s="2" t="s">
        <v>720</v>
      </c>
      <c r="Z259" s="4" t="s">
        <v>746</v>
      </c>
      <c r="AA259" s="65">
        <v>0.89</v>
      </c>
      <c r="AB259" s="48" t="s">
        <v>3686</v>
      </c>
      <c r="AC259" s="76" t="s">
        <v>3683</v>
      </c>
      <c r="AD259" s="67" t="str">
        <f t="shared" si="183"/>
        <v>Link</v>
      </c>
      <c r="AE259" s="42">
        <v>21071</v>
      </c>
      <c r="AF259" s="55"/>
      <c r="AG259" s="85"/>
      <c r="AH259" s="56">
        <v>209807</v>
      </c>
      <c r="AI259" s="7"/>
      <c r="AJ259" s="7"/>
    </row>
    <row r="260" spans="1:36" ht="13" x14ac:dyDescent="0.15">
      <c r="A260" s="88" t="s">
        <v>3407</v>
      </c>
      <c r="B260" s="2" t="s">
        <v>3670</v>
      </c>
      <c r="C260" s="7" t="s">
        <v>67</v>
      </c>
      <c r="D260" s="7" t="s">
        <v>3702</v>
      </c>
      <c r="E260" s="44">
        <v>5</v>
      </c>
      <c r="F260" s="7"/>
      <c r="G260" s="7"/>
      <c r="H260" s="2" t="s">
        <v>3675</v>
      </c>
      <c r="I260" s="7" t="s">
        <v>3704</v>
      </c>
      <c r="J260" s="7" t="s">
        <v>1934</v>
      </c>
      <c r="K260" s="7" t="s">
        <v>55</v>
      </c>
      <c r="L260" s="7" t="s">
        <v>3706</v>
      </c>
      <c r="M260" s="7"/>
      <c r="N260" s="45" t="str">
        <f t="shared" si="181"/>
        <v>@psuvikssb</v>
      </c>
      <c r="O260" s="74" t="str">
        <f t="shared" si="182"/>
        <v>Questionnaire</v>
      </c>
      <c r="P260" s="7" t="s">
        <v>3683</v>
      </c>
      <c r="Q260" s="36" t="s">
        <v>3670</v>
      </c>
      <c r="R260" s="48" t="s">
        <v>3684</v>
      </c>
      <c r="S260" s="48" t="s">
        <v>354</v>
      </c>
      <c r="T260" s="4" t="s">
        <v>74</v>
      </c>
      <c r="U260" s="4" t="s">
        <v>75</v>
      </c>
      <c r="V260" s="2"/>
      <c r="W260" s="37">
        <v>3.37</v>
      </c>
      <c r="X260" s="2" t="s">
        <v>1648</v>
      </c>
      <c r="Y260" s="2" t="s">
        <v>720</v>
      </c>
      <c r="Z260" s="4" t="s">
        <v>746</v>
      </c>
      <c r="AA260" s="65">
        <v>0.89</v>
      </c>
      <c r="AB260" s="48" t="s">
        <v>3686</v>
      </c>
      <c r="AC260" s="76" t="s">
        <v>3683</v>
      </c>
      <c r="AD260" s="67" t="str">
        <f t="shared" si="183"/>
        <v>Link</v>
      </c>
      <c r="AE260" s="42">
        <v>21071</v>
      </c>
      <c r="AF260" s="55"/>
      <c r="AG260" s="85"/>
      <c r="AH260" s="56">
        <v>209807</v>
      </c>
      <c r="AI260" s="7"/>
      <c r="AJ260" s="7"/>
    </row>
    <row r="261" spans="1:36" ht="13" x14ac:dyDescent="0.15">
      <c r="A261" s="88" t="s">
        <v>3407</v>
      </c>
      <c r="B261" s="2" t="s">
        <v>3670</v>
      </c>
      <c r="C261" s="7" t="s">
        <v>67</v>
      </c>
      <c r="D261" s="7" t="s">
        <v>3710</v>
      </c>
      <c r="E261" s="44">
        <v>5</v>
      </c>
      <c r="F261" s="7"/>
      <c r="G261" s="7"/>
      <c r="H261" s="2" t="s">
        <v>3675</v>
      </c>
      <c r="I261" s="7" t="s">
        <v>3711</v>
      </c>
      <c r="J261" s="7" t="s">
        <v>3677</v>
      </c>
      <c r="K261" s="7" t="s">
        <v>139</v>
      </c>
      <c r="L261" s="7"/>
      <c r="M261" s="7"/>
      <c r="N261" s="45" t="str">
        <f t="shared" si="181"/>
        <v>@psuvikssb</v>
      </c>
      <c r="O261" s="74" t="str">
        <f t="shared" si="182"/>
        <v>Questionnaire</v>
      </c>
      <c r="P261" s="7" t="s">
        <v>3683</v>
      </c>
      <c r="Q261" s="36" t="s">
        <v>3670</v>
      </c>
      <c r="R261" s="48" t="s">
        <v>3684</v>
      </c>
      <c r="S261" s="48" t="s">
        <v>354</v>
      </c>
      <c r="T261" s="4" t="s">
        <v>74</v>
      </c>
      <c r="U261" s="4" t="s">
        <v>75</v>
      </c>
      <c r="V261" s="2"/>
      <c r="W261" s="37">
        <v>3.37</v>
      </c>
      <c r="X261" s="2" t="s">
        <v>1648</v>
      </c>
      <c r="Y261" s="2" t="s">
        <v>720</v>
      </c>
      <c r="Z261" s="4" t="s">
        <v>746</v>
      </c>
      <c r="AA261" s="65">
        <v>0.89</v>
      </c>
      <c r="AB261" s="48" t="s">
        <v>3686</v>
      </c>
      <c r="AC261" s="76" t="s">
        <v>3683</v>
      </c>
      <c r="AD261" s="67" t="str">
        <f t="shared" si="183"/>
        <v>Link</v>
      </c>
      <c r="AE261" s="42">
        <v>21071</v>
      </c>
      <c r="AF261" s="55"/>
      <c r="AG261" s="85"/>
      <c r="AH261" s="56">
        <v>209807</v>
      </c>
      <c r="AI261" s="7"/>
      <c r="AJ261" s="7"/>
    </row>
    <row r="262" spans="1:36" ht="13" x14ac:dyDescent="0.15">
      <c r="A262" s="88" t="s">
        <v>3407</v>
      </c>
      <c r="B262" s="2" t="s">
        <v>3719</v>
      </c>
      <c r="C262" s="7" t="s">
        <v>67</v>
      </c>
      <c r="D262" s="7" t="s">
        <v>3720</v>
      </c>
      <c r="E262" s="44">
        <v>5</v>
      </c>
      <c r="F262" s="7"/>
      <c r="G262" s="7"/>
      <c r="H262" s="2" t="s">
        <v>3721</v>
      </c>
      <c r="I262" s="7" t="s">
        <v>3722</v>
      </c>
      <c r="J262" s="7" t="s">
        <v>3723</v>
      </c>
      <c r="K262" s="7" t="s">
        <v>120</v>
      </c>
      <c r="L262" s="7"/>
      <c r="M262" s="7"/>
      <c r="N262" s="48"/>
      <c r="O262" s="7"/>
      <c r="P262" s="7" t="s">
        <v>3725</v>
      </c>
      <c r="Q262" s="36" t="s">
        <v>3719</v>
      </c>
      <c r="R262" s="48" t="s">
        <v>3726</v>
      </c>
      <c r="S262" s="48" t="s">
        <v>468</v>
      </c>
      <c r="T262" s="4" t="s">
        <v>74</v>
      </c>
      <c r="U262" s="4" t="s">
        <v>75</v>
      </c>
      <c r="V262" s="6"/>
      <c r="W262" s="39">
        <v>3.5</v>
      </c>
      <c r="X262" s="6" t="s">
        <v>1622</v>
      </c>
      <c r="Y262" s="6" t="s">
        <v>3520</v>
      </c>
      <c r="Z262" s="4" t="s">
        <v>278</v>
      </c>
      <c r="AA262" s="65">
        <v>0.72</v>
      </c>
      <c r="AB262" s="48" t="s">
        <v>3732</v>
      </c>
      <c r="AC262" s="66" t="s">
        <v>3725</v>
      </c>
      <c r="AD262" s="67" t="str">
        <f t="shared" ref="AD262:AD264" si="184">HYPERLINK("https://www.suu.edu/majors.html","Link")</f>
        <v>Link</v>
      </c>
      <c r="AE262" s="42">
        <v>8407</v>
      </c>
      <c r="AF262" s="55"/>
      <c r="AG262" s="85"/>
      <c r="AH262" s="56">
        <v>230603</v>
      </c>
      <c r="AI262" s="87"/>
      <c r="AJ262" s="87"/>
    </row>
    <row r="263" spans="1:36" ht="13" x14ac:dyDescent="0.15">
      <c r="A263" s="88" t="s">
        <v>3407</v>
      </c>
      <c r="B263" s="2" t="s">
        <v>3719</v>
      </c>
      <c r="C263" s="7" t="s">
        <v>67</v>
      </c>
      <c r="D263" s="7" t="s">
        <v>3736</v>
      </c>
      <c r="E263" s="44">
        <v>5</v>
      </c>
      <c r="F263" s="7"/>
      <c r="G263" s="7"/>
      <c r="H263" s="2" t="s">
        <v>3721</v>
      </c>
      <c r="I263" s="7" t="s">
        <v>3738</v>
      </c>
      <c r="J263" s="7" t="s">
        <v>1906</v>
      </c>
      <c r="K263" s="7" t="s">
        <v>48</v>
      </c>
      <c r="L263" s="7" t="s">
        <v>3740</v>
      </c>
      <c r="M263" s="7" t="s">
        <v>3741</v>
      </c>
      <c r="N263" s="45" t="str">
        <f t="shared" ref="N263:N264" si="185">HYPERLINK("twitter.com/suusoftball","@suusoftball")</f>
        <v>@suusoftball</v>
      </c>
      <c r="O263" s="74" t="str">
        <f t="shared" ref="O263:O264" si="186">HYPERLINK("https://college.jumpforward.com/questionnaire.aspx?DB_OEM_ID=20100&amp;iid=1675&amp;sportid=31","Questionnaire")</f>
        <v>Questionnaire</v>
      </c>
      <c r="P263" s="7" t="s">
        <v>3725</v>
      </c>
      <c r="Q263" s="36" t="s">
        <v>3719</v>
      </c>
      <c r="R263" s="48" t="s">
        <v>3726</v>
      </c>
      <c r="S263" s="48" t="s">
        <v>468</v>
      </c>
      <c r="T263" s="4" t="s">
        <v>74</v>
      </c>
      <c r="U263" s="4" t="s">
        <v>75</v>
      </c>
      <c r="V263" s="2"/>
      <c r="W263" s="37">
        <v>3.5</v>
      </c>
      <c r="X263" s="2" t="s">
        <v>1622</v>
      </c>
      <c r="Y263" s="2" t="s">
        <v>3520</v>
      </c>
      <c r="Z263" s="4" t="s">
        <v>278</v>
      </c>
      <c r="AA263" s="65">
        <v>0.72</v>
      </c>
      <c r="AB263" s="48" t="s">
        <v>3732</v>
      </c>
      <c r="AC263" s="66" t="s">
        <v>3725</v>
      </c>
      <c r="AD263" s="67" t="str">
        <f t="shared" si="184"/>
        <v>Link</v>
      </c>
      <c r="AE263" s="42">
        <v>8407</v>
      </c>
      <c r="AF263" s="55"/>
      <c r="AG263" s="85"/>
      <c r="AH263" s="56">
        <v>230603</v>
      </c>
      <c r="AI263" s="7"/>
      <c r="AJ263" s="7"/>
    </row>
    <row r="264" spans="1:36" ht="13" x14ac:dyDescent="0.15">
      <c r="A264" s="88" t="s">
        <v>3407</v>
      </c>
      <c r="B264" s="2" t="s">
        <v>3719</v>
      </c>
      <c r="C264" s="7" t="s">
        <v>67</v>
      </c>
      <c r="D264" s="7" t="s">
        <v>3751</v>
      </c>
      <c r="E264" s="44">
        <v>5</v>
      </c>
      <c r="F264" s="7"/>
      <c r="G264" s="7"/>
      <c r="H264" s="2" t="s">
        <v>3721</v>
      </c>
      <c r="I264" s="7" t="s">
        <v>3753</v>
      </c>
      <c r="J264" s="7" t="s">
        <v>3754</v>
      </c>
      <c r="K264" s="7" t="s">
        <v>55</v>
      </c>
      <c r="L264" s="7" t="s">
        <v>3755</v>
      </c>
      <c r="M264" s="7" t="s">
        <v>3757</v>
      </c>
      <c r="N264" s="45" t="str">
        <f t="shared" si="185"/>
        <v>@suusoftball</v>
      </c>
      <c r="O264" s="74" t="str">
        <f t="shared" si="186"/>
        <v>Questionnaire</v>
      </c>
      <c r="P264" s="7" t="s">
        <v>3725</v>
      </c>
      <c r="Q264" s="36" t="s">
        <v>3719</v>
      </c>
      <c r="R264" s="48" t="s">
        <v>3726</v>
      </c>
      <c r="S264" s="48" t="s">
        <v>468</v>
      </c>
      <c r="T264" s="4" t="s">
        <v>74</v>
      </c>
      <c r="U264" s="4" t="s">
        <v>75</v>
      </c>
      <c r="V264" s="2"/>
      <c r="W264" s="37">
        <v>3.5</v>
      </c>
      <c r="X264" s="2" t="s">
        <v>1622</v>
      </c>
      <c r="Y264" s="2" t="s">
        <v>3520</v>
      </c>
      <c r="Z264" s="4" t="s">
        <v>278</v>
      </c>
      <c r="AA264" s="65">
        <v>0.72</v>
      </c>
      <c r="AB264" s="48" t="s">
        <v>3732</v>
      </c>
      <c r="AC264" s="66" t="s">
        <v>3725</v>
      </c>
      <c r="AD264" s="67" t="str">
        <f t="shared" si="184"/>
        <v>Link</v>
      </c>
      <c r="AE264" s="42">
        <v>8407</v>
      </c>
      <c r="AF264" s="55"/>
      <c r="AG264" s="85"/>
      <c r="AH264" s="56">
        <v>230603</v>
      </c>
      <c r="AI264" s="7"/>
      <c r="AJ264" s="7"/>
    </row>
    <row r="265" spans="1:36" ht="13" x14ac:dyDescent="0.15">
      <c r="A265" s="88" t="s">
        <v>3407</v>
      </c>
      <c r="B265" s="2" t="s">
        <v>3719</v>
      </c>
      <c r="C265" s="7" t="s">
        <v>67</v>
      </c>
      <c r="D265" s="7" t="s">
        <v>3763</v>
      </c>
      <c r="E265" s="44">
        <v>5</v>
      </c>
      <c r="F265" s="7"/>
      <c r="G265" s="7"/>
      <c r="H265" s="2" t="s">
        <v>3764</v>
      </c>
      <c r="I265" s="7" t="s">
        <v>3765</v>
      </c>
      <c r="J265" s="7" t="s">
        <v>3766</v>
      </c>
      <c r="K265" s="7" t="s">
        <v>48</v>
      </c>
      <c r="L265" s="7" t="s">
        <v>3767</v>
      </c>
      <c r="M265" s="7"/>
      <c r="N265" s="45" t="str">
        <f t="shared" ref="N265:N268" si="187">HYPERLINK("twitter.com/wsusoftball","@wsusoftball")</f>
        <v>@wsusoftball</v>
      </c>
      <c r="O265" s="74" t="str">
        <f t="shared" ref="O265:O268" si="188">HYPERLINK("https://weberstatesports.com/sports/2007/9/15/1241073.aspx","Questionnaire")</f>
        <v>Questionnaire</v>
      </c>
      <c r="P265" s="7" t="s">
        <v>3770</v>
      </c>
      <c r="Q265" s="36" t="s">
        <v>3719</v>
      </c>
      <c r="R265" s="48" t="s">
        <v>3774</v>
      </c>
      <c r="S265" s="48" t="s">
        <v>238</v>
      </c>
      <c r="T265" s="4" t="s">
        <v>74</v>
      </c>
      <c r="U265" s="4" t="s">
        <v>75</v>
      </c>
      <c r="V265" s="2"/>
      <c r="W265" s="37">
        <v>3.27</v>
      </c>
      <c r="X265" s="2" t="s">
        <v>214</v>
      </c>
      <c r="Y265" s="2" t="s">
        <v>214</v>
      </c>
      <c r="Z265" s="4" t="s">
        <v>841</v>
      </c>
      <c r="AA265" s="65">
        <v>1</v>
      </c>
      <c r="AB265" s="48" t="s">
        <v>3778</v>
      </c>
      <c r="AC265" s="76" t="s">
        <v>3770</v>
      </c>
      <c r="AD265" s="67" t="str">
        <f t="shared" ref="AD265:AD268" si="189">HYPERLINK("https://portalapps.weber.edu/majors/","Link")</f>
        <v>Link</v>
      </c>
      <c r="AE265" s="42">
        <v>26112</v>
      </c>
      <c r="AF265" s="55"/>
      <c r="AG265" s="85"/>
      <c r="AH265" s="56">
        <v>230782</v>
      </c>
      <c r="AI265" s="7"/>
      <c r="AJ265" s="7"/>
    </row>
    <row r="266" spans="1:36" ht="13" x14ac:dyDescent="0.15">
      <c r="A266" s="88" t="s">
        <v>3407</v>
      </c>
      <c r="B266" s="2" t="s">
        <v>3719</v>
      </c>
      <c r="C266" s="7" t="s">
        <v>67</v>
      </c>
      <c r="D266" s="7" t="s">
        <v>3783</v>
      </c>
      <c r="E266" s="44">
        <v>5</v>
      </c>
      <c r="F266" s="7"/>
      <c r="G266" s="7"/>
      <c r="H266" s="2" t="s">
        <v>3764</v>
      </c>
      <c r="I266" s="7" t="s">
        <v>283</v>
      </c>
      <c r="J266" s="7" t="s">
        <v>3785</v>
      </c>
      <c r="K266" s="7" t="s">
        <v>55</v>
      </c>
      <c r="L266" s="7" t="s">
        <v>3786</v>
      </c>
      <c r="M266" s="7"/>
      <c r="N266" s="45" t="str">
        <f t="shared" si="187"/>
        <v>@wsusoftball</v>
      </c>
      <c r="O266" s="74" t="str">
        <f t="shared" si="188"/>
        <v>Questionnaire</v>
      </c>
      <c r="P266" s="7" t="s">
        <v>3770</v>
      </c>
      <c r="Q266" s="36" t="s">
        <v>3719</v>
      </c>
      <c r="R266" s="48" t="s">
        <v>3774</v>
      </c>
      <c r="S266" s="48" t="s">
        <v>238</v>
      </c>
      <c r="T266" s="4" t="s">
        <v>74</v>
      </c>
      <c r="U266" s="4" t="s">
        <v>75</v>
      </c>
      <c r="V266" s="2"/>
      <c r="W266" s="37">
        <v>3.27</v>
      </c>
      <c r="X266" s="2" t="s">
        <v>214</v>
      </c>
      <c r="Y266" s="2" t="s">
        <v>214</v>
      </c>
      <c r="Z266" s="4" t="s">
        <v>841</v>
      </c>
      <c r="AA266" s="65">
        <v>1</v>
      </c>
      <c r="AB266" s="48" t="s">
        <v>3778</v>
      </c>
      <c r="AC266" s="76" t="s">
        <v>3770</v>
      </c>
      <c r="AD266" s="67" t="str">
        <f t="shared" si="189"/>
        <v>Link</v>
      </c>
      <c r="AE266" s="42">
        <v>26112</v>
      </c>
      <c r="AF266" s="55"/>
      <c r="AG266" s="85"/>
      <c r="AH266" s="56">
        <v>230782</v>
      </c>
      <c r="AI266" s="7"/>
      <c r="AJ266" s="7"/>
    </row>
    <row r="267" spans="1:36" ht="13" x14ac:dyDescent="0.15">
      <c r="A267" s="88" t="s">
        <v>3407</v>
      </c>
      <c r="B267" s="2" t="s">
        <v>3719</v>
      </c>
      <c r="C267" s="7" t="s">
        <v>67</v>
      </c>
      <c r="D267" s="7" t="s">
        <v>3794</v>
      </c>
      <c r="E267" s="44">
        <v>5</v>
      </c>
      <c r="F267" s="7"/>
      <c r="G267" s="7"/>
      <c r="H267" s="2" t="s">
        <v>3764</v>
      </c>
      <c r="I267" s="7" t="s">
        <v>3279</v>
      </c>
      <c r="J267" s="7" t="s">
        <v>3795</v>
      </c>
      <c r="K267" s="7" t="s">
        <v>55</v>
      </c>
      <c r="L267" s="7" t="s">
        <v>3796</v>
      </c>
      <c r="M267" s="7"/>
      <c r="N267" s="45" t="str">
        <f t="shared" si="187"/>
        <v>@wsusoftball</v>
      </c>
      <c r="O267" s="74" t="str">
        <f t="shared" si="188"/>
        <v>Questionnaire</v>
      </c>
      <c r="P267" s="7" t="s">
        <v>3770</v>
      </c>
      <c r="Q267" s="36" t="s">
        <v>3719</v>
      </c>
      <c r="R267" s="48" t="s">
        <v>3774</v>
      </c>
      <c r="S267" s="48" t="s">
        <v>238</v>
      </c>
      <c r="T267" s="4" t="s">
        <v>74</v>
      </c>
      <c r="U267" s="4" t="s">
        <v>75</v>
      </c>
      <c r="V267" s="2"/>
      <c r="W267" s="37">
        <v>3.27</v>
      </c>
      <c r="X267" s="2" t="s">
        <v>214</v>
      </c>
      <c r="Y267" s="2" t="s">
        <v>214</v>
      </c>
      <c r="Z267" s="4" t="s">
        <v>841</v>
      </c>
      <c r="AA267" s="65">
        <v>1</v>
      </c>
      <c r="AB267" s="48" t="s">
        <v>3778</v>
      </c>
      <c r="AC267" s="76" t="s">
        <v>3770</v>
      </c>
      <c r="AD267" s="67" t="str">
        <f t="shared" si="189"/>
        <v>Link</v>
      </c>
      <c r="AE267" s="42">
        <v>26112</v>
      </c>
      <c r="AF267" s="55"/>
      <c r="AG267" s="85"/>
      <c r="AH267" s="56">
        <v>230782</v>
      </c>
      <c r="AI267" s="7"/>
      <c r="AJ267" s="7"/>
    </row>
    <row r="268" spans="1:36" ht="13" x14ac:dyDescent="0.15">
      <c r="A268" s="88" t="s">
        <v>3407</v>
      </c>
      <c r="B268" s="2" t="s">
        <v>3719</v>
      </c>
      <c r="C268" s="7" t="s">
        <v>67</v>
      </c>
      <c r="D268" s="7" t="s">
        <v>3802</v>
      </c>
      <c r="E268" s="44">
        <v>5</v>
      </c>
      <c r="F268" s="7"/>
      <c r="G268" s="7"/>
      <c r="H268" s="2" t="s">
        <v>3764</v>
      </c>
      <c r="I268" s="7" t="s">
        <v>3803</v>
      </c>
      <c r="J268" s="7" t="s">
        <v>3804</v>
      </c>
      <c r="K268" s="7" t="s">
        <v>55</v>
      </c>
      <c r="L268" s="7"/>
      <c r="M268" s="7"/>
      <c r="N268" s="45" t="str">
        <f t="shared" si="187"/>
        <v>@wsusoftball</v>
      </c>
      <c r="O268" s="74" t="str">
        <f t="shared" si="188"/>
        <v>Questionnaire</v>
      </c>
      <c r="P268" s="7" t="s">
        <v>3770</v>
      </c>
      <c r="Q268" s="36" t="s">
        <v>3719</v>
      </c>
      <c r="R268" s="48" t="s">
        <v>3774</v>
      </c>
      <c r="S268" s="48" t="s">
        <v>238</v>
      </c>
      <c r="T268" s="4" t="s">
        <v>74</v>
      </c>
      <c r="U268" s="4" t="s">
        <v>75</v>
      </c>
      <c r="V268" s="2"/>
      <c r="W268" s="37">
        <v>3.27</v>
      </c>
      <c r="X268" s="2" t="s">
        <v>214</v>
      </c>
      <c r="Y268" s="2" t="s">
        <v>214</v>
      </c>
      <c r="Z268" s="4" t="s">
        <v>841</v>
      </c>
      <c r="AA268" s="65">
        <v>1</v>
      </c>
      <c r="AB268" s="48" t="s">
        <v>3778</v>
      </c>
      <c r="AC268" s="76" t="s">
        <v>3770</v>
      </c>
      <c r="AD268" s="67" t="str">
        <f t="shared" si="189"/>
        <v>Link</v>
      </c>
      <c r="AE268" s="42">
        <v>26112</v>
      </c>
      <c r="AF268" s="55"/>
      <c r="AG268" s="85"/>
      <c r="AH268" s="56">
        <v>230782</v>
      </c>
      <c r="AI268" s="7"/>
      <c r="AJ268" s="7"/>
    </row>
    <row r="269" spans="1:36" ht="15" x14ac:dyDescent="0.2">
      <c r="A269" s="43" t="s">
        <v>3812</v>
      </c>
      <c r="B269" s="33" t="s">
        <v>219</v>
      </c>
      <c r="C269" s="7" t="s">
        <v>67</v>
      </c>
      <c r="D269" s="7" t="s">
        <v>3817</v>
      </c>
      <c r="E269" s="44">
        <v>5</v>
      </c>
      <c r="F269" s="7"/>
      <c r="G269" s="7"/>
      <c r="H269" s="2" t="s">
        <v>3818</v>
      </c>
      <c r="I269" s="7" t="s">
        <v>3819</v>
      </c>
      <c r="J269" s="7" t="s">
        <v>3820</v>
      </c>
      <c r="K269" s="7" t="s">
        <v>48</v>
      </c>
      <c r="L269" s="7" t="s">
        <v>3821</v>
      </c>
      <c r="M269" s="7"/>
      <c r="N269" s="45" t="str">
        <f>HYPERLINK("twitter.com/gocamelssb","@gocamelssb")</f>
        <v>@gocamelssb</v>
      </c>
      <c r="O269" s="74" t="str">
        <f t="shared" ref="O269:O273" si="190">HYPERLINK("https://gocamels.com/sports/2017/7/14/information-prospective-student-athletes-index.aspx","Questionnaire")</f>
        <v>Questionnaire</v>
      </c>
      <c r="P269" s="48" t="s">
        <v>1448</v>
      </c>
      <c r="Q269" s="57" t="s">
        <v>219</v>
      </c>
      <c r="R269" s="48" t="s">
        <v>3826</v>
      </c>
      <c r="S269" s="60" t="s">
        <v>205</v>
      </c>
      <c r="T269" s="49" t="s">
        <v>63</v>
      </c>
      <c r="U269" s="49" t="s">
        <v>2619</v>
      </c>
      <c r="V269" s="48"/>
      <c r="W269" s="51">
        <v>3.4</v>
      </c>
      <c r="X269" s="7" t="s">
        <v>356</v>
      </c>
      <c r="Y269" s="73" t="s">
        <v>522</v>
      </c>
      <c r="Z269" s="73" t="s">
        <v>746</v>
      </c>
      <c r="AA269" s="51">
        <v>0.81</v>
      </c>
      <c r="AB269" s="71">
        <v>46410</v>
      </c>
      <c r="AC269" s="72" t="s">
        <v>1448</v>
      </c>
      <c r="AD269" s="53" t="str">
        <f t="shared" ref="AD269:AD273" si="191">HYPERLINK("https://www.campbell.edu/academics/degrees-majors-programs/","Link")</f>
        <v>Link</v>
      </c>
      <c r="AE269" s="54">
        <v>4560</v>
      </c>
      <c r="AF269" s="55"/>
      <c r="AG269" s="55"/>
      <c r="AH269" s="56">
        <v>198136</v>
      </c>
      <c r="AI269" s="7"/>
      <c r="AJ269" s="7"/>
    </row>
    <row r="270" spans="1:36" ht="15" x14ac:dyDescent="0.2">
      <c r="A270" s="43" t="s">
        <v>3812</v>
      </c>
      <c r="B270" s="33" t="s">
        <v>219</v>
      </c>
      <c r="C270" s="7" t="s">
        <v>67</v>
      </c>
      <c r="D270" s="7" t="s">
        <v>3831</v>
      </c>
      <c r="E270" s="44">
        <v>5</v>
      </c>
      <c r="F270" s="7"/>
      <c r="G270" s="7"/>
      <c r="H270" s="2" t="s">
        <v>3818</v>
      </c>
      <c r="I270" s="7" t="s">
        <v>644</v>
      </c>
      <c r="J270" s="7" t="s">
        <v>3832</v>
      </c>
      <c r="K270" s="7" t="s">
        <v>55</v>
      </c>
      <c r="L270" s="7" t="s">
        <v>3833</v>
      </c>
      <c r="M270" s="7" t="s">
        <v>3834</v>
      </c>
      <c r="N270" s="45" t="s">
        <v>3835</v>
      </c>
      <c r="O270" s="74" t="str">
        <f t="shared" si="190"/>
        <v>Questionnaire</v>
      </c>
      <c r="P270" s="48" t="s">
        <v>1448</v>
      </c>
      <c r="Q270" s="57" t="s">
        <v>219</v>
      </c>
      <c r="R270" s="48" t="s">
        <v>3826</v>
      </c>
      <c r="S270" s="60" t="s">
        <v>205</v>
      </c>
      <c r="T270" s="49" t="s">
        <v>63</v>
      </c>
      <c r="U270" s="49" t="s">
        <v>2619</v>
      </c>
      <c r="V270" s="48"/>
      <c r="W270" s="51">
        <v>3.4</v>
      </c>
      <c r="X270" s="7" t="s">
        <v>356</v>
      </c>
      <c r="Y270" s="73" t="s">
        <v>522</v>
      </c>
      <c r="Z270" s="73" t="s">
        <v>746</v>
      </c>
      <c r="AA270" s="51">
        <v>0.81</v>
      </c>
      <c r="AB270" s="71">
        <v>46410</v>
      </c>
      <c r="AC270" s="72" t="s">
        <v>1448</v>
      </c>
      <c r="AD270" s="53" t="str">
        <f t="shared" si="191"/>
        <v>Link</v>
      </c>
      <c r="AE270" s="54">
        <v>4560</v>
      </c>
      <c r="AF270" s="55"/>
      <c r="AG270" s="55"/>
      <c r="AH270" s="56">
        <v>198136</v>
      </c>
      <c r="AI270" s="7"/>
      <c r="AJ270" s="7"/>
    </row>
    <row r="271" spans="1:36" ht="15" x14ac:dyDescent="0.2">
      <c r="A271" s="43" t="s">
        <v>3812</v>
      </c>
      <c r="B271" s="33" t="s">
        <v>219</v>
      </c>
      <c r="C271" s="7" t="s">
        <v>67</v>
      </c>
      <c r="D271" s="7" t="s">
        <v>3840</v>
      </c>
      <c r="E271" s="44">
        <v>5</v>
      </c>
      <c r="F271" s="7"/>
      <c r="G271" s="7"/>
      <c r="H271" s="2" t="s">
        <v>3818</v>
      </c>
      <c r="I271" s="7" t="s">
        <v>1726</v>
      </c>
      <c r="J271" s="7" t="s">
        <v>3841</v>
      </c>
      <c r="K271" s="7" t="s">
        <v>919</v>
      </c>
      <c r="L271" s="7" t="s">
        <v>3843</v>
      </c>
      <c r="M271" s="7"/>
      <c r="N271" s="45" t="str">
        <f t="shared" ref="N271:N273" si="192">HYPERLINK("twitter.com/gocamelssb","@gocamelssb")</f>
        <v>@gocamelssb</v>
      </c>
      <c r="O271" s="74" t="str">
        <f t="shared" si="190"/>
        <v>Questionnaire</v>
      </c>
      <c r="P271" s="48" t="s">
        <v>1448</v>
      </c>
      <c r="Q271" s="57" t="s">
        <v>219</v>
      </c>
      <c r="R271" s="48" t="s">
        <v>3826</v>
      </c>
      <c r="S271" s="60" t="s">
        <v>205</v>
      </c>
      <c r="T271" s="49" t="s">
        <v>63</v>
      </c>
      <c r="U271" s="49" t="s">
        <v>2619</v>
      </c>
      <c r="V271" s="48"/>
      <c r="W271" s="51">
        <v>3.4</v>
      </c>
      <c r="X271" s="7" t="s">
        <v>356</v>
      </c>
      <c r="Y271" s="73" t="s">
        <v>522</v>
      </c>
      <c r="Z271" s="73" t="s">
        <v>746</v>
      </c>
      <c r="AA271" s="51">
        <v>0.81</v>
      </c>
      <c r="AB271" s="71">
        <v>46410</v>
      </c>
      <c r="AC271" s="72" t="s">
        <v>1448</v>
      </c>
      <c r="AD271" s="53" t="str">
        <f t="shared" si="191"/>
        <v>Link</v>
      </c>
      <c r="AE271" s="54">
        <v>4560</v>
      </c>
      <c r="AF271" s="55"/>
      <c r="AG271" s="55"/>
      <c r="AH271" s="56">
        <v>198136</v>
      </c>
      <c r="AI271" s="7"/>
      <c r="AJ271" s="7"/>
    </row>
    <row r="272" spans="1:36" ht="15" x14ac:dyDescent="0.2">
      <c r="A272" s="43" t="s">
        <v>3812</v>
      </c>
      <c r="B272" s="33" t="s">
        <v>219</v>
      </c>
      <c r="C272" s="7" t="s">
        <v>67</v>
      </c>
      <c r="D272" s="7" t="s">
        <v>3850</v>
      </c>
      <c r="E272" s="44">
        <v>5</v>
      </c>
      <c r="F272" s="7"/>
      <c r="G272" s="7"/>
      <c r="H272" s="2" t="s">
        <v>3818</v>
      </c>
      <c r="I272" s="7" t="s">
        <v>161</v>
      </c>
      <c r="J272" s="7" t="s">
        <v>3856</v>
      </c>
      <c r="K272" s="7" t="s">
        <v>154</v>
      </c>
      <c r="L272" s="7" t="s">
        <v>3857</v>
      </c>
      <c r="M272" s="7"/>
      <c r="N272" s="45" t="str">
        <f t="shared" si="192"/>
        <v>@gocamelssb</v>
      </c>
      <c r="O272" s="74" t="str">
        <f t="shared" si="190"/>
        <v>Questionnaire</v>
      </c>
      <c r="P272" s="48" t="s">
        <v>1448</v>
      </c>
      <c r="Q272" s="57" t="s">
        <v>219</v>
      </c>
      <c r="R272" s="48" t="s">
        <v>3826</v>
      </c>
      <c r="S272" s="60" t="s">
        <v>205</v>
      </c>
      <c r="T272" s="49" t="s">
        <v>63</v>
      </c>
      <c r="U272" s="49" t="s">
        <v>2619</v>
      </c>
      <c r="V272" s="48"/>
      <c r="W272" s="51">
        <v>3.4</v>
      </c>
      <c r="X272" s="7" t="s">
        <v>356</v>
      </c>
      <c r="Y272" s="73" t="s">
        <v>522</v>
      </c>
      <c r="Z272" s="73" t="s">
        <v>746</v>
      </c>
      <c r="AA272" s="51">
        <v>0.81</v>
      </c>
      <c r="AB272" s="71">
        <v>46410</v>
      </c>
      <c r="AC272" s="72" t="s">
        <v>1448</v>
      </c>
      <c r="AD272" s="53" t="str">
        <f t="shared" si="191"/>
        <v>Link</v>
      </c>
      <c r="AE272" s="54">
        <v>4560</v>
      </c>
      <c r="AF272" s="55"/>
      <c r="AG272" s="55"/>
      <c r="AH272" s="56">
        <v>198136</v>
      </c>
      <c r="AI272" s="7"/>
      <c r="AJ272" s="7"/>
    </row>
    <row r="273" spans="1:36" ht="15" x14ac:dyDescent="0.2">
      <c r="A273" s="43" t="s">
        <v>3812</v>
      </c>
      <c r="B273" s="33" t="s">
        <v>219</v>
      </c>
      <c r="C273" s="7" t="s">
        <v>67</v>
      </c>
      <c r="D273" s="7" t="s">
        <v>3864</v>
      </c>
      <c r="E273" s="44">
        <v>5</v>
      </c>
      <c r="F273" s="7"/>
      <c r="G273" s="7"/>
      <c r="H273" s="2" t="s">
        <v>3818</v>
      </c>
      <c r="I273" s="7" t="s">
        <v>3865</v>
      </c>
      <c r="J273" s="7" t="s">
        <v>3866</v>
      </c>
      <c r="K273" s="7" t="s">
        <v>120</v>
      </c>
      <c r="L273" s="7" t="s">
        <v>3867</v>
      </c>
      <c r="M273" s="7" t="s">
        <v>3869</v>
      </c>
      <c r="N273" s="45" t="str">
        <f t="shared" si="192"/>
        <v>@gocamelssb</v>
      </c>
      <c r="O273" s="74" t="str">
        <f t="shared" si="190"/>
        <v>Questionnaire</v>
      </c>
      <c r="P273" s="48" t="s">
        <v>1448</v>
      </c>
      <c r="Q273" s="57" t="s">
        <v>219</v>
      </c>
      <c r="R273" s="48" t="s">
        <v>3826</v>
      </c>
      <c r="S273" s="60" t="s">
        <v>205</v>
      </c>
      <c r="T273" s="49" t="s">
        <v>63</v>
      </c>
      <c r="U273" s="49" t="s">
        <v>2619</v>
      </c>
      <c r="V273" s="48"/>
      <c r="W273" s="51">
        <v>3.4</v>
      </c>
      <c r="X273" s="7" t="s">
        <v>356</v>
      </c>
      <c r="Y273" s="73" t="s">
        <v>522</v>
      </c>
      <c r="Z273" s="73" t="s">
        <v>746</v>
      </c>
      <c r="AA273" s="51">
        <v>0.81</v>
      </c>
      <c r="AB273" s="71">
        <v>46410</v>
      </c>
      <c r="AC273" s="72" t="s">
        <v>1448</v>
      </c>
      <c r="AD273" s="53" t="str">
        <f t="shared" si="191"/>
        <v>Link</v>
      </c>
      <c r="AE273" s="54">
        <v>4560</v>
      </c>
      <c r="AF273" s="55"/>
      <c r="AG273" s="55"/>
      <c r="AH273" s="56">
        <v>198136</v>
      </c>
      <c r="AI273" s="7"/>
      <c r="AJ273" s="7"/>
    </row>
    <row r="274" spans="1:36" ht="15" x14ac:dyDescent="0.2">
      <c r="A274" s="43" t="s">
        <v>3812</v>
      </c>
      <c r="B274" s="33" t="s">
        <v>653</v>
      </c>
      <c r="C274" s="7" t="s">
        <v>67</v>
      </c>
      <c r="D274" s="7" t="s">
        <v>3873</v>
      </c>
      <c r="E274" s="44">
        <v>5</v>
      </c>
      <c r="F274" s="7"/>
      <c r="G274" s="7"/>
      <c r="H274" s="2" t="s">
        <v>3874</v>
      </c>
      <c r="I274" s="7" t="s">
        <v>3875</v>
      </c>
      <c r="J274" s="7" t="s">
        <v>1124</v>
      </c>
      <c r="K274" s="7" t="s">
        <v>48</v>
      </c>
      <c r="L274" s="7" t="s">
        <v>3876</v>
      </c>
      <c r="M274" s="7" t="s">
        <v>3877</v>
      </c>
      <c r="N274" s="45" t="str">
        <f t="shared" ref="N274:N278" si="193">HYPERLINK("twitter.com/csubucssoftball","@csubucssoftball")</f>
        <v>@csubucssoftball</v>
      </c>
      <c r="O274" s="7" t="s">
        <v>22</v>
      </c>
      <c r="P274" s="48" t="s">
        <v>3885</v>
      </c>
      <c r="Q274" s="57" t="s">
        <v>653</v>
      </c>
      <c r="R274" s="48" t="s">
        <v>3887</v>
      </c>
      <c r="S274" s="48" t="s">
        <v>238</v>
      </c>
      <c r="T274" s="73" t="s">
        <v>63</v>
      </c>
      <c r="U274" s="49" t="s">
        <v>2619</v>
      </c>
      <c r="V274" s="48"/>
      <c r="W274" s="51">
        <v>3.63</v>
      </c>
      <c r="X274" s="7" t="s">
        <v>521</v>
      </c>
      <c r="Y274" s="73" t="s">
        <v>397</v>
      </c>
      <c r="Z274" s="73" t="s">
        <v>240</v>
      </c>
      <c r="AA274" s="51">
        <v>0.60599999999999998</v>
      </c>
      <c r="AB274" s="71">
        <v>38740</v>
      </c>
      <c r="AC274" s="72" t="s">
        <v>3885</v>
      </c>
      <c r="AD274" s="53" t="str">
        <f t="shared" ref="AD274:AD278" si="194">HYPERLINK("http://www.csuniv.edu/academics/undergraduate.php","Link")</f>
        <v>Link</v>
      </c>
      <c r="AE274" s="54">
        <v>3204</v>
      </c>
      <c r="AF274" s="55"/>
      <c r="AG274" s="55"/>
      <c r="AH274" s="56">
        <v>217688</v>
      </c>
      <c r="AI274" s="7"/>
      <c r="AJ274" s="7"/>
    </row>
    <row r="275" spans="1:36" ht="15" x14ac:dyDescent="0.2">
      <c r="A275" s="43" t="s">
        <v>3812</v>
      </c>
      <c r="B275" s="33" t="s">
        <v>653</v>
      </c>
      <c r="C275" s="7" t="s">
        <v>67</v>
      </c>
      <c r="D275" s="7" t="s">
        <v>3894</v>
      </c>
      <c r="E275" s="44">
        <v>5</v>
      </c>
      <c r="F275" s="7"/>
      <c r="G275" s="7"/>
      <c r="H275" s="2" t="s">
        <v>3874</v>
      </c>
      <c r="I275" s="7" t="s">
        <v>3895</v>
      </c>
      <c r="J275" s="7" t="s">
        <v>263</v>
      </c>
      <c r="K275" s="7" t="s">
        <v>55</v>
      </c>
      <c r="L275" s="7" t="s">
        <v>3897</v>
      </c>
      <c r="M275" s="7" t="s">
        <v>3898</v>
      </c>
      <c r="N275" s="45" t="str">
        <f t="shared" si="193"/>
        <v>@csubucssoftball</v>
      </c>
      <c r="O275" s="7" t="s">
        <v>22</v>
      </c>
      <c r="P275" s="48" t="s">
        <v>3885</v>
      </c>
      <c r="Q275" s="57" t="s">
        <v>653</v>
      </c>
      <c r="R275" s="48" t="s">
        <v>3887</v>
      </c>
      <c r="S275" s="48" t="s">
        <v>238</v>
      </c>
      <c r="T275" s="73" t="s">
        <v>63</v>
      </c>
      <c r="U275" s="49" t="s">
        <v>2619</v>
      </c>
      <c r="V275" s="48"/>
      <c r="W275" s="51">
        <v>3.63</v>
      </c>
      <c r="X275" s="7" t="s">
        <v>521</v>
      </c>
      <c r="Y275" s="73" t="s">
        <v>397</v>
      </c>
      <c r="Z275" s="73" t="s">
        <v>240</v>
      </c>
      <c r="AA275" s="51">
        <v>0.60599999999999998</v>
      </c>
      <c r="AB275" s="71">
        <v>38740</v>
      </c>
      <c r="AC275" s="72" t="s">
        <v>3885</v>
      </c>
      <c r="AD275" s="53" t="str">
        <f t="shared" si="194"/>
        <v>Link</v>
      </c>
      <c r="AE275" s="54">
        <v>3204</v>
      </c>
      <c r="AF275" s="55"/>
      <c r="AG275" s="55"/>
      <c r="AH275" s="56">
        <v>217688</v>
      </c>
      <c r="AI275" s="7"/>
      <c r="AJ275" s="7"/>
    </row>
    <row r="276" spans="1:36" ht="15" x14ac:dyDescent="0.2">
      <c r="A276" s="43" t="s">
        <v>3812</v>
      </c>
      <c r="B276" s="33" t="s">
        <v>653</v>
      </c>
      <c r="C276" s="7" t="s">
        <v>67</v>
      </c>
      <c r="D276" s="7" t="s">
        <v>3904</v>
      </c>
      <c r="E276" s="44">
        <v>5</v>
      </c>
      <c r="F276" s="7"/>
      <c r="G276" s="7"/>
      <c r="H276" s="2" t="s">
        <v>3874</v>
      </c>
      <c r="I276" s="7" t="s">
        <v>3905</v>
      </c>
      <c r="J276" s="7" t="s">
        <v>3906</v>
      </c>
      <c r="K276" s="7" t="s">
        <v>919</v>
      </c>
      <c r="L276" s="7" t="s">
        <v>3908</v>
      </c>
      <c r="M276" s="7"/>
      <c r="N276" s="45" t="str">
        <f t="shared" si="193"/>
        <v>@csubucssoftball</v>
      </c>
      <c r="O276" s="7" t="s">
        <v>22</v>
      </c>
      <c r="P276" s="48" t="s">
        <v>3885</v>
      </c>
      <c r="Q276" s="57" t="s">
        <v>653</v>
      </c>
      <c r="R276" s="48" t="s">
        <v>3887</v>
      </c>
      <c r="S276" s="48" t="s">
        <v>238</v>
      </c>
      <c r="T276" s="73" t="s">
        <v>63</v>
      </c>
      <c r="U276" s="49" t="s">
        <v>2619</v>
      </c>
      <c r="V276" s="48"/>
      <c r="W276" s="51">
        <v>3.63</v>
      </c>
      <c r="X276" s="7" t="s">
        <v>521</v>
      </c>
      <c r="Y276" s="73" t="s">
        <v>397</v>
      </c>
      <c r="Z276" s="73" t="s">
        <v>240</v>
      </c>
      <c r="AA276" s="51">
        <v>0.60599999999999998</v>
      </c>
      <c r="AB276" s="71">
        <v>38740</v>
      </c>
      <c r="AC276" s="72" t="s">
        <v>3885</v>
      </c>
      <c r="AD276" s="53" t="str">
        <f t="shared" si="194"/>
        <v>Link</v>
      </c>
      <c r="AE276" s="54">
        <v>3204</v>
      </c>
      <c r="AF276" s="55"/>
      <c r="AG276" s="55"/>
      <c r="AH276" s="56">
        <v>217688</v>
      </c>
      <c r="AI276" s="7"/>
      <c r="AJ276" s="7"/>
    </row>
    <row r="277" spans="1:36" ht="15" x14ac:dyDescent="0.2">
      <c r="A277" s="43" t="s">
        <v>3812</v>
      </c>
      <c r="B277" s="33" t="s">
        <v>653</v>
      </c>
      <c r="C277" s="7" t="s">
        <v>67</v>
      </c>
      <c r="D277" s="7" t="s">
        <v>3913</v>
      </c>
      <c r="E277" s="44">
        <v>5</v>
      </c>
      <c r="F277" s="7"/>
      <c r="G277" s="7"/>
      <c r="H277" s="2" t="s">
        <v>3874</v>
      </c>
      <c r="I277" s="7" t="s">
        <v>1345</v>
      </c>
      <c r="J277" s="7" t="s">
        <v>3914</v>
      </c>
      <c r="K277" s="7" t="s">
        <v>139</v>
      </c>
      <c r="L277" s="7"/>
      <c r="M277" s="7"/>
      <c r="N277" s="45" t="str">
        <f t="shared" si="193"/>
        <v>@csubucssoftball</v>
      </c>
      <c r="O277" s="7" t="s">
        <v>22</v>
      </c>
      <c r="P277" s="48" t="s">
        <v>3885</v>
      </c>
      <c r="Q277" s="57" t="s">
        <v>653</v>
      </c>
      <c r="R277" s="48" t="s">
        <v>3887</v>
      </c>
      <c r="S277" s="48" t="s">
        <v>238</v>
      </c>
      <c r="T277" s="73" t="s">
        <v>63</v>
      </c>
      <c r="U277" s="49" t="s">
        <v>2619</v>
      </c>
      <c r="V277" s="48"/>
      <c r="W277" s="51">
        <v>3.63</v>
      </c>
      <c r="X277" s="7" t="s">
        <v>521</v>
      </c>
      <c r="Y277" s="73" t="s">
        <v>397</v>
      </c>
      <c r="Z277" s="73" t="s">
        <v>240</v>
      </c>
      <c r="AA277" s="51">
        <v>0.60599999999999998</v>
      </c>
      <c r="AB277" s="71">
        <v>38740</v>
      </c>
      <c r="AC277" s="72" t="s">
        <v>3885</v>
      </c>
      <c r="AD277" s="53" t="str">
        <f t="shared" si="194"/>
        <v>Link</v>
      </c>
      <c r="AE277" s="54">
        <v>3204</v>
      </c>
      <c r="AF277" s="55"/>
      <c r="AG277" s="55"/>
      <c r="AH277" s="56">
        <v>217688</v>
      </c>
      <c r="AI277" s="7"/>
      <c r="AJ277" s="7"/>
    </row>
    <row r="278" spans="1:36" ht="15" x14ac:dyDescent="0.2">
      <c r="A278" s="43" t="s">
        <v>3812</v>
      </c>
      <c r="B278" s="33" t="s">
        <v>653</v>
      </c>
      <c r="C278" s="7" t="s">
        <v>67</v>
      </c>
      <c r="D278" s="7" t="s">
        <v>3922</v>
      </c>
      <c r="E278" s="44">
        <v>5</v>
      </c>
      <c r="F278" s="7"/>
      <c r="G278" s="7"/>
      <c r="H278" s="2" t="s">
        <v>3874</v>
      </c>
      <c r="I278" s="7" t="s">
        <v>3924</v>
      </c>
      <c r="J278" s="7" t="s">
        <v>3925</v>
      </c>
      <c r="K278" s="7" t="s">
        <v>139</v>
      </c>
      <c r="L278" s="7"/>
      <c r="M278" s="7"/>
      <c r="N278" s="45" t="str">
        <f t="shared" si="193"/>
        <v>@csubucssoftball</v>
      </c>
      <c r="O278" s="7" t="s">
        <v>22</v>
      </c>
      <c r="P278" s="48" t="s">
        <v>3885</v>
      </c>
      <c r="Q278" s="57" t="s">
        <v>653</v>
      </c>
      <c r="R278" s="48" t="s">
        <v>3887</v>
      </c>
      <c r="S278" s="48" t="s">
        <v>238</v>
      </c>
      <c r="T278" s="73" t="s">
        <v>63</v>
      </c>
      <c r="U278" s="49" t="s">
        <v>2619</v>
      </c>
      <c r="V278" s="48"/>
      <c r="W278" s="51">
        <v>3.63</v>
      </c>
      <c r="X278" s="7" t="s">
        <v>521</v>
      </c>
      <c r="Y278" s="73" t="s">
        <v>397</v>
      </c>
      <c r="Z278" s="73" t="s">
        <v>240</v>
      </c>
      <c r="AA278" s="51">
        <v>0.60599999999999998</v>
      </c>
      <c r="AB278" s="71">
        <v>38740</v>
      </c>
      <c r="AC278" s="72" t="s">
        <v>3885</v>
      </c>
      <c r="AD278" s="53" t="str">
        <f t="shared" si="194"/>
        <v>Link</v>
      </c>
      <c r="AE278" s="54">
        <v>3204</v>
      </c>
      <c r="AF278" s="55"/>
      <c r="AG278" s="55"/>
      <c r="AH278" s="56">
        <v>217688</v>
      </c>
      <c r="AI278" s="7"/>
      <c r="AJ278" s="7"/>
    </row>
    <row r="279" spans="1:36" ht="15" x14ac:dyDescent="0.2">
      <c r="A279" s="43" t="s">
        <v>3812</v>
      </c>
      <c r="B279" s="33" t="s">
        <v>219</v>
      </c>
      <c r="C279" s="7" t="s">
        <v>67</v>
      </c>
      <c r="D279" s="7" t="s">
        <v>3930</v>
      </c>
      <c r="E279" s="44">
        <v>5</v>
      </c>
      <c r="F279" s="7"/>
      <c r="G279" s="7"/>
      <c r="H279" s="2" t="s">
        <v>3931</v>
      </c>
      <c r="I279" s="7" t="s">
        <v>930</v>
      </c>
      <c r="J279" s="7" t="s">
        <v>3932</v>
      </c>
      <c r="K279" s="7" t="s">
        <v>48</v>
      </c>
      <c r="L279" s="7" t="s">
        <v>3933</v>
      </c>
      <c r="M279" s="7" t="s">
        <v>3934</v>
      </c>
      <c r="N279" s="45" t="s">
        <v>3935</v>
      </c>
      <c r="O279" s="74" t="str">
        <f t="shared" ref="O279:O281" si="195">HYPERLINK("https://questionnaires.armssoftware.com/f6db47f1df60","Questionnaire")</f>
        <v>Questionnaire</v>
      </c>
      <c r="P279" s="48" t="s">
        <v>3937</v>
      </c>
      <c r="Q279" s="57" t="s">
        <v>219</v>
      </c>
      <c r="R279" s="48" t="s">
        <v>3940</v>
      </c>
      <c r="S279" s="60" t="s">
        <v>205</v>
      </c>
      <c r="T279" s="49" t="s">
        <v>63</v>
      </c>
      <c r="U279" s="49" t="s">
        <v>800</v>
      </c>
      <c r="V279" s="48"/>
      <c r="W279" s="51">
        <v>3.74</v>
      </c>
      <c r="X279" s="7" t="s">
        <v>1628</v>
      </c>
      <c r="Y279" s="73" t="s">
        <v>2375</v>
      </c>
      <c r="Z279" s="73" t="s">
        <v>841</v>
      </c>
      <c r="AA279" s="61">
        <v>0.52</v>
      </c>
      <c r="AB279" s="71">
        <v>43150</v>
      </c>
      <c r="AC279" s="72" t="s">
        <v>3937</v>
      </c>
      <c r="AD279" s="53" t="str">
        <f t="shared" ref="AD279:AD281" si="196">HYPERLINK("http://gardner-webb.edu/academic-programs-and-resources/programs/index","Link")</f>
        <v>Link</v>
      </c>
      <c r="AE279" s="54">
        <v>2362</v>
      </c>
      <c r="AF279" s="54">
        <v>223</v>
      </c>
      <c r="AG279" s="55"/>
      <c r="AH279" s="56">
        <v>198561</v>
      </c>
      <c r="AI279" s="7"/>
      <c r="AJ279" s="7"/>
    </row>
    <row r="280" spans="1:36" ht="15" x14ac:dyDescent="0.2">
      <c r="A280" s="43" t="s">
        <v>3812</v>
      </c>
      <c r="B280" s="33" t="s">
        <v>219</v>
      </c>
      <c r="C280" s="7" t="s">
        <v>67</v>
      </c>
      <c r="D280" s="7" t="s">
        <v>3949</v>
      </c>
      <c r="E280" s="44">
        <v>5</v>
      </c>
      <c r="F280" s="7"/>
      <c r="G280" s="7"/>
      <c r="H280" s="2" t="s">
        <v>3931</v>
      </c>
      <c r="I280" s="7" t="s">
        <v>3951</v>
      </c>
      <c r="J280" s="7" t="s">
        <v>3954</v>
      </c>
      <c r="K280" s="7" t="s">
        <v>55</v>
      </c>
      <c r="L280" s="7" t="s">
        <v>3957</v>
      </c>
      <c r="M280" s="7" t="s">
        <v>3958</v>
      </c>
      <c r="N280" s="45" t="s">
        <v>3935</v>
      </c>
      <c r="O280" s="74" t="str">
        <f t="shared" si="195"/>
        <v>Questionnaire</v>
      </c>
      <c r="P280" s="48" t="s">
        <v>3937</v>
      </c>
      <c r="Q280" s="57" t="s">
        <v>219</v>
      </c>
      <c r="R280" s="48" t="s">
        <v>3940</v>
      </c>
      <c r="S280" s="60" t="s">
        <v>205</v>
      </c>
      <c r="T280" s="49" t="s">
        <v>63</v>
      </c>
      <c r="U280" s="49" t="s">
        <v>800</v>
      </c>
      <c r="V280" s="48"/>
      <c r="W280" s="51">
        <v>3.74</v>
      </c>
      <c r="X280" s="7" t="s">
        <v>1628</v>
      </c>
      <c r="Y280" s="73" t="s">
        <v>2375</v>
      </c>
      <c r="Z280" s="73" t="s">
        <v>841</v>
      </c>
      <c r="AA280" s="61">
        <v>0.52</v>
      </c>
      <c r="AB280" s="71">
        <v>43150</v>
      </c>
      <c r="AC280" s="72" t="s">
        <v>3937</v>
      </c>
      <c r="AD280" s="53" t="str">
        <f t="shared" si="196"/>
        <v>Link</v>
      </c>
      <c r="AE280" s="54">
        <v>2362</v>
      </c>
      <c r="AF280" s="54">
        <v>223</v>
      </c>
      <c r="AG280" s="55"/>
      <c r="AH280" s="56">
        <v>198561</v>
      </c>
      <c r="AI280" s="7"/>
      <c r="AJ280" s="7"/>
    </row>
    <row r="281" spans="1:36" ht="15" x14ac:dyDescent="0.2">
      <c r="A281" s="43" t="s">
        <v>3812</v>
      </c>
      <c r="B281" s="33" t="s">
        <v>219</v>
      </c>
      <c r="C281" s="7" t="s">
        <v>67</v>
      </c>
      <c r="D281" s="7" t="s">
        <v>3964</v>
      </c>
      <c r="E281" s="44">
        <v>5</v>
      </c>
      <c r="F281" s="7"/>
      <c r="G281" s="7"/>
      <c r="H281" s="2" t="s">
        <v>3931</v>
      </c>
      <c r="I281" s="7" t="s">
        <v>484</v>
      </c>
      <c r="J281" s="7" t="s">
        <v>509</v>
      </c>
      <c r="K281" s="7" t="s">
        <v>55</v>
      </c>
      <c r="L281" s="7" t="s">
        <v>3968</v>
      </c>
      <c r="M281" s="7" t="s">
        <v>3969</v>
      </c>
      <c r="N281" s="45" t="s">
        <v>3935</v>
      </c>
      <c r="O281" s="74" t="str">
        <f t="shared" si="195"/>
        <v>Questionnaire</v>
      </c>
      <c r="P281" s="48" t="s">
        <v>3937</v>
      </c>
      <c r="Q281" s="57" t="s">
        <v>219</v>
      </c>
      <c r="R281" s="48" t="s">
        <v>3940</v>
      </c>
      <c r="S281" s="60" t="s">
        <v>205</v>
      </c>
      <c r="T281" s="49" t="s">
        <v>63</v>
      </c>
      <c r="U281" s="49" t="s">
        <v>800</v>
      </c>
      <c r="V281" s="48"/>
      <c r="W281" s="51">
        <v>3.74</v>
      </c>
      <c r="X281" s="7" t="s">
        <v>1628</v>
      </c>
      <c r="Y281" s="73" t="s">
        <v>2375</v>
      </c>
      <c r="Z281" s="73" t="s">
        <v>841</v>
      </c>
      <c r="AA281" s="61">
        <v>0.52</v>
      </c>
      <c r="AB281" s="71">
        <v>43150</v>
      </c>
      <c r="AC281" s="72" t="s">
        <v>3937</v>
      </c>
      <c r="AD281" s="53" t="str">
        <f t="shared" si="196"/>
        <v>Link</v>
      </c>
      <c r="AE281" s="54">
        <v>2362</v>
      </c>
      <c r="AF281" s="54">
        <v>223</v>
      </c>
      <c r="AG281" s="55"/>
      <c r="AH281" s="56">
        <v>198561</v>
      </c>
      <c r="AI281" s="7"/>
      <c r="AJ281" s="7"/>
    </row>
    <row r="282" spans="1:36" ht="15" x14ac:dyDescent="0.2">
      <c r="A282" s="32" t="s">
        <v>3812</v>
      </c>
      <c r="B282" s="33" t="s">
        <v>1361</v>
      </c>
      <c r="C282" s="35" t="s">
        <v>67</v>
      </c>
      <c r="D282" s="57"/>
      <c r="E282" s="83">
        <v>5</v>
      </c>
      <c r="F282" s="7"/>
      <c r="G282" s="57"/>
      <c r="H282" s="2" t="s">
        <v>3972</v>
      </c>
      <c r="I282" s="2" t="s">
        <v>3973</v>
      </c>
      <c r="J282" s="2" t="s">
        <v>3974</v>
      </c>
      <c r="K282" s="2" t="s">
        <v>48</v>
      </c>
      <c r="L282" s="2" t="s">
        <v>3975</v>
      </c>
      <c r="M282" s="2" t="s">
        <v>3977</v>
      </c>
      <c r="N282" s="45" t="str">
        <f t="shared" ref="N282:N285" si="197">HYPERLINK("twitter.com/libertysb","@libertysb")</f>
        <v>@libertysb</v>
      </c>
      <c r="O282" s="74" t="str">
        <f t="shared" ref="O282:O285" si="198">HYPERLINK("https://questionnaires.armssoftware.com/98bb4746abfb","Questionnaire")</f>
        <v>Questionnaire</v>
      </c>
      <c r="P282" s="48" t="s">
        <v>3979</v>
      </c>
      <c r="Q282" s="60" t="s">
        <v>1361</v>
      </c>
      <c r="R282" s="48" t="s">
        <v>3980</v>
      </c>
      <c r="S282" s="6" t="s">
        <v>238</v>
      </c>
      <c r="T282" s="5" t="s">
        <v>63</v>
      </c>
      <c r="U282" s="48" t="s">
        <v>75</v>
      </c>
      <c r="V282" s="49"/>
      <c r="W282" s="37">
        <v>3.51</v>
      </c>
      <c r="X282" s="49" t="s">
        <v>1649</v>
      </c>
      <c r="Y282" s="49" t="s">
        <v>1648</v>
      </c>
      <c r="Z282" s="49" t="s">
        <v>803</v>
      </c>
      <c r="AA282" s="65">
        <v>0.24</v>
      </c>
      <c r="AB282" s="39">
        <v>37645</v>
      </c>
      <c r="AC282" s="52" t="s">
        <v>3979</v>
      </c>
      <c r="AD282" s="53" t="str">
        <f t="shared" ref="AD282:AD285" si="199">HYPERLINK("http://www.liberty.edu/academics/catalogs/index.cfm?PID=25706","Link")</f>
        <v>Link</v>
      </c>
      <c r="AE282" s="42">
        <v>47050</v>
      </c>
      <c r="AF282" s="55"/>
      <c r="AG282" s="55"/>
      <c r="AH282" s="56">
        <v>232557</v>
      </c>
      <c r="AI282" s="56" t="s">
        <v>2459</v>
      </c>
      <c r="AJ282" s="56"/>
    </row>
    <row r="283" spans="1:36" ht="15" x14ac:dyDescent="0.2">
      <c r="A283" s="32" t="s">
        <v>3812</v>
      </c>
      <c r="B283" s="33" t="s">
        <v>1361</v>
      </c>
      <c r="C283" s="35" t="s">
        <v>67</v>
      </c>
      <c r="D283" s="57"/>
      <c r="E283" s="83">
        <v>5</v>
      </c>
      <c r="F283" s="7"/>
      <c r="G283" s="57"/>
      <c r="H283" s="2" t="s">
        <v>3972</v>
      </c>
      <c r="I283" s="2" t="s">
        <v>2747</v>
      </c>
      <c r="J283" s="2" t="s">
        <v>47</v>
      </c>
      <c r="K283" s="2" t="s">
        <v>55</v>
      </c>
      <c r="L283" s="2" t="s">
        <v>3975</v>
      </c>
      <c r="M283" s="2" t="s">
        <v>3977</v>
      </c>
      <c r="N283" s="45" t="str">
        <f t="shared" si="197"/>
        <v>@libertysb</v>
      </c>
      <c r="O283" s="74" t="str">
        <f t="shared" si="198"/>
        <v>Questionnaire</v>
      </c>
      <c r="P283" s="48" t="s">
        <v>3979</v>
      </c>
      <c r="Q283" s="60" t="s">
        <v>1361</v>
      </c>
      <c r="R283" s="48" t="s">
        <v>3980</v>
      </c>
      <c r="S283" s="6" t="s">
        <v>238</v>
      </c>
      <c r="T283" s="5" t="s">
        <v>63</v>
      </c>
      <c r="U283" s="48" t="s">
        <v>75</v>
      </c>
      <c r="V283" s="49"/>
      <c r="W283" s="37">
        <v>3.51</v>
      </c>
      <c r="X283" s="49" t="s">
        <v>1649</v>
      </c>
      <c r="Y283" s="49" t="s">
        <v>1648</v>
      </c>
      <c r="Z283" s="49" t="s">
        <v>803</v>
      </c>
      <c r="AA283" s="65">
        <v>0.24</v>
      </c>
      <c r="AB283" s="39">
        <v>37645</v>
      </c>
      <c r="AC283" s="52" t="s">
        <v>3979</v>
      </c>
      <c r="AD283" s="53" t="str">
        <f t="shared" si="199"/>
        <v>Link</v>
      </c>
      <c r="AE283" s="42">
        <v>47050</v>
      </c>
      <c r="AF283" s="55"/>
      <c r="AG283" s="55"/>
      <c r="AH283" s="56">
        <v>232557</v>
      </c>
      <c r="AI283" s="56" t="s">
        <v>2459</v>
      </c>
      <c r="AJ283" s="56"/>
    </row>
    <row r="284" spans="1:36" ht="15" x14ac:dyDescent="0.2">
      <c r="A284" s="32" t="s">
        <v>3812</v>
      </c>
      <c r="B284" s="33" t="s">
        <v>1361</v>
      </c>
      <c r="C284" s="35" t="s">
        <v>67</v>
      </c>
      <c r="D284" s="57"/>
      <c r="E284" s="83">
        <v>5</v>
      </c>
      <c r="F284" s="7"/>
      <c r="G284" s="57"/>
      <c r="H284" s="2" t="s">
        <v>3972</v>
      </c>
      <c r="I284" s="2" t="s">
        <v>4000</v>
      </c>
      <c r="J284" s="2" t="s">
        <v>1482</v>
      </c>
      <c r="K284" s="2" t="s">
        <v>55</v>
      </c>
      <c r="L284" s="2" t="s">
        <v>3975</v>
      </c>
      <c r="M284" s="2" t="s">
        <v>3977</v>
      </c>
      <c r="N284" s="45" t="str">
        <f t="shared" si="197"/>
        <v>@libertysb</v>
      </c>
      <c r="O284" s="74" t="str">
        <f t="shared" si="198"/>
        <v>Questionnaire</v>
      </c>
      <c r="P284" s="48" t="s">
        <v>3979</v>
      </c>
      <c r="Q284" s="60" t="s">
        <v>1361</v>
      </c>
      <c r="R284" s="48" t="s">
        <v>3980</v>
      </c>
      <c r="S284" s="6" t="s">
        <v>238</v>
      </c>
      <c r="T284" s="5" t="s">
        <v>63</v>
      </c>
      <c r="U284" s="48" t="s">
        <v>75</v>
      </c>
      <c r="V284" s="49"/>
      <c r="W284" s="37">
        <v>3.51</v>
      </c>
      <c r="X284" s="49" t="s">
        <v>1649</v>
      </c>
      <c r="Y284" s="49" t="s">
        <v>1648</v>
      </c>
      <c r="Z284" s="49" t="s">
        <v>803</v>
      </c>
      <c r="AA284" s="65">
        <v>0.24</v>
      </c>
      <c r="AB284" s="39">
        <v>37645</v>
      </c>
      <c r="AC284" s="52" t="s">
        <v>3979</v>
      </c>
      <c r="AD284" s="53" t="str">
        <f t="shared" si="199"/>
        <v>Link</v>
      </c>
      <c r="AE284" s="42">
        <v>47050</v>
      </c>
      <c r="AF284" s="55"/>
      <c r="AG284" s="55"/>
      <c r="AH284" s="56">
        <v>232557</v>
      </c>
      <c r="AI284" s="56" t="s">
        <v>2459</v>
      </c>
      <c r="AJ284" s="56"/>
    </row>
    <row r="285" spans="1:36" ht="15" x14ac:dyDescent="0.2">
      <c r="A285" s="32" t="s">
        <v>3812</v>
      </c>
      <c r="B285" s="33" t="s">
        <v>1361</v>
      </c>
      <c r="C285" s="35" t="s">
        <v>67</v>
      </c>
      <c r="D285" s="57"/>
      <c r="E285" s="83">
        <v>5</v>
      </c>
      <c r="F285" s="7"/>
      <c r="G285" s="57"/>
      <c r="H285" s="2" t="s">
        <v>3972</v>
      </c>
      <c r="I285" s="2" t="s">
        <v>4007</v>
      </c>
      <c r="J285" s="2" t="s">
        <v>1124</v>
      </c>
      <c r="K285" s="2" t="s">
        <v>4008</v>
      </c>
      <c r="L285" s="2"/>
      <c r="M285" s="2" t="s">
        <v>3977</v>
      </c>
      <c r="N285" s="45" t="str">
        <f t="shared" si="197"/>
        <v>@libertysb</v>
      </c>
      <c r="O285" s="74" t="str">
        <f t="shared" si="198"/>
        <v>Questionnaire</v>
      </c>
      <c r="P285" s="48" t="s">
        <v>3979</v>
      </c>
      <c r="Q285" s="60" t="s">
        <v>1361</v>
      </c>
      <c r="R285" s="48" t="s">
        <v>3980</v>
      </c>
      <c r="S285" s="6" t="s">
        <v>238</v>
      </c>
      <c r="T285" s="5" t="s">
        <v>63</v>
      </c>
      <c r="U285" s="48" t="s">
        <v>75</v>
      </c>
      <c r="V285" s="49"/>
      <c r="W285" s="37">
        <v>3.51</v>
      </c>
      <c r="X285" s="49" t="s">
        <v>1649</v>
      </c>
      <c r="Y285" s="49" t="s">
        <v>1648</v>
      </c>
      <c r="Z285" s="49" t="s">
        <v>803</v>
      </c>
      <c r="AA285" s="65">
        <v>0.24</v>
      </c>
      <c r="AB285" s="39">
        <v>37645</v>
      </c>
      <c r="AC285" s="52" t="s">
        <v>3979</v>
      </c>
      <c r="AD285" s="53" t="str">
        <f t="shared" si="199"/>
        <v>Link</v>
      </c>
      <c r="AE285" s="42">
        <v>47050</v>
      </c>
      <c r="AF285" s="55"/>
      <c r="AG285" s="55"/>
      <c r="AH285" s="56">
        <v>232557</v>
      </c>
      <c r="AI285" s="56" t="s">
        <v>2459</v>
      </c>
      <c r="AJ285" s="56"/>
    </row>
    <row r="286" spans="1:36" ht="15" x14ac:dyDescent="0.2">
      <c r="A286" s="43" t="s">
        <v>3812</v>
      </c>
      <c r="B286" s="33" t="s">
        <v>1361</v>
      </c>
      <c r="C286" s="7" t="s">
        <v>67</v>
      </c>
      <c r="D286" s="7" t="s">
        <v>4013</v>
      </c>
      <c r="E286" s="44">
        <v>5</v>
      </c>
      <c r="F286" s="7"/>
      <c r="G286" s="7"/>
      <c r="H286" s="2" t="s">
        <v>4014</v>
      </c>
      <c r="I286" s="7" t="s">
        <v>1827</v>
      </c>
      <c r="J286" s="7" t="s">
        <v>4019</v>
      </c>
      <c r="K286" s="7" t="s">
        <v>48</v>
      </c>
      <c r="L286" s="7" t="s">
        <v>4020</v>
      </c>
      <c r="M286" s="7" t="s">
        <v>4021</v>
      </c>
      <c r="N286" s="45" t="str">
        <f t="shared" ref="N286:N289" si="200">HYPERLINK("twitter.com/LongwoodSB","@LongwoodSB")</f>
        <v>@LongwoodSB</v>
      </c>
      <c r="O286" s="74" t="str">
        <f t="shared" ref="O286:O289" si="201">HYPERLINK("https://longwoodlancers.com/sb_output.aspx?form=3","Questionnaire")</f>
        <v>Questionnaire</v>
      </c>
      <c r="P286" s="48" t="s">
        <v>4022</v>
      </c>
      <c r="Q286" s="57" t="s">
        <v>1361</v>
      </c>
      <c r="R286" s="48" t="s">
        <v>4023</v>
      </c>
      <c r="S286" s="60" t="s">
        <v>205</v>
      </c>
      <c r="T286" s="49" t="s">
        <v>74</v>
      </c>
      <c r="U286" s="49" t="s">
        <v>75</v>
      </c>
      <c r="V286" s="48"/>
      <c r="W286" s="51">
        <v>3.46</v>
      </c>
      <c r="X286" s="7" t="s">
        <v>1145</v>
      </c>
      <c r="Y286" s="73" t="s">
        <v>253</v>
      </c>
      <c r="Z286" s="73" t="s">
        <v>449</v>
      </c>
      <c r="AA286" s="61">
        <v>0.74</v>
      </c>
      <c r="AB286" s="48" t="s">
        <v>4024</v>
      </c>
      <c r="AC286" s="75" t="s">
        <v>4022</v>
      </c>
      <c r="AD286" s="53" t="str">
        <f t="shared" ref="AD286:AD289" si="202">HYPERLINK("http://www.longwood.edu/academics/undergraduate-programs/","Link")</f>
        <v>Link</v>
      </c>
      <c r="AE286" s="54">
        <v>4520</v>
      </c>
      <c r="AF286" s="55"/>
      <c r="AG286" s="55"/>
      <c r="AH286" s="56">
        <v>232566</v>
      </c>
      <c r="AI286" s="7"/>
      <c r="AJ286" s="7"/>
    </row>
    <row r="287" spans="1:36" ht="15" x14ac:dyDescent="0.2">
      <c r="A287" s="43" t="s">
        <v>3812</v>
      </c>
      <c r="B287" s="33" t="s">
        <v>1361</v>
      </c>
      <c r="C287" s="7" t="s">
        <v>67</v>
      </c>
      <c r="D287" s="7" t="s">
        <v>4032</v>
      </c>
      <c r="E287" s="44">
        <v>5</v>
      </c>
      <c r="F287" s="7"/>
      <c r="G287" s="7"/>
      <c r="H287" s="2" t="s">
        <v>4014</v>
      </c>
      <c r="I287" s="7" t="s">
        <v>860</v>
      </c>
      <c r="J287" s="7" t="s">
        <v>977</v>
      </c>
      <c r="K287" s="7" t="s">
        <v>55</v>
      </c>
      <c r="L287" s="7" t="s">
        <v>4033</v>
      </c>
      <c r="M287" s="7" t="s">
        <v>4034</v>
      </c>
      <c r="N287" s="45" t="str">
        <f t="shared" si="200"/>
        <v>@LongwoodSB</v>
      </c>
      <c r="O287" s="74" t="str">
        <f t="shared" si="201"/>
        <v>Questionnaire</v>
      </c>
      <c r="P287" s="48" t="s">
        <v>4022</v>
      </c>
      <c r="Q287" s="57" t="s">
        <v>1361</v>
      </c>
      <c r="R287" s="48" t="s">
        <v>4023</v>
      </c>
      <c r="S287" s="60" t="s">
        <v>205</v>
      </c>
      <c r="T287" s="49" t="s">
        <v>74</v>
      </c>
      <c r="U287" s="49" t="s">
        <v>75</v>
      </c>
      <c r="V287" s="48"/>
      <c r="W287" s="51">
        <v>3.46</v>
      </c>
      <c r="X287" s="7" t="s">
        <v>1145</v>
      </c>
      <c r="Y287" s="73" t="s">
        <v>253</v>
      </c>
      <c r="Z287" s="73" t="s">
        <v>449</v>
      </c>
      <c r="AA287" s="61">
        <v>0.74</v>
      </c>
      <c r="AB287" s="48" t="s">
        <v>4024</v>
      </c>
      <c r="AC287" s="75" t="s">
        <v>4022</v>
      </c>
      <c r="AD287" s="53" t="str">
        <f t="shared" si="202"/>
        <v>Link</v>
      </c>
      <c r="AE287" s="54">
        <v>4520</v>
      </c>
      <c r="AF287" s="55"/>
      <c r="AG287" s="55"/>
      <c r="AH287" s="56">
        <v>232566</v>
      </c>
      <c r="AI287" s="7"/>
      <c r="AJ287" s="7"/>
    </row>
    <row r="288" spans="1:36" ht="15" x14ac:dyDescent="0.2">
      <c r="A288" s="43" t="s">
        <v>3812</v>
      </c>
      <c r="B288" s="33" t="s">
        <v>1361</v>
      </c>
      <c r="C288" s="7" t="s">
        <v>67</v>
      </c>
      <c r="D288" s="7" t="s">
        <v>4039</v>
      </c>
      <c r="E288" s="44">
        <v>5</v>
      </c>
      <c r="F288" s="7"/>
      <c r="G288" s="7"/>
      <c r="H288" s="2" t="s">
        <v>4014</v>
      </c>
      <c r="I288" s="7" t="s">
        <v>143</v>
      </c>
      <c r="J288" s="7" t="s">
        <v>117</v>
      </c>
      <c r="K288" s="7" t="s">
        <v>55</v>
      </c>
      <c r="L288" s="7" t="s">
        <v>4040</v>
      </c>
      <c r="M288" s="7"/>
      <c r="N288" s="45" t="str">
        <f t="shared" si="200"/>
        <v>@LongwoodSB</v>
      </c>
      <c r="O288" s="74" t="str">
        <f t="shared" si="201"/>
        <v>Questionnaire</v>
      </c>
      <c r="P288" s="48" t="s">
        <v>4022</v>
      </c>
      <c r="Q288" s="57" t="s">
        <v>1361</v>
      </c>
      <c r="R288" s="48" t="s">
        <v>4023</v>
      </c>
      <c r="S288" s="60" t="s">
        <v>205</v>
      </c>
      <c r="T288" s="49" t="s">
        <v>74</v>
      </c>
      <c r="U288" s="49" t="s">
        <v>75</v>
      </c>
      <c r="V288" s="48"/>
      <c r="W288" s="51">
        <v>3.46</v>
      </c>
      <c r="X288" s="7" t="s">
        <v>1145</v>
      </c>
      <c r="Y288" s="73" t="s">
        <v>253</v>
      </c>
      <c r="Z288" s="73" t="s">
        <v>449</v>
      </c>
      <c r="AA288" s="61">
        <v>0.74</v>
      </c>
      <c r="AB288" s="48" t="s">
        <v>4024</v>
      </c>
      <c r="AC288" s="75" t="s">
        <v>4022</v>
      </c>
      <c r="AD288" s="53" t="str">
        <f t="shared" si="202"/>
        <v>Link</v>
      </c>
      <c r="AE288" s="54">
        <v>4520</v>
      </c>
      <c r="AF288" s="55"/>
      <c r="AG288" s="55"/>
      <c r="AH288" s="56">
        <v>232566</v>
      </c>
      <c r="AI288" s="7"/>
      <c r="AJ288" s="7"/>
    </row>
    <row r="289" spans="1:36" ht="15" x14ac:dyDescent="0.2">
      <c r="A289" s="43" t="s">
        <v>3812</v>
      </c>
      <c r="B289" s="33" t="s">
        <v>1361</v>
      </c>
      <c r="C289" s="7" t="s">
        <v>67</v>
      </c>
      <c r="D289" s="7" t="s">
        <v>4043</v>
      </c>
      <c r="E289" s="44">
        <v>5</v>
      </c>
      <c r="F289" s="7"/>
      <c r="G289" s="7"/>
      <c r="H289" s="2" t="s">
        <v>4014</v>
      </c>
      <c r="I289" s="7" t="s">
        <v>4044</v>
      </c>
      <c r="J289" s="7" t="s">
        <v>4045</v>
      </c>
      <c r="K289" s="7" t="s">
        <v>55</v>
      </c>
      <c r="L289" s="7" t="s">
        <v>4046</v>
      </c>
      <c r="M289" s="7"/>
      <c r="N289" s="45" t="str">
        <f t="shared" si="200"/>
        <v>@LongwoodSB</v>
      </c>
      <c r="O289" s="74" t="str">
        <f t="shared" si="201"/>
        <v>Questionnaire</v>
      </c>
      <c r="P289" s="48" t="s">
        <v>4022</v>
      </c>
      <c r="Q289" s="57" t="s">
        <v>1361</v>
      </c>
      <c r="R289" s="48" t="s">
        <v>4023</v>
      </c>
      <c r="S289" s="60" t="s">
        <v>205</v>
      </c>
      <c r="T289" s="49" t="s">
        <v>74</v>
      </c>
      <c r="U289" s="49" t="s">
        <v>75</v>
      </c>
      <c r="V289" s="48"/>
      <c r="W289" s="51">
        <v>3.46</v>
      </c>
      <c r="X289" s="7" t="s">
        <v>1145</v>
      </c>
      <c r="Y289" s="73" t="s">
        <v>253</v>
      </c>
      <c r="Z289" s="73" t="s">
        <v>449</v>
      </c>
      <c r="AA289" s="61">
        <v>0.74</v>
      </c>
      <c r="AB289" s="48" t="s">
        <v>4024</v>
      </c>
      <c r="AC289" s="75" t="s">
        <v>4022</v>
      </c>
      <c r="AD289" s="53" t="str">
        <f t="shared" si="202"/>
        <v>Link</v>
      </c>
      <c r="AE289" s="54">
        <v>4520</v>
      </c>
      <c r="AF289" s="55"/>
      <c r="AG289" s="55"/>
      <c r="AH289" s="56">
        <v>232566</v>
      </c>
      <c r="AI289" s="7"/>
      <c r="AJ289" s="7"/>
    </row>
    <row r="290" spans="1:36" ht="15" x14ac:dyDescent="0.2">
      <c r="A290" s="43" t="s">
        <v>3812</v>
      </c>
      <c r="B290" s="33" t="s">
        <v>653</v>
      </c>
      <c r="C290" s="7" t="s">
        <v>67</v>
      </c>
      <c r="D290" s="7" t="s">
        <v>4057</v>
      </c>
      <c r="E290" s="44">
        <v>5</v>
      </c>
      <c r="F290" s="7"/>
      <c r="G290" s="7"/>
      <c r="H290" s="2" t="s">
        <v>4059</v>
      </c>
      <c r="I290" s="7" t="s">
        <v>728</v>
      </c>
      <c r="J290" s="7" t="s">
        <v>1906</v>
      </c>
      <c r="K290" s="7" t="s">
        <v>48</v>
      </c>
      <c r="L290" s="7" t="s">
        <v>4061</v>
      </c>
      <c r="M290" s="7"/>
      <c r="N290" s="45" t="str">
        <f>HYPERLINK("twitter.com/presbysb","@presbysb")</f>
        <v>@presbysb</v>
      </c>
      <c r="O290" s="74" t="str">
        <f t="shared" ref="O290:O293" si="203">HYPERLINK("http://www.gobluehose.com/ViewArticle.dbml?DB_OEM_ID=18100&amp;ATCLID=1275663","Questionnaire")</f>
        <v>Questionnaire</v>
      </c>
      <c r="P290" s="48" t="s">
        <v>4063</v>
      </c>
      <c r="Q290" s="36" t="s">
        <v>653</v>
      </c>
      <c r="R290" s="48" t="s">
        <v>4064</v>
      </c>
      <c r="S290" s="48" t="s">
        <v>205</v>
      </c>
      <c r="T290" s="73" t="s">
        <v>63</v>
      </c>
      <c r="U290" s="49" t="s">
        <v>248</v>
      </c>
      <c r="V290" s="48"/>
      <c r="W290" s="51">
        <v>3.5</v>
      </c>
      <c r="X290" s="7" t="s">
        <v>4066</v>
      </c>
      <c r="Y290" s="73" t="s">
        <v>4067</v>
      </c>
      <c r="Z290" s="73" t="s">
        <v>2190</v>
      </c>
      <c r="AA290" s="61">
        <v>0.62</v>
      </c>
      <c r="AB290" s="71">
        <v>50886</v>
      </c>
      <c r="AC290" s="77" t="s">
        <v>4063</v>
      </c>
      <c r="AD290" s="53" t="str">
        <f t="shared" ref="AD290:AD293" si="204">HYPERLINK("https://www.presby.edu/academics/undergraduate/academic-departments-programs/","Link")</f>
        <v>Link</v>
      </c>
      <c r="AE290" s="54">
        <v>1063</v>
      </c>
      <c r="AF290" s="55"/>
      <c r="AG290" s="55"/>
      <c r="AH290" s="56">
        <v>218539</v>
      </c>
      <c r="AI290" s="7"/>
      <c r="AJ290" s="7"/>
    </row>
    <row r="291" spans="1:36" ht="15" x14ac:dyDescent="0.2">
      <c r="A291" s="43" t="s">
        <v>3812</v>
      </c>
      <c r="B291" s="33" t="s">
        <v>653</v>
      </c>
      <c r="C291" s="7" t="s">
        <v>67</v>
      </c>
      <c r="D291" s="7" t="s">
        <v>4071</v>
      </c>
      <c r="E291" s="44">
        <v>5</v>
      </c>
      <c r="F291" s="7"/>
      <c r="G291" s="7" t="s">
        <v>126</v>
      </c>
      <c r="H291" s="2" t="s">
        <v>4059</v>
      </c>
      <c r="I291" s="7" t="s">
        <v>4072</v>
      </c>
      <c r="J291" s="7"/>
      <c r="K291" s="7"/>
      <c r="L291" s="7"/>
      <c r="M291" s="7"/>
      <c r="N291" s="45"/>
      <c r="O291" s="74" t="str">
        <f t="shared" si="203"/>
        <v>Questionnaire</v>
      </c>
      <c r="P291" s="48" t="s">
        <v>4063</v>
      </c>
      <c r="Q291" s="36" t="s">
        <v>653</v>
      </c>
      <c r="R291" s="48" t="s">
        <v>4064</v>
      </c>
      <c r="S291" s="48" t="s">
        <v>205</v>
      </c>
      <c r="T291" s="73" t="s">
        <v>63</v>
      </c>
      <c r="U291" s="49" t="s">
        <v>248</v>
      </c>
      <c r="V291" s="48"/>
      <c r="W291" s="51">
        <v>3.5</v>
      </c>
      <c r="X291" s="7" t="s">
        <v>4066</v>
      </c>
      <c r="Y291" s="73" t="s">
        <v>4067</v>
      </c>
      <c r="Z291" s="73" t="s">
        <v>2190</v>
      </c>
      <c r="AA291" s="61">
        <v>0.62</v>
      </c>
      <c r="AB291" s="71">
        <v>50886</v>
      </c>
      <c r="AC291" s="77" t="s">
        <v>4063</v>
      </c>
      <c r="AD291" s="53" t="str">
        <f t="shared" si="204"/>
        <v>Link</v>
      </c>
      <c r="AE291" s="54">
        <v>1063</v>
      </c>
      <c r="AF291" s="55"/>
      <c r="AG291" s="55"/>
      <c r="AH291" s="56">
        <v>218539</v>
      </c>
      <c r="AI291" s="7"/>
      <c r="AJ291" s="7"/>
    </row>
    <row r="292" spans="1:36" ht="15" x14ac:dyDescent="0.2">
      <c r="A292" s="43" t="s">
        <v>3812</v>
      </c>
      <c r="B292" s="33" t="s">
        <v>653</v>
      </c>
      <c r="C292" s="7" t="s">
        <v>67</v>
      </c>
      <c r="D292" s="7" t="s">
        <v>4080</v>
      </c>
      <c r="E292" s="44">
        <v>5</v>
      </c>
      <c r="F292" s="7"/>
      <c r="G292" s="7"/>
      <c r="H292" s="2" t="s">
        <v>4059</v>
      </c>
      <c r="I292" s="7" t="s">
        <v>3983</v>
      </c>
      <c r="J292" s="7" t="s">
        <v>4081</v>
      </c>
      <c r="K292" s="7" t="s">
        <v>55</v>
      </c>
      <c r="L292" s="7" t="s">
        <v>4082</v>
      </c>
      <c r="M292" s="7" t="s">
        <v>4083</v>
      </c>
      <c r="N292" s="45" t="str">
        <f t="shared" ref="N292:N293" si="205">HYPERLINK("twitter.com/presbysb","@presbysb")</f>
        <v>@presbysb</v>
      </c>
      <c r="O292" s="74" t="str">
        <f t="shared" si="203"/>
        <v>Questionnaire</v>
      </c>
      <c r="P292" s="48" t="s">
        <v>4063</v>
      </c>
      <c r="Q292" s="36" t="s">
        <v>653</v>
      </c>
      <c r="R292" s="48" t="s">
        <v>4064</v>
      </c>
      <c r="S292" s="48" t="s">
        <v>205</v>
      </c>
      <c r="T292" s="73" t="s">
        <v>63</v>
      </c>
      <c r="U292" s="49" t="s">
        <v>248</v>
      </c>
      <c r="V292" s="48"/>
      <c r="W292" s="51">
        <v>3.5</v>
      </c>
      <c r="X292" s="7" t="s">
        <v>4066</v>
      </c>
      <c r="Y292" s="73" t="s">
        <v>4067</v>
      </c>
      <c r="Z292" s="73" t="s">
        <v>2190</v>
      </c>
      <c r="AA292" s="61">
        <v>0.62</v>
      </c>
      <c r="AB292" s="71">
        <v>50886</v>
      </c>
      <c r="AC292" s="77" t="s">
        <v>4063</v>
      </c>
      <c r="AD292" s="53" t="str">
        <f t="shared" si="204"/>
        <v>Link</v>
      </c>
      <c r="AE292" s="54">
        <v>1063</v>
      </c>
      <c r="AF292" s="55"/>
      <c r="AG292" s="55"/>
      <c r="AH292" s="56">
        <v>218539</v>
      </c>
      <c r="AI292" s="7"/>
      <c r="AJ292" s="7"/>
    </row>
    <row r="293" spans="1:36" ht="15" x14ac:dyDescent="0.2">
      <c r="A293" s="43" t="s">
        <v>3812</v>
      </c>
      <c r="B293" s="33" t="s">
        <v>653</v>
      </c>
      <c r="C293" s="7" t="s">
        <v>67</v>
      </c>
      <c r="D293" s="7" t="s">
        <v>4094</v>
      </c>
      <c r="E293" s="44">
        <v>5</v>
      </c>
      <c r="F293" s="7" t="s">
        <v>116</v>
      </c>
      <c r="G293" s="7"/>
      <c r="H293" s="2" t="s">
        <v>4059</v>
      </c>
      <c r="I293" s="7" t="s">
        <v>4095</v>
      </c>
      <c r="J293" s="7" t="s">
        <v>4096</v>
      </c>
      <c r="K293" s="7" t="s">
        <v>139</v>
      </c>
      <c r="L293" s="7" t="s">
        <v>4097</v>
      </c>
      <c r="M293" s="7" t="s">
        <v>4098</v>
      </c>
      <c r="N293" s="45" t="str">
        <f t="shared" si="205"/>
        <v>@presbysb</v>
      </c>
      <c r="O293" s="74" t="str">
        <f t="shared" si="203"/>
        <v>Questionnaire</v>
      </c>
      <c r="P293" s="48" t="s">
        <v>4063</v>
      </c>
      <c r="Q293" s="60" t="s">
        <v>653</v>
      </c>
      <c r="R293" s="48" t="s">
        <v>4064</v>
      </c>
      <c r="S293" s="48" t="s">
        <v>205</v>
      </c>
      <c r="T293" s="73" t="s">
        <v>63</v>
      </c>
      <c r="U293" s="49" t="s">
        <v>248</v>
      </c>
      <c r="V293" s="48"/>
      <c r="W293" s="51">
        <v>3.5</v>
      </c>
      <c r="X293" s="49" t="s">
        <v>4066</v>
      </c>
      <c r="Y293" s="73" t="s">
        <v>4067</v>
      </c>
      <c r="Z293" s="73" t="s">
        <v>2190</v>
      </c>
      <c r="AA293" s="61">
        <v>0.62</v>
      </c>
      <c r="AB293" s="71">
        <v>50886</v>
      </c>
      <c r="AC293" s="77" t="s">
        <v>4063</v>
      </c>
      <c r="AD293" s="53" t="str">
        <f t="shared" si="204"/>
        <v>Link</v>
      </c>
      <c r="AE293" s="54">
        <v>1063</v>
      </c>
      <c r="AF293" s="55"/>
      <c r="AG293" s="55"/>
      <c r="AH293" s="56">
        <v>218539</v>
      </c>
      <c r="AI293" s="7"/>
      <c r="AJ293" s="7"/>
    </row>
    <row r="294" spans="1:36" ht="15" x14ac:dyDescent="0.2">
      <c r="A294" s="43" t="s">
        <v>3812</v>
      </c>
      <c r="B294" s="33" t="s">
        <v>1361</v>
      </c>
      <c r="C294" s="7" t="s">
        <v>67</v>
      </c>
      <c r="D294" s="7" t="s">
        <v>4105</v>
      </c>
      <c r="E294" s="44">
        <v>5</v>
      </c>
      <c r="F294" s="7"/>
      <c r="G294" s="7"/>
      <c r="H294" s="2" t="s">
        <v>4106</v>
      </c>
      <c r="I294" s="7" t="s">
        <v>3134</v>
      </c>
      <c r="J294" s="7" t="s">
        <v>4107</v>
      </c>
      <c r="K294" s="7" t="s">
        <v>48</v>
      </c>
      <c r="L294" s="7" t="s">
        <v>4108</v>
      </c>
      <c r="M294" s="7" t="s">
        <v>4109</v>
      </c>
      <c r="N294" s="45" t="str">
        <f t="shared" ref="N294:N296" si="206">HYPERLINK("twitter.com/radfordsoftball","@radfordsoftball")</f>
        <v>@radfordsoftball</v>
      </c>
      <c r="O294" s="74" t="str">
        <f t="shared" ref="O294:O296" si="207">HYPERLINK("https://questionnaires.armssoftware.com/297cb4d78c0f","Questionnaire")</f>
        <v>Questionnaire</v>
      </c>
      <c r="P294" s="48" t="s">
        <v>4115</v>
      </c>
      <c r="Q294" s="57" t="s">
        <v>1361</v>
      </c>
      <c r="R294" s="48" t="s">
        <v>4115</v>
      </c>
      <c r="S294" s="48" t="s">
        <v>172</v>
      </c>
      <c r="T294" s="49" t="s">
        <v>74</v>
      </c>
      <c r="U294" s="49" t="s">
        <v>75</v>
      </c>
      <c r="V294" s="48"/>
      <c r="W294" s="51">
        <v>3.17</v>
      </c>
      <c r="X294" s="7" t="s">
        <v>253</v>
      </c>
      <c r="Y294" s="73" t="s">
        <v>1452</v>
      </c>
      <c r="Z294" s="73" t="s">
        <v>1948</v>
      </c>
      <c r="AA294" s="61">
        <v>0.81</v>
      </c>
      <c r="AB294" s="48" t="s">
        <v>4116</v>
      </c>
      <c r="AC294" s="75" t="s">
        <v>4115</v>
      </c>
      <c r="AD294" s="53" t="str">
        <f t="shared" ref="AD294:AD296" si="208">HYPERLINK("http://www.radford.edu/content/advising/home/majors-minors.html","Link")</f>
        <v>Link</v>
      </c>
      <c r="AE294" s="54">
        <v>8453</v>
      </c>
      <c r="AF294" s="55"/>
      <c r="AG294" s="55"/>
      <c r="AH294" s="56">
        <v>233277</v>
      </c>
      <c r="AI294" s="7"/>
      <c r="AJ294" s="7"/>
    </row>
    <row r="295" spans="1:36" ht="15" x14ac:dyDescent="0.2">
      <c r="A295" s="43" t="s">
        <v>3812</v>
      </c>
      <c r="B295" s="33" t="s">
        <v>1361</v>
      </c>
      <c r="C295" s="7" t="s">
        <v>67</v>
      </c>
      <c r="D295" s="7" t="s">
        <v>4122</v>
      </c>
      <c r="E295" s="44">
        <v>5</v>
      </c>
      <c r="F295" s="7"/>
      <c r="G295" s="7"/>
      <c r="H295" s="2" t="s">
        <v>4106</v>
      </c>
      <c r="I295" s="7" t="s">
        <v>4123</v>
      </c>
      <c r="J295" s="7" t="s">
        <v>4124</v>
      </c>
      <c r="K295" s="7" t="s">
        <v>919</v>
      </c>
      <c r="L295" s="7" t="s">
        <v>4125</v>
      </c>
      <c r="M295" s="7" t="s">
        <v>4126</v>
      </c>
      <c r="N295" s="45" t="str">
        <f t="shared" si="206"/>
        <v>@radfordsoftball</v>
      </c>
      <c r="O295" s="74" t="str">
        <f t="shared" si="207"/>
        <v>Questionnaire</v>
      </c>
      <c r="P295" s="48" t="s">
        <v>4115</v>
      </c>
      <c r="Q295" s="57" t="s">
        <v>1361</v>
      </c>
      <c r="R295" s="48" t="s">
        <v>4115</v>
      </c>
      <c r="S295" s="48" t="s">
        <v>172</v>
      </c>
      <c r="T295" s="49" t="s">
        <v>74</v>
      </c>
      <c r="U295" s="49" t="s">
        <v>75</v>
      </c>
      <c r="V295" s="48"/>
      <c r="W295" s="51">
        <v>3.17</v>
      </c>
      <c r="X295" s="7" t="s">
        <v>253</v>
      </c>
      <c r="Y295" s="73" t="s">
        <v>1452</v>
      </c>
      <c r="Z295" s="73" t="s">
        <v>1948</v>
      </c>
      <c r="AA295" s="61">
        <v>0.81</v>
      </c>
      <c r="AB295" s="48" t="s">
        <v>4116</v>
      </c>
      <c r="AC295" s="75" t="s">
        <v>4115</v>
      </c>
      <c r="AD295" s="53" t="str">
        <f t="shared" si="208"/>
        <v>Link</v>
      </c>
      <c r="AE295" s="54">
        <v>8453</v>
      </c>
      <c r="AF295" s="55"/>
      <c r="AG295" s="55"/>
      <c r="AH295" s="56">
        <v>233277</v>
      </c>
      <c r="AI295" s="7"/>
      <c r="AJ295" s="7"/>
    </row>
    <row r="296" spans="1:36" ht="15" x14ac:dyDescent="0.2">
      <c r="A296" s="43" t="s">
        <v>3812</v>
      </c>
      <c r="B296" s="33" t="s">
        <v>1361</v>
      </c>
      <c r="C296" s="7" t="s">
        <v>67</v>
      </c>
      <c r="D296" s="7" t="s">
        <v>4136</v>
      </c>
      <c r="E296" s="44">
        <v>5</v>
      </c>
      <c r="F296" s="7"/>
      <c r="G296" s="7"/>
      <c r="H296" s="2" t="s">
        <v>4106</v>
      </c>
      <c r="I296" s="7" t="s">
        <v>306</v>
      </c>
      <c r="J296" s="7" t="s">
        <v>3984</v>
      </c>
      <c r="K296" s="7" t="s">
        <v>55</v>
      </c>
      <c r="L296" s="7" t="s">
        <v>4137</v>
      </c>
      <c r="M296" s="7" t="s">
        <v>4109</v>
      </c>
      <c r="N296" s="45" t="str">
        <f t="shared" si="206"/>
        <v>@radfordsoftball</v>
      </c>
      <c r="O296" s="74" t="str">
        <f t="shared" si="207"/>
        <v>Questionnaire</v>
      </c>
      <c r="P296" s="48" t="s">
        <v>4115</v>
      </c>
      <c r="Q296" s="57" t="s">
        <v>1361</v>
      </c>
      <c r="R296" s="48" t="s">
        <v>4115</v>
      </c>
      <c r="S296" s="48" t="s">
        <v>172</v>
      </c>
      <c r="T296" s="49" t="s">
        <v>74</v>
      </c>
      <c r="U296" s="49" t="s">
        <v>75</v>
      </c>
      <c r="V296" s="48"/>
      <c r="W296" s="51">
        <v>3.17</v>
      </c>
      <c r="X296" s="7" t="s">
        <v>253</v>
      </c>
      <c r="Y296" s="73" t="s">
        <v>1452</v>
      </c>
      <c r="Z296" s="73" t="s">
        <v>1948</v>
      </c>
      <c r="AA296" s="61">
        <v>0.81</v>
      </c>
      <c r="AB296" s="48" t="s">
        <v>4116</v>
      </c>
      <c r="AC296" s="75" t="s">
        <v>4115</v>
      </c>
      <c r="AD296" s="53" t="str">
        <f t="shared" si="208"/>
        <v>Link</v>
      </c>
      <c r="AE296" s="54">
        <v>8453</v>
      </c>
      <c r="AF296" s="55"/>
      <c r="AG296" s="55"/>
      <c r="AH296" s="56">
        <v>233277</v>
      </c>
      <c r="AI296" s="7"/>
      <c r="AJ296" s="7"/>
    </row>
    <row r="297" spans="1:36" ht="15" x14ac:dyDescent="0.2">
      <c r="A297" s="43" t="s">
        <v>3812</v>
      </c>
      <c r="B297" s="33" t="s">
        <v>653</v>
      </c>
      <c r="C297" s="7" t="s">
        <v>67</v>
      </c>
      <c r="D297" s="7" t="s">
        <v>4148</v>
      </c>
      <c r="E297" s="44">
        <v>5</v>
      </c>
      <c r="F297" s="7"/>
      <c r="G297" s="7"/>
      <c r="H297" s="2" t="s">
        <v>4149</v>
      </c>
      <c r="I297" s="7" t="s">
        <v>1492</v>
      </c>
      <c r="J297" s="7" t="s">
        <v>267</v>
      </c>
      <c r="K297" s="7" t="s">
        <v>48</v>
      </c>
      <c r="L297" s="7" t="s">
        <v>4151</v>
      </c>
      <c r="M297" s="7" t="s">
        <v>4152</v>
      </c>
      <c r="N297" s="45" t="str">
        <f>HYPERLINK("twitter.com/hawkinschawkins","@hawkinschawkins")</f>
        <v>@hawkinschawkins</v>
      </c>
      <c r="O297" s="74" t="str">
        <f t="shared" ref="O297:O300" si="209">HYPERLINK("https://questionnaires.armssoftware.com/8747ccb9a81b","Questionnaire")</f>
        <v>Questionnaire</v>
      </c>
      <c r="P297" s="48" t="s">
        <v>4162</v>
      </c>
      <c r="Q297" s="57" t="s">
        <v>653</v>
      </c>
      <c r="R297" s="48" t="s">
        <v>4164</v>
      </c>
      <c r="S297" s="48" t="s">
        <v>468</v>
      </c>
      <c r="T297" s="49" t="s">
        <v>74</v>
      </c>
      <c r="U297" s="49" t="s">
        <v>75</v>
      </c>
      <c r="V297" s="48"/>
      <c r="W297" s="51">
        <v>2.66</v>
      </c>
      <c r="X297" s="7" t="s">
        <v>1452</v>
      </c>
      <c r="Y297" s="73" t="s">
        <v>1452</v>
      </c>
      <c r="Z297" s="49" t="s">
        <v>449</v>
      </c>
      <c r="AA297" s="61">
        <v>0.55000000000000004</v>
      </c>
      <c r="AB297" s="48" t="s">
        <v>4167</v>
      </c>
      <c r="AC297" s="62" t="s">
        <v>4162</v>
      </c>
      <c r="AD297" s="53" t="str">
        <f t="shared" ref="AD297:AD300" si="210">HYPERLINK("https://www.uscupstate.edu/academics/majors-programs/","Link")</f>
        <v>Link</v>
      </c>
      <c r="AE297" s="54">
        <v>5578</v>
      </c>
      <c r="AF297" s="55"/>
      <c r="AG297" s="55"/>
      <c r="AH297" s="56">
        <v>218742</v>
      </c>
      <c r="AI297" s="7"/>
      <c r="AJ297" s="7"/>
    </row>
    <row r="298" spans="1:36" ht="15" x14ac:dyDescent="0.2">
      <c r="A298" s="43" t="s">
        <v>3812</v>
      </c>
      <c r="B298" s="33" t="s">
        <v>653</v>
      </c>
      <c r="C298" s="7" t="s">
        <v>67</v>
      </c>
      <c r="D298" s="7" t="s">
        <v>4177</v>
      </c>
      <c r="E298" s="44">
        <v>5</v>
      </c>
      <c r="F298" s="7"/>
      <c r="G298" s="7"/>
      <c r="H298" s="2" t="s">
        <v>4149</v>
      </c>
      <c r="I298" s="7" t="s">
        <v>1342</v>
      </c>
      <c r="J298" s="7" t="s">
        <v>4179</v>
      </c>
      <c r="K298" s="7" t="s">
        <v>55</v>
      </c>
      <c r="L298" s="7" t="s">
        <v>4180</v>
      </c>
      <c r="M298" s="7" t="s">
        <v>4181</v>
      </c>
      <c r="N298" s="45" t="str">
        <f t="shared" ref="N298:N300" si="211">HYPERLINK("twitter.com/UpstateSoftball","@UpstateSoftball")</f>
        <v>@UpstateSoftball</v>
      </c>
      <c r="O298" s="74" t="str">
        <f t="shared" si="209"/>
        <v>Questionnaire</v>
      </c>
      <c r="P298" s="48" t="s">
        <v>4162</v>
      </c>
      <c r="Q298" s="57" t="s">
        <v>653</v>
      </c>
      <c r="R298" s="48" t="s">
        <v>4164</v>
      </c>
      <c r="S298" s="48" t="s">
        <v>468</v>
      </c>
      <c r="T298" s="49" t="s">
        <v>74</v>
      </c>
      <c r="U298" s="49" t="s">
        <v>75</v>
      </c>
      <c r="V298" s="48"/>
      <c r="W298" s="51">
        <v>2.66</v>
      </c>
      <c r="X298" s="7" t="s">
        <v>1452</v>
      </c>
      <c r="Y298" s="73" t="s">
        <v>1452</v>
      </c>
      <c r="Z298" s="49" t="s">
        <v>449</v>
      </c>
      <c r="AA298" s="61">
        <v>0.55000000000000004</v>
      </c>
      <c r="AB298" s="48" t="s">
        <v>4167</v>
      </c>
      <c r="AC298" s="62" t="s">
        <v>4162</v>
      </c>
      <c r="AD298" s="53" t="str">
        <f t="shared" si="210"/>
        <v>Link</v>
      </c>
      <c r="AE298" s="54">
        <v>5578</v>
      </c>
      <c r="AF298" s="55"/>
      <c r="AG298" s="55"/>
      <c r="AH298" s="56">
        <v>218742</v>
      </c>
      <c r="AI298" s="7"/>
      <c r="AJ298" s="7"/>
    </row>
    <row r="299" spans="1:36" ht="15" x14ac:dyDescent="0.2">
      <c r="A299" s="43" t="s">
        <v>3812</v>
      </c>
      <c r="B299" s="33" t="s">
        <v>653</v>
      </c>
      <c r="C299" s="7" t="s">
        <v>67</v>
      </c>
      <c r="D299" s="7" t="s">
        <v>4190</v>
      </c>
      <c r="E299" s="44">
        <v>5</v>
      </c>
      <c r="F299" s="7"/>
      <c r="G299" s="7"/>
      <c r="H299" s="2" t="s">
        <v>4149</v>
      </c>
      <c r="I299" s="7" t="s">
        <v>4193</v>
      </c>
      <c r="J299" s="7" t="s">
        <v>4194</v>
      </c>
      <c r="K299" s="7" t="s">
        <v>55</v>
      </c>
      <c r="L299" s="7" t="s">
        <v>4195</v>
      </c>
      <c r="M299" s="7" t="s">
        <v>4196</v>
      </c>
      <c r="N299" s="45" t="str">
        <f t="shared" si="211"/>
        <v>@UpstateSoftball</v>
      </c>
      <c r="O299" s="74" t="str">
        <f t="shared" si="209"/>
        <v>Questionnaire</v>
      </c>
      <c r="P299" s="48" t="s">
        <v>4162</v>
      </c>
      <c r="Q299" s="57" t="s">
        <v>653</v>
      </c>
      <c r="R299" s="48" t="s">
        <v>4164</v>
      </c>
      <c r="S299" s="48" t="s">
        <v>468</v>
      </c>
      <c r="T299" s="49" t="s">
        <v>74</v>
      </c>
      <c r="U299" s="49" t="s">
        <v>75</v>
      </c>
      <c r="V299" s="48"/>
      <c r="W299" s="51">
        <v>2.66</v>
      </c>
      <c r="X299" s="7" t="s">
        <v>1452</v>
      </c>
      <c r="Y299" s="73" t="s">
        <v>1452</v>
      </c>
      <c r="Z299" s="49" t="s">
        <v>449</v>
      </c>
      <c r="AA299" s="61">
        <v>0.55000000000000004</v>
      </c>
      <c r="AB299" s="48" t="s">
        <v>4167</v>
      </c>
      <c r="AC299" s="62" t="s">
        <v>4162</v>
      </c>
      <c r="AD299" s="53" t="str">
        <f t="shared" si="210"/>
        <v>Link</v>
      </c>
      <c r="AE299" s="54">
        <v>5578</v>
      </c>
      <c r="AF299" s="55"/>
      <c r="AG299" s="55"/>
      <c r="AH299" s="56">
        <v>218742</v>
      </c>
      <c r="AI299" s="7"/>
      <c r="AJ299" s="7"/>
    </row>
    <row r="300" spans="1:36" ht="15" x14ac:dyDescent="0.2">
      <c r="A300" s="43" t="s">
        <v>3812</v>
      </c>
      <c r="B300" s="33" t="s">
        <v>653</v>
      </c>
      <c r="C300" s="7" t="s">
        <v>67</v>
      </c>
      <c r="D300" s="7" t="s">
        <v>4205</v>
      </c>
      <c r="E300" s="44">
        <v>5</v>
      </c>
      <c r="F300" s="7"/>
      <c r="G300" s="7"/>
      <c r="H300" s="2" t="s">
        <v>4149</v>
      </c>
      <c r="I300" s="7" t="s">
        <v>860</v>
      </c>
      <c r="J300" s="7" t="s">
        <v>4206</v>
      </c>
      <c r="K300" s="7" t="s">
        <v>139</v>
      </c>
      <c r="L300" s="7"/>
      <c r="M300" s="7"/>
      <c r="N300" s="45" t="str">
        <f t="shared" si="211"/>
        <v>@UpstateSoftball</v>
      </c>
      <c r="O300" s="74" t="str">
        <f t="shared" si="209"/>
        <v>Questionnaire</v>
      </c>
      <c r="P300" s="48" t="s">
        <v>4162</v>
      </c>
      <c r="Q300" s="57" t="s">
        <v>653</v>
      </c>
      <c r="R300" s="48" t="s">
        <v>4164</v>
      </c>
      <c r="S300" s="48" t="s">
        <v>468</v>
      </c>
      <c r="T300" s="49" t="s">
        <v>74</v>
      </c>
      <c r="U300" s="49" t="s">
        <v>75</v>
      </c>
      <c r="V300" s="48"/>
      <c r="W300" s="51">
        <v>2.66</v>
      </c>
      <c r="X300" s="7" t="s">
        <v>1452</v>
      </c>
      <c r="Y300" s="73" t="s">
        <v>1452</v>
      </c>
      <c r="Z300" s="49" t="s">
        <v>449</v>
      </c>
      <c r="AA300" s="61">
        <v>0.55000000000000004</v>
      </c>
      <c r="AB300" s="48" t="s">
        <v>4167</v>
      </c>
      <c r="AC300" s="62" t="s">
        <v>4162</v>
      </c>
      <c r="AD300" s="53" t="str">
        <f t="shared" si="210"/>
        <v>Link</v>
      </c>
      <c r="AE300" s="54">
        <v>5578</v>
      </c>
      <c r="AF300" s="55"/>
      <c r="AG300" s="55"/>
      <c r="AH300" s="56">
        <v>218742</v>
      </c>
      <c r="AI300" s="7"/>
      <c r="AJ300" s="7"/>
    </row>
    <row r="301" spans="1:36" ht="15" x14ac:dyDescent="0.2">
      <c r="A301" s="43" t="s">
        <v>3812</v>
      </c>
      <c r="B301" s="33" t="s">
        <v>653</v>
      </c>
      <c r="C301" s="7" t="s">
        <v>67</v>
      </c>
      <c r="D301" s="7" t="s">
        <v>4213</v>
      </c>
      <c r="E301" s="44">
        <v>5</v>
      </c>
      <c r="F301" s="7"/>
      <c r="G301" s="7"/>
      <c r="H301" s="2" t="s">
        <v>4215</v>
      </c>
      <c r="I301" s="7" t="s">
        <v>4216</v>
      </c>
      <c r="J301" s="7" t="s">
        <v>4219</v>
      </c>
      <c r="K301" s="7" t="s">
        <v>48</v>
      </c>
      <c r="L301" s="7" t="s">
        <v>4220</v>
      </c>
      <c r="M301" s="7" t="s">
        <v>4221</v>
      </c>
      <c r="N301" s="45" t="str">
        <f t="shared" ref="N301:N303" si="212">HYPERLINK("twitter.com/winthropsoftbal","@winthropsoftbal")</f>
        <v>@winthropsoftbal</v>
      </c>
      <c r="O301" s="74" t="str">
        <f t="shared" ref="O301:O303" si="213">HYPERLINK("https://questionnaires.armssoftware.com/18984bc5e6f2","Questionnaire")</f>
        <v>Questionnaire</v>
      </c>
      <c r="P301" s="48" t="s">
        <v>4223</v>
      </c>
      <c r="Q301" s="57" t="s">
        <v>653</v>
      </c>
      <c r="R301" s="48" t="s">
        <v>4224</v>
      </c>
      <c r="S301" s="48" t="s">
        <v>186</v>
      </c>
      <c r="T301" s="49" t="s">
        <v>74</v>
      </c>
      <c r="U301" s="49" t="s">
        <v>75</v>
      </c>
      <c r="V301" s="48"/>
      <c r="W301" s="51">
        <v>3.91</v>
      </c>
      <c r="X301" s="7" t="s">
        <v>720</v>
      </c>
      <c r="Y301" s="73" t="s">
        <v>4228</v>
      </c>
      <c r="Z301" s="73" t="s">
        <v>1994</v>
      </c>
      <c r="AA301" s="61">
        <v>0.69</v>
      </c>
      <c r="AB301" s="48" t="s">
        <v>4230</v>
      </c>
      <c r="AC301" s="72" t="s">
        <v>4223</v>
      </c>
      <c r="AD301" s="53" t="str">
        <f t="shared" ref="AD301:AD303" si="214">HYPERLINK("https://www.winthrop.edu/recandreg/default.aspx?id=8631","Link")</f>
        <v>Link</v>
      </c>
      <c r="AE301" s="54">
        <v>5091</v>
      </c>
      <c r="AF301" s="55"/>
      <c r="AG301" s="55"/>
      <c r="AH301" s="56">
        <v>218964</v>
      </c>
      <c r="AI301" s="7"/>
      <c r="AJ301" s="7"/>
    </row>
    <row r="302" spans="1:36" ht="15" x14ac:dyDescent="0.2">
      <c r="A302" s="43" t="s">
        <v>3812</v>
      </c>
      <c r="B302" s="33" t="s">
        <v>653</v>
      </c>
      <c r="C302" s="7" t="s">
        <v>67</v>
      </c>
      <c r="D302" s="7" t="s">
        <v>4236</v>
      </c>
      <c r="E302" s="44">
        <v>5</v>
      </c>
      <c r="F302" s="7"/>
      <c r="G302" s="7"/>
      <c r="H302" s="2" t="s">
        <v>4215</v>
      </c>
      <c r="I302" s="7" t="s">
        <v>1217</v>
      </c>
      <c r="J302" s="7" t="s">
        <v>442</v>
      </c>
      <c r="K302" s="7" t="s">
        <v>55</v>
      </c>
      <c r="L302" s="7" t="s">
        <v>4239</v>
      </c>
      <c r="M302" s="7" t="s">
        <v>4240</v>
      </c>
      <c r="N302" s="45" t="str">
        <f t="shared" si="212"/>
        <v>@winthropsoftbal</v>
      </c>
      <c r="O302" s="74" t="str">
        <f t="shared" si="213"/>
        <v>Questionnaire</v>
      </c>
      <c r="P302" s="48" t="s">
        <v>4223</v>
      </c>
      <c r="Q302" s="57" t="s">
        <v>653</v>
      </c>
      <c r="R302" s="48" t="s">
        <v>4224</v>
      </c>
      <c r="S302" s="48" t="s">
        <v>186</v>
      </c>
      <c r="T302" s="49" t="s">
        <v>74</v>
      </c>
      <c r="U302" s="49" t="s">
        <v>75</v>
      </c>
      <c r="V302" s="48"/>
      <c r="W302" s="51">
        <v>3.91</v>
      </c>
      <c r="X302" s="7" t="s">
        <v>720</v>
      </c>
      <c r="Y302" s="73" t="s">
        <v>4228</v>
      </c>
      <c r="Z302" s="73" t="s">
        <v>1994</v>
      </c>
      <c r="AA302" s="61">
        <v>0.69</v>
      </c>
      <c r="AB302" s="48" t="s">
        <v>4230</v>
      </c>
      <c r="AC302" s="72" t="s">
        <v>4223</v>
      </c>
      <c r="AD302" s="53" t="str">
        <f t="shared" si="214"/>
        <v>Link</v>
      </c>
      <c r="AE302" s="54">
        <v>5091</v>
      </c>
      <c r="AF302" s="55"/>
      <c r="AG302" s="55"/>
      <c r="AH302" s="56">
        <v>218964</v>
      </c>
      <c r="AI302" s="7"/>
      <c r="AJ302" s="7"/>
    </row>
    <row r="303" spans="1:36" ht="15" x14ac:dyDescent="0.2">
      <c r="A303" s="43" t="s">
        <v>3812</v>
      </c>
      <c r="B303" s="33" t="s">
        <v>653</v>
      </c>
      <c r="C303" s="7" t="s">
        <v>67</v>
      </c>
      <c r="D303" s="7" t="s">
        <v>4249</v>
      </c>
      <c r="E303" s="44">
        <v>5</v>
      </c>
      <c r="F303" s="7"/>
      <c r="G303" s="7"/>
      <c r="H303" s="2" t="s">
        <v>4215</v>
      </c>
      <c r="I303" s="7" t="s">
        <v>4252</v>
      </c>
      <c r="J303" s="7" t="s">
        <v>4253</v>
      </c>
      <c r="K303" s="7" t="s">
        <v>55</v>
      </c>
      <c r="L303" s="7" t="s">
        <v>4254</v>
      </c>
      <c r="M303" s="7" t="s">
        <v>4255</v>
      </c>
      <c r="N303" s="45" t="str">
        <f t="shared" si="212"/>
        <v>@winthropsoftbal</v>
      </c>
      <c r="O303" s="74" t="str">
        <f t="shared" si="213"/>
        <v>Questionnaire</v>
      </c>
      <c r="P303" s="48" t="s">
        <v>4223</v>
      </c>
      <c r="Q303" s="57" t="s">
        <v>653</v>
      </c>
      <c r="R303" s="48" t="s">
        <v>4224</v>
      </c>
      <c r="S303" s="48" t="s">
        <v>186</v>
      </c>
      <c r="T303" s="49" t="s">
        <v>74</v>
      </c>
      <c r="U303" s="49" t="s">
        <v>75</v>
      </c>
      <c r="V303" s="48"/>
      <c r="W303" s="51">
        <v>3.91</v>
      </c>
      <c r="X303" s="7" t="s">
        <v>720</v>
      </c>
      <c r="Y303" s="73" t="s">
        <v>4228</v>
      </c>
      <c r="Z303" s="73" t="s">
        <v>1994</v>
      </c>
      <c r="AA303" s="61">
        <v>0.69</v>
      </c>
      <c r="AB303" s="48" t="s">
        <v>4230</v>
      </c>
      <c r="AC303" s="72" t="s">
        <v>4223</v>
      </c>
      <c r="AD303" s="53" t="str">
        <f t="shared" si="214"/>
        <v>Link</v>
      </c>
      <c r="AE303" s="54">
        <v>5091</v>
      </c>
      <c r="AF303" s="55"/>
      <c r="AG303" s="55"/>
      <c r="AH303" s="56">
        <v>218964</v>
      </c>
      <c r="AI303" s="7"/>
      <c r="AJ303" s="7"/>
    </row>
    <row r="304" spans="1:36" ht="15" x14ac:dyDescent="0.2">
      <c r="A304" s="43" t="s">
        <v>4260</v>
      </c>
      <c r="B304" s="33" t="s">
        <v>1721</v>
      </c>
      <c r="C304" s="7" t="s">
        <v>67</v>
      </c>
      <c r="D304" s="7" t="s">
        <v>4261</v>
      </c>
      <c r="E304" s="44">
        <v>5</v>
      </c>
      <c r="F304" s="7"/>
      <c r="G304" s="7"/>
      <c r="H304" s="2" t="s">
        <v>4263</v>
      </c>
      <c r="I304" s="7" t="s">
        <v>435</v>
      </c>
      <c r="J304" s="7" t="s">
        <v>4267</v>
      </c>
      <c r="K304" s="7" t="s">
        <v>139</v>
      </c>
      <c r="L304" s="7"/>
      <c r="M304" s="7"/>
      <c r="N304" s="48"/>
      <c r="O304" s="48"/>
      <c r="P304" s="48" t="s">
        <v>1705</v>
      </c>
      <c r="Q304" s="47" t="s">
        <v>1721</v>
      </c>
      <c r="R304" s="48" t="s">
        <v>4271</v>
      </c>
      <c r="S304" s="48" t="s">
        <v>238</v>
      </c>
      <c r="T304" s="49" t="s">
        <v>74</v>
      </c>
      <c r="U304" s="49" t="s">
        <v>75</v>
      </c>
      <c r="V304" s="48"/>
      <c r="W304" s="61">
        <v>3.83</v>
      </c>
      <c r="X304" s="49" t="s">
        <v>2565</v>
      </c>
      <c r="Y304" s="49" t="s">
        <v>4272</v>
      </c>
      <c r="Z304" s="49" t="s">
        <v>191</v>
      </c>
      <c r="AA304" s="61">
        <v>0.6</v>
      </c>
      <c r="AB304" s="48" t="s">
        <v>4273</v>
      </c>
      <c r="AC304" s="62" t="s">
        <v>1705</v>
      </c>
      <c r="AD304" s="53" t="str">
        <f t="shared" ref="AD304:AD308" si="215">HYPERLINK("https://admissions.illinois.edu/Discover/Academics/majors_college","Link")</f>
        <v>Link</v>
      </c>
      <c r="AE304" s="54">
        <v>33932</v>
      </c>
      <c r="AF304" s="54">
        <v>52</v>
      </c>
      <c r="AG304" s="85"/>
      <c r="AH304" s="56">
        <v>145637</v>
      </c>
      <c r="AI304" s="87"/>
      <c r="AJ304" s="87"/>
    </row>
    <row r="305" spans="1:36" ht="15" x14ac:dyDescent="0.2">
      <c r="A305" s="43" t="s">
        <v>4260</v>
      </c>
      <c r="B305" s="33" t="s">
        <v>1721</v>
      </c>
      <c r="C305" s="7" t="s">
        <v>67</v>
      </c>
      <c r="D305" s="7" t="s">
        <v>4278</v>
      </c>
      <c r="E305" s="44">
        <v>5</v>
      </c>
      <c r="F305" s="7"/>
      <c r="G305" s="7"/>
      <c r="H305" s="2" t="s">
        <v>4263</v>
      </c>
      <c r="I305" s="7" t="s">
        <v>4279</v>
      </c>
      <c r="J305" s="7" t="s">
        <v>4280</v>
      </c>
      <c r="K305" s="7" t="s">
        <v>48</v>
      </c>
      <c r="L305" s="7" t="s">
        <v>4281</v>
      </c>
      <c r="M305" s="7" t="s">
        <v>4282</v>
      </c>
      <c r="N305" s="45" t="str">
        <f>HYPERLINK("twitter.com/TyraPerry13","@TyraPerry13")</f>
        <v>@TyraPerry13</v>
      </c>
      <c r="O305" s="74" t="str">
        <f t="shared" ref="O305:O308" si="216">HYPERLINK("http://college.jumpforward.com/questionnaire.aspx?iid=403&amp;sportid=31","Questionnaire")</f>
        <v>Questionnaire</v>
      </c>
      <c r="P305" s="48" t="s">
        <v>1705</v>
      </c>
      <c r="Q305" s="47" t="s">
        <v>1721</v>
      </c>
      <c r="R305" s="48" t="s">
        <v>4271</v>
      </c>
      <c r="S305" s="48" t="s">
        <v>238</v>
      </c>
      <c r="T305" s="49" t="s">
        <v>74</v>
      </c>
      <c r="U305" s="49" t="s">
        <v>75</v>
      </c>
      <c r="V305" s="48"/>
      <c r="W305" s="61">
        <v>3.83</v>
      </c>
      <c r="X305" s="49" t="s">
        <v>2565</v>
      </c>
      <c r="Y305" s="49" t="s">
        <v>4272</v>
      </c>
      <c r="Z305" s="49" t="s">
        <v>191</v>
      </c>
      <c r="AA305" s="61">
        <v>0.6</v>
      </c>
      <c r="AB305" s="48" t="s">
        <v>4273</v>
      </c>
      <c r="AC305" s="62" t="s">
        <v>1705</v>
      </c>
      <c r="AD305" s="53" t="str">
        <f t="shared" si="215"/>
        <v>Link</v>
      </c>
      <c r="AE305" s="54">
        <v>33932</v>
      </c>
      <c r="AF305" s="54">
        <v>52</v>
      </c>
      <c r="AG305" s="85"/>
      <c r="AH305" s="56">
        <v>145637</v>
      </c>
      <c r="AI305" s="7"/>
      <c r="AJ305" s="7"/>
    </row>
    <row r="306" spans="1:36" ht="15" x14ac:dyDescent="0.2">
      <c r="A306" s="43" t="s">
        <v>4260</v>
      </c>
      <c r="B306" s="33" t="s">
        <v>1721</v>
      </c>
      <c r="C306" s="7" t="s">
        <v>67</v>
      </c>
      <c r="D306" s="7" t="s">
        <v>4291</v>
      </c>
      <c r="E306" s="44">
        <v>5</v>
      </c>
      <c r="F306" s="7"/>
      <c r="G306" s="7"/>
      <c r="H306" s="2" t="s">
        <v>4263</v>
      </c>
      <c r="I306" s="7" t="s">
        <v>161</v>
      </c>
      <c r="J306" s="7" t="s">
        <v>4295</v>
      </c>
      <c r="K306" s="7" t="s">
        <v>55</v>
      </c>
      <c r="L306" s="7" t="s">
        <v>4297</v>
      </c>
      <c r="M306" s="7" t="s">
        <v>4299</v>
      </c>
      <c r="N306" s="45" t="str">
        <f t="shared" ref="N306:N308" si="217">HYPERLINK("twitter.com/illinisb","@illinisb")</f>
        <v>@illinisb</v>
      </c>
      <c r="O306" s="74" t="str">
        <f t="shared" si="216"/>
        <v>Questionnaire</v>
      </c>
      <c r="P306" s="48" t="s">
        <v>1705</v>
      </c>
      <c r="Q306" s="47" t="s">
        <v>1721</v>
      </c>
      <c r="R306" s="48" t="s">
        <v>4271</v>
      </c>
      <c r="S306" s="48" t="s">
        <v>238</v>
      </c>
      <c r="T306" s="49" t="s">
        <v>74</v>
      </c>
      <c r="U306" s="49" t="s">
        <v>75</v>
      </c>
      <c r="V306" s="48"/>
      <c r="W306" s="61">
        <v>3.83</v>
      </c>
      <c r="X306" s="49" t="s">
        <v>2565</v>
      </c>
      <c r="Y306" s="49" t="s">
        <v>4272</v>
      </c>
      <c r="Z306" s="49" t="s">
        <v>191</v>
      </c>
      <c r="AA306" s="61">
        <v>0.6</v>
      </c>
      <c r="AB306" s="48" t="s">
        <v>4273</v>
      </c>
      <c r="AC306" s="62" t="s">
        <v>1705</v>
      </c>
      <c r="AD306" s="53" t="str">
        <f t="shared" si="215"/>
        <v>Link</v>
      </c>
      <c r="AE306" s="54">
        <v>33932</v>
      </c>
      <c r="AF306" s="54">
        <v>52</v>
      </c>
      <c r="AG306" s="85"/>
      <c r="AH306" s="56">
        <v>145637</v>
      </c>
      <c r="AI306" s="7"/>
      <c r="AJ306" s="7"/>
    </row>
    <row r="307" spans="1:36" ht="15" x14ac:dyDescent="0.2">
      <c r="A307" s="43" t="s">
        <v>4260</v>
      </c>
      <c r="B307" s="33" t="s">
        <v>1721</v>
      </c>
      <c r="C307" s="7" t="s">
        <v>67</v>
      </c>
      <c r="D307" s="7" t="s">
        <v>4307</v>
      </c>
      <c r="E307" s="44">
        <v>5</v>
      </c>
      <c r="F307" s="7"/>
      <c r="G307" s="7"/>
      <c r="H307" s="2" t="s">
        <v>4263</v>
      </c>
      <c r="I307" s="7" t="s">
        <v>4308</v>
      </c>
      <c r="J307" s="7" t="s">
        <v>4309</v>
      </c>
      <c r="K307" s="7" t="s">
        <v>55</v>
      </c>
      <c r="L307" s="7" t="s">
        <v>4310</v>
      </c>
      <c r="M307" s="7" t="s">
        <v>4311</v>
      </c>
      <c r="N307" s="45" t="str">
        <f t="shared" si="217"/>
        <v>@illinisb</v>
      </c>
      <c r="O307" s="74" t="str">
        <f t="shared" si="216"/>
        <v>Questionnaire</v>
      </c>
      <c r="P307" s="48" t="s">
        <v>1705</v>
      </c>
      <c r="Q307" s="47" t="s">
        <v>1721</v>
      </c>
      <c r="R307" s="48" t="s">
        <v>4271</v>
      </c>
      <c r="S307" s="48" t="s">
        <v>238</v>
      </c>
      <c r="T307" s="49" t="s">
        <v>74</v>
      </c>
      <c r="U307" s="49" t="s">
        <v>75</v>
      </c>
      <c r="V307" s="48"/>
      <c r="W307" s="61">
        <v>3.83</v>
      </c>
      <c r="X307" s="49" t="s">
        <v>2565</v>
      </c>
      <c r="Y307" s="49" t="s">
        <v>4272</v>
      </c>
      <c r="Z307" s="49" t="s">
        <v>191</v>
      </c>
      <c r="AA307" s="61">
        <v>0.6</v>
      </c>
      <c r="AB307" s="48" t="s">
        <v>4273</v>
      </c>
      <c r="AC307" s="62" t="s">
        <v>1705</v>
      </c>
      <c r="AD307" s="53" t="str">
        <f t="shared" si="215"/>
        <v>Link</v>
      </c>
      <c r="AE307" s="54">
        <v>33932</v>
      </c>
      <c r="AF307" s="54">
        <v>52</v>
      </c>
      <c r="AG307" s="85"/>
      <c r="AH307" s="56">
        <v>145637</v>
      </c>
      <c r="AI307" s="7"/>
      <c r="AJ307" s="7"/>
    </row>
    <row r="308" spans="1:36" ht="15" x14ac:dyDescent="0.2">
      <c r="A308" s="43" t="s">
        <v>4260</v>
      </c>
      <c r="B308" s="33" t="s">
        <v>1721</v>
      </c>
      <c r="C308" s="7" t="s">
        <v>67</v>
      </c>
      <c r="D308" s="7" t="s">
        <v>4319</v>
      </c>
      <c r="E308" s="44">
        <v>5</v>
      </c>
      <c r="F308" s="7"/>
      <c r="G308" s="7"/>
      <c r="H308" s="2" t="s">
        <v>4263</v>
      </c>
      <c r="I308" s="7" t="s">
        <v>1351</v>
      </c>
      <c r="J308" s="7" t="s">
        <v>4321</v>
      </c>
      <c r="K308" s="7" t="s">
        <v>154</v>
      </c>
      <c r="L308" s="7" t="s">
        <v>4322</v>
      </c>
      <c r="M308" s="7" t="s">
        <v>4323</v>
      </c>
      <c r="N308" s="45" t="str">
        <f t="shared" si="217"/>
        <v>@illinisb</v>
      </c>
      <c r="O308" s="74" t="str">
        <f t="shared" si="216"/>
        <v>Questionnaire</v>
      </c>
      <c r="P308" s="48" t="s">
        <v>1705</v>
      </c>
      <c r="Q308" s="47" t="s">
        <v>1721</v>
      </c>
      <c r="R308" s="48" t="s">
        <v>4271</v>
      </c>
      <c r="S308" s="48" t="s">
        <v>238</v>
      </c>
      <c r="T308" s="49" t="s">
        <v>74</v>
      </c>
      <c r="U308" s="49" t="s">
        <v>75</v>
      </c>
      <c r="V308" s="48"/>
      <c r="W308" s="61">
        <v>3.83</v>
      </c>
      <c r="X308" s="49" t="s">
        <v>2565</v>
      </c>
      <c r="Y308" s="49" t="s">
        <v>4272</v>
      </c>
      <c r="Z308" s="49" t="s">
        <v>191</v>
      </c>
      <c r="AA308" s="61">
        <v>0.6</v>
      </c>
      <c r="AB308" s="48" t="s">
        <v>4273</v>
      </c>
      <c r="AC308" s="62" t="s">
        <v>1705</v>
      </c>
      <c r="AD308" s="53" t="str">
        <f t="shared" si="215"/>
        <v>Link</v>
      </c>
      <c r="AE308" s="54">
        <v>33932</v>
      </c>
      <c r="AF308" s="54">
        <v>52</v>
      </c>
      <c r="AG308" s="85"/>
      <c r="AH308" s="56">
        <v>145637</v>
      </c>
      <c r="AI308" s="7"/>
      <c r="AJ308" s="7"/>
    </row>
    <row r="309" spans="1:36" ht="15" x14ac:dyDescent="0.2">
      <c r="A309" s="43" t="s">
        <v>4260</v>
      </c>
      <c r="B309" s="33" t="s">
        <v>1151</v>
      </c>
      <c r="C309" s="7" t="s">
        <v>67</v>
      </c>
      <c r="D309" s="7" t="s">
        <v>4342</v>
      </c>
      <c r="E309" s="44">
        <v>5</v>
      </c>
      <c r="F309" s="7"/>
      <c r="G309" s="7"/>
      <c r="H309" s="2" t="s">
        <v>4343</v>
      </c>
      <c r="I309" s="7" t="s">
        <v>4344</v>
      </c>
      <c r="J309" s="7" t="s">
        <v>4345</v>
      </c>
      <c r="K309" s="7" t="s">
        <v>48</v>
      </c>
      <c r="L309" s="7" t="s">
        <v>4346</v>
      </c>
      <c r="M309" s="7" t="s">
        <v>4347</v>
      </c>
      <c r="N309" s="45" t="str">
        <f>HYPERLINK("twitter.com/CoachStanton","@CoachStanton")</f>
        <v>@CoachStanton</v>
      </c>
      <c r="O309" s="74" t="str">
        <f t="shared" ref="O309:O312" si="218">HYPERLINK("https://iuhoosiers.com/sports/2015/4/1/GEN_2014010183.aspx","Questionnaire")</f>
        <v>Questionnaire</v>
      </c>
      <c r="P309" s="48" t="s">
        <v>2602</v>
      </c>
      <c r="Q309" s="47" t="s">
        <v>1151</v>
      </c>
      <c r="R309" s="48" t="s">
        <v>2193</v>
      </c>
      <c r="S309" s="48" t="s">
        <v>238</v>
      </c>
      <c r="T309" s="49" t="s">
        <v>74</v>
      </c>
      <c r="U309" s="49" t="s">
        <v>75</v>
      </c>
      <c r="V309" s="48"/>
      <c r="W309" s="61">
        <v>3.69</v>
      </c>
      <c r="X309" s="49" t="s">
        <v>1229</v>
      </c>
      <c r="Y309" s="49" t="s">
        <v>2260</v>
      </c>
      <c r="Z309" s="49" t="s">
        <v>1373</v>
      </c>
      <c r="AA309" s="61">
        <v>0.79</v>
      </c>
      <c r="AB309" s="48" t="s">
        <v>4354</v>
      </c>
      <c r="AC309" s="62" t="s">
        <v>2602</v>
      </c>
      <c r="AD309" s="53" t="str">
        <f t="shared" ref="AD309:AD312" si="219">HYPERLINK("https://www.indiana.edu/academics/degrees-majors/index.html","Link")</f>
        <v>Link</v>
      </c>
      <c r="AE309" s="54">
        <v>39184</v>
      </c>
      <c r="AF309" s="54">
        <v>90</v>
      </c>
      <c r="AG309" s="85"/>
      <c r="AH309" s="56">
        <v>151351</v>
      </c>
      <c r="AI309" s="7"/>
      <c r="AJ309" s="7"/>
    </row>
    <row r="310" spans="1:36" ht="15" x14ac:dyDescent="0.2">
      <c r="A310" s="43" t="s">
        <v>4260</v>
      </c>
      <c r="B310" s="33" t="s">
        <v>1151</v>
      </c>
      <c r="C310" s="7" t="s">
        <v>67</v>
      </c>
      <c r="D310" s="7" t="s">
        <v>4361</v>
      </c>
      <c r="E310" s="44">
        <v>5</v>
      </c>
      <c r="F310" s="7"/>
      <c r="G310" s="7"/>
      <c r="H310" s="2" t="s">
        <v>4343</v>
      </c>
      <c r="I310" s="7" t="s">
        <v>4193</v>
      </c>
      <c r="J310" s="7" t="s">
        <v>4362</v>
      </c>
      <c r="K310" s="7" t="s">
        <v>55</v>
      </c>
      <c r="L310" s="7" t="s">
        <v>4365</v>
      </c>
      <c r="M310" s="7" t="s">
        <v>4366</v>
      </c>
      <c r="N310" s="45" t="str">
        <f t="shared" ref="N310:N312" si="220">HYPERLINK("twitter.com/indianasb","@indianasb")</f>
        <v>@indianasb</v>
      </c>
      <c r="O310" s="74" t="str">
        <f t="shared" si="218"/>
        <v>Questionnaire</v>
      </c>
      <c r="P310" s="48" t="s">
        <v>2602</v>
      </c>
      <c r="Q310" s="47" t="s">
        <v>1151</v>
      </c>
      <c r="R310" s="48" t="s">
        <v>2193</v>
      </c>
      <c r="S310" s="48" t="s">
        <v>238</v>
      </c>
      <c r="T310" s="49" t="s">
        <v>74</v>
      </c>
      <c r="U310" s="49" t="s">
        <v>75</v>
      </c>
      <c r="V310" s="48"/>
      <c r="W310" s="61">
        <v>3.69</v>
      </c>
      <c r="X310" s="49" t="s">
        <v>1229</v>
      </c>
      <c r="Y310" s="49" t="s">
        <v>2260</v>
      </c>
      <c r="Z310" s="49" t="s">
        <v>1373</v>
      </c>
      <c r="AA310" s="61">
        <v>0.79</v>
      </c>
      <c r="AB310" s="48" t="s">
        <v>4354</v>
      </c>
      <c r="AC310" s="62" t="s">
        <v>2602</v>
      </c>
      <c r="AD310" s="53" t="str">
        <f t="shared" si="219"/>
        <v>Link</v>
      </c>
      <c r="AE310" s="54">
        <v>39184</v>
      </c>
      <c r="AF310" s="54">
        <v>90</v>
      </c>
      <c r="AG310" s="85"/>
      <c r="AH310" s="56">
        <v>151351</v>
      </c>
      <c r="AI310" s="7"/>
      <c r="AJ310" s="7"/>
    </row>
    <row r="311" spans="1:36" ht="15" x14ac:dyDescent="0.2">
      <c r="A311" s="43" t="s">
        <v>4260</v>
      </c>
      <c r="B311" s="33" t="s">
        <v>1151</v>
      </c>
      <c r="C311" s="7" t="s">
        <v>67</v>
      </c>
      <c r="D311" s="7" t="s">
        <v>4373</v>
      </c>
      <c r="E311" s="44">
        <v>5</v>
      </c>
      <c r="F311" s="7"/>
      <c r="G311" s="7"/>
      <c r="H311" s="2" t="s">
        <v>4343</v>
      </c>
      <c r="I311" s="7" t="s">
        <v>4375</v>
      </c>
      <c r="J311" s="7" t="s">
        <v>2969</v>
      </c>
      <c r="K311" s="7" t="s">
        <v>55</v>
      </c>
      <c r="L311" s="7" t="s">
        <v>4376</v>
      </c>
      <c r="M311" s="7" t="s">
        <v>4377</v>
      </c>
      <c r="N311" s="45" t="str">
        <f t="shared" si="220"/>
        <v>@indianasb</v>
      </c>
      <c r="O311" s="74" t="str">
        <f t="shared" si="218"/>
        <v>Questionnaire</v>
      </c>
      <c r="P311" s="48" t="s">
        <v>2602</v>
      </c>
      <c r="Q311" s="47" t="s">
        <v>1151</v>
      </c>
      <c r="R311" s="48" t="s">
        <v>2193</v>
      </c>
      <c r="S311" s="48" t="s">
        <v>238</v>
      </c>
      <c r="T311" s="49" t="s">
        <v>74</v>
      </c>
      <c r="U311" s="49" t="s">
        <v>75</v>
      </c>
      <c r="V311" s="48"/>
      <c r="W311" s="61">
        <v>3.69</v>
      </c>
      <c r="X311" s="49" t="s">
        <v>1229</v>
      </c>
      <c r="Y311" s="49" t="s">
        <v>2260</v>
      </c>
      <c r="Z311" s="49" t="s">
        <v>1373</v>
      </c>
      <c r="AA311" s="61">
        <v>0.79</v>
      </c>
      <c r="AB311" s="48" t="s">
        <v>4354</v>
      </c>
      <c r="AC311" s="62" t="s">
        <v>2602</v>
      </c>
      <c r="AD311" s="53" t="str">
        <f t="shared" si="219"/>
        <v>Link</v>
      </c>
      <c r="AE311" s="54">
        <v>39184</v>
      </c>
      <c r="AF311" s="54">
        <v>90</v>
      </c>
      <c r="AG311" s="85"/>
      <c r="AH311" s="56">
        <v>151351</v>
      </c>
      <c r="AI311" s="7"/>
      <c r="AJ311" s="7"/>
    </row>
    <row r="312" spans="1:36" ht="15" x14ac:dyDescent="0.2">
      <c r="A312" s="43" t="s">
        <v>4260</v>
      </c>
      <c r="B312" s="33" t="s">
        <v>1151</v>
      </c>
      <c r="C312" s="7" t="s">
        <v>67</v>
      </c>
      <c r="D312" s="7" t="s">
        <v>4381</v>
      </c>
      <c r="E312" s="44">
        <v>5</v>
      </c>
      <c r="F312" s="7"/>
      <c r="G312" s="7"/>
      <c r="H312" s="2" t="s">
        <v>4343</v>
      </c>
      <c r="I312" s="7" t="s">
        <v>4382</v>
      </c>
      <c r="J312" s="7" t="s">
        <v>4383</v>
      </c>
      <c r="K312" s="7" t="s">
        <v>120</v>
      </c>
      <c r="L312" s="7" t="s">
        <v>4385</v>
      </c>
      <c r="M312" s="7"/>
      <c r="N312" s="45" t="str">
        <f t="shared" si="220"/>
        <v>@indianasb</v>
      </c>
      <c r="O312" s="74" t="str">
        <f t="shared" si="218"/>
        <v>Questionnaire</v>
      </c>
      <c r="P312" s="48" t="s">
        <v>2602</v>
      </c>
      <c r="Q312" s="47" t="s">
        <v>1151</v>
      </c>
      <c r="R312" s="48" t="s">
        <v>2193</v>
      </c>
      <c r="S312" s="48" t="s">
        <v>238</v>
      </c>
      <c r="T312" s="49" t="s">
        <v>74</v>
      </c>
      <c r="U312" s="49" t="s">
        <v>75</v>
      </c>
      <c r="V312" s="48"/>
      <c r="W312" s="61">
        <v>3.69</v>
      </c>
      <c r="X312" s="49" t="s">
        <v>1229</v>
      </c>
      <c r="Y312" s="49" t="s">
        <v>2260</v>
      </c>
      <c r="Z312" s="49" t="s">
        <v>1373</v>
      </c>
      <c r="AA312" s="61">
        <v>0.79</v>
      </c>
      <c r="AB312" s="48" t="s">
        <v>4354</v>
      </c>
      <c r="AC312" s="62" t="s">
        <v>2602</v>
      </c>
      <c r="AD312" s="53" t="str">
        <f t="shared" si="219"/>
        <v>Link</v>
      </c>
      <c r="AE312" s="54">
        <v>39184</v>
      </c>
      <c r="AF312" s="54">
        <v>90</v>
      </c>
      <c r="AG312" s="85"/>
      <c r="AH312" s="56">
        <v>151351</v>
      </c>
      <c r="AI312" s="7"/>
      <c r="AJ312" s="7"/>
    </row>
    <row r="313" spans="1:36" ht="15" x14ac:dyDescent="0.2">
      <c r="A313" s="43" t="s">
        <v>4260</v>
      </c>
      <c r="B313" s="33" t="s">
        <v>2663</v>
      </c>
      <c r="C313" s="7" t="s">
        <v>67</v>
      </c>
      <c r="D313" s="7" t="s">
        <v>4391</v>
      </c>
      <c r="E313" s="44">
        <v>5</v>
      </c>
      <c r="F313" s="7"/>
      <c r="G313" s="7"/>
      <c r="H313" s="2" t="s">
        <v>4392</v>
      </c>
      <c r="I313" s="7" t="s">
        <v>4393</v>
      </c>
      <c r="J313" s="7" t="s">
        <v>4395</v>
      </c>
      <c r="K313" s="7" t="s">
        <v>48</v>
      </c>
      <c r="L313" s="7" t="s">
        <v>4396</v>
      </c>
      <c r="M313" s="7" t="s">
        <v>4398</v>
      </c>
      <c r="N313" s="45" t="str">
        <f t="shared" ref="N313:N318" si="221">HYPERLINK("twitter.com/iowasoftball","@iowasoftball")</f>
        <v>@iowasoftball</v>
      </c>
      <c r="O313" s="74" t="str">
        <f t="shared" ref="O313:O318" si="222">HYPERLINK("http://grfx.cstv.com/photos/schools/iowa/sports/w-softbl/auto_pdf/prospective-sa-questionnaire.pdf","Questionnaire")</f>
        <v>Questionnaire</v>
      </c>
      <c r="P313" s="48" t="s">
        <v>2926</v>
      </c>
      <c r="Q313" s="47" t="s">
        <v>2663</v>
      </c>
      <c r="R313" s="48" t="s">
        <v>4409</v>
      </c>
      <c r="S313" s="48" t="s">
        <v>186</v>
      </c>
      <c r="T313" s="49" t="s">
        <v>74</v>
      </c>
      <c r="U313" s="49" t="s">
        <v>75</v>
      </c>
      <c r="V313" s="48"/>
      <c r="W313" s="61">
        <v>3.63</v>
      </c>
      <c r="X313" s="49" t="s">
        <v>4412</v>
      </c>
      <c r="Y313" s="49" t="s">
        <v>80</v>
      </c>
      <c r="Z313" s="49" t="s">
        <v>78</v>
      </c>
      <c r="AA313" s="61">
        <v>0.84</v>
      </c>
      <c r="AB313" s="48" t="s">
        <v>4413</v>
      </c>
      <c r="AC313" s="62" t="s">
        <v>2926</v>
      </c>
      <c r="AD313" s="53" t="str">
        <f t="shared" ref="AD313:AD318" si="223">HYPERLINK("https://admissions.uiowa.edu/academics/undergraduate-areas-of-study","Link")</f>
        <v>Link</v>
      </c>
      <c r="AE313" s="54">
        <v>24476</v>
      </c>
      <c r="AF313" s="54">
        <v>78</v>
      </c>
      <c r="AG313" s="85"/>
      <c r="AH313" s="56">
        <v>153658</v>
      </c>
      <c r="AI313" s="7"/>
      <c r="AJ313" s="7"/>
    </row>
    <row r="314" spans="1:36" ht="15" x14ac:dyDescent="0.2">
      <c r="A314" s="43" t="s">
        <v>4260</v>
      </c>
      <c r="B314" s="33" t="s">
        <v>2663</v>
      </c>
      <c r="C314" s="7" t="s">
        <v>67</v>
      </c>
      <c r="D314" s="7" t="s">
        <v>4391</v>
      </c>
      <c r="E314" s="44">
        <v>5</v>
      </c>
      <c r="F314" s="7"/>
      <c r="G314" s="7"/>
      <c r="H314" s="2" t="s">
        <v>4392</v>
      </c>
      <c r="I314" s="7" t="s">
        <v>4393</v>
      </c>
      <c r="J314" s="7" t="s">
        <v>4395</v>
      </c>
      <c r="K314" s="7" t="s">
        <v>1048</v>
      </c>
      <c r="L314" s="7" t="s">
        <v>4415</v>
      </c>
      <c r="M314" s="7" t="s">
        <v>4398</v>
      </c>
      <c r="N314" s="45" t="str">
        <f t="shared" si="221"/>
        <v>@iowasoftball</v>
      </c>
      <c r="O314" s="74" t="str">
        <f t="shared" si="222"/>
        <v>Questionnaire</v>
      </c>
      <c r="P314" s="48" t="s">
        <v>2926</v>
      </c>
      <c r="Q314" s="47" t="s">
        <v>2663</v>
      </c>
      <c r="R314" s="48" t="s">
        <v>4409</v>
      </c>
      <c r="S314" s="48" t="s">
        <v>186</v>
      </c>
      <c r="T314" s="49" t="s">
        <v>74</v>
      </c>
      <c r="U314" s="49" t="s">
        <v>75</v>
      </c>
      <c r="V314" s="48"/>
      <c r="W314" s="61">
        <v>3.63</v>
      </c>
      <c r="X314" s="49" t="s">
        <v>4412</v>
      </c>
      <c r="Y314" s="49" t="s">
        <v>80</v>
      </c>
      <c r="Z314" s="49" t="s">
        <v>78</v>
      </c>
      <c r="AA314" s="61">
        <v>0.84</v>
      </c>
      <c r="AB314" s="48" t="s">
        <v>4413</v>
      </c>
      <c r="AC314" s="62" t="s">
        <v>2926</v>
      </c>
      <c r="AD314" s="53" t="str">
        <f t="shared" si="223"/>
        <v>Link</v>
      </c>
      <c r="AE314" s="54">
        <v>24476</v>
      </c>
      <c r="AF314" s="54">
        <v>78</v>
      </c>
      <c r="AG314" s="85"/>
      <c r="AH314" s="56">
        <v>153658</v>
      </c>
      <c r="AI314" s="7"/>
      <c r="AJ314" s="7"/>
    </row>
    <row r="315" spans="1:36" ht="15" x14ac:dyDescent="0.2">
      <c r="A315" s="43" t="s">
        <v>4260</v>
      </c>
      <c r="B315" s="33" t="s">
        <v>2663</v>
      </c>
      <c r="C315" s="7" t="s">
        <v>67</v>
      </c>
      <c r="D315" s="7" t="s">
        <v>4423</v>
      </c>
      <c r="E315" s="44">
        <v>5</v>
      </c>
      <c r="F315" s="7"/>
      <c r="G315" s="7"/>
      <c r="H315" s="2" t="s">
        <v>4392</v>
      </c>
      <c r="I315" s="7" t="s">
        <v>4425</v>
      </c>
      <c r="J315" s="7" t="s">
        <v>4427</v>
      </c>
      <c r="K315" s="7" t="s">
        <v>55</v>
      </c>
      <c r="L315" s="7" t="s">
        <v>4429</v>
      </c>
      <c r="M315" s="7" t="s">
        <v>4398</v>
      </c>
      <c r="N315" s="45" t="str">
        <f t="shared" si="221"/>
        <v>@iowasoftball</v>
      </c>
      <c r="O315" s="74" t="str">
        <f t="shared" si="222"/>
        <v>Questionnaire</v>
      </c>
      <c r="P315" s="48" t="s">
        <v>2926</v>
      </c>
      <c r="Q315" s="47" t="s">
        <v>2663</v>
      </c>
      <c r="R315" s="48" t="s">
        <v>4409</v>
      </c>
      <c r="S315" s="48" t="s">
        <v>186</v>
      </c>
      <c r="T315" s="49" t="s">
        <v>74</v>
      </c>
      <c r="U315" s="49" t="s">
        <v>75</v>
      </c>
      <c r="V315" s="48"/>
      <c r="W315" s="61">
        <v>3.63</v>
      </c>
      <c r="X315" s="49" t="s">
        <v>4412</v>
      </c>
      <c r="Y315" s="49" t="s">
        <v>80</v>
      </c>
      <c r="Z315" s="49" t="s">
        <v>78</v>
      </c>
      <c r="AA315" s="61">
        <v>0.84</v>
      </c>
      <c r="AB315" s="48" t="s">
        <v>4413</v>
      </c>
      <c r="AC315" s="62" t="s">
        <v>2926</v>
      </c>
      <c r="AD315" s="53" t="str">
        <f t="shared" si="223"/>
        <v>Link</v>
      </c>
      <c r="AE315" s="54">
        <v>24476</v>
      </c>
      <c r="AF315" s="54">
        <v>78</v>
      </c>
      <c r="AG315" s="85"/>
      <c r="AH315" s="56">
        <v>153658</v>
      </c>
      <c r="AI315" s="7"/>
      <c r="AJ315" s="7"/>
    </row>
    <row r="316" spans="1:36" ht="15" x14ac:dyDescent="0.2">
      <c r="A316" s="43" t="s">
        <v>4260</v>
      </c>
      <c r="B316" s="33" t="s">
        <v>2663</v>
      </c>
      <c r="C316" s="7" t="s">
        <v>67</v>
      </c>
      <c r="D316" s="7" t="s">
        <v>4439</v>
      </c>
      <c r="E316" s="44">
        <v>5</v>
      </c>
      <c r="F316" s="7"/>
      <c r="G316" s="7"/>
      <c r="H316" s="2" t="s">
        <v>4392</v>
      </c>
      <c r="I316" s="7" t="s">
        <v>3899</v>
      </c>
      <c r="J316" s="7" t="s">
        <v>4440</v>
      </c>
      <c r="K316" s="7" t="s">
        <v>55</v>
      </c>
      <c r="L316" s="7" t="s">
        <v>4441</v>
      </c>
      <c r="M316" s="7" t="s">
        <v>4398</v>
      </c>
      <c r="N316" s="45" t="str">
        <f t="shared" si="221"/>
        <v>@iowasoftball</v>
      </c>
      <c r="O316" s="74" t="str">
        <f t="shared" si="222"/>
        <v>Questionnaire</v>
      </c>
      <c r="P316" s="48" t="s">
        <v>2926</v>
      </c>
      <c r="Q316" s="47" t="s">
        <v>2663</v>
      </c>
      <c r="R316" s="48" t="s">
        <v>4409</v>
      </c>
      <c r="S316" s="48" t="s">
        <v>186</v>
      </c>
      <c r="T316" s="49" t="s">
        <v>74</v>
      </c>
      <c r="U316" s="49" t="s">
        <v>75</v>
      </c>
      <c r="V316" s="48"/>
      <c r="W316" s="61">
        <v>3.63</v>
      </c>
      <c r="X316" s="49" t="s">
        <v>4412</v>
      </c>
      <c r="Y316" s="49" t="s">
        <v>80</v>
      </c>
      <c r="Z316" s="49" t="s">
        <v>78</v>
      </c>
      <c r="AA316" s="61">
        <v>0.84</v>
      </c>
      <c r="AB316" s="48" t="s">
        <v>4413</v>
      </c>
      <c r="AC316" s="62" t="s">
        <v>2926</v>
      </c>
      <c r="AD316" s="53" t="str">
        <f t="shared" si="223"/>
        <v>Link</v>
      </c>
      <c r="AE316" s="54">
        <v>24476</v>
      </c>
      <c r="AF316" s="54">
        <v>78</v>
      </c>
      <c r="AG316" s="85"/>
      <c r="AH316" s="56">
        <v>153658</v>
      </c>
      <c r="AI316" s="7"/>
      <c r="AJ316" s="7"/>
    </row>
    <row r="317" spans="1:36" ht="15" x14ac:dyDescent="0.2">
      <c r="A317" s="43" t="s">
        <v>4260</v>
      </c>
      <c r="B317" s="33" t="s">
        <v>2663</v>
      </c>
      <c r="C317" s="7" t="s">
        <v>67</v>
      </c>
      <c r="D317" s="7" t="s">
        <v>4450</v>
      </c>
      <c r="E317" s="44">
        <v>5</v>
      </c>
      <c r="F317" s="7"/>
      <c r="G317" s="7"/>
      <c r="H317" s="2" t="s">
        <v>4392</v>
      </c>
      <c r="I317" s="7" t="s">
        <v>4451</v>
      </c>
      <c r="J317" s="7" t="s">
        <v>4453</v>
      </c>
      <c r="K317" s="7" t="s">
        <v>154</v>
      </c>
      <c r="L317" s="7" t="s">
        <v>4429</v>
      </c>
      <c r="M317" s="7" t="s">
        <v>4455</v>
      </c>
      <c r="N317" s="45" t="str">
        <f t="shared" si="221"/>
        <v>@iowasoftball</v>
      </c>
      <c r="O317" s="74" t="str">
        <f t="shared" si="222"/>
        <v>Questionnaire</v>
      </c>
      <c r="P317" s="48" t="s">
        <v>2926</v>
      </c>
      <c r="Q317" s="47" t="s">
        <v>2663</v>
      </c>
      <c r="R317" s="48" t="s">
        <v>4409</v>
      </c>
      <c r="S317" s="48" t="s">
        <v>186</v>
      </c>
      <c r="T317" s="49" t="s">
        <v>74</v>
      </c>
      <c r="U317" s="49" t="s">
        <v>75</v>
      </c>
      <c r="V317" s="48"/>
      <c r="W317" s="61">
        <v>3.63</v>
      </c>
      <c r="X317" s="49" t="s">
        <v>4412</v>
      </c>
      <c r="Y317" s="49" t="s">
        <v>80</v>
      </c>
      <c r="Z317" s="49" t="s">
        <v>78</v>
      </c>
      <c r="AA317" s="61">
        <v>0.84</v>
      </c>
      <c r="AB317" s="48" t="s">
        <v>4413</v>
      </c>
      <c r="AC317" s="62" t="s">
        <v>2926</v>
      </c>
      <c r="AD317" s="53" t="str">
        <f t="shared" si="223"/>
        <v>Link</v>
      </c>
      <c r="AE317" s="54">
        <v>24476</v>
      </c>
      <c r="AF317" s="54">
        <v>78</v>
      </c>
      <c r="AG317" s="85"/>
      <c r="AH317" s="56">
        <v>153658</v>
      </c>
      <c r="AI317" s="7"/>
      <c r="AJ317" s="7"/>
    </row>
    <row r="318" spans="1:36" ht="15" x14ac:dyDescent="0.2">
      <c r="A318" s="43" t="s">
        <v>4260</v>
      </c>
      <c r="B318" s="33" t="s">
        <v>2663</v>
      </c>
      <c r="C318" s="7" t="s">
        <v>67</v>
      </c>
      <c r="D318" s="7" t="s">
        <v>4462</v>
      </c>
      <c r="E318" s="44">
        <v>5</v>
      </c>
      <c r="F318" s="7"/>
      <c r="G318" s="7"/>
      <c r="H318" s="2" t="s">
        <v>4392</v>
      </c>
      <c r="I318" s="7" t="s">
        <v>338</v>
      </c>
      <c r="J318" s="7" t="s">
        <v>4465</v>
      </c>
      <c r="K318" s="7" t="s">
        <v>139</v>
      </c>
      <c r="L318" s="7"/>
      <c r="M318" s="7"/>
      <c r="N318" s="45" t="str">
        <f t="shared" si="221"/>
        <v>@iowasoftball</v>
      </c>
      <c r="O318" s="74" t="str">
        <f t="shared" si="222"/>
        <v>Questionnaire</v>
      </c>
      <c r="P318" s="48" t="s">
        <v>2926</v>
      </c>
      <c r="Q318" s="47" t="s">
        <v>2663</v>
      </c>
      <c r="R318" s="48" t="s">
        <v>4409</v>
      </c>
      <c r="S318" s="48" t="s">
        <v>186</v>
      </c>
      <c r="T318" s="49" t="s">
        <v>74</v>
      </c>
      <c r="U318" s="49" t="s">
        <v>75</v>
      </c>
      <c r="V318" s="48"/>
      <c r="W318" s="61">
        <v>3.63</v>
      </c>
      <c r="X318" s="49" t="s">
        <v>4412</v>
      </c>
      <c r="Y318" s="49" t="s">
        <v>80</v>
      </c>
      <c r="Z318" s="49" t="s">
        <v>78</v>
      </c>
      <c r="AA318" s="61">
        <v>0.84</v>
      </c>
      <c r="AB318" s="48" t="s">
        <v>4413</v>
      </c>
      <c r="AC318" s="62" t="s">
        <v>2926</v>
      </c>
      <c r="AD318" s="53" t="str">
        <f t="shared" si="223"/>
        <v>Link</v>
      </c>
      <c r="AE318" s="54">
        <v>24476</v>
      </c>
      <c r="AF318" s="54">
        <v>78</v>
      </c>
      <c r="AG318" s="85"/>
      <c r="AH318" s="56">
        <v>153658</v>
      </c>
      <c r="AI318" s="7"/>
      <c r="AJ318" s="7"/>
    </row>
    <row r="319" spans="1:36" ht="15" x14ac:dyDescent="0.2">
      <c r="A319" s="43" t="s">
        <v>4260</v>
      </c>
      <c r="B319" s="33" t="s">
        <v>1668</v>
      </c>
      <c r="C319" s="7" t="s">
        <v>67</v>
      </c>
      <c r="D319" s="7" t="s">
        <v>4473</v>
      </c>
      <c r="E319" s="44">
        <v>5</v>
      </c>
      <c r="F319" s="7"/>
      <c r="G319" s="7"/>
      <c r="H319" s="2" t="s">
        <v>4474</v>
      </c>
      <c r="I319" s="7" t="s">
        <v>754</v>
      </c>
      <c r="J319" s="7" t="s">
        <v>4475</v>
      </c>
      <c r="K319" s="7" t="s">
        <v>139</v>
      </c>
      <c r="L319" s="7" t="s">
        <v>4476</v>
      </c>
      <c r="M319" s="7"/>
      <c r="N319" s="48"/>
      <c r="O319" s="48"/>
      <c r="P319" s="48" t="s">
        <v>4127</v>
      </c>
      <c r="Q319" s="47" t="s">
        <v>1668</v>
      </c>
      <c r="R319" s="48" t="s">
        <v>4478</v>
      </c>
      <c r="S319" s="48" t="s">
        <v>468</v>
      </c>
      <c r="T319" s="49" t="s">
        <v>74</v>
      </c>
      <c r="U319" s="49" t="s">
        <v>75</v>
      </c>
      <c r="V319" s="48"/>
      <c r="W319" s="61">
        <v>4.2</v>
      </c>
      <c r="X319" s="49" t="s">
        <v>1899</v>
      </c>
      <c r="Y319" s="49" t="s">
        <v>4483</v>
      </c>
      <c r="Z319" s="49" t="s">
        <v>1376</v>
      </c>
      <c r="AA319" s="61">
        <v>0.48</v>
      </c>
      <c r="AB319" s="48" t="s">
        <v>4484</v>
      </c>
      <c r="AC319" s="52" t="s">
        <v>4127</v>
      </c>
      <c r="AD319" s="53" t="str">
        <f t="shared" ref="AD319:AD323" si="224">HYPERLINK("https://www.admissions.umd.edu/explore/majors","Link")</f>
        <v>Link</v>
      </c>
      <c r="AE319" s="54">
        <v>28472</v>
      </c>
      <c r="AF319" s="54">
        <v>61</v>
      </c>
      <c r="AG319" s="85"/>
      <c r="AH319" s="56">
        <v>163286</v>
      </c>
      <c r="AI319" s="87"/>
      <c r="AJ319" s="87"/>
    </row>
    <row r="320" spans="1:36" ht="15" x14ac:dyDescent="0.2">
      <c r="A320" s="43" t="s">
        <v>4260</v>
      </c>
      <c r="B320" s="33" t="s">
        <v>1668</v>
      </c>
      <c r="C320" s="7" t="s">
        <v>67</v>
      </c>
      <c r="D320" s="7" t="s">
        <v>4489</v>
      </c>
      <c r="E320" s="44">
        <v>5</v>
      </c>
      <c r="F320" s="7"/>
      <c r="G320" s="7"/>
      <c r="H320" s="2" t="s">
        <v>4474</v>
      </c>
      <c r="I320" s="7" t="s">
        <v>904</v>
      </c>
      <c r="J320" s="7" t="s">
        <v>121</v>
      </c>
      <c r="K320" s="7" t="s">
        <v>48</v>
      </c>
      <c r="L320" s="7" t="s">
        <v>4494</v>
      </c>
      <c r="M320" s="7" t="s">
        <v>4495</v>
      </c>
      <c r="N320" s="45" t="str">
        <f>HYPERLINK("twitter.com/@GoCoacher","@GoCoacher")</f>
        <v>@GoCoacher</v>
      </c>
      <c r="O320" s="74" t="str">
        <f t="shared" ref="O320:O323" si="225">HYPERLINK("https://umterps.com/sports/2013/12/19/209345256.aspx","Questionnaire")</f>
        <v>Questionnaire</v>
      </c>
      <c r="P320" s="48" t="s">
        <v>4127</v>
      </c>
      <c r="Q320" s="47" t="s">
        <v>1668</v>
      </c>
      <c r="R320" s="48" t="s">
        <v>4478</v>
      </c>
      <c r="S320" s="48" t="s">
        <v>468</v>
      </c>
      <c r="T320" s="49" t="s">
        <v>74</v>
      </c>
      <c r="U320" s="49" t="s">
        <v>75</v>
      </c>
      <c r="V320" s="48"/>
      <c r="W320" s="61">
        <v>4.2</v>
      </c>
      <c r="X320" s="49" t="s">
        <v>1899</v>
      </c>
      <c r="Y320" s="49" t="s">
        <v>4483</v>
      </c>
      <c r="Z320" s="49" t="s">
        <v>1376</v>
      </c>
      <c r="AA320" s="61">
        <v>0.48</v>
      </c>
      <c r="AB320" s="48" t="s">
        <v>4484</v>
      </c>
      <c r="AC320" s="52" t="s">
        <v>4127</v>
      </c>
      <c r="AD320" s="53" t="str">
        <f t="shared" si="224"/>
        <v>Link</v>
      </c>
      <c r="AE320" s="54">
        <v>28472</v>
      </c>
      <c r="AF320" s="54">
        <v>61</v>
      </c>
      <c r="AG320" s="85"/>
      <c r="AH320" s="56">
        <v>163286</v>
      </c>
      <c r="AI320" s="7"/>
      <c r="AJ320" s="7"/>
    </row>
    <row r="321" spans="1:36" ht="15" x14ac:dyDescent="0.2">
      <c r="A321" s="43" t="s">
        <v>4260</v>
      </c>
      <c r="B321" s="33" t="s">
        <v>1668</v>
      </c>
      <c r="C321" s="7" t="s">
        <v>67</v>
      </c>
      <c r="D321" s="7" t="s">
        <v>4501</v>
      </c>
      <c r="E321" s="44">
        <v>5</v>
      </c>
      <c r="F321" s="7"/>
      <c r="G321" s="7"/>
      <c r="H321" s="2" t="s">
        <v>4474</v>
      </c>
      <c r="I321" s="7" t="s">
        <v>683</v>
      </c>
      <c r="J321" s="7" t="s">
        <v>3078</v>
      </c>
      <c r="K321" s="7" t="s">
        <v>55</v>
      </c>
      <c r="L321" s="7" t="s">
        <v>4504</v>
      </c>
      <c r="M321" s="7" t="s">
        <v>4505</v>
      </c>
      <c r="N321" s="45" t="str">
        <f t="shared" ref="N321:N323" si="226">HYPERLINK("twitter.com/terpssoftball","@terpssoftball")</f>
        <v>@terpssoftball</v>
      </c>
      <c r="O321" s="74" t="str">
        <f t="shared" si="225"/>
        <v>Questionnaire</v>
      </c>
      <c r="P321" s="48" t="s">
        <v>4127</v>
      </c>
      <c r="Q321" s="47" t="s">
        <v>1668</v>
      </c>
      <c r="R321" s="48" t="s">
        <v>4478</v>
      </c>
      <c r="S321" s="48" t="s">
        <v>468</v>
      </c>
      <c r="T321" s="49" t="s">
        <v>74</v>
      </c>
      <c r="U321" s="49" t="s">
        <v>75</v>
      </c>
      <c r="V321" s="48"/>
      <c r="W321" s="61">
        <v>4.2</v>
      </c>
      <c r="X321" s="49" t="s">
        <v>1899</v>
      </c>
      <c r="Y321" s="49" t="s">
        <v>4483</v>
      </c>
      <c r="Z321" s="49" t="s">
        <v>1376</v>
      </c>
      <c r="AA321" s="61">
        <v>0.48</v>
      </c>
      <c r="AB321" s="48" t="s">
        <v>4484</v>
      </c>
      <c r="AC321" s="52" t="s">
        <v>4127</v>
      </c>
      <c r="AD321" s="53" t="str">
        <f t="shared" si="224"/>
        <v>Link</v>
      </c>
      <c r="AE321" s="54">
        <v>28472</v>
      </c>
      <c r="AF321" s="54">
        <v>61</v>
      </c>
      <c r="AG321" s="85"/>
      <c r="AH321" s="56">
        <v>163286</v>
      </c>
      <c r="AI321" s="7"/>
      <c r="AJ321" s="7"/>
    </row>
    <row r="322" spans="1:36" ht="15" x14ac:dyDescent="0.2">
      <c r="A322" s="43" t="s">
        <v>4260</v>
      </c>
      <c r="B322" s="33" t="s">
        <v>1668</v>
      </c>
      <c r="C322" s="7" t="s">
        <v>67</v>
      </c>
      <c r="D322" s="7" t="s">
        <v>4518</v>
      </c>
      <c r="E322" s="44">
        <v>5</v>
      </c>
      <c r="F322" s="7"/>
      <c r="G322" s="7"/>
      <c r="H322" s="2" t="s">
        <v>4474</v>
      </c>
      <c r="I322" s="7" t="s">
        <v>754</v>
      </c>
      <c r="J322" s="7" t="s">
        <v>4520</v>
      </c>
      <c r="K322" s="7" t="s">
        <v>55</v>
      </c>
      <c r="L322" s="7" t="s">
        <v>4521</v>
      </c>
      <c r="M322" s="7" t="s">
        <v>4522</v>
      </c>
      <c r="N322" s="45" t="str">
        <f t="shared" si="226"/>
        <v>@terpssoftball</v>
      </c>
      <c r="O322" s="74" t="str">
        <f t="shared" si="225"/>
        <v>Questionnaire</v>
      </c>
      <c r="P322" s="48" t="s">
        <v>4127</v>
      </c>
      <c r="Q322" s="47" t="s">
        <v>1668</v>
      </c>
      <c r="R322" s="48" t="s">
        <v>4478</v>
      </c>
      <c r="S322" s="48" t="s">
        <v>468</v>
      </c>
      <c r="T322" s="49" t="s">
        <v>74</v>
      </c>
      <c r="U322" s="49" t="s">
        <v>75</v>
      </c>
      <c r="V322" s="48"/>
      <c r="W322" s="61">
        <v>4.2</v>
      </c>
      <c r="X322" s="49" t="s">
        <v>1899</v>
      </c>
      <c r="Y322" s="49" t="s">
        <v>4483</v>
      </c>
      <c r="Z322" s="49" t="s">
        <v>1376</v>
      </c>
      <c r="AA322" s="61">
        <v>0.48</v>
      </c>
      <c r="AB322" s="48" t="s">
        <v>4484</v>
      </c>
      <c r="AC322" s="52" t="s">
        <v>4127</v>
      </c>
      <c r="AD322" s="53" t="str">
        <f t="shared" si="224"/>
        <v>Link</v>
      </c>
      <c r="AE322" s="54">
        <v>28472</v>
      </c>
      <c r="AF322" s="54">
        <v>61</v>
      </c>
      <c r="AG322" s="85"/>
      <c r="AH322" s="56">
        <v>163286</v>
      </c>
      <c r="AI322" s="7"/>
      <c r="AJ322" s="7"/>
    </row>
    <row r="323" spans="1:36" ht="15" x14ac:dyDescent="0.2">
      <c r="A323" s="43" t="s">
        <v>4260</v>
      </c>
      <c r="B323" s="33" t="s">
        <v>1668</v>
      </c>
      <c r="C323" s="7" t="s">
        <v>67</v>
      </c>
      <c r="D323" s="7" t="s">
        <v>4527</v>
      </c>
      <c r="E323" s="44">
        <v>5</v>
      </c>
      <c r="F323" s="7"/>
      <c r="G323" s="7"/>
      <c r="H323" s="2" t="s">
        <v>4474</v>
      </c>
      <c r="I323" s="7" t="s">
        <v>4528</v>
      </c>
      <c r="J323" s="7" t="s">
        <v>4529</v>
      </c>
      <c r="K323" s="7" t="s">
        <v>139</v>
      </c>
      <c r="L323" s="7" t="s">
        <v>4530</v>
      </c>
      <c r="M323" s="7"/>
      <c r="N323" s="45" t="str">
        <f t="shared" si="226"/>
        <v>@terpssoftball</v>
      </c>
      <c r="O323" s="74" t="str">
        <f t="shared" si="225"/>
        <v>Questionnaire</v>
      </c>
      <c r="P323" s="48" t="s">
        <v>4127</v>
      </c>
      <c r="Q323" s="47" t="s">
        <v>1668</v>
      </c>
      <c r="R323" s="48" t="s">
        <v>4478</v>
      </c>
      <c r="S323" s="48" t="s">
        <v>468</v>
      </c>
      <c r="T323" s="49" t="s">
        <v>74</v>
      </c>
      <c r="U323" s="49" t="s">
        <v>75</v>
      </c>
      <c r="V323" s="48"/>
      <c r="W323" s="61">
        <v>4.2</v>
      </c>
      <c r="X323" s="49" t="s">
        <v>1899</v>
      </c>
      <c r="Y323" s="49" t="s">
        <v>4483</v>
      </c>
      <c r="Z323" s="49" t="s">
        <v>1376</v>
      </c>
      <c r="AA323" s="61">
        <v>0.48</v>
      </c>
      <c r="AB323" s="48" t="s">
        <v>4484</v>
      </c>
      <c r="AC323" s="52" t="s">
        <v>4127</v>
      </c>
      <c r="AD323" s="53" t="str">
        <f t="shared" si="224"/>
        <v>Link</v>
      </c>
      <c r="AE323" s="54">
        <v>28472</v>
      </c>
      <c r="AF323" s="54">
        <v>61</v>
      </c>
      <c r="AG323" s="85"/>
      <c r="AH323" s="56">
        <v>163286</v>
      </c>
      <c r="AI323" s="7"/>
      <c r="AJ323" s="7"/>
    </row>
    <row r="324" spans="1:36" ht="15" x14ac:dyDescent="0.2">
      <c r="A324" s="32" t="s">
        <v>4260</v>
      </c>
      <c r="B324" s="33" t="s">
        <v>4538</v>
      </c>
      <c r="C324" s="35" t="s">
        <v>67</v>
      </c>
      <c r="D324" s="57"/>
      <c r="E324" s="83">
        <v>5</v>
      </c>
      <c r="F324" s="7"/>
      <c r="G324" s="57"/>
      <c r="H324" s="2" t="s">
        <v>4539</v>
      </c>
      <c r="I324" s="2" t="s">
        <v>4540</v>
      </c>
      <c r="J324" s="2" t="s">
        <v>4541</v>
      </c>
      <c r="K324" s="2" t="s">
        <v>48</v>
      </c>
      <c r="L324" s="2" t="s">
        <v>4542</v>
      </c>
      <c r="M324" s="2" t="s">
        <v>4543</v>
      </c>
      <c r="N324" s="45" t="str">
        <f t="shared" ref="N324:N328" si="227">HYPERLINK("twitter.com/umichsoftball","@umichsoftball")</f>
        <v>@umichsoftball</v>
      </c>
      <c r="O324" s="74" t="str">
        <f t="shared" ref="O324:O328" si="228">HYPERLINK("https://static.mgoblue.com/custompages/thisismichigan/index.html","Questionnaire")</f>
        <v>Questionnaire</v>
      </c>
      <c r="P324" s="48" t="s">
        <v>4553</v>
      </c>
      <c r="Q324" s="60" t="s">
        <v>4538</v>
      </c>
      <c r="R324" s="48" t="s">
        <v>4554</v>
      </c>
      <c r="S324" s="48" t="s">
        <v>238</v>
      </c>
      <c r="T324" s="4" t="s">
        <v>74</v>
      </c>
      <c r="U324" s="48" t="s">
        <v>75</v>
      </c>
      <c r="V324" s="49"/>
      <c r="W324" s="37">
        <v>3.84</v>
      </c>
      <c r="X324" s="49" t="s">
        <v>888</v>
      </c>
      <c r="Y324" s="49" t="s">
        <v>4555</v>
      </c>
      <c r="Z324" s="49" t="s">
        <v>1376</v>
      </c>
      <c r="AA324" s="65">
        <v>0.28999999999999998</v>
      </c>
      <c r="AB324" s="48" t="s">
        <v>4556</v>
      </c>
      <c r="AC324" s="84" t="s">
        <v>4553</v>
      </c>
      <c r="AD324" s="53" t="str">
        <f t="shared" ref="AD324:AD328" si="229">HYPERLINK("https://admissions.umich.edu/academics-majors/majors-degrees","Link")</f>
        <v>Link</v>
      </c>
      <c r="AE324" s="42">
        <v>28983</v>
      </c>
      <c r="AF324" s="42">
        <v>28</v>
      </c>
      <c r="AG324" s="55"/>
      <c r="AH324" s="56">
        <v>170976</v>
      </c>
      <c r="AI324" s="56" t="s">
        <v>2459</v>
      </c>
      <c r="AJ324" s="56"/>
    </row>
    <row r="325" spans="1:36" ht="15" x14ac:dyDescent="0.2">
      <c r="A325" s="32" t="s">
        <v>4260</v>
      </c>
      <c r="B325" s="33" t="s">
        <v>4538</v>
      </c>
      <c r="C325" s="35" t="s">
        <v>67</v>
      </c>
      <c r="D325" s="57"/>
      <c r="E325" s="83">
        <v>5</v>
      </c>
      <c r="F325" s="7"/>
      <c r="G325" s="57"/>
      <c r="H325" s="2" t="s">
        <v>4539</v>
      </c>
      <c r="I325" s="2" t="s">
        <v>4563</v>
      </c>
      <c r="J325" s="2" t="s">
        <v>4564</v>
      </c>
      <c r="K325" s="2" t="s">
        <v>55</v>
      </c>
      <c r="L325" s="2" t="s">
        <v>4565</v>
      </c>
      <c r="M325" s="2" t="s">
        <v>4568</v>
      </c>
      <c r="N325" s="45" t="str">
        <f t="shared" si="227"/>
        <v>@umichsoftball</v>
      </c>
      <c r="O325" s="74" t="str">
        <f t="shared" si="228"/>
        <v>Questionnaire</v>
      </c>
      <c r="P325" s="48" t="s">
        <v>4553</v>
      </c>
      <c r="Q325" s="60" t="s">
        <v>4538</v>
      </c>
      <c r="R325" s="48" t="s">
        <v>4554</v>
      </c>
      <c r="S325" s="48" t="s">
        <v>238</v>
      </c>
      <c r="T325" s="4" t="s">
        <v>74</v>
      </c>
      <c r="U325" s="48" t="s">
        <v>75</v>
      </c>
      <c r="V325" s="49"/>
      <c r="W325" s="37">
        <v>3.84</v>
      </c>
      <c r="X325" s="49" t="s">
        <v>888</v>
      </c>
      <c r="Y325" s="49" t="s">
        <v>4555</v>
      </c>
      <c r="Z325" s="49" t="s">
        <v>1376</v>
      </c>
      <c r="AA325" s="65">
        <v>0.28999999999999998</v>
      </c>
      <c r="AB325" s="48" t="s">
        <v>4556</v>
      </c>
      <c r="AC325" s="84" t="s">
        <v>4553</v>
      </c>
      <c r="AD325" s="53" t="str">
        <f t="shared" si="229"/>
        <v>Link</v>
      </c>
      <c r="AE325" s="42">
        <v>28983</v>
      </c>
      <c r="AF325" s="42">
        <v>28</v>
      </c>
      <c r="AG325" s="55"/>
      <c r="AH325" s="56">
        <v>170976</v>
      </c>
      <c r="AI325" s="56" t="s">
        <v>2459</v>
      </c>
      <c r="AJ325" s="56"/>
    </row>
    <row r="326" spans="1:36" ht="15" x14ac:dyDescent="0.2">
      <c r="A326" s="32" t="s">
        <v>4260</v>
      </c>
      <c r="B326" s="33" t="s">
        <v>4538</v>
      </c>
      <c r="C326" s="35" t="s">
        <v>67</v>
      </c>
      <c r="D326" s="57"/>
      <c r="E326" s="83">
        <v>5</v>
      </c>
      <c r="F326" s="7"/>
      <c r="G326" s="57"/>
      <c r="H326" s="2" t="s">
        <v>4539</v>
      </c>
      <c r="I326" s="2" t="s">
        <v>1080</v>
      </c>
      <c r="J326" s="2" t="s">
        <v>4578</v>
      </c>
      <c r="K326" s="2" t="s">
        <v>55</v>
      </c>
      <c r="L326" s="2" t="s">
        <v>4581</v>
      </c>
      <c r="M326" s="2" t="s">
        <v>4583</v>
      </c>
      <c r="N326" s="45" t="str">
        <f t="shared" si="227"/>
        <v>@umichsoftball</v>
      </c>
      <c r="O326" s="74" t="str">
        <f t="shared" si="228"/>
        <v>Questionnaire</v>
      </c>
      <c r="P326" s="48" t="s">
        <v>4553</v>
      </c>
      <c r="Q326" s="60" t="s">
        <v>4538</v>
      </c>
      <c r="R326" s="48" t="s">
        <v>4554</v>
      </c>
      <c r="S326" s="48" t="s">
        <v>238</v>
      </c>
      <c r="T326" s="4" t="s">
        <v>74</v>
      </c>
      <c r="U326" s="48" t="s">
        <v>75</v>
      </c>
      <c r="V326" s="49"/>
      <c r="W326" s="37">
        <v>3.84</v>
      </c>
      <c r="X326" s="49" t="s">
        <v>888</v>
      </c>
      <c r="Y326" s="49" t="s">
        <v>4555</v>
      </c>
      <c r="Z326" s="49" t="s">
        <v>1376</v>
      </c>
      <c r="AA326" s="65">
        <v>0.28999999999999998</v>
      </c>
      <c r="AB326" s="48" t="s">
        <v>4556</v>
      </c>
      <c r="AC326" s="84" t="s">
        <v>4553</v>
      </c>
      <c r="AD326" s="53" t="str">
        <f t="shared" si="229"/>
        <v>Link</v>
      </c>
      <c r="AE326" s="42">
        <v>28983</v>
      </c>
      <c r="AF326" s="42">
        <v>28</v>
      </c>
      <c r="AG326" s="55"/>
      <c r="AH326" s="56">
        <v>170976</v>
      </c>
      <c r="AI326" s="56" t="s">
        <v>2459</v>
      </c>
      <c r="AJ326" s="56"/>
    </row>
    <row r="327" spans="1:36" ht="15" x14ac:dyDescent="0.2">
      <c r="A327" s="32" t="s">
        <v>4260</v>
      </c>
      <c r="B327" s="33" t="s">
        <v>4538</v>
      </c>
      <c r="C327" s="35" t="s">
        <v>67</v>
      </c>
      <c r="D327" s="57"/>
      <c r="E327" s="83">
        <v>5</v>
      </c>
      <c r="F327" s="7"/>
      <c r="G327" s="57"/>
      <c r="H327" s="2" t="s">
        <v>4539</v>
      </c>
      <c r="I327" s="2" t="s">
        <v>4589</v>
      </c>
      <c r="J327" s="2" t="s">
        <v>4590</v>
      </c>
      <c r="K327" s="2" t="s">
        <v>139</v>
      </c>
      <c r="L327" s="89" t="s">
        <v>4591</v>
      </c>
      <c r="M327" s="2"/>
      <c r="N327" s="45" t="str">
        <f t="shared" si="227"/>
        <v>@umichsoftball</v>
      </c>
      <c r="O327" s="74" t="str">
        <f t="shared" si="228"/>
        <v>Questionnaire</v>
      </c>
      <c r="P327" s="48" t="s">
        <v>4553</v>
      </c>
      <c r="Q327" s="60" t="s">
        <v>4538</v>
      </c>
      <c r="R327" s="48" t="s">
        <v>4554</v>
      </c>
      <c r="S327" s="48" t="s">
        <v>238</v>
      </c>
      <c r="T327" s="4" t="s">
        <v>74</v>
      </c>
      <c r="U327" s="48" t="s">
        <v>75</v>
      </c>
      <c r="V327" s="49"/>
      <c r="W327" s="37">
        <v>3.84</v>
      </c>
      <c r="X327" s="49" t="s">
        <v>888</v>
      </c>
      <c r="Y327" s="49" t="s">
        <v>4555</v>
      </c>
      <c r="Z327" s="49" t="s">
        <v>1376</v>
      </c>
      <c r="AA327" s="65">
        <v>0.28999999999999998</v>
      </c>
      <c r="AB327" s="48" t="s">
        <v>4556</v>
      </c>
      <c r="AC327" s="84" t="s">
        <v>4553</v>
      </c>
      <c r="AD327" s="53" t="str">
        <f t="shared" si="229"/>
        <v>Link</v>
      </c>
      <c r="AE327" s="42">
        <v>28983</v>
      </c>
      <c r="AF327" s="42">
        <v>28</v>
      </c>
      <c r="AG327" s="55"/>
      <c r="AH327" s="56">
        <v>170976</v>
      </c>
      <c r="AI327" s="56" t="s">
        <v>2459</v>
      </c>
      <c r="AJ327" s="56"/>
    </row>
    <row r="328" spans="1:36" ht="15" x14ac:dyDescent="0.2">
      <c r="A328" s="32" t="s">
        <v>4260</v>
      </c>
      <c r="B328" s="33" t="s">
        <v>4538</v>
      </c>
      <c r="C328" s="35" t="s">
        <v>67</v>
      </c>
      <c r="D328" s="57"/>
      <c r="E328" s="83">
        <v>5</v>
      </c>
      <c r="F328" s="7"/>
      <c r="G328" s="57" t="s">
        <v>126</v>
      </c>
      <c r="H328" s="2" t="s">
        <v>4539</v>
      </c>
      <c r="I328" s="2" t="s">
        <v>4607</v>
      </c>
      <c r="J328" s="2"/>
      <c r="K328" s="2"/>
      <c r="L328" s="2"/>
      <c r="M328" s="2"/>
      <c r="N328" s="45" t="str">
        <f t="shared" si="227"/>
        <v>@umichsoftball</v>
      </c>
      <c r="O328" s="74" t="str">
        <f t="shared" si="228"/>
        <v>Questionnaire</v>
      </c>
      <c r="P328" s="48" t="s">
        <v>4553</v>
      </c>
      <c r="Q328" s="60" t="s">
        <v>4538</v>
      </c>
      <c r="R328" s="48" t="s">
        <v>4554</v>
      </c>
      <c r="S328" s="48" t="s">
        <v>238</v>
      </c>
      <c r="T328" s="4" t="s">
        <v>74</v>
      </c>
      <c r="U328" s="48" t="s">
        <v>75</v>
      </c>
      <c r="V328" s="49"/>
      <c r="W328" s="37">
        <v>3.84</v>
      </c>
      <c r="X328" s="49" t="s">
        <v>888</v>
      </c>
      <c r="Y328" s="49" t="s">
        <v>4555</v>
      </c>
      <c r="Z328" s="49" t="s">
        <v>1376</v>
      </c>
      <c r="AA328" s="65">
        <v>0.28999999999999998</v>
      </c>
      <c r="AB328" s="48" t="s">
        <v>4556</v>
      </c>
      <c r="AC328" s="84" t="s">
        <v>4553</v>
      </c>
      <c r="AD328" s="53" t="str">
        <f t="shared" si="229"/>
        <v>Link</v>
      </c>
      <c r="AE328" s="42">
        <v>28983</v>
      </c>
      <c r="AF328" s="42">
        <v>28</v>
      </c>
      <c r="AG328" s="55"/>
      <c r="AH328" s="56">
        <v>170976</v>
      </c>
      <c r="AI328" s="56" t="s">
        <v>2459</v>
      </c>
      <c r="AJ328" s="56"/>
    </row>
    <row r="329" spans="1:36" ht="15" x14ac:dyDescent="0.2">
      <c r="A329" s="43" t="s">
        <v>4260</v>
      </c>
      <c r="B329" s="33" t="s">
        <v>4538</v>
      </c>
      <c r="C329" s="7" t="s">
        <v>67</v>
      </c>
      <c r="D329" s="7" t="s">
        <v>4617</v>
      </c>
      <c r="E329" s="44">
        <v>5</v>
      </c>
      <c r="F329" s="7"/>
      <c r="G329" s="7"/>
      <c r="H329" s="2" t="s">
        <v>4618</v>
      </c>
      <c r="I329" s="7" t="s">
        <v>4619</v>
      </c>
      <c r="J329" s="7" t="s">
        <v>3393</v>
      </c>
      <c r="K329" s="7" t="s">
        <v>48</v>
      </c>
      <c r="L329" s="7" t="s">
        <v>4622</v>
      </c>
      <c r="M329" s="7" t="s">
        <v>4623</v>
      </c>
      <c r="N329" s="45" t="s">
        <v>4625</v>
      </c>
      <c r="O329" s="7" t="s">
        <v>22</v>
      </c>
      <c r="P329" s="48" t="s">
        <v>4626</v>
      </c>
      <c r="Q329" s="47" t="s">
        <v>4538</v>
      </c>
      <c r="R329" s="48" t="s">
        <v>4627</v>
      </c>
      <c r="S329" s="48" t="s">
        <v>468</v>
      </c>
      <c r="T329" s="49" t="s">
        <v>74</v>
      </c>
      <c r="U329" s="49" t="s">
        <v>75</v>
      </c>
      <c r="V329" s="48"/>
      <c r="W329" s="61">
        <v>3.7</v>
      </c>
      <c r="X329" s="49" t="s">
        <v>2046</v>
      </c>
      <c r="Y329" s="49" t="s">
        <v>1066</v>
      </c>
      <c r="Z329" s="49" t="s">
        <v>1408</v>
      </c>
      <c r="AA329" s="61">
        <v>0.66</v>
      </c>
      <c r="AB329" s="48" t="s">
        <v>4628</v>
      </c>
      <c r="AC329" s="62" t="s">
        <v>4626</v>
      </c>
      <c r="AD329" s="53" t="str">
        <f t="shared" ref="AD329:AD332" si="230">HYPERLINK("https://admissions.msu.edu/academics/majors-degrees-programs/default.aspx","Link")</f>
        <v>Link</v>
      </c>
      <c r="AE329" s="54">
        <v>39090</v>
      </c>
      <c r="AF329" s="54">
        <v>81</v>
      </c>
      <c r="AG329" s="85"/>
      <c r="AH329" s="56">
        <v>171100</v>
      </c>
      <c r="AI329" s="7"/>
      <c r="AJ329" s="7"/>
    </row>
    <row r="330" spans="1:36" ht="15" x14ac:dyDescent="0.2">
      <c r="A330" s="43" t="s">
        <v>4260</v>
      </c>
      <c r="B330" s="33" t="s">
        <v>4538</v>
      </c>
      <c r="C330" s="7" t="s">
        <v>67</v>
      </c>
      <c r="D330" s="7" t="s">
        <v>4635</v>
      </c>
      <c r="E330" s="44">
        <v>5</v>
      </c>
      <c r="F330" s="7"/>
      <c r="G330" s="7"/>
      <c r="H330" s="2" t="s">
        <v>4618</v>
      </c>
      <c r="I330" s="7" t="s">
        <v>4636</v>
      </c>
      <c r="J330" s="7" t="s">
        <v>3984</v>
      </c>
      <c r="K330" s="7" t="s">
        <v>55</v>
      </c>
      <c r="L330" s="7" t="s">
        <v>4637</v>
      </c>
      <c r="M330" s="7" t="s">
        <v>4623</v>
      </c>
      <c r="N330" s="45" t="s">
        <v>4638</v>
      </c>
      <c r="O330" s="7" t="s">
        <v>22</v>
      </c>
      <c r="P330" s="48" t="s">
        <v>4626</v>
      </c>
      <c r="Q330" s="47" t="s">
        <v>4538</v>
      </c>
      <c r="R330" s="48" t="s">
        <v>4627</v>
      </c>
      <c r="S330" s="48" t="s">
        <v>468</v>
      </c>
      <c r="T330" s="49" t="s">
        <v>74</v>
      </c>
      <c r="U330" s="49" t="s">
        <v>75</v>
      </c>
      <c r="V330" s="48"/>
      <c r="W330" s="61">
        <v>3.7</v>
      </c>
      <c r="X330" s="49" t="s">
        <v>2046</v>
      </c>
      <c r="Y330" s="49" t="s">
        <v>1066</v>
      </c>
      <c r="Z330" s="49" t="s">
        <v>1408</v>
      </c>
      <c r="AA330" s="61">
        <v>0.66</v>
      </c>
      <c r="AB330" s="48" t="s">
        <v>4628</v>
      </c>
      <c r="AC330" s="62" t="s">
        <v>4626</v>
      </c>
      <c r="AD330" s="53" t="str">
        <f t="shared" si="230"/>
        <v>Link</v>
      </c>
      <c r="AE330" s="54">
        <v>39090</v>
      </c>
      <c r="AF330" s="54">
        <v>81</v>
      </c>
      <c r="AG330" s="85"/>
      <c r="AH330" s="56">
        <v>171100</v>
      </c>
      <c r="AI330" s="7"/>
      <c r="AJ330" s="7"/>
    </row>
    <row r="331" spans="1:36" ht="15" x14ac:dyDescent="0.2">
      <c r="A331" s="43" t="s">
        <v>4260</v>
      </c>
      <c r="B331" s="33" t="s">
        <v>4538</v>
      </c>
      <c r="C331" s="7" t="s">
        <v>67</v>
      </c>
      <c r="D331" s="7" t="s">
        <v>4645</v>
      </c>
      <c r="E331" s="44">
        <v>5</v>
      </c>
      <c r="F331" s="7"/>
      <c r="G331" s="7"/>
      <c r="H331" s="2" t="s">
        <v>4618</v>
      </c>
      <c r="I331" s="7" t="s">
        <v>3197</v>
      </c>
      <c r="J331" s="7" t="s">
        <v>4646</v>
      </c>
      <c r="K331" s="7" t="s">
        <v>55</v>
      </c>
      <c r="L331" s="7" t="s">
        <v>4647</v>
      </c>
      <c r="M331" s="7" t="s">
        <v>4623</v>
      </c>
      <c r="N331" s="45" t="s">
        <v>4648</v>
      </c>
      <c r="O331" s="7" t="s">
        <v>22</v>
      </c>
      <c r="P331" s="48" t="s">
        <v>4626</v>
      </c>
      <c r="Q331" s="47" t="s">
        <v>4538</v>
      </c>
      <c r="R331" s="48" t="s">
        <v>4627</v>
      </c>
      <c r="S331" s="48" t="s">
        <v>468</v>
      </c>
      <c r="T331" s="49" t="s">
        <v>74</v>
      </c>
      <c r="U331" s="49" t="s">
        <v>75</v>
      </c>
      <c r="V331" s="48"/>
      <c r="W331" s="61">
        <v>3.7</v>
      </c>
      <c r="X331" s="49" t="s">
        <v>2046</v>
      </c>
      <c r="Y331" s="49" t="s">
        <v>1066</v>
      </c>
      <c r="Z331" s="49" t="s">
        <v>1408</v>
      </c>
      <c r="AA331" s="61">
        <v>0.66</v>
      </c>
      <c r="AB331" s="48" t="s">
        <v>4628</v>
      </c>
      <c r="AC331" s="62" t="s">
        <v>4626</v>
      </c>
      <c r="AD331" s="53" t="str">
        <f t="shared" si="230"/>
        <v>Link</v>
      </c>
      <c r="AE331" s="54">
        <v>39090</v>
      </c>
      <c r="AF331" s="54">
        <v>81</v>
      </c>
      <c r="AG331" s="85"/>
      <c r="AH331" s="56">
        <v>171100</v>
      </c>
      <c r="AI331" s="7"/>
      <c r="AJ331" s="7"/>
    </row>
    <row r="332" spans="1:36" ht="15" x14ac:dyDescent="0.2">
      <c r="A332" s="43" t="s">
        <v>4260</v>
      </c>
      <c r="B332" s="33" t="s">
        <v>4538</v>
      </c>
      <c r="C332" s="7" t="s">
        <v>67</v>
      </c>
      <c r="D332" s="7" t="s">
        <v>4652</v>
      </c>
      <c r="E332" s="44">
        <v>5</v>
      </c>
      <c r="F332" s="7"/>
      <c r="G332" s="7"/>
      <c r="H332" s="2" t="s">
        <v>4618</v>
      </c>
      <c r="I332" s="7" t="s">
        <v>338</v>
      </c>
      <c r="J332" s="7" t="s">
        <v>4655</v>
      </c>
      <c r="K332" s="7" t="s">
        <v>139</v>
      </c>
      <c r="L332" s="7" t="s">
        <v>4656</v>
      </c>
      <c r="M332" s="7" t="s">
        <v>4623</v>
      </c>
      <c r="N332" s="45" t="str">
        <f>HYPERLINK("twitter.com/MSU_Softball","@MSU_Softball")</f>
        <v>@MSU_Softball</v>
      </c>
      <c r="O332" s="7" t="s">
        <v>22</v>
      </c>
      <c r="P332" s="48" t="s">
        <v>4626</v>
      </c>
      <c r="Q332" s="47" t="s">
        <v>4538</v>
      </c>
      <c r="R332" s="48" t="s">
        <v>4627</v>
      </c>
      <c r="S332" s="48" t="s">
        <v>468</v>
      </c>
      <c r="T332" s="49" t="s">
        <v>74</v>
      </c>
      <c r="U332" s="49" t="s">
        <v>75</v>
      </c>
      <c r="V332" s="48"/>
      <c r="W332" s="61">
        <v>3.7</v>
      </c>
      <c r="X332" s="49" t="s">
        <v>2046</v>
      </c>
      <c r="Y332" s="49" t="s">
        <v>1066</v>
      </c>
      <c r="Z332" s="49" t="s">
        <v>1408</v>
      </c>
      <c r="AA332" s="61">
        <v>0.66</v>
      </c>
      <c r="AB332" s="48" t="s">
        <v>4628</v>
      </c>
      <c r="AC332" s="62" t="s">
        <v>4626</v>
      </c>
      <c r="AD332" s="53" t="str">
        <f t="shared" si="230"/>
        <v>Link</v>
      </c>
      <c r="AE332" s="54">
        <v>39090</v>
      </c>
      <c r="AF332" s="54">
        <v>81</v>
      </c>
      <c r="AG332" s="85"/>
      <c r="AH332" s="56">
        <v>171100</v>
      </c>
      <c r="AI332" s="7"/>
      <c r="AJ332" s="7"/>
    </row>
    <row r="333" spans="1:36" ht="15" x14ac:dyDescent="0.2">
      <c r="A333" s="43" t="s">
        <v>4260</v>
      </c>
      <c r="B333" s="33" t="s">
        <v>4661</v>
      </c>
      <c r="C333" s="7" t="s">
        <v>67</v>
      </c>
      <c r="D333" s="7" t="s">
        <v>4662</v>
      </c>
      <c r="E333" s="44">
        <v>5</v>
      </c>
      <c r="F333" s="7"/>
      <c r="G333" s="7"/>
      <c r="H333" s="2" t="s">
        <v>4663</v>
      </c>
      <c r="I333" s="7" t="s">
        <v>1217</v>
      </c>
      <c r="J333" s="7" t="s">
        <v>4664</v>
      </c>
      <c r="K333" s="7" t="s">
        <v>48</v>
      </c>
      <c r="L333" s="2" t="s">
        <v>4665</v>
      </c>
      <c r="M333" s="2" t="s">
        <v>4666</v>
      </c>
      <c r="N333" s="45" t="str">
        <f t="shared" ref="N333:N338" si="231">HYPERLINK("twitter.com/gophersoftball","@gophersoftball")</f>
        <v>@gophersoftball</v>
      </c>
      <c r="O333" s="74" t="str">
        <f t="shared" ref="O333:O338" si="232">HYPERLINK("https://gophersports.com/sports/2018/5/21/ot-questionnaires-html.aspx","Questionnaire")</f>
        <v>Questionnaire</v>
      </c>
      <c r="P333" s="48" t="s">
        <v>4669</v>
      </c>
      <c r="Q333" s="47" t="s">
        <v>4661</v>
      </c>
      <c r="R333" s="48" t="s">
        <v>4670</v>
      </c>
      <c r="S333" s="48" t="s">
        <v>354</v>
      </c>
      <c r="T333" s="49" t="s">
        <v>74</v>
      </c>
      <c r="U333" s="49" t="s">
        <v>75</v>
      </c>
      <c r="V333" s="48"/>
      <c r="W333" s="61">
        <v>3.78</v>
      </c>
      <c r="X333" s="49" t="s">
        <v>4672</v>
      </c>
      <c r="Y333" s="49" t="s">
        <v>4673</v>
      </c>
      <c r="Z333" s="49" t="s">
        <v>179</v>
      </c>
      <c r="AA333" s="61">
        <v>0.44</v>
      </c>
      <c r="AB333" s="48" t="s">
        <v>4677</v>
      </c>
      <c r="AC333" s="62" t="s">
        <v>4669</v>
      </c>
      <c r="AD333" s="53" t="str">
        <f t="shared" ref="AD333:AD338" si="233">HYPERLINK("https://twin-cities.umn.edu/academics#programs-table-undergraduate","Link")</f>
        <v>Link</v>
      </c>
      <c r="AE333" s="54">
        <v>34870</v>
      </c>
      <c r="AF333" s="54">
        <v>69</v>
      </c>
      <c r="AG333" s="85"/>
      <c r="AH333" s="56">
        <v>174066</v>
      </c>
      <c r="AI333" s="7"/>
      <c r="AJ333" s="7"/>
    </row>
    <row r="334" spans="1:36" ht="15" x14ac:dyDescent="0.2">
      <c r="A334" s="43" t="s">
        <v>4260</v>
      </c>
      <c r="B334" s="33" t="s">
        <v>4661</v>
      </c>
      <c r="C334" s="7" t="s">
        <v>67</v>
      </c>
      <c r="D334" s="7" t="s">
        <v>4680</v>
      </c>
      <c r="E334" s="44">
        <v>5</v>
      </c>
      <c r="F334" s="7"/>
      <c r="G334" s="7"/>
      <c r="H334" s="2" t="s">
        <v>4663</v>
      </c>
      <c r="I334" s="7" t="s">
        <v>4683</v>
      </c>
      <c r="J334" s="7" t="s">
        <v>4684</v>
      </c>
      <c r="K334" s="7" t="s">
        <v>55</v>
      </c>
      <c r="L334" s="2" t="s">
        <v>4685</v>
      </c>
      <c r="M334" s="2" t="s">
        <v>4666</v>
      </c>
      <c r="N334" s="45" t="str">
        <f t="shared" si="231"/>
        <v>@gophersoftball</v>
      </c>
      <c r="O334" s="74" t="str">
        <f t="shared" si="232"/>
        <v>Questionnaire</v>
      </c>
      <c r="P334" s="48" t="s">
        <v>4669</v>
      </c>
      <c r="Q334" s="47" t="s">
        <v>4661</v>
      </c>
      <c r="R334" s="48" t="s">
        <v>4670</v>
      </c>
      <c r="S334" s="48" t="s">
        <v>354</v>
      </c>
      <c r="T334" s="49" t="s">
        <v>74</v>
      </c>
      <c r="U334" s="49" t="s">
        <v>75</v>
      </c>
      <c r="V334" s="48"/>
      <c r="W334" s="61">
        <v>3.78</v>
      </c>
      <c r="X334" s="49" t="s">
        <v>4672</v>
      </c>
      <c r="Y334" s="49" t="s">
        <v>4673</v>
      </c>
      <c r="Z334" s="49" t="s">
        <v>179</v>
      </c>
      <c r="AA334" s="61">
        <v>0.44</v>
      </c>
      <c r="AB334" s="48" t="s">
        <v>4677</v>
      </c>
      <c r="AC334" s="62" t="s">
        <v>4669</v>
      </c>
      <c r="AD334" s="53" t="str">
        <f t="shared" si="233"/>
        <v>Link</v>
      </c>
      <c r="AE334" s="54">
        <v>34870</v>
      </c>
      <c r="AF334" s="54">
        <v>69</v>
      </c>
      <c r="AG334" s="85"/>
      <c r="AH334" s="56">
        <v>174066</v>
      </c>
      <c r="AI334" s="7"/>
      <c r="AJ334" s="7"/>
    </row>
    <row r="335" spans="1:36" ht="15" x14ac:dyDescent="0.2">
      <c r="A335" s="43" t="s">
        <v>4260</v>
      </c>
      <c r="B335" s="33" t="s">
        <v>4661</v>
      </c>
      <c r="C335" s="7" t="s">
        <v>67</v>
      </c>
      <c r="D335" s="7" t="s">
        <v>4690</v>
      </c>
      <c r="E335" s="44">
        <v>5</v>
      </c>
      <c r="F335" s="7" t="s">
        <v>116</v>
      </c>
      <c r="G335" s="7"/>
      <c r="H335" s="2" t="s">
        <v>4663</v>
      </c>
      <c r="I335" s="7" t="s">
        <v>234</v>
      </c>
      <c r="J335" s="7" t="s">
        <v>4692</v>
      </c>
      <c r="K335" s="7" t="s">
        <v>55</v>
      </c>
      <c r="L335" s="2" t="s">
        <v>4693</v>
      </c>
      <c r="M335" s="2" t="s">
        <v>4666</v>
      </c>
      <c r="N335" s="45" t="str">
        <f t="shared" si="231"/>
        <v>@gophersoftball</v>
      </c>
      <c r="O335" s="74" t="str">
        <f t="shared" si="232"/>
        <v>Questionnaire</v>
      </c>
      <c r="P335" s="48" t="s">
        <v>4669</v>
      </c>
      <c r="Q335" s="47" t="s">
        <v>4661</v>
      </c>
      <c r="R335" s="48" t="s">
        <v>4670</v>
      </c>
      <c r="S335" s="48" t="s">
        <v>354</v>
      </c>
      <c r="T335" s="49" t="s">
        <v>74</v>
      </c>
      <c r="U335" s="49" t="s">
        <v>75</v>
      </c>
      <c r="V335" s="48"/>
      <c r="W335" s="61">
        <v>3.78</v>
      </c>
      <c r="X335" s="49" t="s">
        <v>4672</v>
      </c>
      <c r="Y335" s="49" t="s">
        <v>4673</v>
      </c>
      <c r="Z335" s="49" t="s">
        <v>179</v>
      </c>
      <c r="AA335" s="61">
        <v>0.44</v>
      </c>
      <c r="AB335" s="48" t="s">
        <v>4677</v>
      </c>
      <c r="AC335" s="62" t="s">
        <v>4669</v>
      </c>
      <c r="AD335" s="53" t="str">
        <f t="shared" si="233"/>
        <v>Link</v>
      </c>
      <c r="AE335" s="54">
        <v>34870</v>
      </c>
      <c r="AF335" s="54">
        <v>69</v>
      </c>
      <c r="AG335" s="85"/>
      <c r="AH335" s="56">
        <v>174066</v>
      </c>
      <c r="AI335" s="7"/>
      <c r="AJ335" s="7"/>
    </row>
    <row r="336" spans="1:36" ht="15" x14ac:dyDescent="0.2">
      <c r="A336" s="43" t="s">
        <v>4260</v>
      </c>
      <c r="B336" s="33" t="s">
        <v>4661</v>
      </c>
      <c r="C336" s="7" t="s">
        <v>67</v>
      </c>
      <c r="D336" s="7" t="s">
        <v>4698</v>
      </c>
      <c r="E336" s="44">
        <v>5</v>
      </c>
      <c r="F336" s="7"/>
      <c r="G336" s="7"/>
      <c r="H336" s="2" t="s">
        <v>4663</v>
      </c>
      <c r="I336" s="7" t="s">
        <v>1351</v>
      </c>
      <c r="J336" s="7" t="s">
        <v>4184</v>
      </c>
      <c r="K336" s="7" t="s">
        <v>139</v>
      </c>
      <c r="L336" s="7"/>
      <c r="M336" s="2" t="s">
        <v>4666</v>
      </c>
      <c r="N336" s="45" t="str">
        <f t="shared" si="231"/>
        <v>@gophersoftball</v>
      </c>
      <c r="O336" s="74" t="str">
        <f t="shared" si="232"/>
        <v>Questionnaire</v>
      </c>
      <c r="P336" s="48" t="s">
        <v>4669</v>
      </c>
      <c r="Q336" s="47" t="s">
        <v>4661</v>
      </c>
      <c r="R336" s="48" t="s">
        <v>4670</v>
      </c>
      <c r="S336" s="48" t="s">
        <v>354</v>
      </c>
      <c r="T336" s="49" t="s">
        <v>74</v>
      </c>
      <c r="U336" s="49" t="s">
        <v>75</v>
      </c>
      <c r="V336" s="48"/>
      <c r="W336" s="61">
        <v>3.78</v>
      </c>
      <c r="X336" s="49" t="s">
        <v>4672</v>
      </c>
      <c r="Y336" s="49" t="s">
        <v>4673</v>
      </c>
      <c r="Z336" s="49" t="s">
        <v>179</v>
      </c>
      <c r="AA336" s="61">
        <v>0.44</v>
      </c>
      <c r="AB336" s="48" t="s">
        <v>4677</v>
      </c>
      <c r="AC336" s="62" t="s">
        <v>4669</v>
      </c>
      <c r="AD336" s="53" t="str">
        <f t="shared" si="233"/>
        <v>Link</v>
      </c>
      <c r="AE336" s="54">
        <v>34870</v>
      </c>
      <c r="AF336" s="54">
        <v>69</v>
      </c>
      <c r="AG336" s="85"/>
      <c r="AH336" s="56">
        <v>174066</v>
      </c>
      <c r="AI336" s="7"/>
      <c r="AJ336" s="7"/>
    </row>
    <row r="337" spans="1:36" ht="15" x14ac:dyDescent="0.2">
      <c r="A337" s="43" t="s">
        <v>4260</v>
      </c>
      <c r="B337" s="33" t="s">
        <v>4661</v>
      </c>
      <c r="C337" s="7" t="s">
        <v>67</v>
      </c>
      <c r="D337" s="7" t="s">
        <v>4704</v>
      </c>
      <c r="E337" s="44">
        <v>5</v>
      </c>
      <c r="F337" s="7"/>
      <c r="G337" s="7"/>
      <c r="H337" s="2" t="s">
        <v>4663</v>
      </c>
      <c r="I337" s="7" t="s">
        <v>2402</v>
      </c>
      <c r="J337" s="7" t="s">
        <v>4707</v>
      </c>
      <c r="K337" s="7" t="s">
        <v>120</v>
      </c>
      <c r="L337" s="7"/>
      <c r="M337" s="7"/>
      <c r="N337" s="45" t="str">
        <f t="shared" si="231"/>
        <v>@gophersoftball</v>
      </c>
      <c r="O337" s="74" t="str">
        <f t="shared" si="232"/>
        <v>Questionnaire</v>
      </c>
      <c r="P337" s="48" t="s">
        <v>4669</v>
      </c>
      <c r="Q337" s="47" t="s">
        <v>4661</v>
      </c>
      <c r="R337" s="48" t="s">
        <v>4670</v>
      </c>
      <c r="S337" s="48" t="s">
        <v>354</v>
      </c>
      <c r="T337" s="49" t="s">
        <v>74</v>
      </c>
      <c r="U337" s="49" t="s">
        <v>75</v>
      </c>
      <c r="V337" s="48"/>
      <c r="W337" s="61">
        <v>3.78</v>
      </c>
      <c r="X337" s="49" t="s">
        <v>4672</v>
      </c>
      <c r="Y337" s="49" t="s">
        <v>4673</v>
      </c>
      <c r="Z337" s="49" t="s">
        <v>179</v>
      </c>
      <c r="AA337" s="61">
        <v>0.44</v>
      </c>
      <c r="AB337" s="48" t="s">
        <v>4677</v>
      </c>
      <c r="AC337" s="62" t="s">
        <v>4669</v>
      </c>
      <c r="AD337" s="53" t="str">
        <f t="shared" si="233"/>
        <v>Link</v>
      </c>
      <c r="AE337" s="54">
        <v>34870</v>
      </c>
      <c r="AF337" s="54">
        <v>69</v>
      </c>
      <c r="AG337" s="85"/>
      <c r="AH337" s="56">
        <v>174066</v>
      </c>
      <c r="AI337" s="7"/>
      <c r="AJ337" s="7"/>
    </row>
    <row r="338" spans="1:36" ht="15" x14ac:dyDescent="0.2">
      <c r="A338" s="43" t="s">
        <v>4260</v>
      </c>
      <c r="B338" s="33" t="s">
        <v>4661</v>
      </c>
      <c r="C338" s="7" t="s">
        <v>67</v>
      </c>
      <c r="D338" s="7" t="s">
        <v>4709</v>
      </c>
      <c r="E338" s="44">
        <v>5</v>
      </c>
      <c r="F338" s="7"/>
      <c r="G338" s="7"/>
      <c r="H338" s="2" t="s">
        <v>4663</v>
      </c>
      <c r="I338" s="7" t="s">
        <v>4710</v>
      </c>
      <c r="J338" s="7" t="s">
        <v>4711</v>
      </c>
      <c r="K338" s="7" t="s">
        <v>154</v>
      </c>
      <c r="L338" s="2" t="s">
        <v>4712</v>
      </c>
      <c r="M338" s="7"/>
      <c r="N338" s="45" t="str">
        <f t="shared" si="231"/>
        <v>@gophersoftball</v>
      </c>
      <c r="O338" s="74" t="str">
        <f t="shared" si="232"/>
        <v>Questionnaire</v>
      </c>
      <c r="P338" s="48" t="s">
        <v>4669</v>
      </c>
      <c r="Q338" s="47" t="s">
        <v>4661</v>
      </c>
      <c r="R338" s="48" t="s">
        <v>4670</v>
      </c>
      <c r="S338" s="48" t="s">
        <v>354</v>
      </c>
      <c r="T338" s="49" t="s">
        <v>74</v>
      </c>
      <c r="U338" s="49" t="s">
        <v>75</v>
      </c>
      <c r="V338" s="48"/>
      <c r="W338" s="61">
        <v>3.78</v>
      </c>
      <c r="X338" s="49" t="s">
        <v>4672</v>
      </c>
      <c r="Y338" s="49" t="s">
        <v>4673</v>
      </c>
      <c r="Z338" s="49" t="s">
        <v>179</v>
      </c>
      <c r="AA338" s="61">
        <v>0.44</v>
      </c>
      <c r="AB338" s="48" t="s">
        <v>4677</v>
      </c>
      <c r="AC338" s="62" t="s">
        <v>4669</v>
      </c>
      <c r="AD338" s="53" t="str">
        <f t="shared" si="233"/>
        <v>Link</v>
      </c>
      <c r="AE338" s="54">
        <v>34870</v>
      </c>
      <c r="AF338" s="54">
        <v>69</v>
      </c>
      <c r="AG338" s="85"/>
      <c r="AH338" s="56">
        <v>174066</v>
      </c>
      <c r="AI338" s="7"/>
      <c r="AJ338" s="7"/>
    </row>
    <row r="339" spans="1:36" ht="15" x14ac:dyDescent="0.2">
      <c r="A339" s="43" t="s">
        <v>4260</v>
      </c>
      <c r="B339" s="33" t="s">
        <v>3105</v>
      </c>
      <c r="C339" s="7" t="s">
        <v>67</v>
      </c>
      <c r="D339" s="7" t="s">
        <v>4720</v>
      </c>
      <c r="E339" s="44">
        <v>5</v>
      </c>
      <c r="F339" s="7"/>
      <c r="G339" s="7"/>
      <c r="H339" s="2" t="s">
        <v>4722</v>
      </c>
      <c r="I339" s="7" t="s">
        <v>4723</v>
      </c>
      <c r="J339" s="7" t="s">
        <v>4725</v>
      </c>
      <c r="K339" s="7" t="s">
        <v>48</v>
      </c>
      <c r="L339" s="7" t="s">
        <v>4727</v>
      </c>
      <c r="M339" s="7" t="s">
        <v>4728</v>
      </c>
      <c r="N339" s="45" t="str">
        <f t="shared" ref="N339:N342" si="234">HYPERLINK("twitter.com/huskersoftball","@huskersoftball")</f>
        <v>@huskersoftball</v>
      </c>
      <c r="O339" s="74" t="str">
        <f t="shared" ref="O339:O342" si="235">HYPERLINK("https://questionnaire.acsathletics.com/Questionnaire/Questionnaire.aspx?q=2387&amp;s=529&amp;o=40&amp;path=softball","Questionnaire")</f>
        <v>Questionnaire</v>
      </c>
      <c r="P339" s="48" t="s">
        <v>4734</v>
      </c>
      <c r="Q339" s="47" t="s">
        <v>3105</v>
      </c>
      <c r="R339" s="48" t="s">
        <v>4736</v>
      </c>
      <c r="S339" s="48" t="s">
        <v>62</v>
      </c>
      <c r="T339" s="73" t="s">
        <v>74</v>
      </c>
      <c r="U339" s="49" t="s">
        <v>75</v>
      </c>
      <c r="V339" s="48"/>
      <c r="W339" s="61">
        <v>3.65</v>
      </c>
      <c r="X339" s="49" t="s">
        <v>4739</v>
      </c>
      <c r="Y339" s="49" t="s">
        <v>3063</v>
      </c>
      <c r="Z339" s="49" t="s">
        <v>689</v>
      </c>
      <c r="AA339" s="61">
        <v>0.75</v>
      </c>
      <c r="AB339" s="48" t="s">
        <v>4742</v>
      </c>
      <c r="AC339" s="52" t="s">
        <v>4734</v>
      </c>
      <c r="AD339" s="53" t="str">
        <f t="shared" ref="AD339:AD342" si="236">HYPERLINK("https://admissions.unl.edu/why-nebraska/majors/","Link")</f>
        <v>Link</v>
      </c>
      <c r="AE339" s="54">
        <v>20833</v>
      </c>
      <c r="AF339" s="54">
        <v>124</v>
      </c>
      <c r="AG339" s="85"/>
      <c r="AH339" s="56">
        <v>181464</v>
      </c>
      <c r="AI339" s="7"/>
      <c r="AJ339" s="7"/>
    </row>
    <row r="340" spans="1:36" ht="15" x14ac:dyDescent="0.2">
      <c r="A340" s="43" t="s">
        <v>4260</v>
      </c>
      <c r="B340" s="33" t="s">
        <v>3105</v>
      </c>
      <c r="C340" s="7" t="s">
        <v>67</v>
      </c>
      <c r="D340" s="7" t="s">
        <v>4745</v>
      </c>
      <c r="E340" s="44">
        <v>5</v>
      </c>
      <c r="F340" s="7"/>
      <c r="G340" s="7"/>
      <c r="H340" s="2" t="s">
        <v>4722</v>
      </c>
      <c r="I340" s="7" t="s">
        <v>4746</v>
      </c>
      <c r="J340" s="7" t="s">
        <v>4747</v>
      </c>
      <c r="K340" s="7" t="s">
        <v>55</v>
      </c>
      <c r="L340" s="7" t="s">
        <v>4748</v>
      </c>
      <c r="M340" s="7" t="s">
        <v>4728</v>
      </c>
      <c r="N340" s="45" t="str">
        <f t="shared" si="234"/>
        <v>@huskersoftball</v>
      </c>
      <c r="O340" s="74" t="str">
        <f t="shared" si="235"/>
        <v>Questionnaire</v>
      </c>
      <c r="P340" s="48" t="s">
        <v>4734</v>
      </c>
      <c r="Q340" s="47" t="s">
        <v>3105</v>
      </c>
      <c r="R340" s="48" t="s">
        <v>4736</v>
      </c>
      <c r="S340" s="48" t="s">
        <v>62</v>
      </c>
      <c r="T340" s="73" t="s">
        <v>74</v>
      </c>
      <c r="U340" s="49" t="s">
        <v>75</v>
      </c>
      <c r="V340" s="48"/>
      <c r="W340" s="61">
        <v>3.65</v>
      </c>
      <c r="X340" s="49" t="s">
        <v>4739</v>
      </c>
      <c r="Y340" s="49" t="s">
        <v>3063</v>
      </c>
      <c r="Z340" s="49" t="s">
        <v>689</v>
      </c>
      <c r="AA340" s="61">
        <v>0.75</v>
      </c>
      <c r="AB340" s="48" t="s">
        <v>4742</v>
      </c>
      <c r="AC340" s="52" t="s">
        <v>4734</v>
      </c>
      <c r="AD340" s="53" t="str">
        <f t="shared" si="236"/>
        <v>Link</v>
      </c>
      <c r="AE340" s="54">
        <v>20833</v>
      </c>
      <c r="AF340" s="54">
        <v>124</v>
      </c>
      <c r="AG340" s="85"/>
      <c r="AH340" s="56">
        <v>181464</v>
      </c>
      <c r="AI340" s="7"/>
      <c r="AJ340" s="7"/>
    </row>
    <row r="341" spans="1:36" ht="15" x14ac:dyDescent="0.2">
      <c r="A341" s="43" t="s">
        <v>4260</v>
      </c>
      <c r="B341" s="33" t="s">
        <v>3105</v>
      </c>
      <c r="C341" s="7" t="s">
        <v>67</v>
      </c>
      <c r="D341" s="7" t="s">
        <v>4755</v>
      </c>
      <c r="E341" s="44">
        <v>5</v>
      </c>
      <c r="F341" s="7"/>
      <c r="G341" s="7"/>
      <c r="H341" s="2" t="s">
        <v>4722</v>
      </c>
      <c r="I341" s="7" t="s">
        <v>3053</v>
      </c>
      <c r="J341" s="7" t="s">
        <v>977</v>
      </c>
      <c r="K341" s="7" t="s">
        <v>55</v>
      </c>
      <c r="L341" s="7" t="s">
        <v>4756</v>
      </c>
      <c r="M341" s="7" t="s">
        <v>4728</v>
      </c>
      <c r="N341" s="45" t="str">
        <f t="shared" si="234"/>
        <v>@huskersoftball</v>
      </c>
      <c r="O341" s="74" t="str">
        <f t="shared" si="235"/>
        <v>Questionnaire</v>
      </c>
      <c r="P341" s="48" t="s">
        <v>4734</v>
      </c>
      <c r="Q341" s="47" t="s">
        <v>3105</v>
      </c>
      <c r="R341" s="48" t="s">
        <v>4736</v>
      </c>
      <c r="S341" s="48" t="s">
        <v>62</v>
      </c>
      <c r="T341" s="73" t="s">
        <v>74</v>
      </c>
      <c r="U341" s="49" t="s">
        <v>75</v>
      </c>
      <c r="V341" s="48"/>
      <c r="W341" s="61">
        <v>3.65</v>
      </c>
      <c r="X341" s="49" t="s">
        <v>4739</v>
      </c>
      <c r="Y341" s="49" t="s">
        <v>3063</v>
      </c>
      <c r="Z341" s="49" t="s">
        <v>689</v>
      </c>
      <c r="AA341" s="61">
        <v>0.75</v>
      </c>
      <c r="AB341" s="48" t="s">
        <v>4742</v>
      </c>
      <c r="AC341" s="52" t="s">
        <v>4734</v>
      </c>
      <c r="AD341" s="53" t="str">
        <f t="shared" si="236"/>
        <v>Link</v>
      </c>
      <c r="AE341" s="54">
        <v>20833</v>
      </c>
      <c r="AF341" s="54">
        <v>124</v>
      </c>
      <c r="AG341" s="85"/>
      <c r="AH341" s="56">
        <v>181464</v>
      </c>
      <c r="AI341" s="7"/>
      <c r="AJ341" s="7"/>
    </row>
    <row r="342" spans="1:36" ht="15" x14ac:dyDescent="0.2">
      <c r="A342" s="43" t="s">
        <v>4260</v>
      </c>
      <c r="B342" s="33" t="s">
        <v>3105</v>
      </c>
      <c r="C342" s="7" t="s">
        <v>67</v>
      </c>
      <c r="D342" s="7" t="s">
        <v>4769</v>
      </c>
      <c r="E342" s="44">
        <v>5</v>
      </c>
      <c r="F342" s="7"/>
      <c r="G342" s="7"/>
      <c r="H342" s="2" t="s">
        <v>4722</v>
      </c>
      <c r="I342" s="7" t="s">
        <v>4049</v>
      </c>
      <c r="J342" s="7" t="s">
        <v>911</v>
      </c>
      <c r="K342" s="7" t="s">
        <v>154</v>
      </c>
      <c r="L342" s="7" t="s">
        <v>4771</v>
      </c>
      <c r="M342" s="7" t="s">
        <v>4728</v>
      </c>
      <c r="N342" s="45" t="str">
        <f t="shared" si="234"/>
        <v>@huskersoftball</v>
      </c>
      <c r="O342" s="74" t="str">
        <f t="shared" si="235"/>
        <v>Questionnaire</v>
      </c>
      <c r="P342" s="48" t="s">
        <v>4734</v>
      </c>
      <c r="Q342" s="47" t="s">
        <v>3105</v>
      </c>
      <c r="R342" s="48" t="s">
        <v>4736</v>
      </c>
      <c r="S342" s="48" t="s">
        <v>62</v>
      </c>
      <c r="T342" s="73" t="s">
        <v>74</v>
      </c>
      <c r="U342" s="49" t="s">
        <v>75</v>
      </c>
      <c r="V342" s="48"/>
      <c r="W342" s="61">
        <v>3.65</v>
      </c>
      <c r="X342" s="49" t="s">
        <v>4739</v>
      </c>
      <c r="Y342" s="49" t="s">
        <v>3063</v>
      </c>
      <c r="Z342" s="49" t="s">
        <v>689</v>
      </c>
      <c r="AA342" s="61">
        <v>0.75</v>
      </c>
      <c r="AB342" s="48" t="s">
        <v>4742</v>
      </c>
      <c r="AC342" s="52" t="s">
        <v>4734</v>
      </c>
      <c r="AD342" s="53" t="str">
        <f t="shared" si="236"/>
        <v>Link</v>
      </c>
      <c r="AE342" s="54">
        <v>20833</v>
      </c>
      <c r="AF342" s="54">
        <v>124</v>
      </c>
      <c r="AG342" s="85"/>
      <c r="AH342" s="56">
        <v>181464</v>
      </c>
      <c r="AI342" s="7"/>
      <c r="AJ342" s="7"/>
    </row>
    <row r="343" spans="1:36" ht="15" x14ac:dyDescent="0.2">
      <c r="A343" s="43" t="s">
        <v>4260</v>
      </c>
      <c r="B343" s="33" t="s">
        <v>1721</v>
      </c>
      <c r="C343" s="7" t="s">
        <v>67</v>
      </c>
      <c r="D343" s="7" t="s">
        <v>4779</v>
      </c>
      <c r="E343" s="44">
        <v>5</v>
      </c>
      <c r="F343" s="7"/>
      <c r="G343" s="7"/>
      <c r="H343" s="2" t="s">
        <v>4780</v>
      </c>
      <c r="I343" s="7" t="s">
        <v>1528</v>
      </c>
      <c r="J343" s="7" t="s">
        <v>4781</v>
      </c>
      <c r="K343" s="7" t="s">
        <v>48</v>
      </c>
      <c r="L343" s="7" t="s">
        <v>4784</v>
      </c>
      <c r="M343" s="7" t="s">
        <v>4785</v>
      </c>
      <c r="N343" s="45" t="str">
        <f t="shared" ref="N343:N348" si="237">HYPERLINK("twitter.com/nusbcats","@nusbcats")</f>
        <v>@nusbcats</v>
      </c>
      <c r="O343" s="74" t="str">
        <f t="shared" ref="O343:O348" si="238">HYPERLINK("https://nusports.com/sports/2015/12/17/WSOC_1217155857.aspx","Questionnaire")</f>
        <v>Questionnaire</v>
      </c>
      <c r="P343" s="48" t="s">
        <v>4789</v>
      </c>
      <c r="Q343" s="47" t="s">
        <v>1721</v>
      </c>
      <c r="R343" s="48" t="s">
        <v>4791</v>
      </c>
      <c r="S343" s="48" t="s">
        <v>186</v>
      </c>
      <c r="T343" s="49" t="s">
        <v>63</v>
      </c>
      <c r="U343" s="49" t="s">
        <v>4792</v>
      </c>
      <c r="V343" s="48"/>
      <c r="W343" s="61">
        <v>4.13</v>
      </c>
      <c r="X343" s="49" t="s">
        <v>4794</v>
      </c>
      <c r="Y343" s="49" t="s">
        <v>4796</v>
      </c>
      <c r="Z343" s="49" t="s">
        <v>4797</v>
      </c>
      <c r="AA343" s="61">
        <v>0.11</v>
      </c>
      <c r="AB343" s="71">
        <v>70496</v>
      </c>
      <c r="AC343" s="62" t="s">
        <v>4789</v>
      </c>
      <c r="AD343" s="53" t="str">
        <f t="shared" ref="AD343:AD348" si="239">HYPERLINK("http://admissions.northwestern.edu/academics/majors-minors/","Link")</f>
        <v>Link</v>
      </c>
      <c r="AE343" s="54">
        <v>8791</v>
      </c>
      <c r="AF343" s="54">
        <v>11</v>
      </c>
      <c r="AG343" s="85"/>
      <c r="AH343" s="56">
        <v>147767</v>
      </c>
      <c r="AI343" s="7"/>
      <c r="AJ343" s="7"/>
    </row>
    <row r="344" spans="1:36" ht="15" x14ac:dyDescent="0.2">
      <c r="A344" s="43" t="s">
        <v>4260</v>
      </c>
      <c r="B344" s="33" t="s">
        <v>1721</v>
      </c>
      <c r="C344" s="7" t="s">
        <v>67</v>
      </c>
      <c r="D344" s="7" t="s">
        <v>4801</v>
      </c>
      <c r="E344" s="44">
        <v>5</v>
      </c>
      <c r="F344" s="7"/>
      <c r="G344" s="7"/>
      <c r="H344" s="2" t="s">
        <v>4780</v>
      </c>
      <c r="I344" s="7" t="s">
        <v>4803</v>
      </c>
      <c r="J344" s="7" t="s">
        <v>4781</v>
      </c>
      <c r="K344" s="7" t="s">
        <v>55</v>
      </c>
      <c r="L344" s="7" t="s">
        <v>4806</v>
      </c>
      <c r="M344" s="7" t="s">
        <v>4808</v>
      </c>
      <c r="N344" s="45" t="str">
        <f t="shared" si="237"/>
        <v>@nusbcats</v>
      </c>
      <c r="O344" s="74" t="str">
        <f t="shared" si="238"/>
        <v>Questionnaire</v>
      </c>
      <c r="P344" s="48" t="s">
        <v>4789</v>
      </c>
      <c r="Q344" s="47" t="s">
        <v>1721</v>
      </c>
      <c r="R344" s="48" t="s">
        <v>4791</v>
      </c>
      <c r="S344" s="48" t="s">
        <v>186</v>
      </c>
      <c r="T344" s="49" t="s">
        <v>63</v>
      </c>
      <c r="U344" s="49" t="s">
        <v>4792</v>
      </c>
      <c r="V344" s="48"/>
      <c r="W344" s="61">
        <v>4.13</v>
      </c>
      <c r="X344" s="49" t="s">
        <v>4794</v>
      </c>
      <c r="Y344" s="49" t="s">
        <v>4796</v>
      </c>
      <c r="Z344" s="49" t="s">
        <v>4797</v>
      </c>
      <c r="AA344" s="61">
        <v>0.11</v>
      </c>
      <c r="AB344" s="71">
        <v>70496</v>
      </c>
      <c r="AC344" s="62" t="s">
        <v>4789</v>
      </c>
      <c r="AD344" s="53" t="str">
        <f t="shared" si="239"/>
        <v>Link</v>
      </c>
      <c r="AE344" s="54">
        <v>8791</v>
      </c>
      <c r="AF344" s="54">
        <v>11</v>
      </c>
      <c r="AG344" s="85"/>
      <c r="AH344" s="56">
        <v>147767</v>
      </c>
      <c r="AI344" s="7"/>
      <c r="AJ344" s="7"/>
    </row>
    <row r="345" spans="1:36" ht="15" x14ac:dyDescent="0.2">
      <c r="A345" s="43" t="s">
        <v>4260</v>
      </c>
      <c r="B345" s="33" t="s">
        <v>1721</v>
      </c>
      <c r="C345" s="7" t="s">
        <v>67</v>
      </c>
      <c r="D345" s="7" t="s">
        <v>4813</v>
      </c>
      <c r="E345" s="44">
        <v>5</v>
      </c>
      <c r="F345" s="7"/>
      <c r="G345" s="7"/>
      <c r="H345" s="2" t="s">
        <v>4780</v>
      </c>
      <c r="I345" s="7" t="s">
        <v>1280</v>
      </c>
      <c r="J345" s="7" t="s">
        <v>4816</v>
      </c>
      <c r="K345" s="7" t="s">
        <v>55</v>
      </c>
      <c r="L345" s="7" t="s">
        <v>4818</v>
      </c>
      <c r="M345" s="7" t="s">
        <v>4820</v>
      </c>
      <c r="N345" s="45" t="str">
        <f t="shared" si="237"/>
        <v>@nusbcats</v>
      </c>
      <c r="O345" s="74" t="str">
        <f t="shared" si="238"/>
        <v>Questionnaire</v>
      </c>
      <c r="P345" s="48" t="s">
        <v>4789</v>
      </c>
      <c r="Q345" s="47" t="s">
        <v>1721</v>
      </c>
      <c r="R345" s="48" t="s">
        <v>4791</v>
      </c>
      <c r="S345" s="48" t="s">
        <v>186</v>
      </c>
      <c r="T345" s="49" t="s">
        <v>63</v>
      </c>
      <c r="U345" s="49" t="s">
        <v>4792</v>
      </c>
      <c r="V345" s="48"/>
      <c r="W345" s="61">
        <v>4.13</v>
      </c>
      <c r="X345" s="49" t="s">
        <v>4794</v>
      </c>
      <c r="Y345" s="49" t="s">
        <v>4796</v>
      </c>
      <c r="Z345" s="49" t="s">
        <v>4797</v>
      </c>
      <c r="AA345" s="61">
        <v>0.11</v>
      </c>
      <c r="AB345" s="71">
        <v>70496</v>
      </c>
      <c r="AC345" s="62" t="s">
        <v>4789</v>
      </c>
      <c r="AD345" s="53" t="str">
        <f t="shared" si="239"/>
        <v>Link</v>
      </c>
      <c r="AE345" s="54">
        <v>8791</v>
      </c>
      <c r="AF345" s="54">
        <v>11</v>
      </c>
      <c r="AG345" s="85"/>
      <c r="AH345" s="56">
        <v>147767</v>
      </c>
      <c r="AI345" s="7"/>
      <c r="AJ345" s="7"/>
    </row>
    <row r="346" spans="1:36" ht="15" x14ac:dyDescent="0.2">
      <c r="A346" s="43" t="s">
        <v>4260</v>
      </c>
      <c r="B346" s="33" t="s">
        <v>1721</v>
      </c>
      <c r="C346" s="7" t="s">
        <v>67</v>
      </c>
      <c r="D346" s="7" t="s">
        <v>4826</v>
      </c>
      <c r="E346" s="44">
        <v>5</v>
      </c>
      <c r="F346" s="7"/>
      <c r="G346" s="7"/>
      <c r="H346" s="2" t="s">
        <v>4780</v>
      </c>
      <c r="I346" s="7" t="s">
        <v>4827</v>
      </c>
      <c r="J346" s="7" t="s">
        <v>4828</v>
      </c>
      <c r="K346" s="7" t="s">
        <v>139</v>
      </c>
      <c r="L346" s="7" t="s">
        <v>4830</v>
      </c>
      <c r="M346" s="7"/>
      <c r="N346" s="45" t="str">
        <f t="shared" si="237"/>
        <v>@nusbcats</v>
      </c>
      <c r="O346" s="74" t="str">
        <f t="shared" si="238"/>
        <v>Questionnaire</v>
      </c>
      <c r="P346" s="48" t="s">
        <v>4789</v>
      </c>
      <c r="Q346" s="47" t="s">
        <v>1721</v>
      </c>
      <c r="R346" s="48" t="s">
        <v>4791</v>
      </c>
      <c r="S346" s="48" t="s">
        <v>186</v>
      </c>
      <c r="T346" s="49" t="s">
        <v>63</v>
      </c>
      <c r="U346" s="49" t="s">
        <v>4792</v>
      </c>
      <c r="V346" s="48"/>
      <c r="W346" s="61">
        <v>4.13</v>
      </c>
      <c r="X346" s="49" t="s">
        <v>4794</v>
      </c>
      <c r="Y346" s="49" t="s">
        <v>4796</v>
      </c>
      <c r="Z346" s="49" t="s">
        <v>4797</v>
      </c>
      <c r="AA346" s="61">
        <v>0.11</v>
      </c>
      <c r="AB346" s="71">
        <v>70496</v>
      </c>
      <c r="AC346" s="62" t="s">
        <v>4789</v>
      </c>
      <c r="AD346" s="53" t="str">
        <f t="shared" si="239"/>
        <v>Link</v>
      </c>
      <c r="AE346" s="54">
        <v>8791</v>
      </c>
      <c r="AF346" s="54">
        <v>11</v>
      </c>
      <c r="AG346" s="85"/>
      <c r="AH346" s="56">
        <v>147767</v>
      </c>
      <c r="AI346" s="7"/>
      <c r="AJ346" s="7"/>
    </row>
    <row r="347" spans="1:36" ht="15" x14ac:dyDescent="0.2">
      <c r="A347" s="43" t="s">
        <v>4260</v>
      </c>
      <c r="B347" s="33" t="s">
        <v>1721</v>
      </c>
      <c r="C347" s="7" t="s">
        <v>67</v>
      </c>
      <c r="D347" s="7" t="s">
        <v>4834</v>
      </c>
      <c r="E347" s="44">
        <v>5</v>
      </c>
      <c r="F347" s="7"/>
      <c r="G347" s="7"/>
      <c r="H347" s="2" t="s">
        <v>4780</v>
      </c>
      <c r="I347" s="7" t="s">
        <v>1327</v>
      </c>
      <c r="J347" s="7" t="s">
        <v>4837</v>
      </c>
      <c r="K347" s="7" t="s">
        <v>154</v>
      </c>
      <c r="L347" s="7" t="s">
        <v>4839</v>
      </c>
      <c r="M347" s="7"/>
      <c r="N347" s="45" t="str">
        <f t="shared" si="237"/>
        <v>@nusbcats</v>
      </c>
      <c r="O347" s="74" t="str">
        <f t="shared" si="238"/>
        <v>Questionnaire</v>
      </c>
      <c r="P347" s="48" t="s">
        <v>4789</v>
      </c>
      <c r="Q347" s="47" t="s">
        <v>1721</v>
      </c>
      <c r="R347" s="48" t="s">
        <v>4791</v>
      </c>
      <c r="S347" s="48" t="s">
        <v>186</v>
      </c>
      <c r="T347" s="49" t="s">
        <v>63</v>
      </c>
      <c r="U347" s="49" t="s">
        <v>4792</v>
      </c>
      <c r="V347" s="48"/>
      <c r="W347" s="61">
        <v>4.13</v>
      </c>
      <c r="X347" s="49" t="s">
        <v>4794</v>
      </c>
      <c r="Y347" s="49" t="s">
        <v>4796</v>
      </c>
      <c r="Z347" s="49" t="s">
        <v>4797</v>
      </c>
      <c r="AA347" s="61">
        <v>0.11</v>
      </c>
      <c r="AB347" s="71">
        <v>70496</v>
      </c>
      <c r="AC347" s="62" t="s">
        <v>4789</v>
      </c>
      <c r="AD347" s="53" t="str">
        <f t="shared" si="239"/>
        <v>Link</v>
      </c>
      <c r="AE347" s="54">
        <v>8791</v>
      </c>
      <c r="AF347" s="54">
        <v>11</v>
      </c>
      <c r="AG347" s="85"/>
      <c r="AH347" s="56">
        <v>147767</v>
      </c>
      <c r="AI347" s="7"/>
      <c r="AJ347" s="7"/>
    </row>
    <row r="348" spans="1:36" ht="15" x14ac:dyDescent="0.2">
      <c r="A348" s="43" t="s">
        <v>4260</v>
      </c>
      <c r="B348" s="33" t="s">
        <v>1721</v>
      </c>
      <c r="C348" s="7" t="s">
        <v>67</v>
      </c>
      <c r="D348" s="7" t="s">
        <v>4845</v>
      </c>
      <c r="E348" s="44">
        <v>5</v>
      </c>
      <c r="F348" s="7"/>
      <c r="G348" s="7"/>
      <c r="H348" s="2" t="s">
        <v>4780</v>
      </c>
      <c r="I348" s="7" t="s">
        <v>4846</v>
      </c>
      <c r="J348" s="7" t="s">
        <v>4847</v>
      </c>
      <c r="K348" s="7" t="s">
        <v>120</v>
      </c>
      <c r="L348" s="7" t="s">
        <v>4848</v>
      </c>
      <c r="M348" s="7"/>
      <c r="N348" s="45" t="str">
        <f t="shared" si="237"/>
        <v>@nusbcats</v>
      </c>
      <c r="O348" s="74" t="str">
        <f t="shared" si="238"/>
        <v>Questionnaire</v>
      </c>
      <c r="P348" s="48" t="s">
        <v>4789</v>
      </c>
      <c r="Q348" s="47" t="s">
        <v>1721</v>
      </c>
      <c r="R348" s="48" t="s">
        <v>4791</v>
      </c>
      <c r="S348" s="48" t="s">
        <v>186</v>
      </c>
      <c r="T348" s="49" t="s">
        <v>63</v>
      </c>
      <c r="U348" s="49" t="s">
        <v>4792</v>
      </c>
      <c r="V348" s="48"/>
      <c r="W348" s="61">
        <v>4.13</v>
      </c>
      <c r="X348" s="49" t="s">
        <v>4794</v>
      </c>
      <c r="Y348" s="49" t="s">
        <v>4796</v>
      </c>
      <c r="Z348" s="49" t="s">
        <v>4797</v>
      </c>
      <c r="AA348" s="61">
        <v>0.11</v>
      </c>
      <c r="AB348" s="71">
        <v>70496</v>
      </c>
      <c r="AC348" s="62" t="s">
        <v>4789</v>
      </c>
      <c r="AD348" s="53" t="str">
        <f t="shared" si="239"/>
        <v>Link</v>
      </c>
      <c r="AE348" s="54">
        <v>8791</v>
      </c>
      <c r="AF348" s="54">
        <v>11</v>
      </c>
      <c r="AG348" s="85"/>
      <c r="AH348" s="56">
        <v>147767</v>
      </c>
      <c r="AI348" s="7"/>
      <c r="AJ348" s="7"/>
    </row>
    <row r="349" spans="1:36" ht="15" x14ac:dyDescent="0.2">
      <c r="A349" s="43" t="s">
        <v>4260</v>
      </c>
      <c r="B349" s="33" t="s">
        <v>1814</v>
      </c>
      <c r="C349" s="7" t="s">
        <v>67</v>
      </c>
      <c r="D349" s="7" t="s">
        <v>4857</v>
      </c>
      <c r="E349" s="44">
        <v>5</v>
      </c>
      <c r="F349" s="7"/>
      <c r="G349" s="7"/>
      <c r="H349" s="2" t="s">
        <v>4858</v>
      </c>
      <c r="I349" s="7" t="s">
        <v>4859</v>
      </c>
      <c r="J349" s="7" t="s">
        <v>4860</v>
      </c>
      <c r="K349" s="7" t="s">
        <v>139</v>
      </c>
      <c r="L349" s="7"/>
      <c r="M349" s="7"/>
      <c r="N349" s="48"/>
      <c r="O349" s="48"/>
      <c r="P349" s="48" t="s">
        <v>4861</v>
      </c>
      <c r="Q349" s="47" t="s">
        <v>1814</v>
      </c>
      <c r="R349" s="48" t="s">
        <v>3674</v>
      </c>
      <c r="S349" s="48" t="s">
        <v>354</v>
      </c>
      <c r="T349" s="73" t="s">
        <v>74</v>
      </c>
      <c r="U349" s="49" t="s">
        <v>75</v>
      </c>
      <c r="V349" s="48"/>
      <c r="W349" s="61">
        <v>3.72</v>
      </c>
      <c r="X349" s="49" t="s">
        <v>1066</v>
      </c>
      <c r="Y349" s="49" t="s">
        <v>1104</v>
      </c>
      <c r="Z349" s="49" t="s">
        <v>1900</v>
      </c>
      <c r="AA349" s="61">
        <v>0.54</v>
      </c>
      <c r="AB349" s="48" t="s">
        <v>4865</v>
      </c>
      <c r="AC349" s="62" t="s">
        <v>4861</v>
      </c>
      <c r="AD349" s="53" t="str">
        <f t="shared" ref="AD349:AD353" si="240">HYPERLINK("http://undergrad.osu.edu/majors-and-academics/majors","Link")</f>
        <v>Link</v>
      </c>
      <c r="AE349" s="54">
        <v>45831</v>
      </c>
      <c r="AF349" s="54">
        <v>54</v>
      </c>
      <c r="AG349" s="85"/>
      <c r="AH349" s="56">
        <v>204796</v>
      </c>
      <c r="AI349" s="87"/>
      <c r="AJ349" s="87"/>
    </row>
    <row r="350" spans="1:36" ht="15" x14ac:dyDescent="0.2">
      <c r="A350" s="43" t="s">
        <v>4260</v>
      </c>
      <c r="B350" s="33" t="s">
        <v>1814</v>
      </c>
      <c r="C350" s="7" t="s">
        <v>67</v>
      </c>
      <c r="D350" s="7" t="s">
        <v>4872</v>
      </c>
      <c r="E350" s="44">
        <v>5</v>
      </c>
      <c r="F350" s="7"/>
      <c r="G350" s="7"/>
      <c r="H350" s="2" t="s">
        <v>4858</v>
      </c>
      <c r="I350" s="7" t="s">
        <v>484</v>
      </c>
      <c r="J350" s="7" t="s">
        <v>4874</v>
      </c>
      <c r="K350" s="7" t="s">
        <v>48</v>
      </c>
      <c r="L350" s="7" t="s">
        <v>4875</v>
      </c>
      <c r="M350" s="7"/>
      <c r="N350" s="45" t="str">
        <f t="shared" ref="N350:N353" si="241">HYPERLINK("twitter.com/ohiostatesb","@ohiostatesb")</f>
        <v>@ohiostatesb</v>
      </c>
      <c r="O350" s="74" t="str">
        <f t="shared" ref="O350:O353" si="242">HYPERLINK("https://ohiostatebuckeyes.com/recruiting/","Questionnaire")</f>
        <v>Questionnaire</v>
      </c>
      <c r="P350" s="48" t="s">
        <v>4861</v>
      </c>
      <c r="Q350" s="47" t="s">
        <v>1814</v>
      </c>
      <c r="R350" s="48" t="s">
        <v>3674</v>
      </c>
      <c r="S350" s="48" t="s">
        <v>354</v>
      </c>
      <c r="T350" s="73" t="s">
        <v>74</v>
      </c>
      <c r="U350" s="49" t="s">
        <v>75</v>
      </c>
      <c r="V350" s="48"/>
      <c r="W350" s="61">
        <v>3.72</v>
      </c>
      <c r="X350" s="49" t="s">
        <v>1066</v>
      </c>
      <c r="Y350" s="49" t="s">
        <v>1104</v>
      </c>
      <c r="Z350" s="49" t="s">
        <v>1900</v>
      </c>
      <c r="AA350" s="61">
        <v>0.54</v>
      </c>
      <c r="AB350" s="48" t="s">
        <v>4865</v>
      </c>
      <c r="AC350" s="62" t="s">
        <v>4861</v>
      </c>
      <c r="AD350" s="53" t="str">
        <f t="shared" si="240"/>
        <v>Link</v>
      </c>
      <c r="AE350" s="54">
        <v>45831</v>
      </c>
      <c r="AF350" s="54">
        <v>54</v>
      </c>
      <c r="AG350" s="85"/>
      <c r="AH350" s="56">
        <v>204796</v>
      </c>
      <c r="AI350" s="7"/>
      <c r="AJ350" s="7"/>
    </row>
    <row r="351" spans="1:36" ht="15" x14ac:dyDescent="0.2">
      <c r="A351" s="43" t="s">
        <v>4260</v>
      </c>
      <c r="B351" s="33" t="s">
        <v>1814</v>
      </c>
      <c r="C351" s="7" t="s">
        <v>67</v>
      </c>
      <c r="D351" s="7" t="s">
        <v>4887</v>
      </c>
      <c r="E351" s="44">
        <v>5</v>
      </c>
      <c r="F351" s="7"/>
      <c r="G351" s="7"/>
      <c r="H351" s="2" t="s">
        <v>4858</v>
      </c>
      <c r="I351" s="7" t="s">
        <v>1092</v>
      </c>
      <c r="J351" s="7" t="s">
        <v>4888</v>
      </c>
      <c r="K351" s="7" t="s">
        <v>55</v>
      </c>
      <c r="L351" s="7"/>
      <c r="M351" s="7"/>
      <c r="N351" s="45" t="str">
        <f t="shared" si="241"/>
        <v>@ohiostatesb</v>
      </c>
      <c r="O351" s="74" t="str">
        <f t="shared" si="242"/>
        <v>Questionnaire</v>
      </c>
      <c r="P351" s="48" t="s">
        <v>4861</v>
      </c>
      <c r="Q351" s="47" t="s">
        <v>1814</v>
      </c>
      <c r="R351" s="48" t="s">
        <v>3674</v>
      </c>
      <c r="S351" s="48" t="s">
        <v>354</v>
      </c>
      <c r="T351" s="73" t="s">
        <v>74</v>
      </c>
      <c r="U351" s="49" t="s">
        <v>75</v>
      </c>
      <c r="V351" s="48"/>
      <c r="W351" s="61">
        <v>3.72</v>
      </c>
      <c r="X351" s="49" t="s">
        <v>1066</v>
      </c>
      <c r="Y351" s="49" t="s">
        <v>1104</v>
      </c>
      <c r="Z351" s="49" t="s">
        <v>1900</v>
      </c>
      <c r="AA351" s="61">
        <v>0.54</v>
      </c>
      <c r="AB351" s="48" t="s">
        <v>4865</v>
      </c>
      <c r="AC351" s="62" t="s">
        <v>4861</v>
      </c>
      <c r="AD351" s="53" t="str">
        <f t="shared" si="240"/>
        <v>Link</v>
      </c>
      <c r="AE351" s="54">
        <v>45831</v>
      </c>
      <c r="AF351" s="54">
        <v>54</v>
      </c>
      <c r="AG351" s="85"/>
      <c r="AH351" s="56">
        <v>204796</v>
      </c>
      <c r="AI351" s="7"/>
      <c r="AJ351" s="7"/>
    </row>
    <row r="352" spans="1:36" ht="15" x14ac:dyDescent="0.2">
      <c r="A352" s="43" t="s">
        <v>4260</v>
      </c>
      <c r="B352" s="33" t="s">
        <v>1814</v>
      </c>
      <c r="C352" s="7" t="s">
        <v>67</v>
      </c>
      <c r="D352" s="7" t="s">
        <v>4898</v>
      </c>
      <c r="E352" s="44">
        <v>5</v>
      </c>
      <c r="F352" s="7"/>
      <c r="G352" s="7"/>
      <c r="H352" s="2" t="s">
        <v>4858</v>
      </c>
      <c r="I352" s="7" t="s">
        <v>93</v>
      </c>
      <c r="J352" s="7" t="s">
        <v>3498</v>
      </c>
      <c r="K352" s="7" t="s">
        <v>55</v>
      </c>
      <c r="L352" s="7" t="s">
        <v>4899</v>
      </c>
      <c r="M352" s="7"/>
      <c r="N352" s="45" t="str">
        <f t="shared" si="241"/>
        <v>@ohiostatesb</v>
      </c>
      <c r="O352" s="74" t="str">
        <f t="shared" si="242"/>
        <v>Questionnaire</v>
      </c>
      <c r="P352" s="48" t="s">
        <v>4861</v>
      </c>
      <c r="Q352" s="47" t="s">
        <v>1814</v>
      </c>
      <c r="R352" s="48" t="s">
        <v>3674</v>
      </c>
      <c r="S352" s="48" t="s">
        <v>354</v>
      </c>
      <c r="T352" s="73" t="s">
        <v>74</v>
      </c>
      <c r="U352" s="49" t="s">
        <v>75</v>
      </c>
      <c r="V352" s="48"/>
      <c r="W352" s="61">
        <v>3.72</v>
      </c>
      <c r="X352" s="49" t="s">
        <v>1066</v>
      </c>
      <c r="Y352" s="49" t="s">
        <v>1104</v>
      </c>
      <c r="Z352" s="49" t="s">
        <v>1900</v>
      </c>
      <c r="AA352" s="61">
        <v>0.54</v>
      </c>
      <c r="AB352" s="48" t="s">
        <v>4865</v>
      </c>
      <c r="AC352" s="62" t="s">
        <v>4861</v>
      </c>
      <c r="AD352" s="53" t="str">
        <f t="shared" si="240"/>
        <v>Link</v>
      </c>
      <c r="AE352" s="54">
        <v>45831</v>
      </c>
      <c r="AF352" s="54">
        <v>54</v>
      </c>
      <c r="AG352" s="85"/>
      <c r="AH352" s="56">
        <v>204796</v>
      </c>
      <c r="AI352" s="7"/>
      <c r="AJ352" s="7"/>
    </row>
    <row r="353" spans="1:36" ht="15" x14ac:dyDescent="0.2">
      <c r="A353" s="43" t="s">
        <v>4260</v>
      </c>
      <c r="B353" s="33" t="s">
        <v>1814</v>
      </c>
      <c r="C353" s="7" t="s">
        <v>67</v>
      </c>
      <c r="D353" s="7" t="s">
        <v>4905</v>
      </c>
      <c r="E353" s="44">
        <v>5</v>
      </c>
      <c r="F353" s="7"/>
      <c r="G353" s="7"/>
      <c r="H353" s="2" t="s">
        <v>4858</v>
      </c>
      <c r="I353" s="7" t="s">
        <v>306</v>
      </c>
      <c r="J353" s="7" t="s">
        <v>2919</v>
      </c>
      <c r="K353" s="7" t="s">
        <v>154</v>
      </c>
      <c r="L353" s="7" t="s">
        <v>4907</v>
      </c>
      <c r="M353" s="7" t="s">
        <v>4908</v>
      </c>
      <c r="N353" s="45" t="str">
        <f t="shared" si="241"/>
        <v>@ohiostatesb</v>
      </c>
      <c r="O353" s="74" t="str">
        <f t="shared" si="242"/>
        <v>Questionnaire</v>
      </c>
      <c r="P353" s="48" t="s">
        <v>4861</v>
      </c>
      <c r="Q353" s="47" t="s">
        <v>1814</v>
      </c>
      <c r="R353" s="48" t="s">
        <v>3674</v>
      </c>
      <c r="S353" s="48" t="s">
        <v>354</v>
      </c>
      <c r="T353" s="73" t="s">
        <v>74</v>
      </c>
      <c r="U353" s="49" t="s">
        <v>75</v>
      </c>
      <c r="V353" s="48"/>
      <c r="W353" s="61">
        <v>3.72</v>
      </c>
      <c r="X353" s="49" t="s">
        <v>1066</v>
      </c>
      <c r="Y353" s="49" t="s">
        <v>1104</v>
      </c>
      <c r="Z353" s="49" t="s">
        <v>1900</v>
      </c>
      <c r="AA353" s="61">
        <v>0.54</v>
      </c>
      <c r="AB353" s="48" t="s">
        <v>4865</v>
      </c>
      <c r="AC353" s="62" t="s">
        <v>4861</v>
      </c>
      <c r="AD353" s="53" t="str">
        <f t="shared" si="240"/>
        <v>Link</v>
      </c>
      <c r="AE353" s="54">
        <v>45831</v>
      </c>
      <c r="AF353" s="54">
        <v>54</v>
      </c>
      <c r="AG353" s="85"/>
      <c r="AH353" s="56">
        <v>204796</v>
      </c>
      <c r="AI353" s="7"/>
      <c r="AJ353" s="7"/>
    </row>
    <row r="354" spans="1:36" ht="15" x14ac:dyDescent="0.2">
      <c r="A354" s="43" t="s">
        <v>4260</v>
      </c>
      <c r="B354" s="33" t="s">
        <v>1231</v>
      </c>
      <c r="C354" s="7" t="s">
        <v>67</v>
      </c>
      <c r="D354" s="7" t="s">
        <v>4916</v>
      </c>
      <c r="E354" s="44">
        <v>5</v>
      </c>
      <c r="F354" s="7"/>
      <c r="G354" s="7"/>
      <c r="H354" s="2" t="s">
        <v>4917</v>
      </c>
      <c r="I354" s="7" t="s">
        <v>1875</v>
      </c>
      <c r="J354" s="7" t="s">
        <v>4918</v>
      </c>
      <c r="K354" s="7" t="s">
        <v>48</v>
      </c>
      <c r="L354" s="7" t="s">
        <v>4919</v>
      </c>
      <c r="M354" s="7" t="s">
        <v>4920</v>
      </c>
      <c r="N354" s="45" t="str">
        <f t="shared" ref="N354:N358" si="243">HYPERLINK("twitter.com/PennStateSB","@PennStateSB")</f>
        <v>@PennStateSB</v>
      </c>
      <c r="O354" s="74" t="str">
        <f t="shared" ref="O354:O358" si="244">HYPERLINK("https://gopsusports.com/sports/2018/8/8/ot-psa-forms-html.aspx","Questionnaire")</f>
        <v>Questionnaire</v>
      </c>
      <c r="P354" s="48" t="s">
        <v>4917</v>
      </c>
      <c r="Q354" s="47" t="s">
        <v>1231</v>
      </c>
      <c r="R354" s="48" t="s">
        <v>4926</v>
      </c>
      <c r="S354" s="48" t="s">
        <v>468</v>
      </c>
      <c r="T354" s="49" t="s">
        <v>74</v>
      </c>
      <c r="U354" s="49" t="s">
        <v>75</v>
      </c>
      <c r="V354" s="48"/>
      <c r="W354" s="61">
        <v>3.59</v>
      </c>
      <c r="X354" s="49" t="s">
        <v>1319</v>
      </c>
      <c r="Y354" s="49" t="s">
        <v>2804</v>
      </c>
      <c r="Z354" s="49" t="s">
        <v>836</v>
      </c>
      <c r="AA354" s="61">
        <v>0.56000000000000005</v>
      </c>
      <c r="AB354" s="48" t="s">
        <v>4928</v>
      </c>
      <c r="AC354" s="62" t="s">
        <v>4917</v>
      </c>
      <c r="AD354" s="53" t="str">
        <f t="shared" ref="AD354:AD358" si="245">HYPERLINK("https://admissions.psu.edu/academics/majors/4year/?displayBy=alpha","Link")</f>
        <v>Link</v>
      </c>
      <c r="AE354" s="54">
        <v>41359</v>
      </c>
      <c r="AF354" s="54">
        <v>52</v>
      </c>
      <c r="AG354" s="85"/>
      <c r="AH354" s="56">
        <v>214777</v>
      </c>
      <c r="AI354" s="7"/>
      <c r="AJ354" s="7"/>
    </row>
    <row r="355" spans="1:36" ht="15" x14ac:dyDescent="0.2">
      <c r="A355" s="43" t="s">
        <v>4260</v>
      </c>
      <c r="B355" s="33" t="s">
        <v>1231</v>
      </c>
      <c r="C355" s="7" t="s">
        <v>67</v>
      </c>
      <c r="D355" s="7" t="s">
        <v>4946</v>
      </c>
      <c r="E355" s="44">
        <v>5</v>
      </c>
      <c r="F355" s="7"/>
      <c r="G355" s="7"/>
      <c r="H355" s="2" t="s">
        <v>4917</v>
      </c>
      <c r="I355" s="7" t="s">
        <v>539</v>
      </c>
      <c r="J355" s="7" t="s">
        <v>4947</v>
      </c>
      <c r="K355" s="7" t="s">
        <v>55</v>
      </c>
      <c r="L355" s="7" t="s">
        <v>4948</v>
      </c>
      <c r="M355" s="7" t="s">
        <v>4949</v>
      </c>
      <c r="N355" s="45" t="str">
        <f t="shared" si="243"/>
        <v>@PennStateSB</v>
      </c>
      <c r="O355" s="74" t="str">
        <f t="shared" si="244"/>
        <v>Questionnaire</v>
      </c>
      <c r="P355" s="48" t="s">
        <v>4917</v>
      </c>
      <c r="Q355" s="47" t="s">
        <v>1231</v>
      </c>
      <c r="R355" s="48" t="s">
        <v>4926</v>
      </c>
      <c r="S355" s="48" t="s">
        <v>468</v>
      </c>
      <c r="T355" s="49" t="s">
        <v>74</v>
      </c>
      <c r="U355" s="49" t="s">
        <v>75</v>
      </c>
      <c r="V355" s="48"/>
      <c r="W355" s="61">
        <v>3.59</v>
      </c>
      <c r="X355" s="49" t="s">
        <v>1319</v>
      </c>
      <c r="Y355" s="49" t="s">
        <v>2804</v>
      </c>
      <c r="Z355" s="49" t="s">
        <v>836</v>
      </c>
      <c r="AA355" s="61">
        <v>0.56000000000000005</v>
      </c>
      <c r="AB355" s="48" t="s">
        <v>4928</v>
      </c>
      <c r="AC355" s="62" t="s">
        <v>4917</v>
      </c>
      <c r="AD355" s="53" t="str">
        <f t="shared" si="245"/>
        <v>Link</v>
      </c>
      <c r="AE355" s="54">
        <v>41359</v>
      </c>
      <c r="AF355" s="54">
        <v>52</v>
      </c>
      <c r="AG355" s="85"/>
      <c r="AH355" s="56">
        <v>214777</v>
      </c>
      <c r="AI355" s="7"/>
      <c r="AJ355" s="7"/>
    </row>
    <row r="356" spans="1:36" ht="15" x14ac:dyDescent="0.2">
      <c r="A356" s="43" t="s">
        <v>4260</v>
      </c>
      <c r="B356" s="33" t="s">
        <v>1231</v>
      </c>
      <c r="C356" s="7" t="s">
        <v>67</v>
      </c>
      <c r="D356" s="7" t="s">
        <v>4958</v>
      </c>
      <c r="E356" s="44">
        <v>5</v>
      </c>
      <c r="F356" s="7"/>
      <c r="G356" s="7"/>
      <c r="H356" s="2" t="s">
        <v>4917</v>
      </c>
      <c r="I356" s="7" t="s">
        <v>4959</v>
      </c>
      <c r="J356" s="7" t="s">
        <v>4960</v>
      </c>
      <c r="K356" s="7" t="s">
        <v>55</v>
      </c>
      <c r="L356" s="7" t="s">
        <v>4961</v>
      </c>
      <c r="M356" s="7" t="s">
        <v>4949</v>
      </c>
      <c r="N356" s="45" t="str">
        <f t="shared" si="243"/>
        <v>@PennStateSB</v>
      </c>
      <c r="O356" s="74" t="str">
        <f t="shared" si="244"/>
        <v>Questionnaire</v>
      </c>
      <c r="P356" s="48" t="s">
        <v>4917</v>
      </c>
      <c r="Q356" s="47" t="s">
        <v>1231</v>
      </c>
      <c r="R356" s="48" t="s">
        <v>4926</v>
      </c>
      <c r="S356" s="48" t="s">
        <v>468</v>
      </c>
      <c r="T356" s="49" t="s">
        <v>74</v>
      </c>
      <c r="U356" s="49" t="s">
        <v>75</v>
      </c>
      <c r="V356" s="48"/>
      <c r="W356" s="61">
        <v>3.59</v>
      </c>
      <c r="X356" s="49" t="s">
        <v>1319</v>
      </c>
      <c r="Y356" s="49" t="s">
        <v>2804</v>
      </c>
      <c r="Z356" s="49" t="s">
        <v>836</v>
      </c>
      <c r="AA356" s="61">
        <v>0.56000000000000005</v>
      </c>
      <c r="AB356" s="48" t="s">
        <v>4928</v>
      </c>
      <c r="AC356" s="62" t="s">
        <v>4917</v>
      </c>
      <c r="AD356" s="53" t="str">
        <f t="shared" si="245"/>
        <v>Link</v>
      </c>
      <c r="AE356" s="54">
        <v>41359</v>
      </c>
      <c r="AF356" s="54">
        <v>52</v>
      </c>
      <c r="AG356" s="85"/>
      <c r="AH356" s="56">
        <v>214777</v>
      </c>
      <c r="AI356" s="7"/>
      <c r="AJ356" s="7"/>
    </row>
    <row r="357" spans="1:36" ht="15" x14ac:dyDescent="0.2">
      <c r="A357" s="43" t="s">
        <v>4260</v>
      </c>
      <c r="B357" s="33" t="s">
        <v>1231</v>
      </c>
      <c r="C357" s="7" t="s">
        <v>67</v>
      </c>
      <c r="D357" s="7" t="s">
        <v>4973</v>
      </c>
      <c r="E357" s="44">
        <v>5</v>
      </c>
      <c r="F357" s="7"/>
      <c r="G357" s="7"/>
      <c r="H357" s="2" t="s">
        <v>4917</v>
      </c>
      <c r="I357" s="7" t="s">
        <v>2037</v>
      </c>
      <c r="J357" s="7" t="s">
        <v>4974</v>
      </c>
      <c r="K357" s="7" t="s">
        <v>139</v>
      </c>
      <c r="L357" s="7" t="s">
        <v>4975</v>
      </c>
      <c r="M357" s="7" t="s">
        <v>4949</v>
      </c>
      <c r="N357" s="45" t="str">
        <f t="shared" si="243"/>
        <v>@PennStateSB</v>
      </c>
      <c r="O357" s="74" t="str">
        <f t="shared" si="244"/>
        <v>Questionnaire</v>
      </c>
      <c r="P357" s="48" t="s">
        <v>4917</v>
      </c>
      <c r="Q357" s="47" t="s">
        <v>1231</v>
      </c>
      <c r="R357" s="48" t="s">
        <v>4926</v>
      </c>
      <c r="S357" s="48" t="s">
        <v>468</v>
      </c>
      <c r="T357" s="49" t="s">
        <v>74</v>
      </c>
      <c r="U357" s="49" t="s">
        <v>75</v>
      </c>
      <c r="V357" s="48"/>
      <c r="W357" s="61">
        <v>3.59</v>
      </c>
      <c r="X357" s="49" t="s">
        <v>1319</v>
      </c>
      <c r="Y357" s="49" t="s">
        <v>2804</v>
      </c>
      <c r="Z357" s="49" t="s">
        <v>836</v>
      </c>
      <c r="AA357" s="61">
        <v>0.56000000000000005</v>
      </c>
      <c r="AB357" s="48" t="s">
        <v>4928</v>
      </c>
      <c r="AC357" s="62" t="s">
        <v>4917</v>
      </c>
      <c r="AD357" s="53" t="str">
        <f t="shared" si="245"/>
        <v>Link</v>
      </c>
      <c r="AE357" s="54">
        <v>41359</v>
      </c>
      <c r="AF357" s="54">
        <v>52</v>
      </c>
      <c r="AG357" s="85"/>
      <c r="AH357" s="56">
        <v>214777</v>
      </c>
      <c r="AI357" s="7"/>
      <c r="AJ357" s="7"/>
    </row>
    <row r="358" spans="1:36" ht="15" x14ac:dyDescent="0.2">
      <c r="A358" s="43" t="s">
        <v>4260</v>
      </c>
      <c r="B358" s="33" t="s">
        <v>1231</v>
      </c>
      <c r="C358" s="7" t="s">
        <v>67</v>
      </c>
      <c r="D358" s="7" t="s">
        <v>4980</v>
      </c>
      <c r="E358" s="44">
        <v>5</v>
      </c>
      <c r="F358" s="7"/>
      <c r="G358" s="7"/>
      <c r="H358" s="2" t="s">
        <v>4917</v>
      </c>
      <c r="I358" s="7" t="s">
        <v>3905</v>
      </c>
      <c r="J358" s="7" t="s">
        <v>4982</v>
      </c>
      <c r="K358" s="7" t="s">
        <v>154</v>
      </c>
      <c r="L358" s="7" t="s">
        <v>4984</v>
      </c>
      <c r="M358" s="7"/>
      <c r="N358" s="45" t="str">
        <f t="shared" si="243"/>
        <v>@PennStateSB</v>
      </c>
      <c r="O358" s="74" t="str">
        <f t="shared" si="244"/>
        <v>Questionnaire</v>
      </c>
      <c r="P358" s="48" t="s">
        <v>4917</v>
      </c>
      <c r="Q358" s="47" t="s">
        <v>1231</v>
      </c>
      <c r="R358" s="48" t="s">
        <v>4926</v>
      </c>
      <c r="S358" s="48" t="s">
        <v>468</v>
      </c>
      <c r="T358" s="49" t="s">
        <v>74</v>
      </c>
      <c r="U358" s="49" t="s">
        <v>75</v>
      </c>
      <c r="V358" s="48"/>
      <c r="W358" s="61">
        <v>3.59</v>
      </c>
      <c r="X358" s="49" t="s">
        <v>1319</v>
      </c>
      <c r="Y358" s="49" t="s">
        <v>2804</v>
      </c>
      <c r="Z358" s="49" t="s">
        <v>836</v>
      </c>
      <c r="AA358" s="61">
        <v>0.56000000000000005</v>
      </c>
      <c r="AB358" s="48" t="s">
        <v>4928</v>
      </c>
      <c r="AC358" s="62" t="s">
        <v>4917</v>
      </c>
      <c r="AD358" s="53" t="str">
        <f t="shared" si="245"/>
        <v>Link</v>
      </c>
      <c r="AE358" s="54">
        <v>41359</v>
      </c>
      <c r="AF358" s="54">
        <v>52</v>
      </c>
      <c r="AG358" s="85"/>
      <c r="AH358" s="56">
        <v>214777</v>
      </c>
      <c r="AI358" s="7"/>
      <c r="AJ358" s="7"/>
    </row>
    <row r="359" spans="1:36" ht="15" x14ac:dyDescent="0.2">
      <c r="A359" s="43" t="s">
        <v>4260</v>
      </c>
      <c r="B359" s="33" t="s">
        <v>1151</v>
      </c>
      <c r="C359" s="7" t="s">
        <v>67</v>
      </c>
      <c r="D359" s="7" t="s">
        <v>4992</v>
      </c>
      <c r="E359" s="44">
        <v>5</v>
      </c>
      <c r="F359" s="7"/>
      <c r="G359" s="7"/>
      <c r="H359" s="2" t="s">
        <v>4993</v>
      </c>
      <c r="I359" s="7" t="s">
        <v>4994</v>
      </c>
      <c r="J359" s="7" t="s">
        <v>4995</v>
      </c>
      <c r="K359" s="7" t="s">
        <v>48</v>
      </c>
      <c r="L359" s="7" t="s">
        <v>4996</v>
      </c>
      <c r="M359" s="7" t="s">
        <v>4997</v>
      </c>
      <c r="N359" s="45" t="str">
        <f>HYPERLINK("twitter.com/CoachDeOliveira","@CoachDeOliveira")</f>
        <v>@CoachDeOliveira</v>
      </c>
      <c r="O359" s="74" t="str">
        <f t="shared" ref="O359:O362" si="246">HYPERLINK("https://purduesports.com/sports/2018/5/17/school-bio-recruiting-information-html.aspx","Questionnaire")</f>
        <v>Questionnaire</v>
      </c>
      <c r="P359" s="48" t="s">
        <v>5004</v>
      </c>
      <c r="Q359" s="47" t="s">
        <v>1151</v>
      </c>
      <c r="R359" s="48" t="s">
        <v>5005</v>
      </c>
      <c r="S359" s="48" t="s">
        <v>468</v>
      </c>
      <c r="T359" s="49" t="s">
        <v>74</v>
      </c>
      <c r="U359" s="49" t="s">
        <v>75</v>
      </c>
      <c r="V359" s="48"/>
      <c r="W359" s="61">
        <v>3.74</v>
      </c>
      <c r="X359" s="49" t="s">
        <v>1229</v>
      </c>
      <c r="Y359" s="49" t="s">
        <v>189</v>
      </c>
      <c r="Z359" s="49" t="s">
        <v>81</v>
      </c>
      <c r="AA359" s="61">
        <v>0.56000000000000005</v>
      </c>
      <c r="AB359" s="48" t="s">
        <v>5007</v>
      </c>
      <c r="AC359" s="52" t="s">
        <v>5004</v>
      </c>
      <c r="AD359" s="53" t="str">
        <f t="shared" ref="AD359:AD362" si="247">HYPERLINK("https://www.admissions.purdue.edu/majors/index.php","Link")</f>
        <v>Link</v>
      </c>
      <c r="AE359" s="54">
        <v>31105</v>
      </c>
      <c r="AF359" s="54">
        <v>56</v>
      </c>
      <c r="AG359" s="85"/>
      <c r="AH359" s="56">
        <v>243780</v>
      </c>
      <c r="AI359" s="7"/>
      <c r="AJ359" s="7"/>
    </row>
    <row r="360" spans="1:36" ht="15" x14ac:dyDescent="0.2">
      <c r="A360" s="43" t="s">
        <v>4260</v>
      </c>
      <c r="B360" s="33" t="s">
        <v>1151</v>
      </c>
      <c r="C360" s="7" t="s">
        <v>67</v>
      </c>
      <c r="D360" s="7" t="s">
        <v>5012</v>
      </c>
      <c r="E360" s="44">
        <v>5</v>
      </c>
      <c r="F360" s="7"/>
      <c r="G360" s="7"/>
      <c r="H360" s="2" t="s">
        <v>4993</v>
      </c>
      <c r="I360" s="7" t="s">
        <v>5013</v>
      </c>
      <c r="J360" s="7" t="s">
        <v>3498</v>
      </c>
      <c r="K360" s="7" t="s">
        <v>55</v>
      </c>
      <c r="L360" s="7" t="s">
        <v>5014</v>
      </c>
      <c r="M360" s="7" t="s">
        <v>5016</v>
      </c>
      <c r="N360" s="45" t="str">
        <f t="shared" ref="N360:N362" si="248">HYPERLINK("twitter.com/PurdueSoftball","@PurdueSoftball")</f>
        <v>@PurdueSoftball</v>
      </c>
      <c r="O360" s="74" t="str">
        <f t="shared" si="246"/>
        <v>Questionnaire</v>
      </c>
      <c r="P360" s="48" t="s">
        <v>5004</v>
      </c>
      <c r="Q360" s="47" t="s">
        <v>1151</v>
      </c>
      <c r="R360" s="48" t="s">
        <v>5005</v>
      </c>
      <c r="S360" s="48" t="s">
        <v>468</v>
      </c>
      <c r="T360" s="49" t="s">
        <v>74</v>
      </c>
      <c r="U360" s="49" t="s">
        <v>75</v>
      </c>
      <c r="V360" s="48"/>
      <c r="W360" s="61">
        <v>3.74</v>
      </c>
      <c r="X360" s="49" t="s">
        <v>1229</v>
      </c>
      <c r="Y360" s="49" t="s">
        <v>189</v>
      </c>
      <c r="Z360" s="49" t="s">
        <v>81</v>
      </c>
      <c r="AA360" s="61">
        <v>0.56000000000000005</v>
      </c>
      <c r="AB360" s="48" t="s">
        <v>5007</v>
      </c>
      <c r="AC360" s="52" t="s">
        <v>5004</v>
      </c>
      <c r="AD360" s="53" t="str">
        <f t="shared" si="247"/>
        <v>Link</v>
      </c>
      <c r="AE360" s="54">
        <v>31105</v>
      </c>
      <c r="AF360" s="54">
        <v>56</v>
      </c>
      <c r="AG360" s="85"/>
      <c r="AH360" s="56">
        <v>243780</v>
      </c>
      <c r="AI360" s="7"/>
      <c r="AJ360" s="7"/>
    </row>
    <row r="361" spans="1:36" ht="15" x14ac:dyDescent="0.2">
      <c r="A361" s="43" t="s">
        <v>4260</v>
      </c>
      <c r="B361" s="33" t="s">
        <v>1151</v>
      </c>
      <c r="C361" s="7" t="s">
        <v>67</v>
      </c>
      <c r="D361" s="7" t="s">
        <v>5023</v>
      </c>
      <c r="E361" s="44">
        <v>5</v>
      </c>
      <c r="F361" s="7"/>
      <c r="G361" s="7"/>
      <c r="H361" s="2" t="s">
        <v>4993</v>
      </c>
      <c r="I361" s="7" t="s">
        <v>5024</v>
      </c>
      <c r="J361" s="7" t="s">
        <v>5025</v>
      </c>
      <c r="K361" s="7" t="s">
        <v>55</v>
      </c>
      <c r="L361" s="7" t="s">
        <v>5026</v>
      </c>
      <c r="M361" s="7" t="s">
        <v>5027</v>
      </c>
      <c r="N361" s="45" t="str">
        <f t="shared" si="248"/>
        <v>@PurdueSoftball</v>
      </c>
      <c r="O361" s="74" t="str">
        <f t="shared" si="246"/>
        <v>Questionnaire</v>
      </c>
      <c r="P361" s="48" t="s">
        <v>5004</v>
      </c>
      <c r="Q361" s="47" t="s">
        <v>1151</v>
      </c>
      <c r="R361" s="48" t="s">
        <v>5005</v>
      </c>
      <c r="S361" s="48" t="s">
        <v>468</v>
      </c>
      <c r="T361" s="49" t="s">
        <v>74</v>
      </c>
      <c r="U361" s="49" t="s">
        <v>75</v>
      </c>
      <c r="V361" s="48"/>
      <c r="W361" s="61">
        <v>3.74</v>
      </c>
      <c r="X361" s="49" t="s">
        <v>1229</v>
      </c>
      <c r="Y361" s="49" t="s">
        <v>189</v>
      </c>
      <c r="Z361" s="49" t="s">
        <v>81</v>
      </c>
      <c r="AA361" s="61">
        <v>0.56000000000000005</v>
      </c>
      <c r="AB361" s="48" t="s">
        <v>5007</v>
      </c>
      <c r="AC361" s="52" t="s">
        <v>5004</v>
      </c>
      <c r="AD361" s="53" t="str">
        <f t="shared" si="247"/>
        <v>Link</v>
      </c>
      <c r="AE361" s="54">
        <v>31105</v>
      </c>
      <c r="AF361" s="54">
        <v>56</v>
      </c>
      <c r="AG361" s="85"/>
      <c r="AH361" s="56">
        <v>243780</v>
      </c>
      <c r="AI361" s="7"/>
      <c r="AJ361" s="7"/>
    </row>
    <row r="362" spans="1:36" ht="15" x14ac:dyDescent="0.2">
      <c r="A362" s="43" t="s">
        <v>4260</v>
      </c>
      <c r="B362" s="33" t="s">
        <v>1151</v>
      </c>
      <c r="C362" s="7" t="s">
        <v>67</v>
      </c>
      <c r="D362" s="7" t="s">
        <v>5036</v>
      </c>
      <c r="E362" s="44">
        <v>5</v>
      </c>
      <c r="F362" s="7" t="s">
        <v>116</v>
      </c>
      <c r="G362" s="7"/>
      <c r="H362" s="2" t="s">
        <v>4993</v>
      </c>
      <c r="I362" s="7" t="s">
        <v>5038</v>
      </c>
      <c r="J362" s="7" t="s">
        <v>5040</v>
      </c>
      <c r="K362" s="7" t="s">
        <v>154</v>
      </c>
      <c r="L362" s="7" t="s">
        <v>5042</v>
      </c>
      <c r="M362" s="7" t="s">
        <v>5043</v>
      </c>
      <c r="N362" s="45" t="str">
        <f t="shared" si="248"/>
        <v>@PurdueSoftball</v>
      </c>
      <c r="O362" s="74" t="str">
        <f t="shared" si="246"/>
        <v>Questionnaire</v>
      </c>
      <c r="P362" s="48" t="s">
        <v>5004</v>
      </c>
      <c r="Q362" s="47" t="s">
        <v>1151</v>
      </c>
      <c r="R362" s="48" t="s">
        <v>5005</v>
      </c>
      <c r="S362" s="48" t="s">
        <v>468</v>
      </c>
      <c r="T362" s="49" t="s">
        <v>74</v>
      </c>
      <c r="U362" s="49" t="s">
        <v>75</v>
      </c>
      <c r="V362" s="48"/>
      <c r="W362" s="61">
        <v>3.74</v>
      </c>
      <c r="X362" s="49" t="s">
        <v>1229</v>
      </c>
      <c r="Y362" s="49" t="s">
        <v>189</v>
      </c>
      <c r="Z362" s="49" t="s">
        <v>81</v>
      </c>
      <c r="AA362" s="61">
        <v>0.56000000000000005</v>
      </c>
      <c r="AB362" s="48" t="s">
        <v>5007</v>
      </c>
      <c r="AC362" s="52" t="s">
        <v>5004</v>
      </c>
      <c r="AD362" s="53" t="str">
        <f t="shared" si="247"/>
        <v>Link</v>
      </c>
      <c r="AE362" s="54">
        <v>31105</v>
      </c>
      <c r="AF362" s="54">
        <v>56</v>
      </c>
      <c r="AG362" s="85"/>
      <c r="AH362" s="56">
        <v>243780</v>
      </c>
      <c r="AI362" s="7"/>
      <c r="AJ362" s="7"/>
    </row>
    <row r="363" spans="1:36" ht="15" x14ac:dyDescent="0.2">
      <c r="A363" s="43" t="s">
        <v>4260</v>
      </c>
      <c r="B363" s="33" t="s">
        <v>3272</v>
      </c>
      <c r="C363" s="7" t="s">
        <v>67</v>
      </c>
      <c r="D363" s="7" t="s">
        <v>5048</v>
      </c>
      <c r="E363" s="44">
        <v>5</v>
      </c>
      <c r="F363" s="7"/>
      <c r="G363" s="7"/>
      <c r="H363" s="2" t="s">
        <v>5051</v>
      </c>
      <c r="I363" s="7" t="s">
        <v>435</v>
      </c>
      <c r="J363" s="7" t="s">
        <v>3078</v>
      </c>
      <c r="K363" s="7" t="s">
        <v>48</v>
      </c>
      <c r="L363" s="7" t="s">
        <v>5052</v>
      </c>
      <c r="M363" s="7" t="s">
        <v>5053</v>
      </c>
      <c r="N363" s="45" t="str">
        <f t="shared" ref="N363:N364" si="249">HYPERLINK("twitter.com/CoachButler12","@CoachButler12")</f>
        <v>@CoachButler12</v>
      </c>
      <c r="O363" s="74" t="str">
        <f t="shared" ref="O363:O366" si="250">HYPERLINK("https://scarletknights.com/sports/2017/6/11/recruiting.aspx","Questionnaire")</f>
        <v>Questionnaire</v>
      </c>
      <c r="P363" s="48" t="s">
        <v>5057</v>
      </c>
      <c r="Q363" s="47" t="s">
        <v>3272</v>
      </c>
      <c r="R363" s="48" t="s">
        <v>5058</v>
      </c>
      <c r="S363" s="48" t="s">
        <v>186</v>
      </c>
      <c r="T363" s="49" t="s">
        <v>74</v>
      </c>
      <c r="U363" s="49" t="s">
        <v>75</v>
      </c>
      <c r="V363" s="48"/>
      <c r="W363" s="61">
        <v>3.66</v>
      </c>
      <c r="X363" s="49" t="s">
        <v>3119</v>
      </c>
      <c r="Y363" s="49" t="s">
        <v>5065</v>
      </c>
      <c r="Z363" s="49" t="s">
        <v>214</v>
      </c>
      <c r="AA363" s="61">
        <v>0.56999999999999995</v>
      </c>
      <c r="AB363" s="48" t="s">
        <v>5066</v>
      </c>
      <c r="AC363" s="52" t="s">
        <v>5057</v>
      </c>
      <c r="AD363" s="53" t="str">
        <f t="shared" ref="AD363:AD366" si="251">HYPERLINK("http://sasundergrad.rutgers.edu/index.php/academics/requirements/list-of-majors-and-minors","Link")</f>
        <v>Link</v>
      </c>
      <c r="AE363" s="54">
        <v>36168</v>
      </c>
      <c r="AF363" s="54">
        <v>69</v>
      </c>
      <c r="AG363" s="85"/>
      <c r="AH363" s="56">
        <v>186399</v>
      </c>
      <c r="AI363" s="7"/>
      <c r="AJ363" s="7"/>
    </row>
    <row r="364" spans="1:36" ht="15" x14ac:dyDescent="0.2">
      <c r="A364" s="43" t="s">
        <v>4260</v>
      </c>
      <c r="B364" s="33" t="s">
        <v>3272</v>
      </c>
      <c r="C364" s="7" t="s">
        <v>67</v>
      </c>
      <c r="D364" s="7" t="s">
        <v>5048</v>
      </c>
      <c r="E364" s="44">
        <v>5</v>
      </c>
      <c r="F364" s="7"/>
      <c r="G364" s="7"/>
      <c r="H364" s="2" t="s">
        <v>5051</v>
      </c>
      <c r="I364" s="7" t="s">
        <v>5067</v>
      </c>
      <c r="J364" s="7"/>
      <c r="K364" s="7" t="s">
        <v>3472</v>
      </c>
      <c r="L364" s="7" t="s">
        <v>5069</v>
      </c>
      <c r="M364" s="7"/>
      <c r="N364" s="45" t="str">
        <f t="shared" si="249"/>
        <v>@CoachButler12</v>
      </c>
      <c r="O364" s="74" t="str">
        <f t="shared" si="250"/>
        <v>Questionnaire</v>
      </c>
      <c r="P364" s="48" t="s">
        <v>5057</v>
      </c>
      <c r="Q364" s="47" t="s">
        <v>3272</v>
      </c>
      <c r="R364" s="48" t="s">
        <v>5058</v>
      </c>
      <c r="S364" s="48" t="s">
        <v>186</v>
      </c>
      <c r="T364" s="49" t="s">
        <v>74</v>
      </c>
      <c r="U364" s="49" t="s">
        <v>75</v>
      </c>
      <c r="V364" s="48"/>
      <c r="W364" s="61">
        <v>3.66</v>
      </c>
      <c r="X364" s="49" t="s">
        <v>3119</v>
      </c>
      <c r="Y364" s="49" t="s">
        <v>5065</v>
      </c>
      <c r="Z364" s="49" t="s">
        <v>214</v>
      </c>
      <c r="AA364" s="61">
        <v>0.56999999999999995</v>
      </c>
      <c r="AB364" s="48" t="s">
        <v>5066</v>
      </c>
      <c r="AC364" s="52" t="s">
        <v>5057</v>
      </c>
      <c r="AD364" s="53" t="str">
        <f t="shared" si="251"/>
        <v>Link</v>
      </c>
      <c r="AE364" s="54">
        <v>36168</v>
      </c>
      <c r="AF364" s="54">
        <v>69</v>
      </c>
      <c r="AG364" s="85"/>
      <c r="AH364" s="56">
        <v>186399</v>
      </c>
      <c r="AI364" s="7"/>
      <c r="AJ364" s="7"/>
    </row>
    <row r="365" spans="1:36" ht="15" x14ac:dyDescent="0.2">
      <c r="A365" s="43" t="s">
        <v>4260</v>
      </c>
      <c r="B365" s="33" t="s">
        <v>3272</v>
      </c>
      <c r="C365" s="7" t="s">
        <v>67</v>
      </c>
      <c r="D365" s="7" t="s">
        <v>5076</v>
      </c>
      <c r="E365" s="44">
        <v>5</v>
      </c>
      <c r="F365" s="7"/>
      <c r="G365" s="7"/>
      <c r="H365" s="2" t="s">
        <v>5051</v>
      </c>
      <c r="I365" s="7" t="s">
        <v>5077</v>
      </c>
      <c r="J365" s="7" t="s">
        <v>5078</v>
      </c>
      <c r="K365" s="7" t="s">
        <v>55</v>
      </c>
      <c r="L365" s="7" t="s">
        <v>5079</v>
      </c>
      <c r="M365" s="7" t="s">
        <v>5080</v>
      </c>
      <c r="N365" s="45" t="str">
        <f t="shared" ref="N365:N366" si="252">HYPERLINK("twitter.com/rusoftball","@rusoftball")</f>
        <v>@rusoftball</v>
      </c>
      <c r="O365" s="74" t="str">
        <f t="shared" si="250"/>
        <v>Questionnaire</v>
      </c>
      <c r="P365" s="48" t="s">
        <v>5057</v>
      </c>
      <c r="Q365" s="47" t="s">
        <v>3272</v>
      </c>
      <c r="R365" s="48" t="s">
        <v>5058</v>
      </c>
      <c r="S365" s="48" t="s">
        <v>186</v>
      </c>
      <c r="T365" s="49" t="s">
        <v>74</v>
      </c>
      <c r="U365" s="49" t="s">
        <v>75</v>
      </c>
      <c r="V365" s="48"/>
      <c r="W365" s="61">
        <v>3.66</v>
      </c>
      <c r="X365" s="49" t="s">
        <v>3119</v>
      </c>
      <c r="Y365" s="49" t="s">
        <v>5065</v>
      </c>
      <c r="Z365" s="49" t="s">
        <v>214</v>
      </c>
      <c r="AA365" s="61">
        <v>0.56999999999999995</v>
      </c>
      <c r="AB365" s="48" t="s">
        <v>5066</v>
      </c>
      <c r="AC365" s="52" t="s">
        <v>5057</v>
      </c>
      <c r="AD365" s="53" t="str">
        <f t="shared" si="251"/>
        <v>Link</v>
      </c>
      <c r="AE365" s="54">
        <v>36168</v>
      </c>
      <c r="AF365" s="54">
        <v>69</v>
      </c>
      <c r="AG365" s="85"/>
      <c r="AH365" s="56">
        <v>186399</v>
      </c>
      <c r="AI365" s="7"/>
      <c r="AJ365" s="7"/>
    </row>
    <row r="366" spans="1:36" ht="15" x14ac:dyDescent="0.2">
      <c r="A366" s="43" t="s">
        <v>4260</v>
      </c>
      <c r="B366" s="33" t="s">
        <v>3272</v>
      </c>
      <c r="C366" s="7" t="s">
        <v>67</v>
      </c>
      <c r="D366" s="7" t="s">
        <v>5085</v>
      </c>
      <c r="E366" s="44">
        <v>5</v>
      </c>
      <c r="F366" s="7"/>
      <c r="G366" s="7"/>
      <c r="H366" s="2" t="s">
        <v>5051</v>
      </c>
      <c r="I366" s="7" t="s">
        <v>1390</v>
      </c>
      <c r="J366" s="7" t="s">
        <v>5086</v>
      </c>
      <c r="K366" s="7" t="s">
        <v>55</v>
      </c>
      <c r="L366" s="7" t="s">
        <v>5087</v>
      </c>
      <c r="M366" s="7" t="s">
        <v>5089</v>
      </c>
      <c r="N366" s="45" t="str">
        <f t="shared" si="252"/>
        <v>@rusoftball</v>
      </c>
      <c r="O366" s="74" t="str">
        <f t="shared" si="250"/>
        <v>Questionnaire</v>
      </c>
      <c r="P366" s="48" t="s">
        <v>5057</v>
      </c>
      <c r="Q366" s="47" t="s">
        <v>3272</v>
      </c>
      <c r="R366" s="48" t="s">
        <v>5058</v>
      </c>
      <c r="S366" s="48" t="s">
        <v>186</v>
      </c>
      <c r="T366" s="49" t="s">
        <v>74</v>
      </c>
      <c r="U366" s="49" t="s">
        <v>75</v>
      </c>
      <c r="V366" s="48"/>
      <c r="W366" s="61">
        <v>3.66</v>
      </c>
      <c r="X366" s="49" t="s">
        <v>3119</v>
      </c>
      <c r="Y366" s="49" t="s">
        <v>5065</v>
      </c>
      <c r="Z366" s="49" t="s">
        <v>214</v>
      </c>
      <c r="AA366" s="61">
        <v>0.56999999999999995</v>
      </c>
      <c r="AB366" s="48" t="s">
        <v>5066</v>
      </c>
      <c r="AC366" s="52" t="s">
        <v>5057</v>
      </c>
      <c r="AD366" s="53" t="str">
        <f t="shared" si="251"/>
        <v>Link</v>
      </c>
      <c r="AE366" s="54">
        <v>36168</v>
      </c>
      <c r="AF366" s="54">
        <v>69</v>
      </c>
      <c r="AG366" s="85"/>
      <c r="AH366" s="56">
        <v>186399</v>
      </c>
      <c r="AI366" s="7"/>
      <c r="AJ366" s="7"/>
    </row>
    <row r="367" spans="1:36" ht="15" x14ac:dyDescent="0.2">
      <c r="A367" s="32" t="s">
        <v>4260</v>
      </c>
      <c r="B367" s="33" t="s">
        <v>5094</v>
      </c>
      <c r="C367" s="35" t="s">
        <v>67</v>
      </c>
      <c r="D367" s="57"/>
      <c r="E367" s="83">
        <v>5</v>
      </c>
      <c r="F367" s="7"/>
      <c r="G367" s="57"/>
      <c r="H367" s="2" t="s">
        <v>5095</v>
      </c>
      <c r="I367" s="2" t="s">
        <v>5096</v>
      </c>
      <c r="J367" s="2" t="s">
        <v>5097</v>
      </c>
      <c r="K367" s="2" t="s">
        <v>48</v>
      </c>
      <c r="L367" s="2" t="s">
        <v>5099</v>
      </c>
      <c r="M367" s="2"/>
      <c r="N367" s="45" t="str">
        <f t="shared" ref="N367:N369" si="253">HYPERLINK("twitter.com/badgersoftball","@badgersoftball")</f>
        <v>@badgersoftball</v>
      </c>
      <c r="O367" s="74" t="str">
        <f t="shared" ref="O367:O369" si="254">HYPERLINK("https://uwbadgers.com/sports/2015/8/21/GEN_2014010164.aspx","Questionnaire")</f>
        <v>Questionnaire</v>
      </c>
      <c r="P367" s="48" t="s">
        <v>5109</v>
      </c>
      <c r="Q367" s="60" t="s">
        <v>5094</v>
      </c>
      <c r="R367" s="48" t="s">
        <v>1905</v>
      </c>
      <c r="S367" s="6" t="s">
        <v>62</v>
      </c>
      <c r="T367" s="4" t="s">
        <v>74</v>
      </c>
      <c r="U367" s="48" t="s">
        <v>75</v>
      </c>
      <c r="V367" s="49"/>
      <c r="W367" s="37">
        <v>3.84</v>
      </c>
      <c r="X367" s="49" t="s">
        <v>677</v>
      </c>
      <c r="Y367" s="49" t="s">
        <v>2805</v>
      </c>
      <c r="Z367" s="49" t="s">
        <v>1900</v>
      </c>
      <c r="AA367" s="65">
        <v>0.53</v>
      </c>
      <c r="AB367" s="48" t="s">
        <v>5114</v>
      </c>
      <c r="AC367" s="52" t="s">
        <v>5109</v>
      </c>
      <c r="AD367" s="53" t="str">
        <f t="shared" ref="AD367:AD369" si="255">HYPERLINK("https://www.wisc.edu/academics/","Link")</f>
        <v>Link</v>
      </c>
      <c r="AE367" s="42">
        <v>30958</v>
      </c>
      <c r="AF367" s="42">
        <v>46</v>
      </c>
      <c r="AG367" s="55"/>
      <c r="AH367" s="56">
        <v>240444</v>
      </c>
      <c r="AI367" s="56" t="s">
        <v>2459</v>
      </c>
      <c r="AJ367" s="56"/>
    </row>
    <row r="368" spans="1:36" ht="15" x14ac:dyDescent="0.2">
      <c r="A368" s="32" t="s">
        <v>4260</v>
      </c>
      <c r="B368" s="7" t="s">
        <v>5094</v>
      </c>
      <c r="C368" s="35" t="s">
        <v>67</v>
      </c>
      <c r="D368" s="57"/>
      <c r="E368" s="83">
        <v>5</v>
      </c>
      <c r="F368" s="7"/>
      <c r="G368" s="57"/>
      <c r="H368" s="2" t="s">
        <v>5095</v>
      </c>
      <c r="I368" s="2" t="s">
        <v>910</v>
      </c>
      <c r="J368" s="2" t="s">
        <v>5120</v>
      </c>
      <c r="K368" s="2" t="s">
        <v>55</v>
      </c>
      <c r="L368" s="2" t="s">
        <v>5121</v>
      </c>
      <c r="M368" s="2"/>
      <c r="N368" s="45" t="str">
        <f t="shared" si="253"/>
        <v>@badgersoftball</v>
      </c>
      <c r="O368" s="74" t="str">
        <f t="shared" si="254"/>
        <v>Questionnaire</v>
      </c>
      <c r="P368" s="48" t="s">
        <v>5109</v>
      </c>
      <c r="Q368" s="60" t="s">
        <v>5094</v>
      </c>
      <c r="R368" s="48" t="s">
        <v>1905</v>
      </c>
      <c r="S368" s="6" t="s">
        <v>62</v>
      </c>
      <c r="T368" s="4" t="s">
        <v>74</v>
      </c>
      <c r="U368" s="48" t="s">
        <v>75</v>
      </c>
      <c r="V368" s="49"/>
      <c r="W368" s="37">
        <v>3.84</v>
      </c>
      <c r="X368" s="49" t="s">
        <v>677</v>
      </c>
      <c r="Y368" s="49" t="s">
        <v>2805</v>
      </c>
      <c r="Z368" s="49" t="s">
        <v>1900</v>
      </c>
      <c r="AA368" s="65">
        <v>0.53</v>
      </c>
      <c r="AB368" s="48" t="s">
        <v>5114</v>
      </c>
      <c r="AC368" s="52" t="s">
        <v>5109</v>
      </c>
      <c r="AD368" s="53" t="str">
        <f t="shared" si="255"/>
        <v>Link</v>
      </c>
      <c r="AE368" s="42">
        <v>30958</v>
      </c>
      <c r="AF368" s="42">
        <v>46</v>
      </c>
      <c r="AG368" s="55"/>
      <c r="AH368" s="56">
        <v>240444</v>
      </c>
      <c r="AI368" s="56" t="s">
        <v>2459</v>
      </c>
      <c r="AJ368" s="56"/>
    </row>
    <row r="369" spans="1:36" ht="15" x14ac:dyDescent="0.2">
      <c r="A369" s="32" t="s">
        <v>4260</v>
      </c>
      <c r="B369" s="33" t="s">
        <v>5094</v>
      </c>
      <c r="C369" s="35" t="s">
        <v>67</v>
      </c>
      <c r="D369" s="57"/>
      <c r="E369" s="83">
        <v>5</v>
      </c>
      <c r="F369" s="7"/>
      <c r="G369" s="57"/>
      <c r="H369" s="2" t="s">
        <v>5095</v>
      </c>
      <c r="I369" s="2" t="s">
        <v>1726</v>
      </c>
      <c r="J369" s="2" t="s">
        <v>5132</v>
      </c>
      <c r="K369" s="2" t="s">
        <v>55</v>
      </c>
      <c r="L369" s="2" t="s">
        <v>5134</v>
      </c>
      <c r="M369" s="2"/>
      <c r="N369" s="45" t="str">
        <f t="shared" si="253"/>
        <v>@badgersoftball</v>
      </c>
      <c r="O369" s="74" t="str">
        <f t="shared" si="254"/>
        <v>Questionnaire</v>
      </c>
      <c r="P369" s="48" t="s">
        <v>5109</v>
      </c>
      <c r="Q369" s="60" t="s">
        <v>5094</v>
      </c>
      <c r="R369" s="48" t="s">
        <v>1905</v>
      </c>
      <c r="S369" s="6" t="s">
        <v>62</v>
      </c>
      <c r="T369" s="4" t="s">
        <v>74</v>
      </c>
      <c r="U369" s="48" t="s">
        <v>75</v>
      </c>
      <c r="V369" s="49"/>
      <c r="W369" s="37">
        <v>3.84</v>
      </c>
      <c r="X369" s="49" t="s">
        <v>677</v>
      </c>
      <c r="Y369" s="49" t="s">
        <v>2805</v>
      </c>
      <c r="Z369" s="49" t="s">
        <v>1900</v>
      </c>
      <c r="AA369" s="65">
        <v>0.53</v>
      </c>
      <c r="AB369" s="48" t="s">
        <v>5114</v>
      </c>
      <c r="AC369" s="52" t="s">
        <v>5109</v>
      </c>
      <c r="AD369" s="53" t="str">
        <f t="shared" si="255"/>
        <v>Link</v>
      </c>
      <c r="AE369" s="42">
        <v>30958</v>
      </c>
      <c r="AF369" s="42">
        <v>46</v>
      </c>
      <c r="AG369" s="55"/>
      <c r="AH369" s="56">
        <v>240444</v>
      </c>
      <c r="AI369" s="56" t="s">
        <v>2459</v>
      </c>
      <c r="AJ369" s="56"/>
    </row>
    <row r="370" spans="1:36" ht="15" x14ac:dyDescent="0.2">
      <c r="A370" s="43" t="s">
        <v>5142</v>
      </c>
      <c r="B370" s="33" t="s">
        <v>312</v>
      </c>
      <c r="C370" s="7" t="s">
        <v>67</v>
      </c>
      <c r="D370" s="7" t="s">
        <v>5144</v>
      </c>
      <c r="E370" s="44">
        <v>5</v>
      </c>
      <c r="F370" s="7"/>
      <c r="G370" s="7"/>
      <c r="H370" s="2" t="s">
        <v>5146</v>
      </c>
      <c r="I370" s="7" t="s">
        <v>1963</v>
      </c>
      <c r="J370" s="7" t="s">
        <v>5147</v>
      </c>
      <c r="K370" s="7" t="s">
        <v>139</v>
      </c>
      <c r="L370" s="7" t="s">
        <v>5150</v>
      </c>
      <c r="M370" s="7"/>
      <c r="N370" s="48"/>
      <c r="O370" s="48"/>
      <c r="P370" s="48" t="s">
        <v>5152</v>
      </c>
      <c r="Q370" s="60" t="s">
        <v>312</v>
      </c>
      <c r="R370" s="48" t="s">
        <v>5153</v>
      </c>
      <c r="S370" s="48" t="s">
        <v>468</v>
      </c>
      <c r="T370" s="4" t="s">
        <v>74</v>
      </c>
      <c r="U370" s="4" t="s">
        <v>75</v>
      </c>
      <c r="V370" s="48"/>
      <c r="W370" s="65">
        <v>3.92</v>
      </c>
      <c r="X370" s="49" t="s">
        <v>677</v>
      </c>
      <c r="Y370" s="49" t="s">
        <v>5154</v>
      </c>
      <c r="Z370" s="4" t="s">
        <v>179</v>
      </c>
      <c r="AA370" s="38">
        <v>0.29480000000000001</v>
      </c>
      <c r="AB370" s="48" t="s">
        <v>5155</v>
      </c>
      <c r="AC370" s="66" t="s">
        <v>5152</v>
      </c>
      <c r="AD370" s="67" t="str">
        <f t="shared" ref="AD370:AD373" si="256">HYPERLINK("http://catalog.calpoly.edu/programsaz/","Link")</f>
        <v>Link</v>
      </c>
      <c r="AE370" s="42">
        <v>20426</v>
      </c>
      <c r="AF370" s="55"/>
      <c r="AG370" s="85"/>
      <c r="AH370" s="56">
        <v>110422</v>
      </c>
      <c r="AI370" s="87"/>
      <c r="AJ370" s="87"/>
    </row>
    <row r="371" spans="1:36" ht="15" x14ac:dyDescent="0.2">
      <c r="A371" s="43" t="s">
        <v>5142</v>
      </c>
      <c r="B371" s="33" t="s">
        <v>312</v>
      </c>
      <c r="C371" s="7" t="s">
        <v>67</v>
      </c>
      <c r="D371" s="7" t="s">
        <v>5160</v>
      </c>
      <c r="E371" s="44">
        <v>5</v>
      </c>
      <c r="F371" s="7"/>
      <c r="G371" s="7"/>
      <c r="H371" s="2" t="s">
        <v>5146</v>
      </c>
      <c r="I371" s="7" t="s">
        <v>5161</v>
      </c>
      <c r="J371" s="7" t="s">
        <v>5162</v>
      </c>
      <c r="K371" s="7" t="s">
        <v>919</v>
      </c>
      <c r="L371" s="7" t="s">
        <v>5163</v>
      </c>
      <c r="M371" s="7" t="s">
        <v>5164</v>
      </c>
      <c r="N371" s="48"/>
      <c r="O371" s="48"/>
      <c r="P371" s="48" t="s">
        <v>5152</v>
      </c>
      <c r="Q371" s="60" t="s">
        <v>312</v>
      </c>
      <c r="R371" s="48" t="s">
        <v>5153</v>
      </c>
      <c r="S371" s="48" t="s">
        <v>468</v>
      </c>
      <c r="T371" s="4" t="s">
        <v>74</v>
      </c>
      <c r="U371" s="4" t="s">
        <v>75</v>
      </c>
      <c r="V371" s="48"/>
      <c r="W371" s="65">
        <v>3.92</v>
      </c>
      <c r="X371" s="49" t="s">
        <v>677</v>
      </c>
      <c r="Y371" s="49" t="s">
        <v>5154</v>
      </c>
      <c r="Z371" s="4" t="s">
        <v>179</v>
      </c>
      <c r="AA371" s="38">
        <v>0.29480000000000001</v>
      </c>
      <c r="AB371" s="48" t="s">
        <v>5155</v>
      </c>
      <c r="AC371" s="66" t="s">
        <v>5152</v>
      </c>
      <c r="AD371" s="67" t="str">
        <f t="shared" si="256"/>
        <v>Link</v>
      </c>
      <c r="AE371" s="42">
        <v>20426</v>
      </c>
      <c r="AF371" s="55"/>
      <c r="AG371" s="85"/>
      <c r="AH371" s="56">
        <v>110422</v>
      </c>
      <c r="AI371" s="87"/>
      <c r="AJ371" s="87"/>
    </row>
    <row r="372" spans="1:36" ht="15" x14ac:dyDescent="0.2">
      <c r="A372" s="43" t="s">
        <v>5142</v>
      </c>
      <c r="B372" s="33" t="s">
        <v>312</v>
      </c>
      <c r="C372" s="7" t="s">
        <v>67</v>
      </c>
      <c r="D372" s="7" t="s">
        <v>5166</v>
      </c>
      <c r="E372" s="44">
        <v>5</v>
      </c>
      <c r="F372" s="7"/>
      <c r="G372" s="7"/>
      <c r="H372" s="2" t="s">
        <v>5146</v>
      </c>
      <c r="I372" s="7" t="s">
        <v>5168</v>
      </c>
      <c r="J372" s="7" t="s">
        <v>4943</v>
      </c>
      <c r="K372" s="7" t="s">
        <v>48</v>
      </c>
      <c r="L372" s="7" t="s">
        <v>5169</v>
      </c>
      <c r="M372" s="7" t="s">
        <v>5164</v>
      </c>
      <c r="N372" s="45" t="str">
        <f t="shared" ref="N372:N373" si="257">HYPERLINK("twitter.com/calpolysoftball","@calpolysoftball")</f>
        <v>@calpolysoftball</v>
      </c>
      <c r="O372" s="74" t="str">
        <f t="shared" ref="O372:O373" si="258">HYPERLINK("https://www.gopoly.com/psaquestionnaire","Questionnaire")</f>
        <v>Questionnaire</v>
      </c>
      <c r="P372" s="48" t="s">
        <v>5152</v>
      </c>
      <c r="Q372" s="60" t="s">
        <v>312</v>
      </c>
      <c r="R372" s="48" t="s">
        <v>5153</v>
      </c>
      <c r="S372" s="48" t="s">
        <v>468</v>
      </c>
      <c r="T372" s="4" t="s">
        <v>74</v>
      </c>
      <c r="U372" s="4" t="s">
        <v>75</v>
      </c>
      <c r="V372" s="48"/>
      <c r="W372" s="65">
        <v>3.92</v>
      </c>
      <c r="X372" s="49" t="s">
        <v>677</v>
      </c>
      <c r="Y372" s="49" t="s">
        <v>5154</v>
      </c>
      <c r="Z372" s="4" t="s">
        <v>179</v>
      </c>
      <c r="AA372" s="38">
        <v>0.29480000000000001</v>
      </c>
      <c r="AB372" s="48" t="s">
        <v>5155</v>
      </c>
      <c r="AC372" s="66" t="s">
        <v>5152</v>
      </c>
      <c r="AD372" s="67" t="str">
        <f t="shared" si="256"/>
        <v>Link</v>
      </c>
      <c r="AE372" s="42">
        <v>20426</v>
      </c>
      <c r="AF372" s="55"/>
      <c r="AG372" s="85"/>
      <c r="AH372" s="56">
        <v>110422</v>
      </c>
      <c r="AI372" s="7"/>
      <c r="AJ372" s="7"/>
    </row>
    <row r="373" spans="1:36" ht="15" x14ac:dyDescent="0.2">
      <c r="A373" s="43" t="s">
        <v>5142</v>
      </c>
      <c r="B373" s="33" t="s">
        <v>312</v>
      </c>
      <c r="C373" s="7" t="s">
        <v>67</v>
      </c>
      <c r="D373" s="7" t="s">
        <v>5180</v>
      </c>
      <c r="E373" s="44">
        <v>5</v>
      </c>
      <c r="F373" s="7"/>
      <c r="G373" s="7"/>
      <c r="H373" s="2" t="s">
        <v>5146</v>
      </c>
      <c r="I373" s="7" t="s">
        <v>453</v>
      </c>
      <c r="J373" s="7" t="s">
        <v>5181</v>
      </c>
      <c r="K373" s="7" t="s">
        <v>55</v>
      </c>
      <c r="L373" s="7" t="s">
        <v>5182</v>
      </c>
      <c r="M373" s="7" t="s">
        <v>5183</v>
      </c>
      <c r="N373" s="45" t="str">
        <f t="shared" si="257"/>
        <v>@calpolysoftball</v>
      </c>
      <c r="O373" s="74" t="str">
        <f t="shared" si="258"/>
        <v>Questionnaire</v>
      </c>
      <c r="P373" s="48" t="s">
        <v>5152</v>
      </c>
      <c r="Q373" s="60" t="s">
        <v>312</v>
      </c>
      <c r="R373" s="48" t="s">
        <v>5153</v>
      </c>
      <c r="S373" s="48" t="s">
        <v>468</v>
      </c>
      <c r="T373" s="4" t="s">
        <v>74</v>
      </c>
      <c r="U373" s="4" t="s">
        <v>75</v>
      </c>
      <c r="V373" s="48"/>
      <c r="W373" s="65">
        <v>3.92</v>
      </c>
      <c r="X373" s="49" t="s">
        <v>677</v>
      </c>
      <c r="Y373" s="49" t="s">
        <v>5154</v>
      </c>
      <c r="Z373" s="4" t="s">
        <v>179</v>
      </c>
      <c r="AA373" s="38">
        <v>0.29480000000000001</v>
      </c>
      <c r="AB373" s="48" t="s">
        <v>5155</v>
      </c>
      <c r="AC373" s="66" t="s">
        <v>5152</v>
      </c>
      <c r="AD373" s="67" t="str">
        <f t="shared" si="256"/>
        <v>Link</v>
      </c>
      <c r="AE373" s="42">
        <v>20426</v>
      </c>
      <c r="AF373" s="55"/>
      <c r="AG373" s="85"/>
      <c r="AH373" s="56">
        <v>110422</v>
      </c>
      <c r="AI373" s="7"/>
      <c r="AJ373" s="7"/>
    </row>
    <row r="374" spans="1:36" ht="15" x14ac:dyDescent="0.2">
      <c r="A374" s="43" t="s">
        <v>5142</v>
      </c>
      <c r="B374" s="33" t="s">
        <v>312</v>
      </c>
      <c r="C374" s="7" t="s">
        <v>67</v>
      </c>
      <c r="D374" s="7" t="s">
        <v>5186</v>
      </c>
      <c r="E374" s="44">
        <v>5</v>
      </c>
      <c r="F374" s="7"/>
      <c r="G374" s="7"/>
      <c r="H374" s="2" t="s">
        <v>5187</v>
      </c>
      <c r="I374" s="7" t="s">
        <v>222</v>
      </c>
      <c r="J374" s="7" t="s">
        <v>196</v>
      </c>
      <c r="K374" s="7" t="s">
        <v>1048</v>
      </c>
      <c r="L374" s="7" t="s">
        <v>5188</v>
      </c>
      <c r="M374" s="7" t="s">
        <v>5189</v>
      </c>
      <c r="N374" s="45" t="str">
        <f t="shared" ref="N374:N379" si="259">HYPERLINK("twitter.com/fullerton_sb","@fullerton_sb")</f>
        <v>@fullerton_sb</v>
      </c>
      <c r="O374" s="74" t="str">
        <f t="shared" ref="O374:O379" si="260">HYPERLINK("https://www.fullertontitans.com/recruiting/recruiting_questionnaires","Questionnaire")</f>
        <v>Questionnaire</v>
      </c>
      <c r="P374" s="48" t="s">
        <v>5197</v>
      </c>
      <c r="Q374" s="60" t="s">
        <v>312</v>
      </c>
      <c r="R374" s="48" t="s">
        <v>5199</v>
      </c>
      <c r="S374" s="48" t="s">
        <v>238</v>
      </c>
      <c r="T374" s="49" t="s">
        <v>74</v>
      </c>
      <c r="U374" s="49" t="s">
        <v>75</v>
      </c>
      <c r="V374" s="48"/>
      <c r="W374" s="61">
        <v>3.53</v>
      </c>
      <c r="X374" s="49" t="s">
        <v>397</v>
      </c>
      <c r="Y374" s="49" t="s">
        <v>522</v>
      </c>
      <c r="Z374" s="49" t="s">
        <v>125</v>
      </c>
      <c r="AA374" s="51">
        <v>0.48230000000000001</v>
      </c>
      <c r="AB374" s="48" t="s">
        <v>5202</v>
      </c>
      <c r="AC374" s="90" t="s">
        <v>5197</v>
      </c>
      <c r="AD374" s="53" t="str">
        <f t="shared" ref="AD374:AD379" si="261">HYPERLINK("http://www.fullerton.edu/academics/","Link")</f>
        <v>Link</v>
      </c>
      <c r="AE374" s="54">
        <v>34576</v>
      </c>
      <c r="AF374" s="54">
        <v>202</v>
      </c>
      <c r="AG374" s="85"/>
      <c r="AH374" s="56">
        <v>110565</v>
      </c>
      <c r="AI374" s="7"/>
      <c r="AJ374" s="7"/>
    </row>
    <row r="375" spans="1:36" ht="15" x14ac:dyDescent="0.2">
      <c r="A375" s="43" t="s">
        <v>5142</v>
      </c>
      <c r="B375" s="33" t="s">
        <v>312</v>
      </c>
      <c r="C375" s="7" t="s">
        <v>67</v>
      </c>
      <c r="D375" s="7" t="s">
        <v>5186</v>
      </c>
      <c r="E375" s="44">
        <v>5</v>
      </c>
      <c r="F375" s="7"/>
      <c r="G375" s="7"/>
      <c r="H375" s="2" t="s">
        <v>5187</v>
      </c>
      <c r="I375" s="7" t="s">
        <v>484</v>
      </c>
      <c r="J375" s="7" t="s">
        <v>1631</v>
      </c>
      <c r="K375" s="7" t="s">
        <v>48</v>
      </c>
      <c r="L375" s="7" t="s">
        <v>5209</v>
      </c>
      <c r="M375" s="7" t="s">
        <v>5189</v>
      </c>
      <c r="N375" s="45" t="str">
        <f t="shared" si="259"/>
        <v>@fullerton_sb</v>
      </c>
      <c r="O375" s="74" t="str">
        <f t="shared" si="260"/>
        <v>Questionnaire</v>
      </c>
      <c r="P375" s="48" t="s">
        <v>5197</v>
      </c>
      <c r="Q375" s="60" t="s">
        <v>312</v>
      </c>
      <c r="R375" s="48" t="s">
        <v>5199</v>
      </c>
      <c r="S375" s="48" t="s">
        <v>238</v>
      </c>
      <c r="T375" s="49" t="s">
        <v>74</v>
      </c>
      <c r="U375" s="49" t="s">
        <v>75</v>
      </c>
      <c r="V375" s="48"/>
      <c r="W375" s="61">
        <v>3.53</v>
      </c>
      <c r="X375" s="49" t="s">
        <v>397</v>
      </c>
      <c r="Y375" s="49" t="s">
        <v>522</v>
      </c>
      <c r="Z375" s="49" t="s">
        <v>125</v>
      </c>
      <c r="AA375" s="51">
        <v>0.48230000000000001</v>
      </c>
      <c r="AB375" s="48" t="s">
        <v>5202</v>
      </c>
      <c r="AC375" s="90" t="s">
        <v>5197</v>
      </c>
      <c r="AD375" s="53" t="str">
        <f t="shared" si="261"/>
        <v>Link</v>
      </c>
      <c r="AE375" s="54">
        <v>34576</v>
      </c>
      <c r="AF375" s="54">
        <v>202</v>
      </c>
      <c r="AG375" s="85"/>
      <c r="AH375" s="56">
        <v>110565</v>
      </c>
      <c r="AI375" s="7"/>
      <c r="AJ375" s="7"/>
    </row>
    <row r="376" spans="1:36" ht="15" x14ac:dyDescent="0.2">
      <c r="A376" s="43" t="s">
        <v>5142</v>
      </c>
      <c r="B376" s="33" t="s">
        <v>312</v>
      </c>
      <c r="C376" s="7" t="s">
        <v>67</v>
      </c>
      <c r="D376" s="7" t="s">
        <v>5216</v>
      </c>
      <c r="E376" s="44">
        <v>5</v>
      </c>
      <c r="F376" s="7"/>
      <c r="G376" s="7"/>
      <c r="H376" s="2" t="s">
        <v>5187</v>
      </c>
      <c r="I376" s="7" t="s">
        <v>5217</v>
      </c>
      <c r="J376" s="7" t="s">
        <v>5218</v>
      </c>
      <c r="K376" s="7" t="s">
        <v>55</v>
      </c>
      <c r="L376" s="7" t="s">
        <v>5219</v>
      </c>
      <c r="M376" s="7" t="s">
        <v>5220</v>
      </c>
      <c r="N376" s="45" t="str">
        <f t="shared" si="259"/>
        <v>@fullerton_sb</v>
      </c>
      <c r="O376" s="74" t="str">
        <f t="shared" si="260"/>
        <v>Questionnaire</v>
      </c>
      <c r="P376" s="48" t="s">
        <v>5197</v>
      </c>
      <c r="Q376" s="60" t="s">
        <v>312</v>
      </c>
      <c r="R376" s="48" t="s">
        <v>5199</v>
      </c>
      <c r="S376" s="48" t="s">
        <v>238</v>
      </c>
      <c r="T376" s="49" t="s">
        <v>74</v>
      </c>
      <c r="U376" s="49" t="s">
        <v>75</v>
      </c>
      <c r="V376" s="48"/>
      <c r="W376" s="61">
        <v>3.53</v>
      </c>
      <c r="X376" s="49" t="s">
        <v>397</v>
      </c>
      <c r="Y376" s="49" t="s">
        <v>522</v>
      </c>
      <c r="Z376" s="49" t="s">
        <v>125</v>
      </c>
      <c r="AA376" s="51">
        <v>0.48230000000000001</v>
      </c>
      <c r="AB376" s="48" t="s">
        <v>5202</v>
      </c>
      <c r="AC376" s="90" t="s">
        <v>5197</v>
      </c>
      <c r="AD376" s="53" t="str">
        <f t="shared" si="261"/>
        <v>Link</v>
      </c>
      <c r="AE376" s="54">
        <v>34576</v>
      </c>
      <c r="AF376" s="54">
        <v>202</v>
      </c>
      <c r="AG376" s="85"/>
      <c r="AH376" s="56">
        <v>110565</v>
      </c>
      <c r="AI376" s="7"/>
      <c r="AJ376" s="7"/>
    </row>
    <row r="377" spans="1:36" ht="15" x14ac:dyDescent="0.2">
      <c r="A377" s="43" t="s">
        <v>5142</v>
      </c>
      <c r="B377" s="33" t="s">
        <v>312</v>
      </c>
      <c r="C377" s="7" t="s">
        <v>67</v>
      </c>
      <c r="D377" s="7" t="s">
        <v>5228</v>
      </c>
      <c r="E377" s="44">
        <v>5</v>
      </c>
      <c r="F377" s="7"/>
      <c r="G377" s="7"/>
      <c r="H377" s="2" t="s">
        <v>5187</v>
      </c>
      <c r="I377" s="7" t="s">
        <v>2549</v>
      </c>
      <c r="J377" s="7" t="s">
        <v>2204</v>
      </c>
      <c r="K377" s="7" t="s">
        <v>55</v>
      </c>
      <c r="L377" s="7" t="s">
        <v>5229</v>
      </c>
      <c r="M377" s="7" t="s">
        <v>5189</v>
      </c>
      <c r="N377" s="45" t="str">
        <f t="shared" si="259"/>
        <v>@fullerton_sb</v>
      </c>
      <c r="O377" s="74" t="str">
        <f t="shared" si="260"/>
        <v>Questionnaire</v>
      </c>
      <c r="P377" s="48" t="s">
        <v>5197</v>
      </c>
      <c r="Q377" s="60" t="s">
        <v>312</v>
      </c>
      <c r="R377" s="48" t="s">
        <v>5199</v>
      </c>
      <c r="S377" s="48" t="s">
        <v>238</v>
      </c>
      <c r="T377" s="49" t="s">
        <v>74</v>
      </c>
      <c r="U377" s="49" t="s">
        <v>75</v>
      </c>
      <c r="V377" s="48"/>
      <c r="W377" s="61">
        <v>3.53</v>
      </c>
      <c r="X377" s="49" t="s">
        <v>397</v>
      </c>
      <c r="Y377" s="49" t="s">
        <v>522</v>
      </c>
      <c r="Z377" s="49" t="s">
        <v>125</v>
      </c>
      <c r="AA377" s="51">
        <v>0.48230000000000001</v>
      </c>
      <c r="AB377" s="48" t="s">
        <v>5202</v>
      </c>
      <c r="AC377" s="90" t="s">
        <v>5197</v>
      </c>
      <c r="AD377" s="53" t="str">
        <f t="shared" si="261"/>
        <v>Link</v>
      </c>
      <c r="AE377" s="54">
        <v>34576</v>
      </c>
      <c r="AF377" s="54">
        <v>202</v>
      </c>
      <c r="AG377" s="85"/>
      <c r="AH377" s="56">
        <v>110565</v>
      </c>
      <c r="AI377" s="7"/>
      <c r="AJ377" s="7"/>
    </row>
    <row r="378" spans="1:36" ht="15" x14ac:dyDescent="0.2">
      <c r="A378" s="43" t="s">
        <v>5142</v>
      </c>
      <c r="B378" s="33" t="s">
        <v>312</v>
      </c>
      <c r="C378" s="7" t="s">
        <v>67</v>
      </c>
      <c r="D378" s="7" t="s">
        <v>5236</v>
      </c>
      <c r="E378" s="44">
        <v>5</v>
      </c>
      <c r="F378" s="7"/>
      <c r="G378" s="7"/>
      <c r="H378" s="2" t="s">
        <v>5187</v>
      </c>
      <c r="I378" s="7" t="s">
        <v>3905</v>
      </c>
      <c r="J378" s="7" t="s">
        <v>1434</v>
      </c>
      <c r="K378" s="7" t="s">
        <v>139</v>
      </c>
      <c r="L378" s="7"/>
      <c r="M378" s="7"/>
      <c r="N378" s="45" t="str">
        <f t="shared" si="259"/>
        <v>@fullerton_sb</v>
      </c>
      <c r="O378" s="74" t="str">
        <f t="shared" si="260"/>
        <v>Questionnaire</v>
      </c>
      <c r="P378" s="48" t="s">
        <v>5197</v>
      </c>
      <c r="Q378" s="60" t="s">
        <v>312</v>
      </c>
      <c r="R378" s="48" t="s">
        <v>5199</v>
      </c>
      <c r="S378" s="48" t="s">
        <v>238</v>
      </c>
      <c r="T378" s="49" t="s">
        <v>74</v>
      </c>
      <c r="U378" s="49" t="s">
        <v>75</v>
      </c>
      <c r="V378" s="48"/>
      <c r="W378" s="61">
        <v>3.53</v>
      </c>
      <c r="X378" s="49" t="s">
        <v>397</v>
      </c>
      <c r="Y378" s="49" t="s">
        <v>522</v>
      </c>
      <c r="Z378" s="49" t="s">
        <v>125</v>
      </c>
      <c r="AA378" s="51">
        <v>0.48230000000000001</v>
      </c>
      <c r="AB378" s="48" t="s">
        <v>5202</v>
      </c>
      <c r="AC378" s="90" t="s">
        <v>5197</v>
      </c>
      <c r="AD378" s="53" t="str">
        <f t="shared" si="261"/>
        <v>Link</v>
      </c>
      <c r="AE378" s="54">
        <v>34576</v>
      </c>
      <c r="AF378" s="54">
        <v>202</v>
      </c>
      <c r="AG378" s="85"/>
      <c r="AH378" s="56">
        <v>110565</v>
      </c>
      <c r="AI378" s="7"/>
      <c r="AJ378" s="7"/>
    </row>
    <row r="379" spans="1:36" ht="15" x14ac:dyDescent="0.2">
      <c r="A379" s="43" t="s">
        <v>5142</v>
      </c>
      <c r="B379" s="33" t="s">
        <v>312</v>
      </c>
      <c r="C379" s="7" t="s">
        <v>67</v>
      </c>
      <c r="D379" s="7" t="s">
        <v>5240</v>
      </c>
      <c r="E379" s="44">
        <v>5</v>
      </c>
      <c r="F379" s="7"/>
      <c r="G379" s="7"/>
      <c r="H379" s="2" t="s">
        <v>5187</v>
      </c>
      <c r="I379" s="7" t="s">
        <v>222</v>
      </c>
      <c r="J379" s="7" t="s">
        <v>196</v>
      </c>
      <c r="K379" s="7" t="s">
        <v>154</v>
      </c>
      <c r="L379" s="7" t="s">
        <v>5241</v>
      </c>
      <c r="M379" s="7" t="s">
        <v>5243</v>
      </c>
      <c r="N379" s="45" t="str">
        <f t="shared" si="259"/>
        <v>@fullerton_sb</v>
      </c>
      <c r="O379" s="74" t="str">
        <f t="shared" si="260"/>
        <v>Questionnaire</v>
      </c>
      <c r="P379" s="48" t="s">
        <v>5197</v>
      </c>
      <c r="Q379" s="60" t="s">
        <v>312</v>
      </c>
      <c r="R379" s="48" t="s">
        <v>5199</v>
      </c>
      <c r="S379" s="48" t="s">
        <v>238</v>
      </c>
      <c r="T379" s="49" t="s">
        <v>74</v>
      </c>
      <c r="U379" s="49" t="s">
        <v>75</v>
      </c>
      <c r="V379" s="48"/>
      <c r="W379" s="61">
        <v>3.53</v>
      </c>
      <c r="X379" s="49" t="s">
        <v>397</v>
      </c>
      <c r="Y379" s="49" t="s">
        <v>522</v>
      </c>
      <c r="Z379" s="49" t="s">
        <v>125</v>
      </c>
      <c r="AA379" s="51">
        <v>0.48230000000000001</v>
      </c>
      <c r="AB379" s="48" t="s">
        <v>5202</v>
      </c>
      <c r="AC379" s="90" t="s">
        <v>5197</v>
      </c>
      <c r="AD379" s="53" t="str">
        <f t="shared" si="261"/>
        <v>Link</v>
      </c>
      <c r="AE379" s="54">
        <v>34576</v>
      </c>
      <c r="AF379" s="54">
        <v>202</v>
      </c>
      <c r="AG379" s="85"/>
      <c r="AH379" s="56">
        <v>110565</v>
      </c>
      <c r="AI379" s="7"/>
      <c r="AJ379" s="7"/>
    </row>
    <row r="380" spans="1:36" ht="15" x14ac:dyDescent="0.2">
      <c r="A380" s="43" t="s">
        <v>5142</v>
      </c>
      <c r="B380" s="33" t="s">
        <v>312</v>
      </c>
      <c r="C380" s="7" t="s">
        <v>67</v>
      </c>
      <c r="D380" s="7" t="s">
        <v>5252</v>
      </c>
      <c r="E380" s="44">
        <v>5</v>
      </c>
      <c r="F380" s="7"/>
      <c r="G380" s="7"/>
      <c r="H380" s="2" t="s">
        <v>5253</v>
      </c>
      <c r="I380" s="7" t="s">
        <v>5254</v>
      </c>
      <c r="J380" s="7" t="s">
        <v>5255</v>
      </c>
      <c r="K380" s="7" t="s">
        <v>48</v>
      </c>
      <c r="L380" s="7" t="s">
        <v>5256</v>
      </c>
      <c r="M380" s="7"/>
      <c r="N380" s="45" t="str">
        <f t="shared" ref="N380:N383" si="262">HYPERLINK("twitter.com/csunsoftball","@csunsoftball")</f>
        <v>@csunsoftball</v>
      </c>
      <c r="O380" s="74" t="str">
        <f t="shared" ref="O380:O383" si="263">HYPERLINK("https://gomatadors.com/sports/2016/10/5/recruit-questionnaire.aspx","Questionnaire")</f>
        <v>Questionnaire</v>
      </c>
      <c r="P380" s="48" t="s">
        <v>5265</v>
      </c>
      <c r="Q380" s="60" t="s">
        <v>312</v>
      </c>
      <c r="R380" s="48" t="s">
        <v>5267</v>
      </c>
      <c r="S380" s="48" t="s">
        <v>186</v>
      </c>
      <c r="T380" s="73" t="s">
        <v>74</v>
      </c>
      <c r="U380" s="49" t="s">
        <v>75</v>
      </c>
      <c r="V380" s="48"/>
      <c r="W380" s="61">
        <v>3.24</v>
      </c>
      <c r="X380" s="49" t="s">
        <v>1947</v>
      </c>
      <c r="Y380" s="49" t="s">
        <v>5268</v>
      </c>
      <c r="Z380" s="49" t="s">
        <v>5269</v>
      </c>
      <c r="AA380" s="51">
        <v>0.48230000000000001</v>
      </c>
      <c r="AB380" s="48" t="s">
        <v>5270</v>
      </c>
      <c r="AC380" s="52" t="s">
        <v>5265</v>
      </c>
      <c r="AD380" s="53" t="str">
        <f t="shared" ref="AD380:AD383" si="264">HYPERLINK("https://catalog.csun.edu/programs/major/","Link")</f>
        <v>Link</v>
      </c>
      <c r="AE380" s="54">
        <v>35756</v>
      </c>
      <c r="AF380" s="55"/>
      <c r="AG380" s="85"/>
      <c r="AH380" s="56">
        <v>110608</v>
      </c>
      <c r="AI380" s="7"/>
      <c r="AJ380" s="7"/>
    </row>
    <row r="381" spans="1:36" ht="15" x14ac:dyDescent="0.2">
      <c r="A381" s="43" t="s">
        <v>5142</v>
      </c>
      <c r="B381" s="33" t="s">
        <v>312</v>
      </c>
      <c r="C381" s="7" t="s">
        <v>67</v>
      </c>
      <c r="D381" s="7" t="s">
        <v>5278</v>
      </c>
      <c r="E381" s="44">
        <v>5</v>
      </c>
      <c r="F381" s="7"/>
      <c r="G381" s="7"/>
      <c r="H381" s="2" t="s">
        <v>5253</v>
      </c>
      <c r="I381" s="7" t="s">
        <v>5279</v>
      </c>
      <c r="J381" s="7" t="s">
        <v>5280</v>
      </c>
      <c r="K381" s="7" t="s">
        <v>55</v>
      </c>
      <c r="L381" s="7" t="s">
        <v>5281</v>
      </c>
      <c r="M381" s="7" t="s">
        <v>5282</v>
      </c>
      <c r="N381" s="45" t="str">
        <f t="shared" si="262"/>
        <v>@csunsoftball</v>
      </c>
      <c r="O381" s="74" t="str">
        <f t="shared" si="263"/>
        <v>Questionnaire</v>
      </c>
      <c r="P381" s="48" t="s">
        <v>5265</v>
      </c>
      <c r="Q381" s="60" t="s">
        <v>312</v>
      </c>
      <c r="R381" s="48" t="s">
        <v>5267</v>
      </c>
      <c r="S381" s="48" t="s">
        <v>186</v>
      </c>
      <c r="T381" s="73" t="s">
        <v>74</v>
      </c>
      <c r="U381" s="49" t="s">
        <v>75</v>
      </c>
      <c r="V381" s="48"/>
      <c r="W381" s="61">
        <v>3.24</v>
      </c>
      <c r="X381" s="49" t="s">
        <v>1947</v>
      </c>
      <c r="Y381" s="49" t="s">
        <v>5268</v>
      </c>
      <c r="Z381" s="49" t="s">
        <v>5269</v>
      </c>
      <c r="AA381" s="51">
        <v>0.48230000000000001</v>
      </c>
      <c r="AB381" s="48" t="s">
        <v>5270</v>
      </c>
      <c r="AC381" s="52" t="s">
        <v>5265</v>
      </c>
      <c r="AD381" s="53" t="str">
        <f t="shared" si="264"/>
        <v>Link</v>
      </c>
      <c r="AE381" s="54">
        <v>35756</v>
      </c>
      <c r="AF381" s="55"/>
      <c r="AG381" s="85"/>
      <c r="AH381" s="56">
        <v>110608</v>
      </c>
      <c r="AI381" s="7"/>
      <c r="AJ381" s="7"/>
    </row>
    <row r="382" spans="1:36" ht="15" x14ac:dyDescent="0.2">
      <c r="A382" s="43" t="s">
        <v>5142</v>
      </c>
      <c r="B382" s="33" t="s">
        <v>312</v>
      </c>
      <c r="C382" s="7" t="s">
        <v>67</v>
      </c>
      <c r="D382" s="7" t="s">
        <v>5288</v>
      </c>
      <c r="E382" s="44">
        <v>5</v>
      </c>
      <c r="F382" s="7"/>
      <c r="G382" s="7"/>
      <c r="H382" s="2" t="s">
        <v>5253</v>
      </c>
      <c r="I382" s="7" t="s">
        <v>5289</v>
      </c>
      <c r="J382" s="7" t="s">
        <v>267</v>
      </c>
      <c r="K382" s="7" t="s">
        <v>55</v>
      </c>
      <c r="L382" s="7" t="s">
        <v>5290</v>
      </c>
      <c r="M382" s="7" t="s">
        <v>5291</v>
      </c>
      <c r="N382" s="45" t="str">
        <f t="shared" si="262"/>
        <v>@csunsoftball</v>
      </c>
      <c r="O382" s="74" t="str">
        <f t="shared" si="263"/>
        <v>Questionnaire</v>
      </c>
      <c r="P382" s="48" t="s">
        <v>5265</v>
      </c>
      <c r="Q382" s="60" t="s">
        <v>312</v>
      </c>
      <c r="R382" s="48" t="s">
        <v>5267</v>
      </c>
      <c r="S382" s="48" t="s">
        <v>186</v>
      </c>
      <c r="T382" s="73" t="s">
        <v>74</v>
      </c>
      <c r="U382" s="49" t="s">
        <v>75</v>
      </c>
      <c r="V382" s="48"/>
      <c r="W382" s="61">
        <v>3.24</v>
      </c>
      <c r="X382" s="49" t="s">
        <v>1947</v>
      </c>
      <c r="Y382" s="49" t="s">
        <v>5268</v>
      </c>
      <c r="Z382" s="49" t="s">
        <v>5269</v>
      </c>
      <c r="AA382" s="51">
        <v>0.48230000000000001</v>
      </c>
      <c r="AB382" s="48" t="s">
        <v>5270</v>
      </c>
      <c r="AC382" s="52" t="s">
        <v>5265</v>
      </c>
      <c r="AD382" s="53" t="str">
        <f t="shared" si="264"/>
        <v>Link</v>
      </c>
      <c r="AE382" s="54">
        <v>35756</v>
      </c>
      <c r="AF382" s="55"/>
      <c r="AG382" s="85"/>
      <c r="AH382" s="56">
        <v>110608</v>
      </c>
      <c r="AI382" s="7"/>
      <c r="AJ382" s="7"/>
    </row>
    <row r="383" spans="1:36" ht="15" x14ac:dyDescent="0.2">
      <c r="A383" s="43" t="s">
        <v>5142</v>
      </c>
      <c r="B383" s="33" t="s">
        <v>312</v>
      </c>
      <c r="C383" s="7" t="s">
        <v>67</v>
      </c>
      <c r="D383" s="7" t="s">
        <v>5301</v>
      </c>
      <c r="E383" s="44">
        <v>5</v>
      </c>
      <c r="F383" s="7"/>
      <c r="G383" s="7"/>
      <c r="H383" s="2" t="s">
        <v>5253</v>
      </c>
      <c r="I383" s="7" t="s">
        <v>5302</v>
      </c>
      <c r="J383" s="7" t="s">
        <v>5303</v>
      </c>
      <c r="K383" s="7" t="s">
        <v>139</v>
      </c>
      <c r="L383" s="7"/>
      <c r="M383" s="7"/>
      <c r="N383" s="45" t="str">
        <f t="shared" si="262"/>
        <v>@csunsoftball</v>
      </c>
      <c r="O383" s="74" t="str">
        <f t="shared" si="263"/>
        <v>Questionnaire</v>
      </c>
      <c r="P383" s="48" t="s">
        <v>5265</v>
      </c>
      <c r="Q383" s="60" t="s">
        <v>312</v>
      </c>
      <c r="R383" s="48" t="s">
        <v>5267</v>
      </c>
      <c r="S383" s="48" t="s">
        <v>186</v>
      </c>
      <c r="T383" s="73" t="s">
        <v>74</v>
      </c>
      <c r="U383" s="49" t="s">
        <v>75</v>
      </c>
      <c r="V383" s="48"/>
      <c r="W383" s="61">
        <v>3.24</v>
      </c>
      <c r="X383" s="49" t="s">
        <v>1947</v>
      </c>
      <c r="Y383" s="49" t="s">
        <v>5268</v>
      </c>
      <c r="Z383" s="49" t="s">
        <v>5269</v>
      </c>
      <c r="AA383" s="51">
        <v>0.48230000000000001</v>
      </c>
      <c r="AB383" s="48" t="s">
        <v>5270</v>
      </c>
      <c r="AC383" s="52" t="s">
        <v>5265</v>
      </c>
      <c r="AD383" s="53" t="str">
        <f t="shared" si="264"/>
        <v>Link</v>
      </c>
      <c r="AE383" s="54">
        <v>35756</v>
      </c>
      <c r="AF383" s="55"/>
      <c r="AG383" s="85"/>
      <c r="AH383" s="56">
        <v>110608</v>
      </c>
      <c r="AI383" s="7"/>
      <c r="AJ383" s="7"/>
    </row>
    <row r="384" spans="1:36" ht="15" x14ac:dyDescent="0.2">
      <c r="A384" s="43" t="s">
        <v>5142</v>
      </c>
      <c r="B384" s="33" t="s">
        <v>312</v>
      </c>
      <c r="C384" s="7" t="s">
        <v>67</v>
      </c>
      <c r="D384" s="7" t="s">
        <v>5309</v>
      </c>
      <c r="E384" s="44">
        <v>5</v>
      </c>
      <c r="F384" s="7"/>
      <c r="G384" s="7"/>
      <c r="H384" s="2" t="s">
        <v>5310</v>
      </c>
      <c r="I384" s="7" t="s">
        <v>338</v>
      </c>
      <c r="J384" s="7" t="s">
        <v>5311</v>
      </c>
      <c r="K384" s="7" t="s">
        <v>48</v>
      </c>
      <c r="L384" s="7" t="s">
        <v>5313</v>
      </c>
      <c r="M384" s="7"/>
      <c r="N384" s="45" t="str">
        <f t="shared" ref="N384:N385" si="265">HYPERLINK("twitter.com/ucdavissb","@ucdavissb")</f>
        <v>@ucdavissb</v>
      </c>
      <c r="O384" s="74" t="str">
        <f t="shared" ref="O384:O385" si="266">HYPERLINK("https://ucdavisaggies.com/sports/2018/5/29/recruiting-questionnaires.aspx","Questionnaire")</f>
        <v>Questionnaire</v>
      </c>
      <c r="P384" s="48" t="s">
        <v>5319</v>
      </c>
      <c r="Q384" s="60" t="s">
        <v>312</v>
      </c>
      <c r="R384" s="48" t="s">
        <v>118</v>
      </c>
      <c r="S384" s="48" t="s">
        <v>186</v>
      </c>
      <c r="T384" s="49" t="s">
        <v>74</v>
      </c>
      <c r="U384" s="49" t="s">
        <v>75</v>
      </c>
      <c r="V384" s="48"/>
      <c r="W384" s="61">
        <v>3.99</v>
      </c>
      <c r="X384" s="49" t="s">
        <v>1490</v>
      </c>
      <c r="Y384" s="49" t="s">
        <v>5324</v>
      </c>
      <c r="Z384" s="49" t="s">
        <v>81</v>
      </c>
      <c r="AA384" s="51">
        <v>0.42</v>
      </c>
      <c r="AB384" s="48" t="s">
        <v>5325</v>
      </c>
      <c r="AC384" s="62" t="s">
        <v>5319</v>
      </c>
      <c r="AD384" s="53" t="str">
        <f t="shared" ref="AD384:AD386" si="267">HYPERLINK("https://www.ucdavis.edu/majors/","Link")</f>
        <v>Link</v>
      </c>
      <c r="AE384" s="54">
        <v>29379</v>
      </c>
      <c r="AF384" s="54">
        <v>46</v>
      </c>
      <c r="AG384" s="85"/>
      <c r="AH384" s="56">
        <v>110644</v>
      </c>
      <c r="AI384" s="7"/>
      <c r="AJ384" s="7"/>
    </row>
    <row r="385" spans="1:36" ht="15" x14ac:dyDescent="0.2">
      <c r="A385" s="43" t="s">
        <v>5142</v>
      </c>
      <c r="B385" s="33" t="s">
        <v>312</v>
      </c>
      <c r="C385" s="7" t="s">
        <v>67</v>
      </c>
      <c r="D385" s="7" t="s">
        <v>5335</v>
      </c>
      <c r="E385" s="44">
        <v>5</v>
      </c>
      <c r="F385" s="7"/>
      <c r="G385" s="7"/>
      <c r="H385" s="2" t="s">
        <v>5310</v>
      </c>
      <c r="I385" s="7" t="s">
        <v>206</v>
      </c>
      <c r="J385" s="7" t="s">
        <v>5336</v>
      </c>
      <c r="K385" s="7" t="s">
        <v>55</v>
      </c>
      <c r="L385" s="7" t="s">
        <v>5337</v>
      </c>
      <c r="M385" s="7" t="s">
        <v>5339</v>
      </c>
      <c r="N385" s="45" t="str">
        <f t="shared" si="265"/>
        <v>@ucdavissb</v>
      </c>
      <c r="O385" s="74" t="str">
        <f t="shared" si="266"/>
        <v>Questionnaire</v>
      </c>
      <c r="P385" s="48" t="s">
        <v>5319</v>
      </c>
      <c r="Q385" s="60" t="s">
        <v>312</v>
      </c>
      <c r="R385" s="48" t="s">
        <v>118</v>
      </c>
      <c r="S385" s="48" t="s">
        <v>186</v>
      </c>
      <c r="T385" s="49" t="s">
        <v>74</v>
      </c>
      <c r="U385" s="49" t="s">
        <v>75</v>
      </c>
      <c r="V385" s="48"/>
      <c r="W385" s="61">
        <v>3.99</v>
      </c>
      <c r="X385" s="49" t="s">
        <v>1490</v>
      </c>
      <c r="Y385" s="49" t="s">
        <v>5324</v>
      </c>
      <c r="Z385" s="49" t="s">
        <v>81</v>
      </c>
      <c r="AA385" s="51">
        <v>0.42</v>
      </c>
      <c r="AB385" s="48" t="s">
        <v>5325</v>
      </c>
      <c r="AC385" s="62" t="s">
        <v>5319</v>
      </c>
      <c r="AD385" s="53" t="str">
        <f t="shared" si="267"/>
        <v>Link</v>
      </c>
      <c r="AE385" s="54">
        <v>29379</v>
      </c>
      <c r="AF385" s="54">
        <v>46</v>
      </c>
      <c r="AG385" s="85"/>
      <c r="AH385" s="56">
        <v>110644</v>
      </c>
      <c r="AI385" s="7"/>
      <c r="AJ385" s="7"/>
    </row>
    <row r="386" spans="1:36" ht="15" x14ac:dyDescent="0.2">
      <c r="A386" s="43" t="s">
        <v>5142</v>
      </c>
      <c r="B386" s="33" t="s">
        <v>312</v>
      </c>
      <c r="C386" s="7" t="s">
        <v>67</v>
      </c>
      <c r="D386" s="7" t="s">
        <v>5349</v>
      </c>
      <c r="E386" s="44">
        <v>5</v>
      </c>
      <c r="F386" s="7"/>
      <c r="G386" s="7"/>
      <c r="H386" s="2" t="s">
        <v>5310</v>
      </c>
      <c r="I386" s="7" t="s">
        <v>1902</v>
      </c>
      <c r="J386" s="7" t="s">
        <v>5350</v>
      </c>
      <c r="K386" s="7" t="s">
        <v>55</v>
      </c>
      <c r="L386" s="7" t="s">
        <v>5351</v>
      </c>
      <c r="M386" s="7"/>
      <c r="N386" s="7"/>
      <c r="O386" s="7"/>
      <c r="P386" s="48" t="s">
        <v>5319</v>
      </c>
      <c r="Q386" s="60" t="s">
        <v>312</v>
      </c>
      <c r="R386" s="48" t="s">
        <v>118</v>
      </c>
      <c r="S386" s="48" t="s">
        <v>186</v>
      </c>
      <c r="T386" s="49" t="s">
        <v>74</v>
      </c>
      <c r="U386" s="49" t="s">
        <v>75</v>
      </c>
      <c r="V386" s="48"/>
      <c r="W386" s="61">
        <v>3.99</v>
      </c>
      <c r="X386" s="49" t="s">
        <v>1490</v>
      </c>
      <c r="Y386" s="49" t="s">
        <v>5324</v>
      </c>
      <c r="Z386" s="49" t="s">
        <v>81</v>
      </c>
      <c r="AA386" s="51">
        <v>0.42</v>
      </c>
      <c r="AB386" s="48" t="s">
        <v>5325</v>
      </c>
      <c r="AC386" s="62" t="s">
        <v>5319</v>
      </c>
      <c r="AD386" s="53" t="str">
        <f t="shared" si="267"/>
        <v>Link</v>
      </c>
      <c r="AE386" s="54">
        <v>29379</v>
      </c>
      <c r="AF386" s="54">
        <v>46</v>
      </c>
      <c r="AG386" s="85"/>
      <c r="AH386" s="56">
        <v>110644</v>
      </c>
      <c r="AI386" s="7"/>
      <c r="AJ386" s="7"/>
    </row>
    <row r="387" spans="1:36" ht="15" x14ac:dyDescent="0.2">
      <c r="A387" s="43" t="s">
        <v>5142</v>
      </c>
      <c r="B387" s="33" t="s">
        <v>312</v>
      </c>
      <c r="C387" s="7" t="s">
        <v>67</v>
      </c>
      <c r="D387" s="7" t="s">
        <v>5356</v>
      </c>
      <c r="E387" s="44">
        <v>5</v>
      </c>
      <c r="F387" s="7"/>
      <c r="G387" s="7"/>
      <c r="H387" s="2" t="s">
        <v>5358</v>
      </c>
      <c r="I387" s="7" t="s">
        <v>1148</v>
      </c>
      <c r="J387" s="7" t="s">
        <v>4321</v>
      </c>
      <c r="K387" s="7" t="s">
        <v>48</v>
      </c>
      <c r="L387" s="7" t="s">
        <v>5361</v>
      </c>
      <c r="M387" s="7" t="s">
        <v>5362</v>
      </c>
      <c r="N387" s="45" t="str">
        <f t="shared" ref="N387:N390" si="268">HYPERLINK("twitter.com/ucrsoftball","@ucrsoftball")</f>
        <v>@ucrsoftball</v>
      </c>
      <c r="O387" s="74" t="str">
        <f t="shared" ref="O387:O390" si="269">HYPERLINK("https://college.jumpforward.com/questionnaire.aspx?iid=1631&amp;sportid=31","Questionnaire")</f>
        <v>Questionnaire</v>
      </c>
      <c r="P387" s="48" t="s">
        <v>5372</v>
      </c>
      <c r="Q387" s="60" t="s">
        <v>312</v>
      </c>
      <c r="R387" s="48" t="s">
        <v>5374</v>
      </c>
      <c r="S387" s="48" t="s">
        <v>354</v>
      </c>
      <c r="T387" s="49" t="s">
        <v>74</v>
      </c>
      <c r="U387" s="49" t="s">
        <v>75</v>
      </c>
      <c r="V387" s="48"/>
      <c r="W387" s="61">
        <v>3.65</v>
      </c>
      <c r="X387" s="49" t="s">
        <v>276</v>
      </c>
      <c r="Y387" s="49" t="s">
        <v>688</v>
      </c>
      <c r="Z387" s="49" t="s">
        <v>545</v>
      </c>
      <c r="AA387" s="51">
        <v>0.66</v>
      </c>
      <c r="AB387" s="48" t="s">
        <v>5375</v>
      </c>
      <c r="AC387" s="62" t="s">
        <v>5372</v>
      </c>
      <c r="AD387" s="53" t="str">
        <f t="shared" ref="AD387:AD390" si="270">HYPERLINK("http://www.ucr.edu/academics/undergradmajors.html","Link")</f>
        <v>Link</v>
      </c>
      <c r="AE387" s="54">
        <v>19799</v>
      </c>
      <c r="AF387" s="54">
        <v>124</v>
      </c>
      <c r="AG387" s="85"/>
      <c r="AH387" s="56">
        <v>110671</v>
      </c>
      <c r="AI387" s="7"/>
      <c r="AJ387" s="7"/>
    </row>
    <row r="388" spans="1:36" ht="15" x14ac:dyDescent="0.2">
      <c r="A388" s="43" t="s">
        <v>5142</v>
      </c>
      <c r="B388" s="33" t="s">
        <v>312</v>
      </c>
      <c r="C388" s="7" t="s">
        <v>67</v>
      </c>
      <c r="D388" s="7" t="s">
        <v>5381</v>
      </c>
      <c r="E388" s="44">
        <v>5</v>
      </c>
      <c r="F388" s="7"/>
      <c r="G388" s="7"/>
      <c r="H388" s="2" t="s">
        <v>5358</v>
      </c>
      <c r="I388" s="7" t="s">
        <v>1610</v>
      </c>
      <c r="J388" s="7" t="s">
        <v>5384</v>
      </c>
      <c r="K388" s="7" t="s">
        <v>55</v>
      </c>
      <c r="L388" s="7" t="s">
        <v>5385</v>
      </c>
      <c r="M388" s="7" t="s">
        <v>5386</v>
      </c>
      <c r="N388" s="45" t="str">
        <f t="shared" si="268"/>
        <v>@ucrsoftball</v>
      </c>
      <c r="O388" s="74" t="str">
        <f t="shared" si="269"/>
        <v>Questionnaire</v>
      </c>
      <c r="P388" s="48" t="s">
        <v>5372</v>
      </c>
      <c r="Q388" s="60" t="s">
        <v>312</v>
      </c>
      <c r="R388" s="48" t="s">
        <v>5374</v>
      </c>
      <c r="S388" s="48" t="s">
        <v>354</v>
      </c>
      <c r="T388" s="49" t="s">
        <v>74</v>
      </c>
      <c r="U388" s="49" t="s">
        <v>75</v>
      </c>
      <c r="V388" s="48"/>
      <c r="W388" s="61">
        <v>3.65</v>
      </c>
      <c r="X388" s="49" t="s">
        <v>276</v>
      </c>
      <c r="Y388" s="49" t="s">
        <v>688</v>
      </c>
      <c r="Z388" s="49" t="s">
        <v>545</v>
      </c>
      <c r="AA388" s="51">
        <v>0.66</v>
      </c>
      <c r="AB388" s="48" t="s">
        <v>5375</v>
      </c>
      <c r="AC388" s="62" t="s">
        <v>5372</v>
      </c>
      <c r="AD388" s="53" t="str">
        <f t="shared" si="270"/>
        <v>Link</v>
      </c>
      <c r="AE388" s="54">
        <v>19799</v>
      </c>
      <c r="AF388" s="54">
        <v>124</v>
      </c>
      <c r="AG388" s="85"/>
      <c r="AH388" s="56">
        <v>110671</v>
      </c>
      <c r="AI388" s="7"/>
      <c r="AJ388" s="7"/>
    </row>
    <row r="389" spans="1:36" ht="15" x14ac:dyDescent="0.2">
      <c r="A389" s="43" t="s">
        <v>5142</v>
      </c>
      <c r="B389" s="33" t="s">
        <v>312</v>
      </c>
      <c r="C389" s="7" t="s">
        <v>67</v>
      </c>
      <c r="D389" s="7" t="s">
        <v>5394</v>
      </c>
      <c r="E389" s="44">
        <v>5</v>
      </c>
      <c r="F389" s="7"/>
      <c r="G389" s="7"/>
      <c r="H389" s="2" t="s">
        <v>5358</v>
      </c>
      <c r="I389" s="7" t="s">
        <v>70</v>
      </c>
      <c r="J389" s="7" t="s">
        <v>5395</v>
      </c>
      <c r="K389" s="7" t="s">
        <v>55</v>
      </c>
      <c r="L389" s="7"/>
      <c r="M389" s="7" t="s">
        <v>5386</v>
      </c>
      <c r="N389" s="45" t="str">
        <f t="shared" si="268"/>
        <v>@ucrsoftball</v>
      </c>
      <c r="O389" s="74" t="str">
        <f t="shared" si="269"/>
        <v>Questionnaire</v>
      </c>
      <c r="P389" s="48" t="s">
        <v>5372</v>
      </c>
      <c r="Q389" s="60" t="s">
        <v>312</v>
      </c>
      <c r="R389" s="48" t="s">
        <v>5374</v>
      </c>
      <c r="S389" s="48" t="s">
        <v>354</v>
      </c>
      <c r="T389" s="49" t="s">
        <v>74</v>
      </c>
      <c r="U389" s="49" t="s">
        <v>75</v>
      </c>
      <c r="V389" s="48"/>
      <c r="W389" s="61">
        <v>3.65</v>
      </c>
      <c r="X389" s="49" t="s">
        <v>276</v>
      </c>
      <c r="Y389" s="49" t="s">
        <v>688</v>
      </c>
      <c r="Z389" s="49" t="s">
        <v>545</v>
      </c>
      <c r="AA389" s="51">
        <v>0.66</v>
      </c>
      <c r="AB389" s="48" t="s">
        <v>5375</v>
      </c>
      <c r="AC389" s="62" t="s">
        <v>5372</v>
      </c>
      <c r="AD389" s="53" t="str">
        <f t="shared" si="270"/>
        <v>Link</v>
      </c>
      <c r="AE389" s="54">
        <v>19799</v>
      </c>
      <c r="AF389" s="54">
        <v>124</v>
      </c>
      <c r="AG389" s="85"/>
      <c r="AH389" s="56">
        <v>110671</v>
      </c>
      <c r="AI389" s="7"/>
      <c r="AJ389" s="7"/>
    </row>
    <row r="390" spans="1:36" ht="15" x14ac:dyDescent="0.2">
      <c r="A390" s="43" t="s">
        <v>5142</v>
      </c>
      <c r="B390" s="33" t="s">
        <v>312</v>
      </c>
      <c r="C390" s="7" t="s">
        <v>67</v>
      </c>
      <c r="D390" s="7" t="s">
        <v>5407</v>
      </c>
      <c r="E390" s="44">
        <v>5</v>
      </c>
      <c r="F390" s="7"/>
      <c r="G390" s="7"/>
      <c r="H390" s="2" t="s">
        <v>5358</v>
      </c>
      <c r="I390" s="7" t="s">
        <v>683</v>
      </c>
      <c r="J390" s="7" t="s">
        <v>263</v>
      </c>
      <c r="K390" s="7" t="s">
        <v>139</v>
      </c>
      <c r="L390" s="7"/>
      <c r="M390" s="7"/>
      <c r="N390" s="45" t="str">
        <f t="shared" si="268"/>
        <v>@ucrsoftball</v>
      </c>
      <c r="O390" s="74" t="str">
        <f t="shared" si="269"/>
        <v>Questionnaire</v>
      </c>
      <c r="P390" s="48" t="s">
        <v>5372</v>
      </c>
      <c r="Q390" s="60" t="s">
        <v>312</v>
      </c>
      <c r="R390" s="48" t="s">
        <v>5374</v>
      </c>
      <c r="S390" s="48" t="s">
        <v>354</v>
      </c>
      <c r="T390" s="49" t="s">
        <v>74</v>
      </c>
      <c r="U390" s="49" t="s">
        <v>75</v>
      </c>
      <c r="V390" s="48"/>
      <c r="W390" s="61">
        <v>3.65</v>
      </c>
      <c r="X390" s="49" t="s">
        <v>276</v>
      </c>
      <c r="Y390" s="49" t="s">
        <v>688</v>
      </c>
      <c r="Z390" s="49" t="s">
        <v>545</v>
      </c>
      <c r="AA390" s="51">
        <v>0.66</v>
      </c>
      <c r="AB390" s="48" t="s">
        <v>5375</v>
      </c>
      <c r="AC390" s="62" t="s">
        <v>5372</v>
      </c>
      <c r="AD390" s="53" t="str">
        <f t="shared" si="270"/>
        <v>Link</v>
      </c>
      <c r="AE390" s="54">
        <v>19799</v>
      </c>
      <c r="AF390" s="54">
        <v>124</v>
      </c>
      <c r="AG390" s="85"/>
      <c r="AH390" s="56">
        <v>110671</v>
      </c>
      <c r="AI390" s="7"/>
      <c r="AJ390" s="7"/>
    </row>
    <row r="391" spans="1:36" ht="15" x14ac:dyDescent="0.2">
      <c r="A391" s="43" t="s">
        <v>5142</v>
      </c>
      <c r="B391" s="33" t="s">
        <v>312</v>
      </c>
      <c r="C391" s="7" t="s">
        <v>67</v>
      </c>
      <c r="D391" s="7" t="s">
        <v>5413</v>
      </c>
      <c r="E391" s="44">
        <v>5</v>
      </c>
      <c r="F391" s="7"/>
      <c r="G391" s="7"/>
      <c r="H391" s="2" t="s">
        <v>5414</v>
      </c>
      <c r="I391" s="7" t="s">
        <v>4402</v>
      </c>
      <c r="J391" s="7" t="s">
        <v>5416</v>
      </c>
      <c r="K391" s="7" t="s">
        <v>55</v>
      </c>
      <c r="L391" s="7" t="s">
        <v>5418</v>
      </c>
      <c r="M391" s="7"/>
      <c r="N391" s="48"/>
      <c r="O391" s="48"/>
      <c r="P391" s="48" t="s">
        <v>5420</v>
      </c>
      <c r="Q391" s="60" t="s">
        <v>312</v>
      </c>
      <c r="R391" s="48" t="s">
        <v>5421</v>
      </c>
      <c r="S391" s="48" t="s">
        <v>238</v>
      </c>
      <c r="T391" s="49" t="s">
        <v>74</v>
      </c>
      <c r="U391" s="49" t="s">
        <v>75</v>
      </c>
      <c r="V391" s="48"/>
      <c r="W391" s="61">
        <v>4.0199999999999996</v>
      </c>
      <c r="X391" s="49" t="s">
        <v>1777</v>
      </c>
      <c r="Y391" s="49" t="s">
        <v>5424</v>
      </c>
      <c r="Z391" s="49" t="s">
        <v>1246</v>
      </c>
      <c r="AA391" s="51">
        <v>0.36</v>
      </c>
      <c r="AB391" s="48" t="s">
        <v>5426</v>
      </c>
      <c r="AC391" s="62" t="s">
        <v>5420</v>
      </c>
      <c r="AD391" s="53" t="str">
        <f t="shared" ref="AD391:AD393" si="271">HYPERLINK("http://admissions.sa.ucsb.edu/why-ucsb/majors","Link")</f>
        <v>Link</v>
      </c>
      <c r="AE391" s="54">
        <v>21574</v>
      </c>
      <c r="AF391" s="54">
        <v>37</v>
      </c>
      <c r="AG391" s="85"/>
      <c r="AH391" s="56">
        <v>110705</v>
      </c>
      <c r="AI391" s="87"/>
      <c r="AJ391" s="87"/>
    </row>
    <row r="392" spans="1:36" ht="15" x14ac:dyDescent="0.2">
      <c r="A392" s="43" t="s">
        <v>5142</v>
      </c>
      <c r="B392" s="33" t="s">
        <v>312</v>
      </c>
      <c r="C392" s="7" t="s">
        <v>67</v>
      </c>
      <c r="D392" s="7" t="s">
        <v>5432</v>
      </c>
      <c r="E392" s="44">
        <v>5</v>
      </c>
      <c r="F392" s="7"/>
      <c r="G392" s="7"/>
      <c r="H392" s="2" t="s">
        <v>5414</v>
      </c>
      <c r="I392" s="7" t="s">
        <v>1475</v>
      </c>
      <c r="J392" s="7" t="s">
        <v>5436</v>
      </c>
      <c r="K392" s="7" t="s">
        <v>48</v>
      </c>
      <c r="L392" s="7" t="s">
        <v>5437</v>
      </c>
      <c r="M392" s="7" t="s">
        <v>5438</v>
      </c>
      <c r="N392" s="45" t="str">
        <f>HYPERLINK("twitter.com/ucsbcoachbrie","@ucsbcoachbrie")</f>
        <v>@ucsbcoachbrie</v>
      </c>
      <c r="O392" s="74" t="str">
        <f t="shared" ref="O392:O393" si="272">HYPERLINK("https://questionnaires.armssoftware.com/390823df6b6f","Questionnaire")</f>
        <v>Questionnaire</v>
      </c>
      <c r="P392" s="48" t="s">
        <v>5420</v>
      </c>
      <c r="Q392" s="60" t="s">
        <v>312</v>
      </c>
      <c r="R392" s="48" t="s">
        <v>5421</v>
      </c>
      <c r="S392" s="48" t="s">
        <v>238</v>
      </c>
      <c r="T392" s="49" t="s">
        <v>74</v>
      </c>
      <c r="U392" s="49" t="s">
        <v>75</v>
      </c>
      <c r="V392" s="48"/>
      <c r="W392" s="61">
        <v>4.0199999999999996</v>
      </c>
      <c r="X392" s="49" t="s">
        <v>1777</v>
      </c>
      <c r="Y392" s="49" t="s">
        <v>5424</v>
      </c>
      <c r="Z392" s="49" t="s">
        <v>1246</v>
      </c>
      <c r="AA392" s="51">
        <v>0.36</v>
      </c>
      <c r="AB392" s="48" t="s">
        <v>5426</v>
      </c>
      <c r="AC392" s="62" t="s">
        <v>5420</v>
      </c>
      <c r="AD392" s="53" t="str">
        <f t="shared" si="271"/>
        <v>Link</v>
      </c>
      <c r="AE392" s="54">
        <v>21574</v>
      </c>
      <c r="AF392" s="54">
        <v>37</v>
      </c>
      <c r="AG392" s="85"/>
      <c r="AH392" s="56">
        <v>110705</v>
      </c>
      <c r="AI392" s="7"/>
      <c r="AJ392" s="7"/>
    </row>
    <row r="393" spans="1:36" ht="15" x14ac:dyDescent="0.2">
      <c r="A393" s="43" t="s">
        <v>5142</v>
      </c>
      <c r="B393" s="33" t="s">
        <v>312</v>
      </c>
      <c r="C393" s="7" t="s">
        <v>67</v>
      </c>
      <c r="D393" s="7" t="s">
        <v>5444</v>
      </c>
      <c r="E393" s="44">
        <v>5</v>
      </c>
      <c r="F393" s="7"/>
      <c r="G393" s="7"/>
      <c r="H393" s="2" t="s">
        <v>5414</v>
      </c>
      <c r="I393" s="7" t="s">
        <v>5128</v>
      </c>
      <c r="J393" s="7" t="s">
        <v>5445</v>
      </c>
      <c r="K393" s="7" t="s">
        <v>55</v>
      </c>
      <c r="L393" s="7" t="s">
        <v>5448</v>
      </c>
      <c r="M393" s="7" t="s">
        <v>5450</v>
      </c>
      <c r="N393" s="48"/>
      <c r="O393" s="74" t="str">
        <f t="shared" si="272"/>
        <v>Questionnaire</v>
      </c>
      <c r="P393" s="48" t="s">
        <v>5420</v>
      </c>
      <c r="Q393" s="60" t="s">
        <v>312</v>
      </c>
      <c r="R393" s="48" t="s">
        <v>5421</v>
      </c>
      <c r="S393" s="48" t="s">
        <v>238</v>
      </c>
      <c r="T393" s="49" t="s">
        <v>74</v>
      </c>
      <c r="U393" s="49" t="s">
        <v>75</v>
      </c>
      <c r="V393" s="48"/>
      <c r="W393" s="61">
        <v>4.0199999999999996</v>
      </c>
      <c r="X393" s="49" t="s">
        <v>1777</v>
      </c>
      <c r="Y393" s="49" t="s">
        <v>5424</v>
      </c>
      <c r="Z393" s="49" t="s">
        <v>1246</v>
      </c>
      <c r="AA393" s="51">
        <v>0.36</v>
      </c>
      <c r="AB393" s="48" t="s">
        <v>5426</v>
      </c>
      <c r="AC393" s="62" t="s">
        <v>5420</v>
      </c>
      <c r="AD393" s="53" t="str">
        <f t="shared" si="271"/>
        <v>Link</v>
      </c>
      <c r="AE393" s="54">
        <v>21574</v>
      </c>
      <c r="AF393" s="54">
        <v>37</v>
      </c>
      <c r="AG393" s="85"/>
      <c r="AH393" s="56">
        <v>110705</v>
      </c>
      <c r="AI393" s="7"/>
      <c r="AJ393" s="7"/>
    </row>
    <row r="394" spans="1:36" ht="15" x14ac:dyDescent="0.2">
      <c r="A394" s="43" t="s">
        <v>5142</v>
      </c>
      <c r="B394" s="33" t="s">
        <v>4111</v>
      </c>
      <c r="C394" s="7" t="s">
        <v>67</v>
      </c>
      <c r="D394" s="7" t="s">
        <v>5459</v>
      </c>
      <c r="E394" s="44">
        <v>5</v>
      </c>
      <c r="F394" s="7"/>
      <c r="G394" s="7"/>
      <c r="H394" s="2" t="s">
        <v>5461</v>
      </c>
      <c r="I394" s="7" t="s">
        <v>481</v>
      </c>
      <c r="J394" s="7" t="s">
        <v>5463</v>
      </c>
      <c r="K394" s="7" t="s">
        <v>48</v>
      </c>
      <c r="L394" s="7" t="s">
        <v>5464</v>
      </c>
      <c r="M394" s="7" t="s">
        <v>5466</v>
      </c>
      <c r="N394" s="45" t="str">
        <f t="shared" ref="N394:N397" si="273">HYPERLINK("twitter.com/hawaiisb","@hawaiisb")</f>
        <v>@hawaiisb</v>
      </c>
      <c r="O394" s="74" t="str">
        <f t="shared" ref="O394:O397" si="274">HYPERLINK("https://hawaiiathletics.com/sports/2008/8/16/SB_0816084727.aspx","Questionnaire")</f>
        <v>Questionnaire</v>
      </c>
      <c r="P394" s="48" t="s">
        <v>4099</v>
      </c>
      <c r="Q394" s="47" t="s">
        <v>4111</v>
      </c>
      <c r="R394" s="48" t="s">
        <v>4112</v>
      </c>
      <c r="S394" s="48" t="s">
        <v>354</v>
      </c>
      <c r="T394" s="49" t="s">
        <v>74</v>
      </c>
      <c r="U394" s="49" t="s">
        <v>75</v>
      </c>
      <c r="V394" s="48"/>
      <c r="W394" s="61">
        <v>3.5</v>
      </c>
      <c r="X394" s="49" t="s">
        <v>2141</v>
      </c>
      <c r="Y394" s="49" t="s">
        <v>2853</v>
      </c>
      <c r="Z394" s="49" t="s">
        <v>278</v>
      </c>
      <c r="AA394" s="61">
        <v>0.85</v>
      </c>
      <c r="AB394" s="48" t="s">
        <v>5473</v>
      </c>
      <c r="AC394" s="52" t="s">
        <v>4099</v>
      </c>
      <c r="AD394" s="53" t="str">
        <f t="shared" ref="AD394:AD397" si="275">HYPERLINK("http://www.catalog.hawaii.edu/degrees/degrees-cert.htm","Link")</f>
        <v>Link</v>
      </c>
      <c r="AE394" s="54">
        <v>13132</v>
      </c>
      <c r="AF394" s="54">
        <v>159</v>
      </c>
      <c r="AG394" s="85"/>
      <c r="AH394" s="56">
        <v>141574</v>
      </c>
      <c r="AI394" s="7"/>
      <c r="AJ394" s="7"/>
    </row>
    <row r="395" spans="1:36" ht="15" x14ac:dyDescent="0.2">
      <c r="A395" s="43" t="s">
        <v>5142</v>
      </c>
      <c r="B395" s="33" t="s">
        <v>4111</v>
      </c>
      <c r="C395" s="7" t="s">
        <v>67</v>
      </c>
      <c r="D395" s="7" t="s">
        <v>5479</v>
      </c>
      <c r="E395" s="44">
        <v>5</v>
      </c>
      <c r="F395" s="7"/>
      <c r="G395" s="7"/>
      <c r="H395" s="2" t="s">
        <v>5461</v>
      </c>
      <c r="I395" s="7" t="s">
        <v>5480</v>
      </c>
      <c r="J395" s="7" t="s">
        <v>5481</v>
      </c>
      <c r="K395" s="7" t="s">
        <v>55</v>
      </c>
      <c r="L395" s="7" t="s">
        <v>5482</v>
      </c>
      <c r="M395" s="7" t="s">
        <v>5483</v>
      </c>
      <c r="N395" s="45" t="str">
        <f t="shared" si="273"/>
        <v>@hawaiisb</v>
      </c>
      <c r="O395" s="74" t="str">
        <f t="shared" si="274"/>
        <v>Questionnaire</v>
      </c>
      <c r="P395" s="48" t="s">
        <v>4099</v>
      </c>
      <c r="Q395" s="47" t="s">
        <v>4111</v>
      </c>
      <c r="R395" s="48" t="s">
        <v>4112</v>
      </c>
      <c r="S395" s="48" t="s">
        <v>354</v>
      </c>
      <c r="T395" s="49" t="s">
        <v>74</v>
      </c>
      <c r="U395" s="49" t="s">
        <v>75</v>
      </c>
      <c r="V395" s="48"/>
      <c r="W395" s="61">
        <v>3.5</v>
      </c>
      <c r="X395" s="49" t="s">
        <v>2141</v>
      </c>
      <c r="Y395" s="49" t="s">
        <v>2853</v>
      </c>
      <c r="Z395" s="49" t="s">
        <v>278</v>
      </c>
      <c r="AA395" s="61">
        <v>0.85</v>
      </c>
      <c r="AB395" s="48" t="s">
        <v>5473</v>
      </c>
      <c r="AC395" s="52" t="s">
        <v>4099</v>
      </c>
      <c r="AD395" s="53" t="str">
        <f t="shared" si="275"/>
        <v>Link</v>
      </c>
      <c r="AE395" s="54">
        <v>13132</v>
      </c>
      <c r="AF395" s="54">
        <v>159</v>
      </c>
      <c r="AG395" s="85"/>
      <c r="AH395" s="56">
        <v>141574</v>
      </c>
      <c r="AI395" s="7"/>
      <c r="AJ395" s="7"/>
    </row>
    <row r="396" spans="1:36" ht="15" x14ac:dyDescent="0.2">
      <c r="A396" s="43" t="s">
        <v>5142</v>
      </c>
      <c r="B396" s="33" t="s">
        <v>4111</v>
      </c>
      <c r="C396" s="7" t="s">
        <v>67</v>
      </c>
      <c r="D396" s="7" t="s">
        <v>5491</v>
      </c>
      <c r="E396" s="44">
        <v>5</v>
      </c>
      <c r="F396" s="7"/>
      <c r="G396" s="7"/>
      <c r="H396" s="2" t="s">
        <v>5461</v>
      </c>
      <c r="I396" s="7" t="s">
        <v>5492</v>
      </c>
      <c r="J396" s="7" t="s">
        <v>5493</v>
      </c>
      <c r="K396" s="7" t="s">
        <v>55</v>
      </c>
      <c r="L396" s="7" t="s">
        <v>5494</v>
      </c>
      <c r="M396" s="7" t="s">
        <v>5495</v>
      </c>
      <c r="N396" s="45" t="str">
        <f t="shared" si="273"/>
        <v>@hawaiisb</v>
      </c>
      <c r="O396" s="74" t="str">
        <f t="shared" si="274"/>
        <v>Questionnaire</v>
      </c>
      <c r="P396" s="48" t="s">
        <v>4099</v>
      </c>
      <c r="Q396" s="47" t="s">
        <v>4111</v>
      </c>
      <c r="R396" s="48" t="s">
        <v>4112</v>
      </c>
      <c r="S396" s="48" t="s">
        <v>354</v>
      </c>
      <c r="T396" s="49" t="s">
        <v>74</v>
      </c>
      <c r="U396" s="49" t="s">
        <v>75</v>
      </c>
      <c r="V396" s="48"/>
      <c r="W396" s="61">
        <v>3.5</v>
      </c>
      <c r="X396" s="49" t="s">
        <v>2141</v>
      </c>
      <c r="Y396" s="49" t="s">
        <v>2853</v>
      </c>
      <c r="Z396" s="49" t="s">
        <v>278</v>
      </c>
      <c r="AA396" s="61">
        <v>0.85</v>
      </c>
      <c r="AB396" s="48" t="s">
        <v>5473</v>
      </c>
      <c r="AC396" s="52" t="s">
        <v>4099</v>
      </c>
      <c r="AD396" s="53" t="str">
        <f t="shared" si="275"/>
        <v>Link</v>
      </c>
      <c r="AE396" s="54">
        <v>13132</v>
      </c>
      <c r="AF396" s="54">
        <v>159</v>
      </c>
      <c r="AG396" s="85"/>
      <c r="AH396" s="56">
        <v>141574</v>
      </c>
      <c r="AI396" s="7"/>
      <c r="AJ396" s="7"/>
    </row>
    <row r="397" spans="1:36" ht="15" x14ac:dyDescent="0.2">
      <c r="A397" s="43" t="s">
        <v>5142</v>
      </c>
      <c r="B397" s="33" t="s">
        <v>4111</v>
      </c>
      <c r="C397" s="7" t="s">
        <v>67</v>
      </c>
      <c r="D397" s="7" t="s">
        <v>5502</v>
      </c>
      <c r="E397" s="44">
        <v>5</v>
      </c>
      <c r="F397" s="7"/>
      <c r="G397" s="7"/>
      <c r="H397" s="2" t="s">
        <v>5461</v>
      </c>
      <c r="I397" s="7" t="s">
        <v>5505</v>
      </c>
      <c r="J397" s="7" t="s">
        <v>5507</v>
      </c>
      <c r="K397" s="7" t="s">
        <v>139</v>
      </c>
      <c r="L397" s="7" t="s">
        <v>5482</v>
      </c>
      <c r="M397" s="7" t="s">
        <v>5495</v>
      </c>
      <c r="N397" s="45" t="str">
        <f t="shared" si="273"/>
        <v>@hawaiisb</v>
      </c>
      <c r="O397" s="74" t="str">
        <f t="shared" si="274"/>
        <v>Questionnaire</v>
      </c>
      <c r="P397" s="48" t="s">
        <v>4099</v>
      </c>
      <c r="Q397" s="47" t="s">
        <v>4111</v>
      </c>
      <c r="R397" s="48" t="s">
        <v>4112</v>
      </c>
      <c r="S397" s="48" t="s">
        <v>354</v>
      </c>
      <c r="T397" s="49" t="s">
        <v>74</v>
      </c>
      <c r="U397" s="49" t="s">
        <v>75</v>
      </c>
      <c r="V397" s="48"/>
      <c r="W397" s="61">
        <v>3.5</v>
      </c>
      <c r="X397" s="49" t="s">
        <v>2141</v>
      </c>
      <c r="Y397" s="49" t="s">
        <v>2853</v>
      </c>
      <c r="Z397" s="49" t="s">
        <v>278</v>
      </c>
      <c r="AA397" s="61">
        <v>0.85</v>
      </c>
      <c r="AB397" s="48" t="s">
        <v>5473</v>
      </c>
      <c r="AC397" s="52" t="s">
        <v>4099</v>
      </c>
      <c r="AD397" s="53" t="str">
        <f t="shared" si="275"/>
        <v>Link</v>
      </c>
      <c r="AE397" s="54">
        <v>13132</v>
      </c>
      <c r="AF397" s="54">
        <v>159</v>
      </c>
      <c r="AG397" s="85"/>
      <c r="AH397" s="56">
        <v>141574</v>
      </c>
      <c r="AI397" s="7"/>
      <c r="AJ397" s="7"/>
    </row>
    <row r="398" spans="1:36" ht="15" x14ac:dyDescent="0.2">
      <c r="A398" s="43" t="s">
        <v>5142</v>
      </c>
      <c r="B398" s="33" t="s">
        <v>312</v>
      </c>
      <c r="C398" s="7" t="s">
        <v>67</v>
      </c>
      <c r="D398" s="7" t="s">
        <v>5512</v>
      </c>
      <c r="E398" s="44">
        <v>5</v>
      </c>
      <c r="F398" s="7"/>
      <c r="G398" s="7"/>
      <c r="H398" s="2" t="s">
        <v>5513</v>
      </c>
      <c r="I398" s="7" t="s">
        <v>1159</v>
      </c>
      <c r="J398" s="7" t="s">
        <v>5515</v>
      </c>
      <c r="K398" s="7" t="s">
        <v>48</v>
      </c>
      <c r="L398" s="7" t="s">
        <v>5516</v>
      </c>
      <c r="M398" s="7" t="s">
        <v>5517</v>
      </c>
      <c r="N398" s="45" t="str">
        <f t="shared" ref="N398:N401" si="276">HYPERLINK("twitter.com/@LBSUSOFTBALL","@LBSUSOFTBALL")</f>
        <v>@LBSUSOFTBALL</v>
      </c>
      <c r="O398" s="74" t="str">
        <f t="shared" ref="O398:O401" si="277">HYPERLINK("https://longbeachstate.com/sb_output.aspx?form=5","Questionnaire")</f>
        <v>Questionnaire</v>
      </c>
      <c r="P398" s="48" t="s">
        <v>5523</v>
      </c>
      <c r="Q398" s="47" t="s">
        <v>312</v>
      </c>
      <c r="R398" s="48" t="s">
        <v>5524</v>
      </c>
      <c r="S398" s="48" t="s">
        <v>354</v>
      </c>
      <c r="T398" s="49" t="s">
        <v>74</v>
      </c>
      <c r="U398" s="49" t="s">
        <v>75</v>
      </c>
      <c r="V398" s="48"/>
      <c r="W398" s="61">
        <v>3.53</v>
      </c>
      <c r="X398" s="49" t="s">
        <v>720</v>
      </c>
      <c r="Y398" s="49" t="s">
        <v>1648</v>
      </c>
      <c r="Z398" s="49" t="s">
        <v>278</v>
      </c>
      <c r="AA398" s="61">
        <v>0.32</v>
      </c>
      <c r="AB398" s="48" t="s">
        <v>5529</v>
      </c>
      <c r="AC398" s="62" t="s">
        <v>5523</v>
      </c>
      <c r="AD398" s="53" t="str">
        <f t="shared" ref="AD398:AD401" si="278">HYPERLINK("http://web.csulb.edu/divisions/students/soar/workshop/colleges_majors.htm","Link")</f>
        <v>Link</v>
      </c>
      <c r="AE398" s="54">
        <v>32345</v>
      </c>
      <c r="AF398" s="55"/>
      <c r="AG398" s="85"/>
      <c r="AH398" s="56">
        <v>110583</v>
      </c>
      <c r="AI398" s="7"/>
      <c r="AJ398" s="7"/>
    </row>
    <row r="399" spans="1:36" ht="15" x14ac:dyDescent="0.2">
      <c r="A399" s="43" t="s">
        <v>5142</v>
      </c>
      <c r="B399" s="33" t="s">
        <v>312</v>
      </c>
      <c r="C399" s="7" t="s">
        <v>67</v>
      </c>
      <c r="D399" s="7" t="s">
        <v>5532</v>
      </c>
      <c r="E399" s="44">
        <v>5</v>
      </c>
      <c r="F399" s="7"/>
      <c r="G399" s="7"/>
      <c r="H399" s="2" t="s">
        <v>5513</v>
      </c>
      <c r="I399" s="7" t="s">
        <v>5533</v>
      </c>
      <c r="J399" s="7" t="s">
        <v>5534</v>
      </c>
      <c r="K399" s="7" t="s">
        <v>55</v>
      </c>
      <c r="L399" s="7" t="s">
        <v>5535</v>
      </c>
      <c r="M399" s="7" t="s">
        <v>5536</v>
      </c>
      <c r="N399" s="45" t="str">
        <f t="shared" si="276"/>
        <v>@LBSUSOFTBALL</v>
      </c>
      <c r="O399" s="74" t="str">
        <f t="shared" si="277"/>
        <v>Questionnaire</v>
      </c>
      <c r="P399" s="48" t="s">
        <v>5523</v>
      </c>
      <c r="Q399" s="47" t="s">
        <v>312</v>
      </c>
      <c r="R399" s="48" t="s">
        <v>5524</v>
      </c>
      <c r="S399" s="48" t="s">
        <v>354</v>
      </c>
      <c r="T399" s="49" t="s">
        <v>74</v>
      </c>
      <c r="U399" s="49" t="s">
        <v>75</v>
      </c>
      <c r="V399" s="48"/>
      <c r="W399" s="61">
        <v>3.53</v>
      </c>
      <c r="X399" s="49" t="s">
        <v>720</v>
      </c>
      <c r="Y399" s="49" t="s">
        <v>1648</v>
      </c>
      <c r="Z399" s="49" t="s">
        <v>278</v>
      </c>
      <c r="AA399" s="61">
        <v>0.32</v>
      </c>
      <c r="AB399" s="48" t="s">
        <v>5529</v>
      </c>
      <c r="AC399" s="62" t="s">
        <v>5523</v>
      </c>
      <c r="AD399" s="53" t="str">
        <f t="shared" si="278"/>
        <v>Link</v>
      </c>
      <c r="AE399" s="54">
        <v>32345</v>
      </c>
      <c r="AF399" s="55"/>
      <c r="AG399" s="85"/>
      <c r="AH399" s="56">
        <v>110583</v>
      </c>
      <c r="AI399" s="7"/>
      <c r="AJ399" s="7"/>
    </row>
    <row r="400" spans="1:36" ht="15" x14ac:dyDescent="0.2">
      <c r="A400" s="43" t="s">
        <v>5142</v>
      </c>
      <c r="B400" s="33" t="s">
        <v>312</v>
      </c>
      <c r="C400" s="7" t="s">
        <v>67</v>
      </c>
      <c r="D400" s="7" t="s">
        <v>5547</v>
      </c>
      <c r="E400" s="44">
        <v>5</v>
      </c>
      <c r="F400" s="7"/>
      <c r="G400" s="7"/>
      <c r="H400" s="2" t="s">
        <v>5513</v>
      </c>
      <c r="I400" s="7" t="s">
        <v>3279</v>
      </c>
      <c r="J400" s="7" t="s">
        <v>3866</v>
      </c>
      <c r="K400" s="7" t="s">
        <v>55</v>
      </c>
      <c r="L400" s="7" t="s">
        <v>5548</v>
      </c>
      <c r="M400" s="7" t="s">
        <v>5549</v>
      </c>
      <c r="N400" s="45" t="str">
        <f t="shared" si="276"/>
        <v>@LBSUSOFTBALL</v>
      </c>
      <c r="O400" s="74" t="str">
        <f t="shared" si="277"/>
        <v>Questionnaire</v>
      </c>
      <c r="P400" s="48" t="s">
        <v>5523</v>
      </c>
      <c r="Q400" s="47" t="s">
        <v>312</v>
      </c>
      <c r="R400" s="48" t="s">
        <v>5524</v>
      </c>
      <c r="S400" s="48" t="s">
        <v>354</v>
      </c>
      <c r="T400" s="49" t="s">
        <v>74</v>
      </c>
      <c r="U400" s="49" t="s">
        <v>75</v>
      </c>
      <c r="V400" s="48"/>
      <c r="W400" s="61">
        <v>3.53</v>
      </c>
      <c r="X400" s="49" t="s">
        <v>720</v>
      </c>
      <c r="Y400" s="49" t="s">
        <v>1648</v>
      </c>
      <c r="Z400" s="49" t="s">
        <v>278</v>
      </c>
      <c r="AA400" s="61">
        <v>0.32</v>
      </c>
      <c r="AB400" s="48" t="s">
        <v>5529</v>
      </c>
      <c r="AC400" s="62" t="s">
        <v>5523</v>
      </c>
      <c r="AD400" s="53" t="str">
        <f t="shared" si="278"/>
        <v>Link</v>
      </c>
      <c r="AE400" s="54">
        <v>32345</v>
      </c>
      <c r="AF400" s="55"/>
      <c r="AG400" s="85"/>
      <c r="AH400" s="56">
        <v>110583</v>
      </c>
      <c r="AI400" s="7"/>
      <c r="AJ400" s="7"/>
    </row>
    <row r="401" spans="1:36" ht="15" x14ac:dyDescent="0.2">
      <c r="A401" s="43" t="s">
        <v>5142</v>
      </c>
      <c r="B401" s="33" t="s">
        <v>312</v>
      </c>
      <c r="C401" s="7" t="s">
        <v>67</v>
      </c>
      <c r="D401" s="7" t="s">
        <v>5553</v>
      </c>
      <c r="E401" s="44">
        <v>5</v>
      </c>
      <c r="F401" s="7"/>
      <c r="G401" s="7"/>
      <c r="H401" s="2" t="s">
        <v>5513</v>
      </c>
      <c r="I401" s="7" t="s">
        <v>5554</v>
      </c>
      <c r="J401" s="7" t="s">
        <v>1810</v>
      </c>
      <c r="K401" s="7" t="s">
        <v>139</v>
      </c>
      <c r="L401" s="7" t="s">
        <v>5555</v>
      </c>
      <c r="M401" s="7" t="s">
        <v>5549</v>
      </c>
      <c r="N401" s="45" t="str">
        <f t="shared" si="276"/>
        <v>@LBSUSOFTBALL</v>
      </c>
      <c r="O401" s="74" t="str">
        <f t="shared" si="277"/>
        <v>Questionnaire</v>
      </c>
      <c r="P401" s="48" t="s">
        <v>5523</v>
      </c>
      <c r="Q401" s="47" t="s">
        <v>312</v>
      </c>
      <c r="R401" s="48" t="s">
        <v>5524</v>
      </c>
      <c r="S401" s="48" t="s">
        <v>354</v>
      </c>
      <c r="T401" s="49" t="s">
        <v>74</v>
      </c>
      <c r="U401" s="49" t="s">
        <v>75</v>
      </c>
      <c r="V401" s="48"/>
      <c r="W401" s="61">
        <v>3.53</v>
      </c>
      <c r="X401" s="49" t="s">
        <v>720</v>
      </c>
      <c r="Y401" s="49" t="s">
        <v>1648</v>
      </c>
      <c r="Z401" s="49" t="s">
        <v>278</v>
      </c>
      <c r="AA401" s="61">
        <v>0.32</v>
      </c>
      <c r="AB401" s="48" t="s">
        <v>5529</v>
      </c>
      <c r="AC401" s="62" t="s">
        <v>5523</v>
      </c>
      <c r="AD401" s="53" t="str">
        <f t="shared" si="278"/>
        <v>Link</v>
      </c>
      <c r="AE401" s="54">
        <v>32345</v>
      </c>
      <c r="AF401" s="55"/>
      <c r="AG401" s="85"/>
      <c r="AH401" s="56">
        <v>110583</v>
      </c>
      <c r="AI401" s="7"/>
      <c r="AJ401" s="7"/>
    </row>
    <row r="402" spans="1:36" ht="15" x14ac:dyDescent="0.2">
      <c r="A402" s="64" t="s">
        <v>5562</v>
      </c>
      <c r="B402" s="33" t="s">
        <v>653</v>
      </c>
      <c r="C402" s="7" t="s">
        <v>67</v>
      </c>
      <c r="D402" s="7" t="s">
        <v>5563</v>
      </c>
      <c r="E402" s="44">
        <v>5</v>
      </c>
      <c r="F402" s="7"/>
      <c r="G402" s="7"/>
      <c r="H402" s="2" t="s">
        <v>5564</v>
      </c>
      <c r="I402" s="7" t="s">
        <v>4762</v>
      </c>
      <c r="J402" s="7" t="s">
        <v>5565</v>
      </c>
      <c r="K402" s="7" t="s">
        <v>48</v>
      </c>
      <c r="L402" s="7" t="s">
        <v>5566</v>
      </c>
      <c r="M402" s="7" t="s">
        <v>5567</v>
      </c>
      <c r="N402" s="45" t="str">
        <f t="shared" ref="N402:N405" si="279">HYPERLINK("twitter.com/CofCSoftball","@CofCSoftball")</f>
        <v>@CofCSoftball</v>
      </c>
      <c r="O402" s="74" t="str">
        <f t="shared" ref="O402:O405" si="280">HYPERLINK("https://cofcsports.com/sb_output.aspx?form=10","Questionnaire")</f>
        <v>Questionnaire</v>
      </c>
      <c r="P402" s="48" t="s">
        <v>5571</v>
      </c>
      <c r="Q402" s="47" t="s">
        <v>653</v>
      </c>
      <c r="R402" s="48" t="s">
        <v>3887</v>
      </c>
      <c r="S402" s="48" t="s">
        <v>238</v>
      </c>
      <c r="T402" s="49" t="s">
        <v>74</v>
      </c>
      <c r="U402" s="7" t="s">
        <v>75</v>
      </c>
      <c r="V402" s="7"/>
      <c r="W402" s="50">
        <v>3.9</v>
      </c>
      <c r="X402" s="49" t="s">
        <v>344</v>
      </c>
      <c r="Y402" s="49" t="s">
        <v>345</v>
      </c>
      <c r="Z402" s="49" t="s">
        <v>320</v>
      </c>
      <c r="AA402" s="61">
        <v>0.84</v>
      </c>
      <c r="AB402" s="48" t="s">
        <v>5576</v>
      </c>
      <c r="AC402" s="52" t="s">
        <v>5571</v>
      </c>
      <c r="AD402" s="53" t="str">
        <f t="shared" ref="AD402:AD405" si="281">HYPERLINK("http://cofc.edu/academics/majorsandminors/","Link")</f>
        <v>Link</v>
      </c>
      <c r="AE402" s="54">
        <v>10375</v>
      </c>
      <c r="AF402" s="55"/>
      <c r="AG402" s="85"/>
      <c r="AH402" s="56">
        <v>217819</v>
      </c>
      <c r="AI402" s="56"/>
      <c r="AJ402" s="56"/>
    </row>
    <row r="403" spans="1:36" ht="15" x14ac:dyDescent="0.2">
      <c r="A403" s="64" t="s">
        <v>5562</v>
      </c>
      <c r="B403" s="33" t="s">
        <v>653</v>
      </c>
      <c r="C403" s="7" t="s">
        <v>67</v>
      </c>
      <c r="D403" s="7" t="s">
        <v>5582</v>
      </c>
      <c r="E403" s="44">
        <v>5</v>
      </c>
      <c r="F403" s="7"/>
      <c r="G403" s="7"/>
      <c r="H403" s="2" t="s">
        <v>5564</v>
      </c>
      <c r="I403" s="7" t="s">
        <v>5585</v>
      </c>
      <c r="J403" s="7" t="s">
        <v>5586</v>
      </c>
      <c r="K403" s="7" t="s">
        <v>55</v>
      </c>
      <c r="L403" s="7" t="s">
        <v>5588</v>
      </c>
      <c r="M403" s="7" t="s">
        <v>5590</v>
      </c>
      <c r="N403" s="45" t="str">
        <f t="shared" si="279"/>
        <v>@CofCSoftball</v>
      </c>
      <c r="O403" s="74" t="str">
        <f t="shared" si="280"/>
        <v>Questionnaire</v>
      </c>
      <c r="P403" s="48" t="s">
        <v>5571</v>
      </c>
      <c r="Q403" s="47" t="s">
        <v>653</v>
      </c>
      <c r="R403" s="48" t="s">
        <v>3887</v>
      </c>
      <c r="S403" s="48" t="s">
        <v>238</v>
      </c>
      <c r="T403" s="49" t="s">
        <v>74</v>
      </c>
      <c r="U403" s="7" t="s">
        <v>75</v>
      </c>
      <c r="V403" s="7"/>
      <c r="W403" s="50">
        <v>3.9</v>
      </c>
      <c r="X403" s="49" t="s">
        <v>344</v>
      </c>
      <c r="Y403" s="49" t="s">
        <v>345</v>
      </c>
      <c r="Z403" s="49" t="s">
        <v>320</v>
      </c>
      <c r="AA403" s="61">
        <v>0.84</v>
      </c>
      <c r="AB403" s="48" t="s">
        <v>5576</v>
      </c>
      <c r="AC403" s="52" t="s">
        <v>5571</v>
      </c>
      <c r="AD403" s="53" t="str">
        <f t="shared" si="281"/>
        <v>Link</v>
      </c>
      <c r="AE403" s="54">
        <v>10375</v>
      </c>
      <c r="AF403" s="55"/>
      <c r="AG403" s="85"/>
      <c r="AH403" s="56">
        <v>217819</v>
      </c>
      <c r="AI403" s="56"/>
      <c r="AJ403" s="56"/>
    </row>
    <row r="404" spans="1:36" ht="15" x14ac:dyDescent="0.2">
      <c r="A404" s="64" t="s">
        <v>5562</v>
      </c>
      <c r="B404" s="33" t="s">
        <v>653</v>
      </c>
      <c r="C404" s="7" t="s">
        <v>67</v>
      </c>
      <c r="D404" s="7" t="s">
        <v>5592</v>
      </c>
      <c r="E404" s="44">
        <v>5</v>
      </c>
      <c r="F404" s="7"/>
      <c r="G404" s="7"/>
      <c r="H404" s="2" t="s">
        <v>5564</v>
      </c>
      <c r="I404" s="7" t="s">
        <v>772</v>
      </c>
      <c r="J404" s="7" t="s">
        <v>5594</v>
      </c>
      <c r="K404" s="7" t="s">
        <v>55</v>
      </c>
      <c r="L404" s="7" t="s">
        <v>5596</v>
      </c>
      <c r="M404" s="7" t="s">
        <v>5597</v>
      </c>
      <c r="N404" s="45" t="str">
        <f t="shared" si="279"/>
        <v>@CofCSoftball</v>
      </c>
      <c r="O404" s="74" t="str">
        <f t="shared" si="280"/>
        <v>Questionnaire</v>
      </c>
      <c r="P404" s="48" t="s">
        <v>5571</v>
      </c>
      <c r="Q404" s="47" t="s">
        <v>653</v>
      </c>
      <c r="R404" s="48" t="s">
        <v>3887</v>
      </c>
      <c r="S404" s="48" t="s">
        <v>238</v>
      </c>
      <c r="T404" s="49" t="s">
        <v>74</v>
      </c>
      <c r="U404" s="7" t="s">
        <v>75</v>
      </c>
      <c r="V404" s="7"/>
      <c r="W404" s="50">
        <v>3.9</v>
      </c>
      <c r="X404" s="49" t="s">
        <v>344</v>
      </c>
      <c r="Y404" s="49" t="s">
        <v>345</v>
      </c>
      <c r="Z404" s="49" t="s">
        <v>320</v>
      </c>
      <c r="AA404" s="61">
        <v>0.84</v>
      </c>
      <c r="AB404" s="48" t="s">
        <v>5576</v>
      </c>
      <c r="AC404" s="52" t="s">
        <v>5571</v>
      </c>
      <c r="AD404" s="53" t="str">
        <f t="shared" si="281"/>
        <v>Link</v>
      </c>
      <c r="AE404" s="54">
        <v>10375</v>
      </c>
      <c r="AF404" s="55"/>
      <c r="AG404" s="85"/>
      <c r="AH404" s="56">
        <v>217819</v>
      </c>
      <c r="AI404" s="56"/>
      <c r="AJ404" s="56"/>
    </row>
    <row r="405" spans="1:36" ht="15" x14ac:dyDescent="0.2">
      <c r="A405" s="64" t="s">
        <v>5562</v>
      </c>
      <c r="B405" s="33" t="s">
        <v>653</v>
      </c>
      <c r="C405" s="7" t="s">
        <v>67</v>
      </c>
      <c r="D405" s="7" t="s">
        <v>5605</v>
      </c>
      <c r="E405" s="44">
        <v>5</v>
      </c>
      <c r="F405" s="7" t="s">
        <v>116</v>
      </c>
      <c r="G405" s="7"/>
      <c r="H405" s="2" t="s">
        <v>5564</v>
      </c>
      <c r="I405" s="7" t="s">
        <v>5606</v>
      </c>
      <c r="J405" s="7" t="s">
        <v>2385</v>
      </c>
      <c r="K405" s="7" t="s">
        <v>139</v>
      </c>
      <c r="L405" s="7" t="s">
        <v>5607</v>
      </c>
      <c r="M405" s="7" t="s">
        <v>5597</v>
      </c>
      <c r="N405" s="45" t="str">
        <f t="shared" si="279"/>
        <v>@CofCSoftball</v>
      </c>
      <c r="O405" s="74" t="str">
        <f t="shared" si="280"/>
        <v>Questionnaire</v>
      </c>
      <c r="P405" s="48" t="s">
        <v>5571</v>
      </c>
      <c r="Q405" s="47" t="s">
        <v>653</v>
      </c>
      <c r="R405" s="48" t="s">
        <v>3887</v>
      </c>
      <c r="S405" s="48" t="s">
        <v>238</v>
      </c>
      <c r="T405" s="49" t="s">
        <v>74</v>
      </c>
      <c r="U405" s="7" t="s">
        <v>75</v>
      </c>
      <c r="V405" s="7"/>
      <c r="W405" s="50">
        <v>3.9</v>
      </c>
      <c r="X405" s="49" t="s">
        <v>344</v>
      </c>
      <c r="Y405" s="49" t="s">
        <v>345</v>
      </c>
      <c r="Z405" s="49" t="s">
        <v>320</v>
      </c>
      <c r="AA405" s="61">
        <v>0.84</v>
      </c>
      <c r="AB405" s="48" t="s">
        <v>5576</v>
      </c>
      <c r="AC405" s="52" t="s">
        <v>5571</v>
      </c>
      <c r="AD405" s="53" t="str">
        <f t="shared" si="281"/>
        <v>Link</v>
      </c>
      <c r="AE405" s="54">
        <v>10375</v>
      </c>
      <c r="AF405" s="55"/>
      <c r="AG405" s="85"/>
      <c r="AH405" s="56">
        <v>217819</v>
      </c>
      <c r="AI405" s="56"/>
      <c r="AJ405" s="56"/>
    </row>
    <row r="406" spans="1:36" ht="15" x14ac:dyDescent="0.2">
      <c r="A406" s="64" t="s">
        <v>5562</v>
      </c>
      <c r="B406" s="33" t="s">
        <v>1189</v>
      </c>
      <c r="C406" s="7" t="s">
        <v>67</v>
      </c>
      <c r="D406" s="7" t="s">
        <v>5616</v>
      </c>
      <c r="E406" s="44">
        <v>5</v>
      </c>
      <c r="F406" s="7"/>
      <c r="G406" s="7"/>
      <c r="H406" s="2" t="s">
        <v>5618</v>
      </c>
      <c r="I406" s="7" t="s">
        <v>1092</v>
      </c>
      <c r="J406" s="7" t="s">
        <v>5619</v>
      </c>
      <c r="K406" s="7" t="s">
        <v>48</v>
      </c>
      <c r="L406" s="7" t="s">
        <v>5620</v>
      </c>
      <c r="M406" s="7" t="s">
        <v>5621</v>
      </c>
      <c r="N406" s="45" t="str">
        <f t="shared" ref="N406:N408" si="282">HYPERLINK("twitter.com/Delaware_SB","@Delaware_SB")</f>
        <v>@Delaware_SB</v>
      </c>
      <c r="O406" s="74" t="str">
        <f t="shared" ref="O406:O408" si="283">HYPERLINK("https://www1.udel.edu/forms/sportsinfo/","Questionnaire")</f>
        <v>Questionnaire</v>
      </c>
      <c r="P406" s="48" t="s">
        <v>1175</v>
      </c>
      <c r="Q406" s="47" t="s">
        <v>1189</v>
      </c>
      <c r="R406" s="48" t="s">
        <v>5633</v>
      </c>
      <c r="S406" s="48" t="s">
        <v>468</v>
      </c>
      <c r="T406" s="49" t="s">
        <v>74</v>
      </c>
      <c r="U406" s="7" t="s">
        <v>75</v>
      </c>
      <c r="V406" s="7"/>
      <c r="W406" s="50">
        <v>3.71</v>
      </c>
      <c r="X406" s="49" t="s">
        <v>292</v>
      </c>
      <c r="Y406" s="49" t="s">
        <v>292</v>
      </c>
      <c r="Z406" s="49" t="s">
        <v>958</v>
      </c>
      <c r="AA406" s="61">
        <v>0.7</v>
      </c>
      <c r="AB406" s="48" t="s">
        <v>5636</v>
      </c>
      <c r="AC406" s="62" t="s">
        <v>1175</v>
      </c>
      <c r="AD406" s="53" t="str">
        <f t="shared" ref="AD406:AD408" si="284">HYPERLINK("http://www.udel.edu/apply/undergraduate-admissions/major-finder/","Link")</f>
        <v>Link</v>
      </c>
      <c r="AE406" s="54">
        <v>19215</v>
      </c>
      <c r="AF406" s="54">
        <v>81</v>
      </c>
      <c r="AG406" s="85"/>
      <c r="AH406" s="56">
        <v>130943</v>
      </c>
      <c r="AI406" s="56"/>
      <c r="AJ406" s="56"/>
    </row>
    <row r="407" spans="1:36" ht="15" x14ac:dyDescent="0.2">
      <c r="A407" s="64" t="s">
        <v>5562</v>
      </c>
      <c r="B407" s="33" t="s">
        <v>1189</v>
      </c>
      <c r="C407" s="7" t="s">
        <v>67</v>
      </c>
      <c r="D407" s="7" t="s">
        <v>5640</v>
      </c>
      <c r="E407" s="44">
        <v>5</v>
      </c>
      <c r="F407" s="7"/>
      <c r="G407" s="7"/>
      <c r="H407" s="2" t="s">
        <v>5618</v>
      </c>
      <c r="I407" s="7" t="s">
        <v>206</v>
      </c>
      <c r="J407" s="7" t="s">
        <v>5641</v>
      </c>
      <c r="K407" s="7" t="s">
        <v>55</v>
      </c>
      <c r="L407" s="7" t="s">
        <v>5642</v>
      </c>
      <c r="M407" s="7" t="s">
        <v>5643</v>
      </c>
      <c r="N407" s="45" t="str">
        <f t="shared" si="282"/>
        <v>@Delaware_SB</v>
      </c>
      <c r="O407" s="74" t="str">
        <f t="shared" si="283"/>
        <v>Questionnaire</v>
      </c>
      <c r="P407" s="48" t="s">
        <v>1175</v>
      </c>
      <c r="Q407" s="47" t="s">
        <v>1189</v>
      </c>
      <c r="R407" s="48" t="s">
        <v>5633</v>
      </c>
      <c r="S407" s="48" t="s">
        <v>468</v>
      </c>
      <c r="T407" s="49" t="s">
        <v>74</v>
      </c>
      <c r="U407" s="7" t="s">
        <v>75</v>
      </c>
      <c r="V407" s="7"/>
      <c r="W407" s="50">
        <v>3.71</v>
      </c>
      <c r="X407" s="49" t="s">
        <v>292</v>
      </c>
      <c r="Y407" s="49" t="s">
        <v>292</v>
      </c>
      <c r="Z407" s="49" t="s">
        <v>958</v>
      </c>
      <c r="AA407" s="61">
        <v>0.7</v>
      </c>
      <c r="AB407" s="48" t="s">
        <v>5636</v>
      </c>
      <c r="AC407" s="62" t="s">
        <v>1175</v>
      </c>
      <c r="AD407" s="53" t="str">
        <f t="shared" si="284"/>
        <v>Link</v>
      </c>
      <c r="AE407" s="54">
        <v>19215</v>
      </c>
      <c r="AF407" s="54">
        <v>81</v>
      </c>
      <c r="AG407" s="85"/>
      <c r="AH407" s="56">
        <v>130943</v>
      </c>
      <c r="AI407" s="56"/>
      <c r="AJ407" s="56"/>
    </row>
    <row r="408" spans="1:36" ht="15" x14ac:dyDescent="0.2">
      <c r="A408" s="64" t="s">
        <v>5562</v>
      </c>
      <c r="B408" s="33" t="s">
        <v>1189</v>
      </c>
      <c r="C408" s="7" t="s">
        <v>67</v>
      </c>
      <c r="D408" s="7" t="s">
        <v>5653</v>
      </c>
      <c r="E408" s="44">
        <v>5</v>
      </c>
      <c r="F408" s="7"/>
      <c r="G408" s="7"/>
      <c r="H408" s="2" t="s">
        <v>5618</v>
      </c>
      <c r="I408" s="7" t="s">
        <v>1148</v>
      </c>
      <c r="J408" s="7" t="s">
        <v>5654</v>
      </c>
      <c r="K408" s="7" t="s">
        <v>55</v>
      </c>
      <c r="L408" s="7" t="s">
        <v>5655</v>
      </c>
      <c r="M408" s="7" t="s">
        <v>5656</v>
      </c>
      <c r="N408" s="45" t="str">
        <f t="shared" si="282"/>
        <v>@Delaware_SB</v>
      </c>
      <c r="O408" s="74" t="str">
        <f t="shared" si="283"/>
        <v>Questionnaire</v>
      </c>
      <c r="P408" s="48" t="s">
        <v>1175</v>
      </c>
      <c r="Q408" s="47" t="s">
        <v>1189</v>
      </c>
      <c r="R408" s="48" t="s">
        <v>5633</v>
      </c>
      <c r="S408" s="48" t="s">
        <v>468</v>
      </c>
      <c r="T408" s="49" t="s">
        <v>74</v>
      </c>
      <c r="U408" s="7" t="s">
        <v>75</v>
      </c>
      <c r="V408" s="7"/>
      <c r="W408" s="50">
        <v>3.71</v>
      </c>
      <c r="X408" s="49" t="s">
        <v>292</v>
      </c>
      <c r="Y408" s="49" t="s">
        <v>292</v>
      </c>
      <c r="Z408" s="49" t="s">
        <v>958</v>
      </c>
      <c r="AA408" s="61">
        <v>0.7</v>
      </c>
      <c r="AB408" s="48" t="s">
        <v>5636</v>
      </c>
      <c r="AC408" s="62" t="s">
        <v>1175</v>
      </c>
      <c r="AD408" s="53" t="str">
        <f t="shared" si="284"/>
        <v>Link</v>
      </c>
      <c r="AE408" s="54">
        <v>19215</v>
      </c>
      <c r="AF408" s="54">
        <v>81</v>
      </c>
      <c r="AG408" s="85"/>
      <c r="AH408" s="56">
        <v>130943</v>
      </c>
      <c r="AI408" s="56"/>
      <c r="AJ408" s="56"/>
    </row>
    <row r="409" spans="1:36" ht="13" x14ac:dyDescent="0.15">
      <c r="A409" s="64" t="s">
        <v>5562</v>
      </c>
      <c r="B409" s="2" t="s">
        <v>1231</v>
      </c>
      <c r="C409" s="7" t="s">
        <v>67</v>
      </c>
      <c r="D409" s="7" t="s">
        <v>5661</v>
      </c>
      <c r="E409" s="44">
        <v>5</v>
      </c>
      <c r="F409" s="7"/>
      <c r="G409" s="7"/>
      <c r="H409" s="2" t="s">
        <v>5662</v>
      </c>
      <c r="I409" s="7" t="s">
        <v>5663</v>
      </c>
      <c r="J409" s="7" t="s">
        <v>1124</v>
      </c>
      <c r="K409" s="7" t="s">
        <v>48</v>
      </c>
      <c r="L409" s="7" t="s">
        <v>5664</v>
      </c>
      <c r="M409" s="7" t="s">
        <v>5665</v>
      </c>
      <c r="N409" s="45" t="str">
        <f t="shared" ref="N409:N411" si="285">HYPERLINK("twitter.com/DrexelSoftball","@DrexelSoftball")</f>
        <v>@DrexelSoftball</v>
      </c>
      <c r="O409" s="74" t="str">
        <f t="shared" ref="O409:O411" si="286">HYPERLINK("https://drexeldragons.com/sb_output.aspx?form=3","Questionnaire")</f>
        <v>Questionnaire</v>
      </c>
      <c r="P409" s="48" t="s">
        <v>5672</v>
      </c>
      <c r="Q409" s="60" t="s">
        <v>1231</v>
      </c>
      <c r="R409" s="48" t="s">
        <v>2043</v>
      </c>
      <c r="S409" s="6" t="s">
        <v>288</v>
      </c>
      <c r="T409" s="4" t="s">
        <v>63</v>
      </c>
      <c r="U409" s="7" t="s">
        <v>75</v>
      </c>
      <c r="V409" s="7"/>
      <c r="W409" s="91">
        <v>3.56</v>
      </c>
      <c r="X409" s="49" t="s">
        <v>1229</v>
      </c>
      <c r="Y409" s="49" t="s">
        <v>2804</v>
      </c>
      <c r="Z409" s="49" t="s">
        <v>412</v>
      </c>
      <c r="AA409" s="65">
        <v>0.75</v>
      </c>
      <c r="AB409" s="39">
        <v>71375</v>
      </c>
      <c r="AC409" s="84" t="s">
        <v>5672</v>
      </c>
      <c r="AD409" s="53" t="str">
        <f t="shared" ref="AD409:AD411" si="287">HYPERLINK("http://drexel.edu/undergrad/academics/colleges-schools/","Link")</f>
        <v>Link</v>
      </c>
      <c r="AE409" s="42">
        <v>15552</v>
      </c>
      <c r="AF409" s="42">
        <v>94</v>
      </c>
      <c r="AG409" s="85"/>
      <c r="AH409" s="56">
        <v>212054</v>
      </c>
      <c r="AI409" s="56"/>
      <c r="AJ409" s="56"/>
    </row>
    <row r="410" spans="1:36" ht="13" x14ac:dyDescent="0.15">
      <c r="A410" s="64" t="s">
        <v>5562</v>
      </c>
      <c r="B410" s="2" t="s">
        <v>1231</v>
      </c>
      <c r="C410" s="7" t="s">
        <v>67</v>
      </c>
      <c r="D410" s="7" t="s">
        <v>5691</v>
      </c>
      <c r="E410" s="44">
        <v>5</v>
      </c>
      <c r="F410" s="7"/>
      <c r="G410" s="7"/>
      <c r="H410" s="2" t="s">
        <v>5662</v>
      </c>
      <c r="I410" s="7" t="s">
        <v>1280</v>
      </c>
      <c r="J410" s="7" t="s">
        <v>5692</v>
      </c>
      <c r="K410" s="7" t="s">
        <v>55</v>
      </c>
      <c r="L410" s="7" t="s">
        <v>5693</v>
      </c>
      <c r="M410" s="7" t="s">
        <v>5665</v>
      </c>
      <c r="N410" s="45" t="str">
        <f t="shared" si="285"/>
        <v>@DrexelSoftball</v>
      </c>
      <c r="O410" s="74" t="str">
        <f t="shared" si="286"/>
        <v>Questionnaire</v>
      </c>
      <c r="P410" s="48" t="s">
        <v>5672</v>
      </c>
      <c r="Q410" s="60" t="s">
        <v>1231</v>
      </c>
      <c r="R410" s="48" t="s">
        <v>2043</v>
      </c>
      <c r="S410" s="6" t="s">
        <v>288</v>
      </c>
      <c r="T410" s="4" t="s">
        <v>63</v>
      </c>
      <c r="U410" s="7" t="s">
        <v>75</v>
      </c>
      <c r="V410" s="7"/>
      <c r="W410" s="91">
        <v>3.56</v>
      </c>
      <c r="X410" s="49" t="s">
        <v>1229</v>
      </c>
      <c r="Y410" s="49" t="s">
        <v>2804</v>
      </c>
      <c r="Z410" s="49" t="s">
        <v>412</v>
      </c>
      <c r="AA410" s="65">
        <v>0.75</v>
      </c>
      <c r="AB410" s="39">
        <v>71375</v>
      </c>
      <c r="AC410" s="84" t="s">
        <v>5672</v>
      </c>
      <c r="AD410" s="53" t="str">
        <f t="shared" si="287"/>
        <v>Link</v>
      </c>
      <c r="AE410" s="42">
        <v>15552</v>
      </c>
      <c r="AF410" s="42">
        <v>94</v>
      </c>
      <c r="AG410" s="85"/>
      <c r="AH410" s="56">
        <v>212054</v>
      </c>
      <c r="AI410" s="56"/>
      <c r="AJ410" s="56"/>
    </row>
    <row r="411" spans="1:36" ht="13" x14ac:dyDescent="0.15">
      <c r="A411" s="64" t="s">
        <v>5562</v>
      </c>
      <c r="B411" s="2" t="s">
        <v>1231</v>
      </c>
      <c r="C411" s="7" t="s">
        <v>67</v>
      </c>
      <c r="D411" s="7" t="s">
        <v>5699</v>
      </c>
      <c r="E411" s="44">
        <v>5</v>
      </c>
      <c r="F411" s="7"/>
      <c r="G411" s="7"/>
      <c r="H411" s="2" t="s">
        <v>5662</v>
      </c>
      <c r="I411" s="7" t="s">
        <v>1589</v>
      </c>
      <c r="J411" s="7" t="s">
        <v>5700</v>
      </c>
      <c r="K411" s="7" t="s">
        <v>55</v>
      </c>
      <c r="L411" s="7" t="s">
        <v>5701</v>
      </c>
      <c r="M411" s="7" t="s">
        <v>5665</v>
      </c>
      <c r="N411" s="45" t="str">
        <f t="shared" si="285"/>
        <v>@DrexelSoftball</v>
      </c>
      <c r="O411" s="74" t="str">
        <f t="shared" si="286"/>
        <v>Questionnaire</v>
      </c>
      <c r="P411" s="48" t="s">
        <v>5672</v>
      </c>
      <c r="Q411" s="60" t="s">
        <v>1231</v>
      </c>
      <c r="R411" s="48" t="s">
        <v>2043</v>
      </c>
      <c r="S411" s="6" t="s">
        <v>288</v>
      </c>
      <c r="T411" s="4" t="s">
        <v>63</v>
      </c>
      <c r="U411" s="7" t="s">
        <v>75</v>
      </c>
      <c r="V411" s="7"/>
      <c r="W411" s="91">
        <v>3.56</v>
      </c>
      <c r="X411" s="49" t="s">
        <v>1229</v>
      </c>
      <c r="Y411" s="49" t="s">
        <v>2804</v>
      </c>
      <c r="Z411" s="49" t="s">
        <v>412</v>
      </c>
      <c r="AA411" s="65">
        <v>0.75</v>
      </c>
      <c r="AB411" s="39">
        <v>71375</v>
      </c>
      <c r="AC411" s="84" t="s">
        <v>5672</v>
      </c>
      <c r="AD411" s="53" t="str">
        <f t="shared" si="287"/>
        <v>Link</v>
      </c>
      <c r="AE411" s="42">
        <v>15552</v>
      </c>
      <c r="AF411" s="42">
        <v>94</v>
      </c>
      <c r="AG411" s="85"/>
      <c r="AH411" s="56">
        <v>212054</v>
      </c>
      <c r="AI411" s="56"/>
      <c r="AJ411" s="56"/>
    </row>
    <row r="412" spans="1:36" ht="15" x14ac:dyDescent="0.2">
      <c r="A412" s="64" t="s">
        <v>5562</v>
      </c>
      <c r="B412" s="33" t="s">
        <v>219</v>
      </c>
      <c r="C412" s="7" t="s">
        <v>67</v>
      </c>
      <c r="D412" s="7" t="s">
        <v>5704</v>
      </c>
      <c r="E412" s="44">
        <v>5</v>
      </c>
      <c r="F412" s="7"/>
      <c r="G412" s="7"/>
      <c r="H412" s="2" t="s">
        <v>5707</v>
      </c>
      <c r="I412" s="7" t="s">
        <v>1827</v>
      </c>
      <c r="J412" s="7" t="s">
        <v>5708</v>
      </c>
      <c r="K412" s="7" t="s">
        <v>48</v>
      </c>
      <c r="L412" s="7"/>
      <c r="M412" s="7" t="s">
        <v>5709</v>
      </c>
      <c r="N412" s="45" t="str">
        <f t="shared" ref="N412:N414" si="288">HYPERLINK("twitter.com/elonsoftball","@elonsoftball")</f>
        <v>@elonsoftball</v>
      </c>
      <c r="O412" s="74" t="str">
        <f t="shared" ref="O412:O414" si="289">HYPERLINK("https://elonphoenix.com/sports/2013/3/29/GEN_0329131757.aspx","Questionnaire")</f>
        <v>Questionnaire</v>
      </c>
      <c r="P412" s="48" t="s">
        <v>5714</v>
      </c>
      <c r="Q412" s="47" t="s">
        <v>219</v>
      </c>
      <c r="R412" s="48" t="s">
        <v>5714</v>
      </c>
      <c r="S412" s="48" t="s">
        <v>172</v>
      </c>
      <c r="T412" s="49" t="s">
        <v>63</v>
      </c>
      <c r="U412" s="7" t="s">
        <v>75</v>
      </c>
      <c r="V412" s="7"/>
      <c r="W412" s="50">
        <v>3.97</v>
      </c>
      <c r="X412" s="49" t="s">
        <v>835</v>
      </c>
      <c r="Y412" s="49" t="s">
        <v>835</v>
      </c>
      <c r="Z412" s="49" t="s">
        <v>836</v>
      </c>
      <c r="AA412" s="61">
        <v>0.6</v>
      </c>
      <c r="AB412" s="71">
        <v>48099</v>
      </c>
      <c r="AC412" s="62" t="s">
        <v>5714</v>
      </c>
      <c r="AD412" s="53" t="str">
        <f t="shared" ref="AD412:AD414" si="290">HYPERLINK("https://www.elon.edu/e/academics/majors-minors-and-programs.html","Link")</f>
        <v>Link</v>
      </c>
      <c r="AE412" s="54">
        <v>6008</v>
      </c>
      <c r="AF412" s="55"/>
      <c r="AG412" s="85"/>
      <c r="AH412" s="56">
        <v>198516</v>
      </c>
      <c r="AI412" s="56"/>
      <c r="AJ412" s="56"/>
    </row>
    <row r="413" spans="1:36" ht="15" x14ac:dyDescent="0.2">
      <c r="A413" s="64" t="s">
        <v>5562</v>
      </c>
      <c r="B413" s="33" t="s">
        <v>219</v>
      </c>
      <c r="C413" s="7" t="s">
        <v>67</v>
      </c>
      <c r="D413" s="7" t="s">
        <v>5721</v>
      </c>
      <c r="E413" s="44">
        <v>5</v>
      </c>
      <c r="F413" s="7"/>
      <c r="G413" s="7"/>
      <c r="H413" s="2" t="s">
        <v>5707</v>
      </c>
      <c r="I413" s="7" t="s">
        <v>4434</v>
      </c>
      <c r="J413" s="7" t="s">
        <v>5722</v>
      </c>
      <c r="K413" s="7" t="s">
        <v>55</v>
      </c>
      <c r="L413" s="7" t="s">
        <v>5723</v>
      </c>
      <c r="M413" s="7" t="s">
        <v>5724</v>
      </c>
      <c r="N413" s="45" t="str">
        <f t="shared" si="288"/>
        <v>@elonsoftball</v>
      </c>
      <c r="O413" s="74" t="str">
        <f t="shared" si="289"/>
        <v>Questionnaire</v>
      </c>
      <c r="P413" s="48" t="s">
        <v>5714</v>
      </c>
      <c r="Q413" s="47" t="s">
        <v>219</v>
      </c>
      <c r="R413" s="48" t="s">
        <v>5714</v>
      </c>
      <c r="S413" s="48" t="s">
        <v>172</v>
      </c>
      <c r="T413" s="49" t="s">
        <v>63</v>
      </c>
      <c r="U413" s="7" t="s">
        <v>75</v>
      </c>
      <c r="V413" s="7"/>
      <c r="W413" s="50">
        <v>3.97</v>
      </c>
      <c r="X413" s="49" t="s">
        <v>835</v>
      </c>
      <c r="Y413" s="49" t="s">
        <v>835</v>
      </c>
      <c r="Z413" s="49" t="s">
        <v>836</v>
      </c>
      <c r="AA413" s="61">
        <v>0.6</v>
      </c>
      <c r="AB413" s="71">
        <v>48099</v>
      </c>
      <c r="AC413" s="62" t="s">
        <v>5714</v>
      </c>
      <c r="AD413" s="53" t="str">
        <f t="shared" si="290"/>
        <v>Link</v>
      </c>
      <c r="AE413" s="54">
        <v>6008</v>
      </c>
      <c r="AF413" s="55"/>
      <c r="AG413" s="85"/>
      <c r="AH413" s="56">
        <v>198516</v>
      </c>
      <c r="AI413" s="56"/>
      <c r="AJ413" s="56"/>
    </row>
    <row r="414" spans="1:36" ht="15" x14ac:dyDescent="0.2">
      <c r="A414" s="64" t="s">
        <v>5562</v>
      </c>
      <c r="B414" s="33" t="s">
        <v>219</v>
      </c>
      <c r="C414" s="7" t="s">
        <v>67</v>
      </c>
      <c r="D414" s="7" t="s">
        <v>5733</v>
      </c>
      <c r="E414" s="44">
        <v>5</v>
      </c>
      <c r="F414" s="7"/>
      <c r="G414" s="7"/>
      <c r="H414" s="2" t="s">
        <v>5707</v>
      </c>
      <c r="I414" s="7" t="s">
        <v>2867</v>
      </c>
      <c r="J414" s="7" t="s">
        <v>5734</v>
      </c>
      <c r="K414" s="7" t="s">
        <v>55</v>
      </c>
      <c r="L414" s="7" t="s">
        <v>5735</v>
      </c>
      <c r="M414" s="7"/>
      <c r="N414" s="45" t="str">
        <f t="shared" si="288"/>
        <v>@elonsoftball</v>
      </c>
      <c r="O414" s="74" t="str">
        <f t="shared" si="289"/>
        <v>Questionnaire</v>
      </c>
      <c r="P414" s="48" t="s">
        <v>5714</v>
      </c>
      <c r="Q414" s="47" t="s">
        <v>219</v>
      </c>
      <c r="R414" s="48" t="s">
        <v>5714</v>
      </c>
      <c r="S414" s="48" t="s">
        <v>172</v>
      </c>
      <c r="T414" s="49" t="s">
        <v>63</v>
      </c>
      <c r="U414" s="7" t="s">
        <v>75</v>
      </c>
      <c r="V414" s="7"/>
      <c r="W414" s="50">
        <v>3.97</v>
      </c>
      <c r="X414" s="49" t="s">
        <v>835</v>
      </c>
      <c r="Y414" s="49" t="s">
        <v>835</v>
      </c>
      <c r="Z414" s="49" t="s">
        <v>836</v>
      </c>
      <c r="AA414" s="61">
        <v>0.6</v>
      </c>
      <c r="AB414" s="71">
        <v>48099</v>
      </c>
      <c r="AC414" s="62" t="s">
        <v>5714</v>
      </c>
      <c r="AD414" s="53" t="str">
        <f t="shared" si="290"/>
        <v>Link</v>
      </c>
      <c r="AE414" s="54">
        <v>6008</v>
      </c>
      <c r="AF414" s="55"/>
      <c r="AG414" s="85"/>
      <c r="AH414" s="56">
        <v>198516</v>
      </c>
      <c r="AI414" s="56"/>
      <c r="AJ414" s="56"/>
    </row>
    <row r="415" spans="1:36" ht="15" x14ac:dyDescent="0.2">
      <c r="A415" s="64" t="s">
        <v>5562</v>
      </c>
      <c r="B415" s="33" t="s">
        <v>1304</v>
      </c>
      <c r="C415" s="7" t="s">
        <v>67</v>
      </c>
      <c r="D415" s="7" t="s">
        <v>5742</v>
      </c>
      <c r="E415" s="44">
        <v>5</v>
      </c>
      <c r="F415" s="7"/>
      <c r="G415" s="7"/>
      <c r="H415" s="2" t="s">
        <v>5743</v>
      </c>
      <c r="I415" s="7" t="s">
        <v>2772</v>
      </c>
      <c r="J415" s="7" t="s">
        <v>977</v>
      </c>
      <c r="K415" s="7" t="s">
        <v>48</v>
      </c>
      <c r="L415" s="7" t="s">
        <v>5744</v>
      </c>
      <c r="M415" s="7" t="s">
        <v>5745</v>
      </c>
      <c r="N415" s="45" t="str">
        <f>HYPERLINK("twitter.com/coachjaymiller","@coachjaymiller")</f>
        <v>@coachjaymiller</v>
      </c>
      <c r="O415" s="74" t="str">
        <f t="shared" ref="O415:O418" si="291">HYPERLINK("https://www.hofstra.edu/athletics/athletics-sport-info-form.html","Questionnaire")</f>
        <v>Questionnaire</v>
      </c>
      <c r="P415" s="48" t="s">
        <v>5752</v>
      </c>
      <c r="Q415" s="47" t="s">
        <v>1304</v>
      </c>
      <c r="R415" s="48" t="s">
        <v>5753</v>
      </c>
      <c r="S415" s="48" t="s">
        <v>354</v>
      </c>
      <c r="T415" s="49" t="s">
        <v>63</v>
      </c>
      <c r="U415" s="7" t="s">
        <v>75</v>
      </c>
      <c r="V415" s="7"/>
      <c r="W415" s="50">
        <v>3.61</v>
      </c>
      <c r="X415" s="49" t="s">
        <v>1319</v>
      </c>
      <c r="Y415" s="49" t="s">
        <v>85</v>
      </c>
      <c r="Z415" s="49" t="s">
        <v>1408</v>
      </c>
      <c r="AA415" s="61">
        <v>0.62</v>
      </c>
      <c r="AB415" s="71">
        <v>60184</v>
      </c>
      <c r="AC415" s="52" t="s">
        <v>5752</v>
      </c>
      <c r="AD415" s="53" t="str">
        <f t="shared" ref="AD415:AD418" si="292">HYPERLINK("https://www.hofstra.edu/admission/adm_majors.html","Link")</f>
        <v>Link</v>
      </c>
      <c r="AE415" s="54">
        <v>6899</v>
      </c>
      <c r="AF415" s="54">
        <v>132</v>
      </c>
      <c r="AG415" s="85"/>
      <c r="AH415" s="56">
        <v>191649</v>
      </c>
      <c r="AI415" s="56"/>
      <c r="AJ415" s="56"/>
    </row>
    <row r="416" spans="1:36" ht="15" x14ac:dyDescent="0.2">
      <c r="A416" s="64" t="s">
        <v>5562</v>
      </c>
      <c r="B416" s="33" t="s">
        <v>1304</v>
      </c>
      <c r="C416" s="7" t="s">
        <v>67</v>
      </c>
      <c r="D416" s="7" t="s">
        <v>5761</v>
      </c>
      <c r="E416" s="44">
        <v>5</v>
      </c>
      <c r="F416" s="7"/>
      <c r="G416" s="7"/>
      <c r="H416" s="2" t="s">
        <v>5743</v>
      </c>
      <c r="I416" s="7" t="s">
        <v>3235</v>
      </c>
      <c r="J416" s="7" t="s">
        <v>3054</v>
      </c>
      <c r="K416" s="7" t="s">
        <v>55</v>
      </c>
      <c r="L416" s="7" t="s">
        <v>5762</v>
      </c>
      <c r="M416" s="7" t="s">
        <v>5763</v>
      </c>
      <c r="N416" s="45" t="str">
        <f>HYPERLINK("twitter.com/jameyer6","@jameyer6")</f>
        <v>@jameyer6</v>
      </c>
      <c r="O416" s="74" t="str">
        <f t="shared" si="291"/>
        <v>Questionnaire</v>
      </c>
      <c r="P416" s="48" t="s">
        <v>5752</v>
      </c>
      <c r="Q416" s="47" t="s">
        <v>1304</v>
      </c>
      <c r="R416" s="48" t="s">
        <v>5753</v>
      </c>
      <c r="S416" s="48" t="s">
        <v>354</v>
      </c>
      <c r="T416" s="49" t="s">
        <v>63</v>
      </c>
      <c r="U416" s="7" t="s">
        <v>75</v>
      </c>
      <c r="V416" s="7"/>
      <c r="W416" s="50">
        <v>3.61</v>
      </c>
      <c r="X416" s="49" t="s">
        <v>1319</v>
      </c>
      <c r="Y416" s="49" t="s">
        <v>85</v>
      </c>
      <c r="Z416" s="49" t="s">
        <v>1408</v>
      </c>
      <c r="AA416" s="61">
        <v>0.62</v>
      </c>
      <c r="AB416" s="71">
        <v>60184</v>
      </c>
      <c r="AC416" s="52" t="s">
        <v>5752</v>
      </c>
      <c r="AD416" s="53" t="str">
        <f t="shared" si="292"/>
        <v>Link</v>
      </c>
      <c r="AE416" s="54">
        <v>6899</v>
      </c>
      <c r="AF416" s="54">
        <v>132</v>
      </c>
      <c r="AG416" s="85"/>
      <c r="AH416" s="56">
        <v>191649</v>
      </c>
      <c r="AI416" s="56"/>
      <c r="AJ416" s="56"/>
    </row>
    <row r="417" spans="1:36" ht="15" x14ac:dyDescent="0.2">
      <c r="A417" s="64" t="s">
        <v>5562</v>
      </c>
      <c r="B417" s="33" t="s">
        <v>1304</v>
      </c>
      <c r="C417" s="7" t="s">
        <v>67</v>
      </c>
      <c r="D417" s="7" t="s">
        <v>5769</v>
      </c>
      <c r="E417" s="44">
        <v>5</v>
      </c>
      <c r="F417" s="7"/>
      <c r="G417" s="7"/>
      <c r="H417" s="2" t="s">
        <v>5743</v>
      </c>
      <c r="I417" s="7" t="s">
        <v>294</v>
      </c>
      <c r="J417" s="7" t="s">
        <v>5770</v>
      </c>
      <c r="K417" s="7" t="s">
        <v>55</v>
      </c>
      <c r="L417" s="7" t="s">
        <v>5772</v>
      </c>
      <c r="M417" s="7" t="s">
        <v>5773</v>
      </c>
      <c r="N417" s="45" t="str">
        <f>HYPERLINK("twitter.com/lindsaymayer_","@lindsaymayer_")</f>
        <v>@lindsaymayer_</v>
      </c>
      <c r="O417" s="74" t="str">
        <f t="shared" si="291"/>
        <v>Questionnaire</v>
      </c>
      <c r="P417" s="48" t="s">
        <v>5752</v>
      </c>
      <c r="Q417" s="47" t="s">
        <v>1304</v>
      </c>
      <c r="R417" s="48" t="s">
        <v>5753</v>
      </c>
      <c r="S417" s="48" t="s">
        <v>354</v>
      </c>
      <c r="T417" s="49" t="s">
        <v>63</v>
      </c>
      <c r="U417" s="7" t="s">
        <v>75</v>
      </c>
      <c r="V417" s="7"/>
      <c r="W417" s="50">
        <v>3.61</v>
      </c>
      <c r="X417" s="49" t="s">
        <v>1319</v>
      </c>
      <c r="Y417" s="49" t="s">
        <v>85</v>
      </c>
      <c r="Z417" s="49" t="s">
        <v>1408</v>
      </c>
      <c r="AA417" s="61">
        <v>0.62</v>
      </c>
      <c r="AB417" s="71">
        <v>60184</v>
      </c>
      <c r="AC417" s="52" t="s">
        <v>5752</v>
      </c>
      <c r="AD417" s="53" t="str">
        <f t="shared" si="292"/>
        <v>Link</v>
      </c>
      <c r="AE417" s="54">
        <v>6899</v>
      </c>
      <c r="AF417" s="54">
        <v>132</v>
      </c>
      <c r="AG417" s="85"/>
      <c r="AH417" s="56">
        <v>191649</v>
      </c>
      <c r="AI417" s="56"/>
      <c r="AJ417" s="56"/>
    </row>
    <row r="418" spans="1:36" ht="15" x14ac:dyDescent="0.2">
      <c r="A418" s="64" t="s">
        <v>5562</v>
      </c>
      <c r="B418" s="33" t="s">
        <v>1304</v>
      </c>
      <c r="C418" s="7" t="s">
        <v>67</v>
      </c>
      <c r="D418" s="7" t="s">
        <v>5780</v>
      </c>
      <c r="E418" s="44">
        <v>5</v>
      </c>
      <c r="F418" s="7"/>
      <c r="G418" s="7"/>
      <c r="H418" s="2" t="s">
        <v>5743</v>
      </c>
      <c r="I418" s="7" t="s">
        <v>5781</v>
      </c>
      <c r="J418" s="7" t="s">
        <v>5782</v>
      </c>
      <c r="K418" s="7" t="s">
        <v>139</v>
      </c>
      <c r="L418" s="7" t="s">
        <v>5783</v>
      </c>
      <c r="M418" s="7"/>
      <c r="N418" s="45" t="str">
        <f>HYPERLINK("twitter.com/coach_ibarra","@coach_ibarra")</f>
        <v>@coach_ibarra</v>
      </c>
      <c r="O418" s="74" t="str">
        <f t="shared" si="291"/>
        <v>Questionnaire</v>
      </c>
      <c r="P418" s="48" t="s">
        <v>5752</v>
      </c>
      <c r="Q418" s="47" t="s">
        <v>1304</v>
      </c>
      <c r="R418" s="48" t="s">
        <v>5753</v>
      </c>
      <c r="S418" s="48" t="s">
        <v>354</v>
      </c>
      <c r="T418" s="49" t="s">
        <v>63</v>
      </c>
      <c r="U418" s="7" t="s">
        <v>75</v>
      </c>
      <c r="V418" s="7"/>
      <c r="W418" s="50">
        <v>3.61</v>
      </c>
      <c r="X418" s="49" t="s">
        <v>1319</v>
      </c>
      <c r="Y418" s="49" t="s">
        <v>85</v>
      </c>
      <c r="Z418" s="49" t="s">
        <v>1408</v>
      </c>
      <c r="AA418" s="61">
        <v>0.62</v>
      </c>
      <c r="AB418" s="71">
        <v>60184</v>
      </c>
      <c r="AC418" s="52" t="s">
        <v>5752</v>
      </c>
      <c r="AD418" s="53" t="str">
        <f t="shared" si="292"/>
        <v>Link</v>
      </c>
      <c r="AE418" s="54">
        <v>6899</v>
      </c>
      <c r="AF418" s="54">
        <v>132</v>
      </c>
      <c r="AG418" s="85"/>
      <c r="AH418" s="56">
        <v>191649</v>
      </c>
      <c r="AI418" s="56"/>
      <c r="AJ418" s="56"/>
    </row>
    <row r="419" spans="1:36" ht="15" x14ac:dyDescent="0.2">
      <c r="A419" s="64" t="s">
        <v>5562</v>
      </c>
      <c r="B419" s="33" t="s">
        <v>1361</v>
      </c>
      <c r="C419" s="7" t="s">
        <v>67</v>
      </c>
      <c r="D419" s="7" t="s">
        <v>5786</v>
      </c>
      <c r="E419" s="44">
        <v>5</v>
      </c>
      <c r="F419" s="7"/>
      <c r="G419" s="7"/>
      <c r="H419" s="2" t="s">
        <v>5788</v>
      </c>
      <c r="I419" s="7" t="s">
        <v>5790</v>
      </c>
      <c r="J419" s="7" t="s">
        <v>5791</v>
      </c>
      <c r="K419" s="7" t="s">
        <v>48</v>
      </c>
      <c r="L419" s="7" t="s">
        <v>5793</v>
      </c>
      <c r="M419" s="7" t="s">
        <v>5795</v>
      </c>
      <c r="N419" s="45" t="str">
        <f>HYPERLINK("twitter.com/LorenMessick","@LorenMessick")</f>
        <v>@LorenMessick</v>
      </c>
      <c r="O419" s="74" t="str">
        <f t="shared" ref="O419:O421" si="293">HYPERLINK("https://jmusports.com/news/2011/8/17/Recruiting_Questionnaires.aspx","Questionnaire")</f>
        <v>Questionnaire</v>
      </c>
      <c r="P419" s="48" t="s">
        <v>5797</v>
      </c>
      <c r="Q419" s="47" t="s">
        <v>4538</v>
      </c>
      <c r="R419" s="48" t="s">
        <v>4627</v>
      </c>
      <c r="S419" s="48" t="s">
        <v>468</v>
      </c>
      <c r="T419" s="49" t="s">
        <v>74</v>
      </c>
      <c r="U419" s="7" t="s">
        <v>75</v>
      </c>
      <c r="V419" s="7"/>
      <c r="W419" s="50">
        <v>3.5</v>
      </c>
      <c r="X419" s="49" t="s">
        <v>291</v>
      </c>
      <c r="Y419" s="49" t="s">
        <v>2228</v>
      </c>
      <c r="Z419" s="49" t="s">
        <v>320</v>
      </c>
      <c r="AA419" s="61">
        <v>0.72</v>
      </c>
      <c r="AB419" s="48" t="s">
        <v>5799</v>
      </c>
      <c r="AC419" s="52" t="s">
        <v>5797</v>
      </c>
      <c r="AD419" s="53" t="str">
        <f t="shared" ref="AD419:AD421" si="294">HYPERLINK("https://www.jmu.edu/catalog/14/degree-information/degree-types.shtml","Link")</f>
        <v>Link</v>
      </c>
      <c r="AE419" s="54">
        <v>19548</v>
      </c>
      <c r="AF419" s="55"/>
      <c r="AG419" s="85"/>
      <c r="AH419" s="56">
        <v>232423</v>
      </c>
      <c r="AI419" s="56"/>
      <c r="AJ419" s="56"/>
    </row>
    <row r="420" spans="1:36" ht="15" x14ac:dyDescent="0.2">
      <c r="A420" s="64" t="s">
        <v>5562</v>
      </c>
      <c r="B420" s="33" t="s">
        <v>1361</v>
      </c>
      <c r="C420" s="7" t="s">
        <v>67</v>
      </c>
      <c r="D420" s="7" t="s">
        <v>5807</v>
      </c>
      <c r="E420" s="44">
        <v>5</v>
      </c>
      <c r="F420" s="7"/>
      <c r="G420" s="7"/>
      <c r="H420" s="2" t="s">
        <v>5788</v>
      </c>
      <c r="I420" s="7" t="s">
        <v>1080</v>
      </c>
      <c r="J420" s="7" t="s">
        <v>5808</v>
      </c>
      <c r="K420" s="7" t="s">
        <v>55</v>
      </c>
      <c r="L420" s="7" t="s">
        <v>5809</v>
      </c>
      <c r="M420" s="7" t="s">
        <v>5810</v>
      </c>
      <c r="N420" s="45" t="str">
        <f t="shared" ref="N420:N421" si="295">HYPERLINK("twitter.com/jmusoftball","@jmusoftball")</f>
        <v>@jmusoftball</v>
      </c>
      <c r="O420" s="74" t="str">
        <f t="shared" si="293"/>
        <v>Questionnaire</v>
      </c>
      <c r="P420" s="48" t="s">
        <v>5797</v>
      </c>
      <c r="Q420" s="47" t="s">
        <v>4538</v>
      </c>
      <c r="R420" s="48" t="s">
        <v>4627</v>
      </c>
      <c r="S420" s="48" t="s">
        <v>468</v>
      </c>
      <c r="T420" s="49" t="s">
        <v>74</v>
      </c>
      <c r="U420" s="7" t="s">
        <v>75</v>
      </c>
      <c r="V420" s="7"/>
      <c r="W420" s="50">
        <v>3.5</v>
      </c>
      <c r="X420" s="49" t="s">
        <v>291</v>
      </c>
      <c r="Y420" s="49" t="s">
        <v>2228</v>
      </c>
      <c r="Z420" s="49" t="s">
        <v>320</v>
      </c>
      <c r="AA420" s="61">
        <v>0.72</v>
      </c>
      <c r="AB420" s="48" t="s">
        <v>5799</v>
      </c>
      <c r="AC420" s="52" t="s">
        <v>5797</v>
      </c>
      <c r="AD420" s="53" t="str">
        <f t="shared" si="294"/>
        <v>Link</v>
      </c>
      <c r="AE420" s="54">
        <v>19548</v>
      </c>
      <c r="AF420" s="55"/>
      <c r="AG420" s="85"/>
      <c r="AH420" s="56">
        <v>232423</v>
      </c>
      <c r="AI420" s="56"/>
      <c r="AJ420" s="56"/>
    </row>
    <row r="421" spans="1:36" ht="15" x14ac:dyDescent="0.2">
      <c r="A421" s="64" t="s">
        <v>5562</v>
      </c>
      <c r="B421" s="33" t="s">
        <v>1361</v>
      </c>
      <c r="C421" s="7" t="s">
        <v>67</v>
      </c>
      <c r="D421" s="7" t="s">
        <v>5819</v>
      </c>
      <c r="E421" s="44">
        <v>5</v>
      </c>
      <c r="F421" s="7"/>
      <c r="G421" s="7"/>
      <c r="H421" s="2" t="s">
        <v>5788</v>
      </c>
      <c r="I421" s="7" t="s">
        <v>5820</v>
      </c>
      <c r="J421" s="7" t="s">
        <v>2470</v>
      </c>
      <c r="K421" s="7" t="s">
        <v>55</v>
      </c>
      <c r="L421" s="7" t="s">
        <v>5821</v>
      </c>
      <c r="M421" s="7" t="s">
        <v>5822</v>
      </c>
      <c r="N421" s="45" t="str">
        <f t="shared" si="295"/>
        <v>@jmusoftball</v>
      </c>
      <c r="O421" s="74" t="str">
        <f t="shared" si="293"/>
        <v>Questionnaire</v>
      </c>
      <c r="P421" s="48" t="s">
        <v>5797</v>
      </c>
      <c r="Q421" s="47" t="s">
        <v>4538</v>
      </c>
      <c r="R421" s="48" t="s">
        <v>4627</v>
      </c>
      <c r="S421" s="48" t="s">
        <v>468</v>
      </c>
      <c r="T421" s="49" t="s">
        <v>74</v>
      </c>
      <c r="U421" s="7" t="s">
        <v>75</v>
      </c>
      <c r="V421" s="7"/>
      <c r="W421" s="50">
        <v>3.5</v>
      </c>
      <c r="X421" s="49" t="s">
        <v>291</v>
      </c>
      <c r="Y421" s="49" t="s">
        <v>2228</v>
      </c>
      <c r="Z421" s="49" t="s">
        <v>320</v>
      </c>
      <c r="AA421" s="61">
        <v>0.72</v>
      </c>
      <c r="AB421" s="48" t="s">
        <v>5799</v>
      </c>
      <c r="AC421" s="52" t="s">
        <v>5797</v>
      </c>
      <c r="AD421" s="53" t="str">
        <f t="shared" si="294"/>
        <v>Link</v>
      </c>
      <c r="AE421" s="54">
        <v>19548</v>
      </c>
      <c r="AF421" s="55"/>
      <c r="AG421" s="85"/>
      <c r="AH421" s="56">
        <v>232423</v>
      </c>
      <c r="AI421" s="56"/>
      <c r="AJ421" s="56"/>
    </row>
    <row r="422" spans="1:36" ht="15" x14ac:dyDescent="0.2">
      <c r="A422" s="64" t="s">
        <v>5562</v>
      </c>
      <c r="B422" s="33" t="s">
        <v>219</v>
      </c>
      <c r="C422" s="7" t="s">
        <v>67</v>
      </c>
      <c r="D422" s="7" t="s">
        <v>5832</v>
      </c>
      <c r="E422" s="44">
        <v>5</v>
      </c>
      <c r="F422" s="7"/>
      <c r="G422" s="7"/>
      <c r="H422" s="2" t="s">
        <v>5833</v>
      </c>
      <c r="I422" s="7" t="s">
        <v>5834</v>
      </c>
      <c r="J422" s="7" t="s">
        <v>5835</v>
      </c>
      <c r="K422" s="7" t="s">
        <v>48</v>
      </c>
      <c r="L422" s="7" t="s">
        <v>5836</v>
      </c>
      <c r="M422" s="7"/>
      <c r="N422" s="45" t="str">
        <f t="shared" ref="N422:N425" si="296">HYPERLINK("twitter.com/UNCWsoftball","@UNCWsoftball")</f>
        <v>@UNCWsoftball</v>
      </c>
      <c r="O422" s="74" t="str">
        <f t="shared" ref="O422:O425" si="297">HYPERLINK("https://uncwsports.com/sports/2015/2/16/PSA%20Page.aspx","Questionnaire")</f>
        <v>Questionnaire</v>
      </c>
      <c r="P422" s="48" t="s">
        <v>5847</v>
      </c>
      <c r="Q422" s="47" t="s">
        <v>219</v>
      </c>
      <c r="R422" s="48" t="s">
        <v>2765</v>
      </c>
      <c r="S422" s="48" t="s">
        <v>238</v>
      </c>
      <c r="T422" s="73" t="s">
        <v>74</v>
      </c>
      <c r="U422" s="7" t="s">
        <v>75</v>
      </c>
      <c r="V422" s="7"/>
      <c r="W422" s="50">
        <v>4.0599999999999996</v>
      </c>
      <c r="X422" s="49" t="s">
        <v>5849</v>
      </c>
      <c r="Y422" s="49" t="s">
        <v>5850</v>
      </c>
      <c r="Z422" s="49" t="s">
        <v>1510</v>
      </c>
      <c r="AA422" s="61">
        <v>0.72</v>
      </c>
      <c r="AB422" s="48" t="s">
        <v>5852</v>
      </c>
      <c r="AC422" s="62" t="s">
        <v>5847</v>
      </c>
      <c r="AD422" s="53" t="str">
        <f t="shared" ref="AD422:AD425" si="298">HYPERLINK("https://uncw.edu/academics/","Link")</f>
        <v>Link</v>
      </c>
      <c r="AE422" s="54">
        <v>13914</v>
      </c>
      <c r="AF422" s="55"/>
      <c r="AG422" s="85"/>
      <c r="AH422" s="56">
        <v>199218</v>
      </c>
      <c r="AI422" s="56"/>
      <c r="AJ422" s="56"/>
    </row>
    <row r="423" spans="1:36" ht="15" x14ac:dyDescent="0.2">
      <c r="A423" s="64" t="s">
        <v>5562</v>
      </c>
      <c r="B423" s="33" t="s">
        <v>219</v>
      </c>
      <c r="C423" s="7" t="s">
        <v>67</v>
      </c>
      <c r="D423" s="7" t="s">
        <v>5859</v>
      </c>
      <c r="E423" s="44">
        <v>5</v>
      </c>
      <c r="F423" s="7"/>
      <c r="G423" s="7"/>
      <c r="H423" s="2" t="s">
        <v>5833</v>
      </c>
      <c r="I423" s="7" t="s">
        <v>5860</v>
      </c>
      <c r="J423" s="7" t="s">
        <v>3793</v>
      </c>
      <c r="K423" s="7" t="s">
        <v>55</v>
      </c>
      <c r="L423" s="7" t="s">
        <v>5861</v>
      </c>
      <c r="M423" s="7"/>
      <c r="N423" s="45" t="str">
        <f t="shared" si="296"/>
        <v>@UNCWsoftball</v>
      </c>
      <c r="O423" s="74" t="str">
        <f t="shared" si="297"/>
        <v>Questionnaire</v>
      </c>
      <c r="P423" s="48" t="s">
        <v>5847</v>
      </c>
      <c r="Q423" s="47" t="s">
        <v>219</v>
      </c>
      <c r="R423" s="48" t="s">
        <v>2765</v>
      </c>
      <c r="S423" s="48" t="s">
        <v>238</v>
      </c>
      <c r="T423" s="73" t="s">
        <v>74</v>
      </c>
      <c r="U423" s="7" t="s">
        <v>75</v>
      </c>
      <c r="V423" s="7"/>
      <c r="W423" s="50">
        <v>4.0599999999999996</v>
      </c>
      <c r="X423" s="49" t="s">
        <v>5849</v>
      </c>
      <c r="Y423" s="49" t="s">
        <v>5850</v>
      </c>
      <c r="Z423" s="49" t="s">
        <v>1510</v>
      </c>
      <c r="AA423" s="61">
        <v>0.72</v>
      </c>
      <c r="AB423" s="48" t="s">
        <v>5852</v>
      </c>
      <c r="AC423" s="62" t="s">
        <v>5847</v>
      </c>
      <c r="AD423" s="53" t="str">
        <f t="shared" si="298"/>
        <v>Link</v>
      </c>
      <c r="AE423" s="54">
        <v>13914</v>
      </c>
      <c r="AF423" s="55"/>
      <c r="AG423" s="85"/>
      <c r="AH423" s="56">
        <v>199218</v>
      </c>
      <c r="AI423" s="56"/>
      <c r="AJ423" s="56"/>
    </row>
    <row r="424" spans="1:36" ht="15" x14ac:dyDescent="0.2">
      <c r="A424" s="64" t="s">
        <v>5562</v>
      </c>
      <c r="B424" s="33" t="s">
        <v>219</v>
      </c>
      <c r="C424" s="7" t="s">
        <v>67</v>
      </c>
      <c r="D424" s="7" t="s">
        <v>5868</v>
      </c>
      <c r="E424" s="44">
        <v>5</v>
      </c>
      <c r="F424" s="7"/>
      <c r="G424" s="7" t="s">
        <v>126</v>
      </c>
      <c r="H424" s="2" t="s">
        <v>5833</v>
      </c>
      <c r="I424" s="7" t="s">
        <v>5869</v>
      </c>
      <c r="J424" s="7"/>
      <c r="K424" s="7"/>
      <c r="L424" s="7"/>
      <c r="M424" s="7"/>
      <c r="N424" s="45" t="str">
        <f t="shared" si="296"/>
        <v>@UNCWsoftball</v>
      </c>
      <c r="O424" s="74" t="str">
        <f t="shared" si="297"/>
        <v>Questionnaire</v>
      </c>
      <c r="P424" s="48" t="s">
        <v>5847</v>
      </c>
      <c r="Q424" s="47" t="s">
        <v>219</v>
      </c>
      <c r="R424" s="48" t="s">
        <v>2765</v>
      </c>
      <c r="S424" s="48" t="s">
        <v>238</v>
      </c>
      <c r="T424" s="73" t="s">
        <v>74</v>
      </c>
      <c r="U424" s="7" t="s">
        <v>75</v>
      </c>
      <c r="V424" s="7"/>
      <c r="W424" s="50">
        <v>4.0599999999999996</v>
      </c>
      <c r="X424" s="49" t="s">
        <v>5849</v>
      </c>
      <c r="Y424" s="49" t="s">
        <v>5850</v>
      </c>
      <c r="Z424" s="49" t="s">
        <v>1510</v>
      </c>
      <c r="AA424" s="61">
        <v>0.72</v>
      </c>
      <c r="AB424" s="48" t="s">
        <v>5852</v>
      </c>
      <c r="AC424" s="62" t="s">
        <v>5847</v>
      </c>
      <c r="AD424" s="53" t="str">
        <f t="shared" si="298"/>
        <v>Link</v>
      </c>
      <c r="AE424" s="54">
        <v>13914</v>
      </c>
      <c r="AF424" s="55"/>
      <c r="AG424" s="85"/>
      <c r="AH424" s="56">
        <v>199218</v>
      </c>
      <c r="AI424" s="56"/>
      <c r="AJ424" s="56"/>
    </row>
    <row r="425" spans="1:36" ht="15" x14ac:dyDescent="0.2">
      <c r="A425" s="64" t="s">
        <v>5562</v>
      </c>
      <c r="B425" s="33" t="s">
        <v>219</v>
      </c>
      <c r="C425" s="7" t="s">
        <v>67</v>
      </c>
      <c r="D425" s="7" t="s">
        <v>5874</v>
      </c>
      <c r="E425" s="44">
        <v>5</v>
      </c>
      <c r="F425" s="7" t="s">
        <v>116</v>
      </c>
      <c r="G425" s="7"/>
      <c r="H425" s="2" t="s">
        <v>5833</v>
      </c>
      <c r="I425" s="7" t="s">
        <v>349</v>
      </c>
      <c r="J425" s="7" t="s">
        <v>5881</v>
      </c>
      <c r="K425" s="7" t="s">
        <v>55</v>
      </c>
      <c r="L425" s="7" t="s">
        <v>5882</v>
      </c>
      <c r="M425" s="7"/>
      <c r="N425" s="45" t="str">
        <f t="shared" si="296"/>
        <v>@UNCWsoftball</v>
      </c>
      <c r="O425" s="74" t="str">
        <f t="shared" si="297"/>
        <v>Questionnaire</v>
      </c>
      <c r="P425" s="48" t="s">
        <v>5847</v>
      </c>
      <c r="Q425" s="47" t="s">
        <v>219</v>
      </c>
      <c r="R425" s="48" t="s">
        <v>2765</v>
      </c>
      <c r="S425" s="48" t="s">
        <v>238</v>
      </c>
      <c r="T425" s="73" t="s">
        <v>74</v>
      </c>
      <c r="U425" s="7" t="s">
        <v>75</v>
      </c>
      <c r="V425" s="7"/>
      <c r="W425" s="50">
        <v>4.0599999999999996</v>
      </c>
      <c r="X425" s="49" t="s">
        <v>5849</v>
      </c>
      <c r="Y425" s="49" t="s">
        <v>5850</v>
      </c>
      <c r="Z425" s="49" t="s">
        <v>1510</v>
      </c>
      <c r="AA425" s="61">
        <v>0.72</v>
      </c>
      <c r="AB425" s="48" t="s">
        <v>5852</v>
      </c>
      <c r="AC425" s="62" t="s">
        <v>5847</v>
      </c>
      <c r="AD425" s="53" t="str">
        <f t="shared" si="298"/>
        <v>Link</v>
      </c>
      <c r="AE425" s="54">
        <v>13914</v>
      </c>
      <c r="AF425" s="55"/>
      <c r="AG425" s="85"/>
      <c r="AH425" s="56">
        <v>199218</v>
      </c>
      <c r="AI425" s="56"/>
      <c r="AJ425" s="56"/>
    </row>
    <row r="426" spans="1:36" ht="15" x14ac:dyDescent="0.2">
      <c r="A426" s="64" t="s">
        <v>5562</v>
      </c>
      <c r="B426" s="33" t="s">
        <v>1668</v>
      </c>
      <c r="C426" s="7" t="s">
        <v>67</v>
      </c>
      <c r="D426" s="7" t="s">
        <v>5885</v>
      </c>
      <c r="E426" s="44">
        <v>5</v>
      </c>
      <c r="F426" s="7"/>
      <c r="G426" s="7"/>
      <c r="H426" s="2" t="s">
        <v>5886</v>
      </c>
      <c r="I426" s="7" t="s">
        <v>1822</v>
      </c>
      <c r="J426" s="7" t="s">
        <v>5887</v>
      </c>
      <c r="K426" s="7" t="s">
        <v>48</v>
      </c>
      <c r="L426" s="7" t="s">
        <v>5888</v>
      </c>
      <c r="M426" s="7" t="s">
        <v>5890</v>
      </c>
      <c r="N426" s="45" t="str">
        <f t="shared" ref="N426:N430" si="299">HYPERLINK("twitter.com/Towson_SB","@Towson_SB")</f>
        <v>@Towson_SB</v>
      </c>
      <c r="O426" s="74" t="str">
        <f t="shared" ref="O426:O430" si="300">HYPERLINK("https://college.jumpforward.com/questionnaire.aspx?DB_OEM_ID=21300&amp;iid=490&amp;sportid=31","Questionnaire")</f>
        <v>Questionnaire</v>
      </c>
      <c r="P426" s="48" t="s">
        <v>5896</v>
      </c>
      <c r="Q426" s="47" t="s">
        <v>1668</v>
      </c>
      <c r="R426" s="48" t="s">
        <v>5896</v>
      </c>
      <c r="S426" s="48" t="s">
        <v>186</v>
      </c>
      <c r="T426" s="49" t="s">
        <v>74</v>
      </c>
      <c r="U426" s="7" t="s">
        <v>75</v>
      </c>
      <c r="V426" s="7"/>
      <c r="W426" s="50">
        <v>3.59</v>
      </c>
      <c r="X426" s="49" t="s">
        <v>1509</v>
      </c>
      <c r="Y426" s="49" t="s">
        <v>1509</v>
      </c>
      <c r="Z426" s="49" t="s">
        <v>1715</v>
      </c>
      <c r="AA426" s="61">
        <v>0.74</v>
      </c>
      <c r="AB426" s="48" t="s">
        <v>5897</v>
      </c>
      <c r="AC426" s="52" t="s">
        <v>5896</v>
      </c>
      <c r="AD426" s="53" t="str">
        <f t="shared" ref="AD426:AD430" si="301">HYPERLINK("https://www.towson.edu/academics/undergraduate/majors/","Link")</f>
        <v>Link</v>
      </c>
      <c r="AE426" s="54">
        <v>19198</v>
      </c>
      <c r="AF426" s="55"/>
      <c r="AG426" s="85"/>
      <c r="AH426" s="56">
        <v>164076</v>
      </c>
      <c r="AI426" s="56"/>
      <c r="AJ426" s="56"/>
    </row>
    <row r="427" spans="1:36" ht="15" x14ac:dyDescent="0.2">
      <c r="A427" s="64" t="s">
        <v>5562</v>
      </c>
      <c r="B427" s="33" t="s">
        <v>1668</v>
      </c>
      <c r="C427" s="7" t="s">
        <v>67</v>
      </c>
      <c r="D427" s="7" t="s">
        <v>5903</v>
      </c>
      <c r="E427" s="44">
        <v>5</v>
      </c>
      <c r="F427" s="7"/>
      <c r="G427" s="7"/>
      <c r="H427" s="2" t="s">
        <v>5886</v>
      </c>
      <c r="I427" s="7" t="s">
        <v>4055</v>
      </c>
      <c r="J427" s="7" t="s">
        <v>5905</v>
      </c>
      <c r="K427" s="7" t="s">
        <v>55</v>
      </c>
      <c r="L427" s="7" t="s">
        <v>5907</v>
      </c>
      <c r="M427" s="7" t="s">
        <v>5908</v>
      </c>
      <c r="N427" s="45" t="str">
        <f t="shared" si="299"/>
        <v>@Towson_SB</v>
      </c>
      <c r="O427" s="74" t="str">
        <f t="shared" si="300"/>
        <v>Questionnaire</v>
      </c>
      <c r="P427" s="48" t="s">
        <v>5896</v>
      </c>
      <c r="Q427" s="47" t="s">
        <v>1668</v>
      </c>
      <c r="R427" s="48" t="s">
        <v>5896</v>
      </c>
      <c r="S427" s="48" t="s">
        <v>186</v>
      </c>
      <c r="T427" s="49" t="s">
        <v>74</v>
      </c>
      <c r="U427" s="7" t="s">
        <v>75</v>
      </c>
      <c r="V427" s="7"/>
      <c r="W427" s="50">
        <v>3.59</v>
      </c>
      <c r="X427" s="49" t="s">
        <v>1509</v>
      </c>
      <c r="Y427" s="49" t="s">
        <v>1509</v>
      </c>
      <c r="Z427" s="49" t="s">
        <v>1715</v>
      </c>
      <c r="AA427" s="61">
        <v>0.74</v>
      </c>
      <c r="AB427" s="48" t="s">
        <v>5897</v>
      </c>
      <c r="AC427" s="52" t="s">
        <v>5896</v>
      </c>
      <c r="AD427" s="53" t="str">
        <f t="shared" si="301"/>
        <v>Link</v>
      </c>
      <c r="AE427" s="54">
        <v>19198</v>
      </c>
      <c r="AF427" s="55"/>
      <c r="AG427" s="85"/>
      <c r="AH427" s="56">
        <v>164076</v>
      </c>
      <c r="AI427" s="56"/>
      <c r="AJ427" s="56"/>
    </row>
    <row r="428" spans="1:36" ht="15" x14ac:dyDescent="0.2">
      <c r="A428" s="64" t="s">
        <v>5562</v>
      </c>
      <c r="B428" s="33" t="s">
        <v>1668</v>
      </c>
      <c r="C428" s="7" t="s">
        <v>67</v>
      </c>
      <c r="D428" s="7" t="s">
        <v>5911</v>
      </c>
      <c r="E428" s="44">
        <v>5</v>
      </c>
      <c r="F428" s="7"/>
      <c r="G428" s="7"/>
      <c r="H428" s="2" t="s">
        <v>5886</v>
      </c>
      <c r="I428" s="7" t="s">
        <v>111</v>
      </c>
      <c r="J428" s="7" t="s">
        <v>3398</v>
      </c>
      <c r="K428" s="7" t="s">
        <v>55</v>
      </c>
      <c r="L428" s="7" t="s">
        <v>5913</v>
      </c>
      <c r="M428" s="7" t="s">
        <v>5915</v>
      </c>
      <c r="N428" s="69" t="str">
        <f t="shared" si="299"/>
        <v>@Towson_SB</v>
      </c>
      <c r="O428" s="70" t="str">
        <f t="shared" si="300"/>
        <v>Questionnaire</v>
      </c>
      <c r="P428" s="48" t="s">
        <v>5896</v>
      </c>
      <c r="Q428" s="47" t="s">
        <v>1668</v>
      </c>
      <c r="R428" s="48" t="s">
        <v>5896</v>
      </c>
      <c r="S428" s="48" t="s">
        <v>186</v>
      </c>
      <c r="T428" s="49" t="s">
        <v>74</v>
      </c>
      <c r="U428" s="7" t="s">
        <v>75</v>
      </c>
      <c r="V428" s="7"/>
      <c r="W428" s="50">
        <v>3.59</v>
      </c>
      <c r="X428" s="49" t="s">
        <v>1509</v>
      </c>
      <c r="Y428" s="49" t="s">
        <v>1509</v>
      </c>
      <c r="Z428" s="49" t="s">
        <v>1715</v>
      </c>
      <c r="AA428" s="61">
        <v>0.74</v>
      </c>
      <c r="AB428" s="48" t="s">
        <v>5897</v>
      </c>
      <c r="AC428" s="52" t="s">
        <v>5896</v>
      </c>
      <c r="AD428" s="53" t="str">
        <f t="shared" si="301"/>
        <v>Link</v>
      </c>
      <c r="AE428" s="54">
        <v>19198</v>
      </c>
      <c r="AF428" s="55"/>
      <c r="AG428" s="85"/>
      <c r="AH428" s="56">
        <v>164076</v>
      </c>
      <c r="AI428" s="56"/>
      <c r="AJ428" s="56"/>
    </row>
    <row r="429" spans="1:36" ht="15" x14ac:dyDescent="0.2">
      <c r="A429" s="64" t="s">
        <v>5562</v>
      </c>
      <c r="B429" s="33" t="s">
        <v>1668</v>
      </c>
      <c r="C429" s="7" t="s">
        <v>67</v>
      </c>
      <c r="D429" s="7" t="s">
        <v>5923</v>
      </c>
      <c r="E429" s="44">
        <v>5</v>
      </c>
      <c r="F429" s="7"/>
      <c r="G429" s="7"/>
      <c r="H429" s="2" t="s">
        <v>5886</v>
      </c>
      <c r="I429" s="7" t="s">
        <v>750</v>
      </c>
      <c r="J429" s="7" t="s">
        <v>5924</v>
      </c>
      <c r="K429" s="7" t="s">
        <v>154</v>
      </c>
      <c r="L429" s="7" t="s">
        <v>5926</v>
      </c>
      <c r="M429" s="7"/>
      <c r="N429" s="45" t="str">
        <f t="shared" si="299"/>
        <v>@Towson_SB</v>
      </c>
      <c r="O429" s="74" t="str">
        <f t="shared" si="300"/>
        <v>Questionnaire</v>
      </c>
      <c r="P429" s="48" t="s">
        <v>5896</v>
      </c>
      <c r="Q429" s="47" t="s">
        <v>1668</v>
      </c>
      <c r="R429" s="48" t="s">
        <v>5896</v>
      </c>
      <c r="S429" s="48" t="s">
        <v>186</v>
      </c>
      <c r="T429" s="49" t="s">
        <v>74</v>
      </c>
      <c r="U429" s="7" t="s">
        <v>75</v>
      </c>
      <c r="V429" s="7"/>
      <c r="W429" s="50">
        <v>3.59</v>
      </c>
      <c r="X429" s="49" t="s">
        <v>1509</v>
      </c>
      <c r="Y429" s="49" t="s">
        <v>1509</v>
      </c>
      <c r="Z429" s="49" t="s">
        <v>1715</v>
      </c>
      <c r="AA429" s="61">
        <v>0.74</v>
      </c>
      <c r="AB429" s="48" t="s">
        <v>5897</v>
      </c>
      <c r="AC429" s="52" t="s">
        <v>5896</v>
      </c>
      <c r="AD429" s="53" t="str">
        <f t="shared" si="301"/>
        <v>Link</v>
      </c>
      <c r="AE429" s="54">
        <v>19198</v>
      </c>
      <c r="AF429" s="55"/>
      <c r="AG429" s="85"/>
      <c r="AH429" s="56">
        <v>164076</v>
      </c>
      <c r="AI429" s="56"/>
      <c r="AJ429" s="56"/>
    </row>
    <row r="430" spans="1:36" ht="15" x14ac:dyDescent="0.2">
      <c r="A430" s="64" t="s">
        <v>5562</v>
      </c>
      <c r="B430" s="33" t="s">
        <v>1668</v>
      </c>
      <c r="C430" s="7" t="s">
        <v>67</v>
      </c>
      <c r="D430" s="7" t="s">
        <v>5931</v>
      </c>
      <c r="E430" s="44">
        <v>5</v>
      </c>
      <c r="F430" s="7"/>
      <c r="G430" s="7"/>
      <c r="H430" s="2" t="s">
        <v>5886</v>
      </c>
      <c r="I430" s="7" t="s">
        <v>1492</v>
      </c>
      <c r="J430" s="7" t="s">
        <v>5935</v>
      </c>
      <c r="K430" s="7" t="s">
        <v>139</v>
      </c>
      <c r="L430" s="7"/>
      <c r="M430" s="7"/>
      <c r="N430" s="69" t="str">
        <f t="shared" si="299"/>
        <v>@Towson_SB</v>
      </c>
      <c r="O430" s="70" t="str">
        <f t="shared" si="300"/>
        <v>Questionnaire</v>
      </c>
      <c r="P430" s="48" t="s">
        <v>5896</v>
      </c>
      <c r="Q430" s="47" t="s">
        <v>1668</v>
      </c>
      <c r="R430" s="48" t="s">
        <v>5896</v>
      </c>
      <c r="S430" s="48" t="s">
        <v>186</v>
      </c>
      <c r="T430" s="49" t="s">
        <v>74</v>
      </c>
      <c r="U430" s="7" t="s">
        <v>75</v>
      </c>
      <c r="V430" s="7"/>
      <c r="W430" s="50">
        <v>3.59</v>
      </c>
      <c r="X430" s="49" t="s">
        <v>1509</v>
      </c>
      <c r="Y430" s="49" t="s">
        <v>1509</v>
      </c>
      <c r="Z430" s="49" t="s">
        <v>1715</v>
      </c>
      <c r="AA430" s="61">
        <v>0.74</v>
      </c>
      <c r="AB430" s="48" t="s">
        <v>5897</v>
      </c>
      <c r="AC430" s="52" t="s">
        <v>5896</v>
      </c>
      <c r="AD430" s="53" t="str">
        <f t="shared" si="301"/>
        <v>Link</v>
      </c>
      <c r="AE430" s="54">
        <v>19198</v>
      </c>
      <c r="AF430" s="55"/>
      <c r="AG430" s="85"/>
      <c r="AH430" s="56">
        <v>164076</v>
      </c>
      <c r="AI430" s="56"/>
      <c r="AJ430" s="56"/>
    </row>
    <row r="431" spans="1:36" ht="15" x14ac:dyDescent="0.2">
      <c r="A431" s="43" t="s">
        <v>5941</v>
      </c>
      <c r="B431" s="33" t="s">
        <v>59</v>
      </c>
      <c r="C431" s="7" t="s">
        <v>67</v>
      </c>
      <c r="D431" s="7" t="s">
        <v>5942</v>
      </c>
      <c r="E431" s="44">
        <v>5</v>
      </c>
      <c r="F431" s="7"/>
      <c r="G431" s="7"/>
      <c r="H431" s="2" t="s">
        <v>5945</v>
      </c>
      <c r="I431" s="7" t="s">
        <v>5947</v>
      </c>
      <c r="J431" s="7" t="s">
        <v>5948</v>
      </c>
      <c r="K431" s="7" t="s">
        <v>48</v>
      </c>
      <c r="L431" s="7" t="s">
        <v>5950</v>
      </c>
      <c r="M431" s="7" t="s">
        <v>5951</v>
      </c>
      <c r="N431" s="69" t="s">
        <v>5952</v>
      </c>
      <c r="O431" s="70" t="str">
        <f t="shared" ref="O431:O435" si="302">HYPERLINK("https://college.jumpforward.com/questionnaire.aspx?iid=1683&amp;sportid=31","Questionnaire")</f>
        <v>Questionnaire</v>
      </c>
      <c r="P431" s="48" t="s">
        <v>5956</v>
      </c>
      <c r="Q431" s="47" t="s">
        <v>59</v>
      </c>
      <c r="R431" s="48" t="s">
        <v>60</v>
      </c>
      <c r="S431" s="48" t="s">
        <v>62</v>
      </c>
      <c r="T431" s="49" t="s">
        <v>74</v>
      </c>
      <c r="U431" s="7" t="s">
        <v>75</v>
      </c>
      <c r="V431" s="7"/>
      <c r="W431" s="50">
        <v>3.62</v>
      </c>
      <c r="X431" s="49" t="s">
        <v>4412</v>
      </c>
      <c r="Y431" s="49" t="s">
        <v>5959</v>
      </c>
      <c r="Z431" s="49" t="s">
        <v>803</v>
      </c>
      <c r="AA431" s="51">
        <v>0.58130000000000004</v>
      </c>
      <c r="AB431" s="48" t="s">
        <v>5960</v>
      </c>
      <c r="AC431" s="52" t="s">
        <v>5956</v>
      </c>
      <c r="AD431" s="53" t="str">
        <f t="shared" ref="AD431:AD435" si="303">HYPERLINK("http://www.uab.edu/students/academics/majors-minors","Link")</f>
        <v>Link</v>
      </c>
      <c r="AE431" s="54">
        <v>12369</v>
      </c>
      <c r="AF431" s="54">
        <v>159</v>
      </c>
      <c r="AG431" s="85"/>
      <c r="AH431" s="56">
        <v>100663</v>
      </c>
      <c r="AI431" s="56"/>
      <c r="AJ431" s="56"/>
    </row>
    <row r="432" spans="1:36" ht="15" x14ac:dyDescent="0.2">
      <c r="A432" s="43" t="s">
        <v>5941</v>
      </c>
      <c r="B432" s="33" t="s">
        <v>59</v>
      </c>
      <c r="C432" s="7" t="s">
        <v>67</v>
      </c>
      <c r="D432" s="7" t="s">
        <v>5967</v>
      </c>
      <c r="E432" s="44">
        <v>5</v>
      </c>
      <c r="F432" s="7"/>
      <c r="G432" s="7"/>
      <c r="H432" s="2" t="s">
        <v>5945</v>
      </c>
      <c r="I432" s="7" t="s">
        <v>5969</v>
      </c>
      <c r="J432" s="7" t="s">
        <v>2095</v>
      </c>
      <c r="K432" s="7" t="s">
        <v>55</v>
      </c>
      <c r="L432" s="7" t="s">
        <v>5970</v>
      </c>
      <c r="M432" s="7" t="s">
        <v>5951</v>
      </c>
      <c r="N432" s="69" t="s">
        <v>5971</v>
      </c>
      <c r="O432" s="70" t="str">
        <f t="shared" si="302"/>
        <v>Questionnaire</v>
      </c>
      <c r="P432" s="48" t="s">
        <v>5956</v>
      </c>
      <c r="Q432" s="47" t="s">
        <v>59</v>
      </c>
      <c r="R432" s="48" t="s">
        <v>60</v>
      </c>
      <c r="S432" s="48" t="s">
        <v>62</v>
      </c>
      <c r="T432" s="49" t="s">
        <v>74</v>
      </c>
      <c r="U432" s="7" t="s">
        <v>75</v>
      </c>
      <c r="V432" s="7"/>
      <c r="W432" s="50">
        <v>3.62</v>
      </c>
      <c r="X432" s="49" t="s">
        <v>4412</v>
      </c>
      <c r="Y432" s="49" t="s">
        <v>5959</v>
      </c>
      <c r="Z432" s="49" t="s">
        <v>803</v>
      </c>
      <c r="AA432" s="51">
        <v>0.58130000000000004</v>
      </c>
      <c r="AB432" s="48" t="s">
        <v>5960</v>
      </c>
      <c r="AC432" s="52" t="s">
        <v>5956</v>
      </c>
      <c r="AD432" s="53" t="str">
        <f t="shared" si="303"/>
        <v>Link</v>
      </c>
      <c r="AE432" s="54">
        <v>12369</v>
      </c>
      <c r="AF432" s="54">
        <v>159</v>
      </c>
      <c r="AG432" s="85"/>
      <c r="AH432" s="56">
        <v>100663</v>
      </c>
      <c r="AI432" s="56"/>
      <c r="AJ432" s="56"/>
    </row>
    <row r="433" spans="1:36" ht="15" x14ac:dyDescent="0.2">
      <c r="A433" s="43" t="s">
        <v>5941</v>
      </c>
      <c r="B433" s="33" t="s">
        <v>59</v>
      </c>
      <c r="C433" s="7" t="s">
        <v>67</v>
      </c>
      <c r="D433" s="7" t="s">
        <v>5979</v>
      </c>
      <c r="E433" s="44">
        <v>5</v>
      </c>
      <c r="F433" s="7"/>
      <c r="G433" s="7"/>
      <c r="H433" s="2" t="s">
        <v>5945</v>
      </c>
      <c r="I433" s="7" t="s">
        <v>1541</v>
      </c>
      <c r="J433" s="7" t="s">
        <v>4386</v>
      </c>
      <c r="K433" s="7" t="s">
        <v>55</v>
      </c>
      <c r="L433" s="7" t="s">
        <v>5983</v>
      </c>
      <c r="M433" s="7" t="s">
        <v>5951</v>
      </c>
      <c r="N433" s="45" t="s">
        <v>5984</v>
      </c>
      <c r="O433" s="74" t="str">
        <f t="shared" si="302"/>
        <v>Questionnaire</v>
      </c>
      <c r="P433" s="48" t="s">
        <v>5956</v>
      </c>
      <c r="Q433" s="47" t="s">
        <v>59</v>
      </c>
      <c r="R433" s="48" t="s">
        <v>60</v>
      </c>
      <c r="S433" s="48" t="s">
        <v>62</v>
      </c>
      <c r="T433" s="49" t="s">
        <v>74</v>
      </c>
      <c r="U433" s="7" t="s">
        <v>75</v>
      </c>
      <c r="V433" s="7"/>
      <c r="W433" s="50">
        <v>3.62</v>
      </c>
      <c r="X433" s="49" t="s">
        <v>4412</v>
      </c>
      <c r="Y433" s="49" t="s">
        <v>5959</v>
      </c>
      <c r="Z433" s="49" t="s">
        <v>803</v>
      </c>
      <c r="AA433" s="51">
        <v>0.58130000000000004</v>
      </c>
      <c r="AB433" s="48" t="s">
        <v>5960</v>
      </c>
      <c r="AC433" s="52" t="s">
        <v>5956</v>
      </c>
      <c r="AD433" s="53" t="str">
        <f t="shared" si="303"/>
        <v>Link</v>
      </c>
      <c r="AE433" s="54">
        <v>12369</v>
      </c>
      <c r="AF433" s="54">
        <v>159</v>
      </c>
      <c r="AG433" s="85"/>
      <c r="AH433" s="56">
        <v>100663</v>
      </c>
      <c r="AI433" s="56"/>
      <c r="AJ433" s="56"/>
    </row>
    <row r="434" spans="1:36" ht="15" x14ac:dyDescent="0.2">
      <c r="A434" s="43" t="s">
        <v>5941</v>
      </c>
      <c r="B434" s="33" t="s">
        <v>59</v>
      </c>
      <c r="C434" s="7" t="s">
        <v>67</v>
      </c>
      <c r="D434" s="7" t="s">
        <v>5987</v>
      </c>
      <c r="E434" s="44">
        <v>5</v>
      </c>
      <c r="F434" s="7"/>
      <c r="G434" s="7"/>
      <c r="H434" s="2" t="s">
        <v>5945</v>
      </c>
      <c r="I434" s="7" t="s">
        <v>435</v>
      </c>
      <c r="J434" s="7" t="s">
        <v>3498</v>
      </c>
      <c r="K434" s="7" t="s">
        <v>154</v>
      </c>
      <c r="L434" s="7" t="s">
        <v>5990</v>
      </c>
      <c r="M434" s="7" t="s">
        <v>5951</v>
      </c>
      <c r="N434" s="45" t="s">
        <v>5991</v>
      </c>
      <c r="O434" s="74" t="str">
        <f t="shared" si="302"/>
        <v>Questionnaire</v>
      </c>
      <c r="P434" s="48" t="s">
        <v>5956</v>
      </c>
      <c r="Q434" s="47" t="s">
        <v>59</v>
      </c>
      <c r="R434" s="48" t="s">
        <v>60</v>
      </c>
      <c r="S434" s="48" t="s">
        <v>62</v>
      </c>
      <c r="T434" s="49" t="s">
        <v>74</v>
      </c>
      <c r="U434" s="7" t="s">
        <v>75</v>
      </c>
      <c r="V434" s="7"/>
      <c r="W434" s="50">
        <v>3.62</v>
      </c>
      <c r="X434" s="49" t="s">
        <v>4412</v>
      </c>
      <c r="Y434" s="49" t="s">
        <v>5959</v>
      </c>
      <c r="Z434" s="49" t="s">
        <v>803</v>
      </c>
      <c r="AA434" s="51">
        <v>0.58130000000000004</v>
      </c>
      <c r="AB434" s="48" t="s">
        <v>5960</v>
      </c>
      <c r="AC434" s="52" t="s">
        <v>5956</v>
      </c>
      <c r="AD434" s="53" t="str">
        <f t="shared" si="303"/>
        <v>Link</v>
      </c>
      <c r="AE434" s="54">
        <v>12369</v>
      </c>
      <c r="AF434" s="54">
        <v>159</v>
      </c>
      <c r="AG434" s="85"/>
      <c r="AH434" s="56">
        <v>100663</v>
      </c>
      <c r="AI434" s="56"/>
      <c r="AJ434" s="56"/>
    </row>
    <row r="435" spans="1:36" ht="15" x14ac:dyDescent="0.2">
      <c r="A435" s="43" t="s">
        <v>5941</v>
      </c>
      <c r="B435" s="33" t="s">
        <v>59</v>
      </c>
      <c r="C435" s="7" t="s">
        <v>67</v>
      </c>
      <c r="D435" s="7" t="s">
        <v>5994</v>
      </c>
      <c r="E435" s="44">
        <v>5</v>
      </c>
      <c r="F435" s="7"/>
      <c r="G435" s="7"/>
      <c r="H435" s="2" t="s">
        <v>5945</v>
      </c>
      <c r="I435" s="7" t="s">
        <v>4846</v>
      </c>
      <c r="J435" s="7" t="s">
        <v>5995</v>
      </c>
      <c r="K435" s="7" t="s">
        <v>139</v>
      </c>
      <c r="L435" s="7"/>
      <c r="M435" s="7" t="s">
        <v>5951</v>
      </c>
      <c r="N435" s="45" t="s">
        <v>5971</v>
      </c>
      <c r="O435" s="74" t="str">
        <f t="shared" si="302"/>
        <v>Questionnaire</v>
      </c>
      <c r="P435" s="48" t="s">
        <v>5956</v>
      </c>
      <c r="Q435" s="47" t="s">
        <v>59</v>
      </c>
      <c r="R435" s="48" t="s">
        <v>60</v>
      </c>
      <c r="S435" s="48" t="s">
        <v>62</v>
      </c>
      <c r="T435" s="49" t="s">
        <v>74</v>
      </c>
      <c r="U435" s="7" t="s">
        <v>75</v>
      </c>
      <c r="V435" s="7"/>
      <c r="W435" s="50">
        <v>3.62</v>
      </c>
      <c r="X435" s="49" t="s">
        <v>4412</v>
      </c>
      <c r="Y435" s="49" t="s">
        <v>5959</v>
      </c>
      <c r="Z435" s="49" t="s">
        <v>803</v>
      </c>
      <c r="AA435" s="51">
        <v>0.58130000000000004</v>
      </c>
      <c r="AB435" s="48" t="s">
        <v>5960</v>
      </c>
      <c r="AC435" s="52" t="s">
        <v>5956</v>
      </c>
      <c r="AD435" s="53" t="str">
        <f t="shared" si="303"/>
        <v>Link</v>
      </c>
      <c r="AE435" s="54">
        <v>12369</v>
      </c>
      <c r="AF435" s="54">
        <v>159</v>
      </c>
      <c r="AG435" s="85"/>
      <c r="AH435" s="56">
        <v>100663</v>
      </c>
      <c r="AI435" s="56"/>
      <c r="AJ435" s="56"/>
    </row>
    <row r="436" spans="1:36" ht="15" x14ac:dyDescent="0.2">
      <c r="A436" s="43" t="s">
        <v>5941</v>
      </c>
      <c r="B436" s="33" t="s">
        <v>66</v>
      </c>
      <c r="C436" s="7" t="s">
        <v>67</v>
      </c>
      <c r="D436" s="7" t="s">
        <v>6004</v>
      </c>
      <c r="E436" s="44">
        <v>5</v>
      </c>
      <c r="F436" s="7"/>
      <c r="G436" s="7"/>
      <c r="H436" s="2" t="s">
        <v>6006</v>
      </c>
      <c r="I436" s="7" t="s">
        <v>6008</v>
      </c>
      <c r="J436" s="7" t="s">
        <v>6009</v>
      </c>
      <c r="K436" s="7" t="s">
        <v>48</v>
      </c>
      <c r="L436" s="7" t="s">
        <v>6010</v>
      </c>
      <c r="M436" s="7" t="s">
        <v>6011</v>
      </c>
      <c r="N436" s="45" t="str">
        <f t="shared" ref="N436:N439" si="304">HYPERLINK("twitter.com/fauowlssoftball","@fauowlssoftball")</f>
        <v>@fauowlssoftball</v>
      </c>
      <c r="O436" s="74" t="str">
        <f t="shared" ref="O436:O439" si="305">HYPERLINK("https://college.jumpforward.com/questionnaire.aspx?iid=374&amp;sportid=31","Questionnaire")</f>
        <v>Questionnaire</v>
      </c>
      <c r="P436" s="48" t="s">
        <v>6014</v>
      </c>
      <c r="Q436" s="47" t="s">
        <v>66</v>
      </c>
      <c r="R436" s="48" t="s">
        <v>3183</v>
      </c>
      <c r="S436" s="48" t="s">
        <v>238</v>
      </c>
      <c r="T436" s="49" t="s">
        <v>74</v>
      </c>
      <c r="U436" s="7" t="s">
        <v>75</v>
      </c>
      <c r="V436" s="7"/>
      <c r="W436" s="50">
        <v>4.01</v>
      </c>
      <c r="X436" s="49" t="s">
        <v>895</v>
      </c>
      <c r="Y436" s="49" t="s">
        <v>522</v>
      </c>
      <c r="Z436" s="49" t="s">
        <v>1994</v>
      </c>
      <c r="AA436" s="61">
        <v>0.6</v>
      </c>
      <c r="AB436" s="48" t="s">
        <v>6019</v>
      </c>
      <c r="AC436" s="52" t="s">
        <v>6014</v>
      </c>
      <c r="AD436" s="53" t="str">
        <f t="shared" ref="AD436:AD439" si="306">HYPERLINK("http://www.fau.edu/exploratorystudents/colleges_major.php","Link")</f>
        <v>Link</v>
      </c>
      <c r="AE436" s="54">
        <v>25402</v>
      </c>
      <c r="AF436" s="55"/>
      <c r="AG436" s="85"/>
      <c r="AH436" s="56">
        <v>133669</v>
      </c>
      <c r="AI436" s="56"/>
      <c r="AJ436" s="56"/>
    </row>
    <row r="437" spans="1:36" ht="15" x14ac:dyDescent="0.2">
      <c r="A437" s="43" t="s">
        <v>5941</v>
      </c>
      <c r="B437" s="33" t="s">
        <v>66</v>
      </c>
      <c r="C437" s="7" t="s">
        <v>67</v>
      </c>
      <c r="D437" s="7" t="s">
        <v>6025</v>
      </c>
      <c r="E437" s="44">
        <v>5</v>
      </c>
      <c r="F437" s="7"/>
      <c r="G437" s="7"/>
      <c r="H437" s="2" t="s">
        <v>6006</v>
      </c>
      <c r="I437" s="7" t="s">
        <v>6026</v>
      </c>
      <c r="J437" s="7" t="s">
        <v>1955</v>
      </c>
      <c r="K437" s="7" t="s">
        <v>55</v>
      </c>
      <c r="L437" s="7" t="s">
        <v>6027</v>
      </c>
      <c r="M437" s="7" t="s">
        <v>6028</v>
      </c>
      <c r="N437" s="45" t="str">
        <f t="shared" si="304"/>
        <v>@fauowlssoftball</v>
      </c>
      <c r="O437" s="74" t="str">
        <f t="shared" si="305"/>
        <v>Questionnaire</v>
      </c>
      <c r="P437" s="48" t="s">
        <v>6014</v>
      </c>
      <c r="Q437" s="47" t="s">
        <v>66</v>
      </c>
      <c r="R437" s="48" t="s">
        <v>3183</v>
      </c>
      <c r="S437" s="48" t="s">
        <v>238</v>
      </c>
      <c r="T437" s="49" t="s">
        <v>74</v>
      </c>
      <c r="U437" s="7" t="s">
        <v>75</v>
      </c>
      <c r="V437" s="7"/>
      <c r="W437" s="50">
        <v>4.01</v>
      </c>
      <c r="X437" s="49" t="s">
        <v>895</v>
      </c>
      <c r="Y437" s="49" t="s">
        <v>522</v>
      </c>
      <c r="Z437" s="49" t="s">
        <v>1994</v>
      </c>
      <c r="AA437" s="61">
        <v>0.6</v>
      </c>
      <c r="AB437" s="48" t="s">
        <v>6019</v>
      </c>
      <c r="AC437" s="52" t="s">
        <v>6014</v>
      </c>
      <c r="AD437" s="53" t="str">
        <f t="shared" si="306"/>
        <v>Link</v>
      </c>
      <c r="AE437" s="54">
        <v>25402</v>
      </c>
      <c r="AF437" s="55"/>
      <c r="AG437" s="85"/>
      <c r="AH437" s="56">
        <v>133669</v>
      </c>
      <c r="AI437" s="56"/>
      <c r="AJ437" s="56"/>
    </row>
    <row r="438" spans="1:36" ht="15" x14ac:dyDescent="0.2">
      <c r="A438" s="43" t="s">
        <v>5941</v>
      </c>
      <c r="B438" s="33" t="s">
        <v>66</v>
      </c>
      <c r="C438" s="7" t="s">
        <v>67</v>
      </c>
      <c r="D438" s="7" t="s">
        <v>6035</v>
      </c>
      <c r="E438" s="44">
        <v>5</v>
      </c>
      <c r="F438" s="7"/>
      <c r="G438" s="7"/>
      <c r="H438" s="2" t="s">
        <v>6006</v>
      </c>
      <c r="I438" s="7" t="s">
        <v>855</v>
      </c>
      <c r="J438" s="7" t="s">
        <v>6040</v>
      </c>
      <c r="K438" s="7" t="s">
        <v>55</v>
      </c>
      <c r="L438" s="7" t="s">
        <v>6042</v>
      </c>
      <c r="M438" s="7" t="s">
        <v>6043</v>
      </c>
      <c r="N438" s="45" t="str">
        <f t="shared" si="304"/>
        <v>@fauowlssoftball</v>
      </c>
      <c r="O438" s="74" t="str">
        <f t="shared" si="305"/>
        <v>Questionnaire</v>
      </c>
      <c r="P438" s="48" t="s">
        <v>6014</v>
      </c>
      <c r="Q438" s="47" t="s">
        <v>66</v>
      </c>
      <c r="R438" s="48" t="s">
        <v>3183</v>
      </c>
      <c r="S438" s="48" t="s">
        <v>238</v>
      </c>
      <c r="T438" s="49" t="s">
        <v>74</v>
      </c>
      <c r="U438" s="7" t="s">
        <v>75</v>
      </c>
      <c r="V438" s="7"/>
      <c r="W438" s="50">
        <v>4.01</v>
      </c>
      <c r="X438" s="49" t="s">
        <v>895</v>
      </c>
      <c r="Y438" s="49" t="s">
        <v>522</v>
      </c>
      <c r="Z438" s="49" t="s">
        <v>1994</v>
      </c>
      <c r="AA438" s="61">
        <v>0.6</v>
      </c>
      <c r="AB438" s="48" t="s">
        <v>6019</v>
      </c>
      <c r="AC438" s="52" t="s">
        <v>6014</v>
      </c>
      <c r="AD438" s="53" t="str">
        <f t="shared" si="306"/>
        <v>Link</v>
      </c>
      <c r="AE438" s="54">
        <v>25402</v>
      </c>
      <c r="AF438" s="55"/>
      <c r="AG438" s="85"/>
      <c r="AH438" s="56">
        <v>133669</v>
      </c>
      <c r="AI438" s="56"/>
      <c r="AJ438" s="56"/>
    </row>
    <row r="439" spans="1:36" ht="15" x14ac:dyDescent="0.2">
      <c r="A439" s="43" t="s">
        <v>5941</v>
      </c>
      <c r="B439" s="33" t="s">
        <v>66</v>
      </c>
      <c r="C439" s="7" t="s">
        <v>67</v>
      </c>
      <c r="D439" s="7" t="s">
        <v>6051</v>
      </c>
      <c r="E439" s="44">
        <v>5</v>
      </c>
      <c r="F439" s="7"/>
      <c r="G439" s="7"/>
      <c r="H439" s="2" t="s">
        <v>6006</v>
      </c>
      <c r="I439" s="7" t="s">
        <v>3382</v>
      </c>
      <c r="J439" s="7" t="s">
        <v>2969</v>
      </c>
      <c r="K439" s="7" t="s">
        <v>139</v>
      </c>
      <c r="L439" s="7" t="s">
        <v>6052</v>
      </c>
      <c r="M439" s="7"/>
      <c r="N439" s="45" t="str">
        <f t="shared" si="304"/>
        <v>@fauowlssoftball</v>
      </c>
      <c r="O439" s="74" t="str">
        <f t="shared" si="305"/>
        <v>Questionnaire</v>
      </c>
      <c r="P439" s="48" t="s">
        <v>6014</v>
      </c>
      <c r="Q439" s="47" t="s">
        <v>66</v>
      </c>
      <c r="R439" s="48" t="s">
        <v>3183</v>
      </c>
      <c r="S439" s="48" t="s">
        <v>238</v>
      </c>
      <c r="T439" s="49" t="s">
        <v>74</v>
      </c>
      <c r="U439" s="7" t="s">
        <v>75</v>
      </c>
      <c r="V439" s="7"/>
      <c r="W439" s="50">
        <v>4.01</v>
      </c>
      <c r="X439" s="49" t="s">
        <v>895</v>
      </c>
      <c r="Y439" s="49" t="s">
        <v>522</v>
      </c>
      <c r="Z439" s="49" t="s">
        <v>1994</v>
      </c>
      <c r="AA439" s="61">
        <v>0.6</v>
      </c>
      <c r="AB439" s="48" t="s">
        <v>6019</v>
      </c>
      <c r="AC439" s="52" t="s">
        <v>6014</v>
      </c>
      <c r="AD439" s="53" t="str">
        <f t="shared" si="306"/>
        <v>Link</v>
      </c>
      <c r="AE439" s="54">
        <v>25402</v>
      </c>
      <c r="AF439" s="55"/>
      <c r="AG439" s="85"/>
      <c r="AH439" s="56">
        <v>133669</v>
      </c>
      <c r="AI439" s="56"/>
      <c r="AJ439" s="56"/>
    </row>
    <row r="440" spans="1:36" ht="15" x14ac:dyDescent="0.2">
      <c r="A440" s="43" t="s">
        <v>5941</v>
      </c>
      <c r="B440" s="33" t="s">
        <v>66</v>
      </c>
      <c r="C440" s="7" t="s">
        <v>67</v>
      </c>
      <c r="D440" s="7" t="s">
        <v>6061</v>
      </c>
      <c r="E440" s="44">
        <v>5</v>
      </c>
      <c r="F440" s="7"/>
      <c r="G440" s="7"/>
      <c r="H440" s="2" t="s">
        <v>6062</v>
      </c>
      <c r="I440" s="7" t="s">
        <v>1492</v>
      </c>
      <c r="J440" s="7" t="s">
        <v>6064</v>
      </c>
      <c r="K440" s="7" t="s">
        <v>48</v>
      </c>
      <c r="L440" s="7" t="s">
        <v>6065</v>
      </c>
      <c r="M440" s="7" t="s">
        <v>6066</v>
      </c>
      <c r="N440" s="45" t="str">
        <f t="shared" ref="N440:N444" si="307">HYPERLINK("twitter.com/@FIUSOFTBALL","@FIUSOFTBALL")</f>
        <v>@FIUSOFTBALL</v>
      </c>
      <c r="O440" s="74" t="str">
        <f t="shared" ref="O440:O444" si="308">HYPERLINK("https://college.jumpforward.com/questionnaire.aspx?iid=376&amp;sportid=31","Questionnaire")</f>
        <v>Questionnaire</v>
      </c>
      <c r="P440" s="48" t="s">
        <v>6076</v>
      </c>
      <c r="Q440" s="47" t="s">
        <v>66</v>
      </c>
      <c r="R440" s="48" t="s">
        <v>6077</v>
      </c>
      <c r="S440" s="48" t="s">
        <v>354</v>
      </c>
      <c r="T440" s="49" t="s">
        <v>74</v>
      </c>
      <c r="U440" s="7" t="s">
        <v>75</v>
      </c>
      <c r="V440" s="7"/>
      <c r="W440" s="50">
        <v>3.94</v>
      </c>
      <c r="X440" s="49" t="s">
        <v>2228</v>
      </c>
      <c r="Y440" s="49" t="s">
        <v>5022</v>
      </c>
      <c r="Z440" s="49" t="s">
        <v>3287</v>
      </c>
      <c r="AA440" s="61">
        <v>0.5</v>
      </c>
      <c r="AB440" s="48" t="s">
        <v>6080</v>
      </c>
      <c r="AC440" s="52" t="s">
        <v>6076</v>
      </c>
      <c r="AD440" s="53" t="str">
        <f t="shared" ref="AD440:AD444" si="309">HYPERLINK("https://www.fiu.edu/academics/degrees-and-programs/index.html","Link")</f>
        <v>Link</v>
      </c>
      <c r="AE440" s="54">
        <v>45856</v>
      </c>
      <c r="AF440" s="54">
        <v>216</v>
      </c>
      <c r="AG440" s="85"/>
      <c r="AH440" s="56">
        <v>133951</v>
      </c>
      <c r="AI440" s="56"/>
      <c r="AJ440" s="56"/>
    </row>
    <row r="441" spans="1:36" ht="15" x14ac:dyDescent="0.2">
      <c r="A441" s="43" t="s">
        <v>5941</v>
      </c>
      <c r="B441" s="33" t="s">
        <v>66</v>
      </c>
      <c r="C441" s="7" t="s">
        <v>67</v>
      </c>
      <c r="D441" s="7" t="s">
        <v>6083</v>
      </c>
      <c r="E441" s="44">
        <v>5</v>
      </c>
      <c r="F441" s="7"/>
      <c r="G441" s="7"/>
      <c r="H441" s="2" t="s">
        <v>6062</v>
      </c>
      <c r="I441" s="7" t="s">
        <v>571</v>
      </c>
      <c r="J441" s="7" t="s">
        <v>3866</v>
      </c>
      <c r="K441" s="7" t="s">
        <v>154</v>
      </c>
      <c r="L441" s="7" t="s">
        <v>6086</v>
      </c>
      <c r="M441" s="7" t="s">
        <v>6088</v>
      </c>
      <c r="N441" s="69" t="str">
        <f t="shared" si="307"/>
        <v>@FIUSOFTBALL</v>
      </c>
      <c r="O441" s="70" t="str">
        <f t="shared" si="308"/>
        <v>Questionnaire</v>
      </c>
      <c r="P441" s="48" t="s">
        <v>6076</v>
      </c>
      <c r="Q441" s="47" t="s">
        <v>66</v>
      </c>
      <c r="R441" s="48" t="s">
        <v>6077</v>
      </c>
      <c r="S441" s="48" t="s">
        <v>354</v>
      </c>
      <c r="T441" s="49" t="s">
        <v>74</v>
      </c>
      <c r="U441" s="7" t="s">
        <v>75</v>
      </c>
      <c r="V441" s="7"/>
      <c r="W441" s="50">
        <v>3.94</v>
      </c>
      <c r="X441" s="49" t="s">
        <v>2228</v>
      </c>
      <c r="Y441" s="49" t="s">
        <v>5022</v>
      </c>
      <c r="Z441" s="49" t="s">
        <v>3287</v>
      </c>
      <c r="AA441" s="61">
        <v>0.5</v>
      </c>
      <c r="AB441" s="48" t="s">
        <v>6080</v>
      </c>
      <c r="AC441" s="52" t="s">
        <v>6076</v>
      </c>
      <c r="AD441" s="53" t="str">
        <f t="shared" si="309"/>
        <v>Link</v>
      </c>
      <c r="AE441" s="54">
        <v>45856</v>
      </c>
      <c r="AF441" s="54">
        <v>216</v>
      </c>
      <c r="AG441" s="85"/>
      <c r="AH441" s="56">
        <v>133951</v>
      </c>
      <c r="AI441" s="56"/>
      <c r="AJ441" s="56"/>
    </row>
    <row r="442" spans="1:36" ht="15" x14ac:dyDescent="0.2">
      <c r="A442" s="43" t="s">
        <v>5941</v>
      </c>
      <c r="B442" s="33" t="s">
        <v>66</v>
      </c>
      <c r="C442" s="7" t="s">
        <v>67</v>
      </c>
      <c r="D442" s="7" t="s">
        <v>6097</v>
      </c>
      <c r="E442" s="44">
        <v>5</v>
      </c>
      <c r="F442" s="7"/>
      <c r="G442" s="7"/>
      <c r="H442" s="2" t="s">
        <v>6062</v>
      </c>
      <c r="I442" s="7" t="s">
        <v>6100</v>
      </c>
      <c r="J442" s="7" t="s">
        <v>6101</v>
      </c>
      <c r="K442" s="7" t="s">
        <v>55</v>
      </c>
      <c r="L442" s="7" t="s">
        <v>6103</v>
      </c>
      <c r="M442" s="7"/>
      <c r="N442" s="69" t="str">
        <f t="shared" si="307"/>
        <v>@FIUSOFTBALL</v>
      </c>
      <c r="O442" s="70" t="str">
        <f t="shared" si="308"/>
        <v>Questionnaire</v>
      </c>
      <c r="P442" s="48" t="s">
        <v>6076</v>
      </c>
      <c r="Q442" s="47" t="s">
        <v>66</v>
      </c>
      <c r="R442" s="48" t="s">
        <v>6077</v>
      </c>
      <c r="S442" s="48" t="s">
        <v>354</v>
      </c>
      <c r="T442" s="49" t="s">
        <v>74</v>
      </c>
      <c r="U442" s="7" t="s">
        <v>75</v>
      </c>
      <c r="V442" s="7"/>
      <c r="W442" s="50">
        <v>3.94</v>
      </c>
      <c r="X442" s="49" t="s">
        <v>2228</v>
      </c>
      <c r="Y442" s="49" t="s">
        <v>5022</v>
      </c>
      <c r="Z442" s="49" t="s">
        <v>3287</v>
      </c>
      <c r="AA442" s="61">
        <v>0.5</v>
      </c>
      <c r="AB442" s="48" t="s">
        <v>6080</v>
      </c>
      <c r="AC442" s="52" t="s">
        <v>6076</v>
      </c>
      <c r="AD442" s="53" t="str">
        <f t="shared" si="309"/>
        <v>Link</v>
      </c>
      <c r="AE442" s="54">
        <v>45856</v>
      </c>
      <c r="AF442" s="54">
        <v>216</v>
      </c>
      <c r="AG442" s="85"/>
      <c r="AH442" s="56">
        <v>133951</v>
      </c>
      <c r="AI442" s="56"/>
      <c r="AJ442" s="56"/>
    </row>
    <row r="443" spans="1:36" ht="15" x14ac:dyDescent="0.2">
      <c r="A443" s="43" t="s">
        <v>5941</v>
      </c>
      <c r="B443" s="33" t="s">
        <v>66</v>
      </c>
      <c r="C443" s="7" t="s">
        <v>67</v>
      </c>
      <c r="D443" s="7" t="s">
        <v>6109</v>
      </c>
      <c r="E443" s="44">
        <v>5</v>
      </c>
      <c r="F443" s="7"/>
      <c r="G443" s="7"/>
      <c r="H443" s="2" t="s">
        <v>6062</v>
      </c>
      <c r="I443" s="7" t="s">
        <v>6110</v>
      </c>
      <c r="J443" s="7" t="s">
        <v>3020</v>
      </c>
      <c r="K443" s="7" t="s">
        <v>55</v>
      </c>
      <c r="L443" s="7" t="s">
        <v>6113</v>
      </c>
      <c r="M443" s="7"/>
      <c r="N443" s="69" t="str">
        <f t="shared" si="307"/>
        <v>@FIUSOFTBALL</v>
      </c>
      <c r="O443" s="70" t="str">
        <f t="shared" si="308"/>
        <v>Questionnaire</v>
      </c>
      <c r="P443" s="48" t="s">
        <v>6076</v>
      </c>
      <c r="Q443" s="47" t="s">
        <v>66</v>
      </c>
      <c r="R443" s="48" t="s">
        <v>6077</v>
      </c>
      <c r="S443" s="48" t="s">
        <v>354</v>
      </c>
      <c r="T443" s="49" t="s">
        <v>74</v>
      </c>
      <c r="U443" s="7" t="s">
        <v>75</v>
      </c>
      <c r="V443" s="7"/>
      <c r="W443" s="50">
        <v>3.94</v>
      </c>
      <c r="X443" s="49" t="s">
        <v>2228</v>
      </c>
      <c r="Y443" s="49" t="s">
        <v>5022</v>
      </c>
      <c r="Z443" s="49" t="s">
        <v>3287</v>
      </c>
      <c r="AA443" s="61">
        <v>0.5</v>
      </c>
      <c r="AB443" s="48" t="s">
        <v>6080</v>
      </c>
      <c r="AC443" s="52" t="s">
        <v>6076</v>
      </c>
      <c r="AD443" s="53" t="str">
        <f t="shared" si="309"/>
        <v>Link</v>
      </c>
      <c r="AE443" s="54">
        <v>45856</v>
      </c>
      <c r="AF443" s="54">
        <v>216</v>
      </c>
      <c r="AG443" s="85"/>
      <c r="AH443" s="56">
        <v>133951</v>
      </c>
      <c r="AI443" s="56"/>
      <c r="AJ443" s="56"/>
    </row>
    <row r="444" spans="1:36" ht="15" x14ac:dyDescent="0.2">
      <c r="A444" s="43" t="s">
        <v>5941</v>
      </c>
      <c r="B444" s="33" t="s">
        <v>66</v>
      </c>
      <c r="C444" s="7" t="s">
        <v>67</v>
      </c>
      <c r="D444" s="7" t="s">
        <v>6123</v>
      </c>
      <c r="E444" s="44">
        <v>5</v>
      </c>
      <c r="F444" s="7"/>
      <c r="G444" s="7"/>
      <c r="H444" s="2" t="s">
        <v>6062</v>
      </c>
      <c r="I444" s="7" t="s">
        <v>6124</v>
      </c>
      <c r="J444" s="7" t="s">
        <v>6126</v>
      </c>
      <c r="K444" s="7" t="s">
        <v>139</v>
      </c>
      <c r="L444" s="7"/>
      <c r="M444" s="7"/>
      <c r="N444" s="45" t="str">
        <f t="shared" si="307"/>
        <v>@FIUSOFTBALL</v>
      </c>
      <c r="O444" s="74" t="str">
        <f t="shared" si="308"/>
        <v>Questionnaire</v>
      </c>
      <c r="P444" s="48" t="s">
        <v>6076</v>
      </c>
      <c r="Q444" s="47" t="s">
        <v>66</v>
      </c>
      <c r="R444" s="48" t="s">
        <v>6077</v>
      </c>
      <c r="S444" s="48" t="s">
        <v>354</v>
      </c>
      <c r="T444" s="49" t="s">
        <v>74</v>
      </c>
      <c r="U444" s="7" t="s">
        <v>75</v>
      </c>
      <c r="V444" s="7"/>
      <c r="W444" s="50">
        <v>3.94</v>
      </c>
      <c r="X444" s="49" t="s">
        <v>2228</v>
      </c>
      <c r="Y444" s="49" t="s">
        <v>5022</v>
      </c>
      <c r="Z444" s="49" t="s">
        <v>3287</v>
      </c>
      <c r="AA444" s="61">
        <v>0.5</v>
      </c>
      <c r="AB444" s="48" t="s">
        <v>6080</v>
      </c>
      <c r="AC444" s="52" t="s">
        <v>6076</v>
      </c>
      <c r="AD444" s="53" t="str">
        <f t="shared" si="309"/>
        <v>Link</v>
      </c>
      <c r="AE444" s="54">
        <v>45856</v>
      </c>
      <c r="AF444" s="54">
        <v>216</v>
      </c>
      <c r="AG444" s="85"/>
      <c r="AH444" s="56">
        <v>133951</v>
      </c>
      <c r="AI444" s="56"/>
      <c r="AJ444" s="56"/>
    </row>
    <row r="445" spans="1:36" ht="15" x14ac:dyDescent="0.2">
      <c r="A445" s="43" t="s">
        <v>5941</v>
      </c>
      <c r="B445" s="33" t="s">
        <v>3623</v>
      </c>
      <c r="C445" s="7" t="s">
        <v>67</v>
      </c>
      <c r="D445" s="7" t="s">
        <v>6133</v>
      </c>
      <c r="E445" s="44">
        <v>5</v>
      </c>
      <c r="F445" s="7"/>
      <c r="G445" s="7"/>
      <c r="H445" s="2" t="s">
        <v>6134</v>
      </c>
      <c r="I445" s="7" t="s">
        <v>6136</v>
      </c>
      <c r="J445" s="7" t="s">
        <v>6137</v>
      </c>
      <c r="K445" s="7" t="s">
        <v>48</v>
      </c>
      <c r="L445" s="7" t="s">
        <v>6138</v>
      </c>
      <c r="M445" s="7" t="s">
        <v>6139</v>
      </c>
      <c r="N445" s="69" t="str">
        <f t="shared" ref="N445:N448" si="310">HYPERLINK("twitter.com/LATechSB","@LATechSB")</f>
        <v>@LATechSB</v>
      </c>
      <c r="O445" s="70" t="str">
        <f t="shared" ref="O445:O448" si="311">HYPERLINK("https://questionnaire.acsathletics.com/Questionnaire/Questionnaire.aspx?q=967&amp;s=10521&amp;o=210","Questionnaire")</f>
        <v>Questionnaire</v>
      </c>
      <c r="P445" s="48" t="s">
        <v>6151</v>
      </c>
      <c r="Q445" s="47" t="s">
        <v>3623</v>
      </c>
      <c r="R445" s="48" t="s">
        <v>6152</v>
      </c>
      <c r="S445" s="48" t="s">
        <v>172</v>
      </c>
      <c r="T445" s="49" t="s">
        <v>74</v>
      </c>
      <c r="U445" s="48" t="s">
        <v>75</v>
      </c>
      <c r="V445" s="49"/>
      <c r="W445" s="50">
        <v>3.7</v>
      </c>
      <c r="X445" s="49" t="s">
        <v>1509</v>
      </c>
      <c r="Y445" s="49" t="s">
        <v>2510</v>
      </c>
      <c r="Z445" s="49" t="s">
        <v>545</v>
      </c>
      <c r="AA445" s="61">
        <v>0.63</v>
      </c>
      <c r="AB445" s="48" t="s">
        <v>6155</v>
      </c>
      <c r="AC445" s="62" t="s">
        <v>6151</v>
      </c>
      <c r="AD445" s="53" t="str">
        <f t="shared" ref="AD445:AD448" si="312">HYPERLINK("https://secure.latech.edu/academics/degrees.php","Link")</f>
        <v>Link</v>
      </c>
      <c r="AE445" s="54">
        <v>11281</v>
      </c>
      <c r="AF445" s="54">
        <v>216</v>
      </c>
      <c r="AG445" s="85"/>
      <c r="AH445" s="56">
        <v>159647</v>
      </c>
      <c r="AI445" s="56"/>
      <c r="AJ445" s="56"/>
    </row>
    <row r="446" spans="1:36" ht="15" x14ac:dyDescent="0.2">
      <c r="A446" s="43" t="s">
        <v>5941</v>
      </c>
      <c r="B446" s="33" t="s">
        <v>3623</v>
      </c>
      <c r="C446" s="7" t="s">
        <v>67</v>
      </c>
      <c r="D446" s="7" t="s">
        <v>6161</v>
      </c>
      <c r="E446" s="44">
        <v>5</v>
      </c>
      <c r="F446" s="7"/>
      <c r="G446" s="7"/>
      <c r="H446" s="2" t="s">
        <v>6134</v>
      </c>
      <c r="I446" s="7" t="s">
        <v>6162</v>
      </c>
      <c r="J446" s="7" t="s">
        <v>1287</v>
      </c>
      <c r="K446" s="7" t="s">
        <v>55</v>
      </c>
      <c r="L446" s="7" t="s">
        <v>6163</v>
      </c>
      <c r="M446" s="7" t="s">
        <v>6165</v>
      </c>
      <c r="N446" s="45" t="str">
        <f t="shared" si="310"/>
        <v>@LATechSB</v>
      </c>
      <c r="O446" s="74" t="str">
        <f t="shared" si="311"/>
        <v>Questionnaire</v>
      </c>
      <c r="P446" s="48" t="s">
        <v>6151</v>
      </c>
      <c r="Q446" s="47" t="s">
        <v>3623</v>
      </c>
      <c r="R446" s="48" t="s">
        <v>6152</v>
      </c>
      <c r="S446" s="48" t="s">
        <v>172</v>
      </c>
      <c r="T446" s="49" t="s">
        <v>74</v>
      </c>
      <c r="U446" s="48" t="s">
        <v>75</v>
      </c>
      <c r="V446" s="49"/>
      <c r="W446" s="50">
        <v>3.7</v>
      </c>
      <c r="X446" s="49" t="s">
        <v>1509</v>
      </c>
      <c r="Y446" s="49" t="s">
        <v>2510</v>
      </c>
      <c r="Z446" s="49" t="s">
        <v>545</v>
      </c>
      <c r="AA446" s="61">
        <v>0.63</v>
      </c>
      <c r="AB446" s="48" t="s">
        <v>6155</v>
      </c>
      <c r="AC446" s="62" t="s">
        <v>6151</v>
      </c>
      <c r="AD446" s="53" t="str">
        <f t="shared" si="312"/>
        <v>Link</v>
      </c>
      <c r="AE446" s="54">
        <v>11281</v>
      </c>
      <c r="AF446" s="54">
        <v>216</v>
      </c>
      <c r="AG446" s="85"/>
      <c r="AH446" s="56">
        <v>159647</v>
      </c>
      <c r="AI446" s="56"/>
      <c r="AJ446" s="56"/>
    </row>
    <row r="447" spans="1:36" ht="15" x14ac:dyDescent="0.2">
      <c r="A447" s="43" t="s">
        <v>5941</v>
      </c>
      <c r="B447" s="33" t="s">
        <v>3623</v>
      </c>
      <c r="C447" s="7" t="s">
        <v>67</v>
      </c>
      <c r="D447" s="7" t="s">
        <v>6178</v>
      </c>
      <c r="E447" s="44">
        <v>5</v>
      </c>
      <c r="F447" s="7"/>
      <c r="G447" s="7"/>
      <c r="H447" s="2" t="s">
        <v>6134</v>
      </c>
      <c r="I447" s="7" t="s">
        <v>3983</v>
      </c>
      <c r="J447" s="7" t="s">
        <v>4096</v>
      </c>
      <c r="K447" s="7" t="s">
        <v>55</v>
      </c>
      <c r="L447" s="7" t="s">
        <v>6180</v>
      </c>
      <c r="M447" s="7" t="s">
        <v>6181</v>
      </c>
      <c r="N447" s="45" t="str">
        <f t="shared" si="310"/>
        <v>@LATechSB</v>
      </c>
      <c r="O447" s="74" t="str">
        <f t="shared" si="311"/>
        <v>Questionnaire</v>
      </c>
      <c r="P447" s="48" t="s">
        <v>6151</v>
      </c>
      <c r="Q447" s="47" t="s">
        <v>3623</v>
      </c>
      <c r="R447" s="48" t="s">
        <v>6152</v>
      </c>
      <c r="S447" s="48" t="s">
        <v>172</v>
      </c>
      <c r="T447" s="49" t="s">
        <v>74</v>
      </c>
      <c r="U447" s="48" t="s">
        <v>75</v>
      </c>
      <c r="V447" s="49"/>
      <c r="W447" s="50">
        <v>3.7</v>
      </c>
      <c r="X447" s="49" t="s">
        <v>1509</v>
      </c>
      <c r="Y447" s="49" t="s">
        <v>2510</v>
      </c>
      <c r="Z447" s="49" t="s">
        <v>545</v>
      </c>
      <c r="AA447" s="61">
        <v>0.63</v>
      </c>
      <c r="AB447" s="48" t="s">
        <v>6155</v>
      </c>
      <c r="AC447" s="62" t="s">
        <v>6151</v>
      </c>
      <c r="AD447" s="53" t="str">
        <f t="shared" si="312"/>
        <v>Link</v>
      </c>
      <c r="AE447" s="54">
        <v>11281</v>
      </c>
      <c r="AF447" s="54">
        <v>216</v>
      </c>
      <c r="AG447" s="85"/>
      <c r="AH447" s="56">
        <v>159647</v>
      </c>
      <c r="AI447" s="56"/>
      <c r="AJ447" s="56"/>
    </row>
    <row r="448" spans="1:36" ht="15" x14ac:dyDescent="0.2">
      <c r="A448" s="43" t="s">
        <v>5941</v>
      </c>
      <c r="B448" s="33" t="s">
        <v>3623</v>
      </c>
      <c r="C448" s="7" t="s">
        <v>67</v>
      </c>
      <c r="D448" s="7" t="s">
        <v>6191</v>
      </c>
      <c r="E448" s="44">
        <v>5</v>
      </c>
      <c r="F448" s="7"/>
      <c r="G448" s="7"/>
      <c r="H448" s="2" t="s">
        <v>6134</v>
      </c>
      <c r="I448" s="7" t="s">
        <v>878</v>
      </c>
      <c r="J448" s="7" t="s">
        <v>2470</v>
      </c>
      <c r="K448" s="7" t="s">
        <v>139</v>
      </c>
      <c r="L448" s="7" t="s">
        <v>6192</v>
      </c>
      <c r="M448" s="7" t="s">
        <v>6181</v>
      </c>
      <c r="N448" s="45" t="str">
        <f t="shared" si="310"/>
        <v>@LATechSB</v>
      </c>
      <c r="O448" s="74" t="str">
        <f t="shared" si="311"/>
        <v>Questionnaire</v>
      </c>
      <c r="P448" s="48" t="s">
        <v>6151</v>
      </c>
      <c r="Q448" s="47" t="s">
        <v>3623</v>
      </c>
      <c r="R448" s="48" t="s">
        <v>6152</v>
      </c>
      <c r="S448" s="48" t="s">
        <v>172</v>
      </c>
      <c r="T448" s="49" t="s">
        <v>74</v>
      </c>
      <c r="U448" s="48" t="s">
        <v>75</v>
      </c>
      <c r="V448" s="49"/>
      <c r="W448" s="50">
        <v>3.7</v>
      </c>
      <c r="X448" s="49" t="s">
        <v>1509</v>
      </c>
      <c r="Y448" s="49" t="s">
        <v>2510</v>
      </c>
      <c r="Z448" s="49" t="s">
        <v>545</v>
      </c>
      <c r="AA448" s="61">
        <v>0.63</v>
      </c>
      <c r="AB448" s="48" t="s">
        <v>6155</v>
      </c>
      <c r="AC448" s="62" t="s">
        <v>6151</v>
      </c>
      <c r="AD448" s="53" t="str">
        <f t="shared" si="312"/>
        <v>Link</v>
      </c>
      <c r="AE448" s="54">
        <v>11281</v>
      </c>
      <c r="AF448" s="54">
        <v>216</v>
      </c>
      <c r="AG448" s="85"/>
      <c r="AH448" s="56">
        <v>159647</v>
      </c>
      <c r="AI448" s="56"/>
      <c r="AJ448" s="56"/>
    </row>
    <row r="449" spans="1:36" ht="15" x14ac:dyDescent="0.2">
      <c r="A449" s="43" t="s">
        <v>5941</v>
      </c>
      <c r="B449" s="33" t="s">
        <v>6197</v>
      </c>
      <c r="C449" s="7" t="s">
        <v>67</v>
      </c>
      <c r="D449" s="7" t="s">
        <v>6198</v>
      </c>
      <c r="E449" s="44">
        <v>5</v>
      </c>
      <c r="F449" s="7"/>
      <c r="G449" s="7"/>
      <c r="H449" s="2" t="s">
        <v>6199</v>
      </c>
      <c r="I449" s="7" t="s">
        <v>306</v>
      </c>
      <c r="J449" s="7" t="s">
        <v>2919</v>
      </c>
      <c r="K449" s="7" t="s">
        <v>48</v>
      </c>
      <c r="L449" s="7" t="s">
        <v>6200</v>
      </c>
      <c r="M449" s="7" t="s">
        <v>6201</v>
      </c>
      <c r="N449" s="45" t="str">
        <f t="shared" ref="N449:N452" si="313">HYPERLINK("twitter.com/HerdSB","@HerdSB")</f>
        <v>@HerdSB</v>
      </c>
      <c r="O449" s="7" t="s">
        <v>22</v>
      </c>
      <c r="P449" s="48" t="s">
        <v>2428</v>
      </c>
      <c r="Q449" s="47" t="s">
        <v>6197</v>
      </c>
      <c r="R449" s="48" t="s">
        <v>6207</v>
      </c>
      <c r="S449" s="48" t="s">
        <v>468</v>
      </c>
      <c r="T449" s="49" t="s">
        <v>74</v>
      </c>
      <c r="U449" s="7" t="s">
        <v>75</v>
      </c>
      <c r="V449" s="7"/>
      <c r="W449" s="50">
        <v>3.4</v>
      </c>
      <c r="X449" s="49" t="s">
        <v>6210</v>
      </c>
      <c r="Y449" s="49" t="s">
        <v>2375</v>
      </c>
      <c r="Z449" s="49" t="s">
        <v>125</v>
      </c>
      <c r="AA449" s="61">
        <v>0.89</v>
      </c>
      <c r="AB449" s="48" t="s">
        <v>6213</v>
      </c>
      <c r="AC449" s="92" t="s">
        <v>2428</v>
      </c>
      <c r="AD449" s="53" t="str">
        <f t="shared" ref="AD449:AD452" si="314">HYPERLINK("http://www.marshall.edu/home/degrees","Link")</f>
        <v>Link</v>
      </c>
      <c r="AE449" s="54">
        <v>9615</v>
      </c>
      <c r="AF449" s="55"/>
      <c r="AG449" s="85"/>
      <c r="AH449" s="56">
        <v>237525</v>
      </c>
      <c r="AI449" s="56"/>
      <c r="AJ449" s="56"/>
    </row>
    <row r="450" spans="1:36" ht="15" x14ac:dyDescent="0.2">
      <c r="A450" s="43" t="s">
        <v>5941</v>
      </c>
      <c r="B450" s="33" t="s">
        <v>6197</v>
      </c>
      <c r="C450" s="7" t="s">
        <v>67</v>
      </c>
      <c r="D450" s="7" t="s">
        <v>6214</v>
      </c>
      <c r="E450" s="44">
        <v>5</v>
      </c>
      <c r="F450" s="7"/>
      <c r="G450" s="7"/>
      <c r="H450" s="2" t="s">
        <v>6199</v>
      </c>
      <c r="I450" s="7" t="s">
        <v>6217</v>
      </c>
      <c r="J450" s="7" t="s">
        <v>6219</v>
      </c>
      <c r="K450" s="7" t="s">
        <v>55</v>
      </c>
      <c r="L450" s="7" t="s">
        <v>6221</v>
      </c>
      <c r="M450" s="7" t="s">
        <v>6222</v>
      </c>
      <c r="N450" s="69" t="str">
        <f t="shared" si="313"/>
        <v>@HerdSB</v>
      </c>
      <c r="O450" s="7" t="s">
        <v>22</v>
      </c>
      <c r="P450" s="48" t="s">
        <v>2428</v>
      </c>
      <c r="Q450" s="47" t="s">
        <v>6197</v>
      </c>
      <c r="R450" s="48" t="s">
        <v>6207</v>
      </c>
      <c r="S450" s="48" t="s">
        <v>468</v>
      </c>
      <c r="T450" s="49" t="s">
        <v>74</v>
      </c>
      <c r="U450" s="7" t="s">
        <v>75</v>
      </c>
      <c r="V450" s="7"/>
      <c r="W450" s="50">
        <v>3.4</v>
      </c>
      <c r="X450" s="49" t="s">
        <v>6210</v>
      </c>
      <c r="Y450" s="49" t="s">
        <v>2375</v>
      </c>
      <c r="Z450" s="49" t="s">
        <v>125</v>
      </c>
      <c r="AA450" s="61">
        <v>0.89</v>
      </c>
      <c r="AB450" s="48" t="s">
        <v>6213</v>
      </c>
      <c r="AC450" s="92" t="s">
        <v>2428</v>
      </c>
      <c r="AD450" s="53" t="str">
        <f t="shared" si="314"/>
        <v>Link</v>
      </c>
      <c r="AE450" s="54">
        <v>9615</v>
      </c>
      <c r="AF450" s="55"/>
      <c r="AG450" s="85"/>
      <c r="AH450" s="56">
        <v>237525</v>
      </c>
      <c r="AI450" s="56"/>
      <c r="AJ450" s="56"/>
    </row>
    <row r="451" spans="1:36" ht="15" x14ac:dyDescent="0.2">
      <c r="A451" s="43" t="s">
        <v>5941</v>
      </c>
      <c r="B451" s="33" t="s">
        <v>6197</v>
      </c>
      <c r="C451" s="7" t="s">
        <v>67</v>
      </c>
      <c r="D451" s="7" t="s">
        <v>6227</v>
      </c>
      <c r="E451" s="44">
        <v>5</v>
      </c>
      <c r="F451" s="7"/>
      <c r="G451" s="7"/>
      <c r="H451" s="2" t="s">
        <v>6199</v>
      </c>
      <c r="I451" s="7" t="s">
        <v>4010</v>
      </c>
      <c r="J451" s="7" t="s">
        <v>6229</v>
      </c>
      <c r="K451" s="7" t="s">
        <v>919</v>
      </c>
      <c r="L451" s="7" t="s">
        <v>6230</v>
      </c>
      <c r="M451" s="7" t="s">
        <v>6231</v>
      </c>
      <c r="N451" s="45" t="str">
        <f t="shared" si="313"/>
        <v>@HerdSB</v>
      </c>
      <c r="O451" s="7" t="s">
        <v>22</v>
      </c>
      <c r="P451" s="48" t="s">
        <v>2428</v>
      </c>
      <c r="Q451" s="47" t="s">
        <v>6197</v>
      </c>
      <c r="R451" s="48" t="s">
        <v>6207</v>
      </c>
      <c r="S451" s="48" t="s">
        <v>468</v>
      </c>
      <c r="T451" s="49" t="s">
        <v>74</v>
      </c>
      <c r="U451" s="7" t="s">
        <v>75</v>
      </c>
      <c r="V451" s="7"/>
      <c r="W451" s="50">
        <v>3.4</v>
      </c>
      <c r="X451" s="49" t="s">
        <v>6210</v>
      </c>
      <c r="Y451" s="49" t="s">
        <v>2375</v>
      </c>
      <c r="Z451" s="49" t="s">
        <v>125</v>
      </c>
      <c r="AA451" s="61">
        <v>0.89</v>
      </c>
      <c r="AB451" s="48" t="s">
        <v>6213</v>
      </c>
      <c r="AC451" s="92" t="s">
        <v>2428</v>
      </c>
      <c r="AD451" s="53" t="str">
        <f t="shared" si="314"/>
        <v>Link</v>
      </c>
      <c r="AE451" s="54">
        <v>9615</v>
      </c>
      <c r="AF451" s="55"/>
      <c r="AG451" s="85"/>
      <c r="AH451" s="56">
        <v>237525</v>
      </c>
      <c r="AI451" s="56"/>
      <c r="AJ451" s="56"/>
    </row>
    <row r="452" spans="1:36" ht="15" x14ac:dyDescent="0.2">
      <c r="A452" s="43" t="s">
        <v>5941</v>
      </c>
      <c r="B452" s="33" t="s">
        <v>6197</v>
      </c>
      <c r="C452" s="7" t="s">
        <v>67</v>
      </c>
      <c r="D452" s="7" t="s">
        <v>6235</v>
      </c>
      <c r="E452" s="44">
        <v>5</v>
      </c>
      <c r="F452" s="7"/>
      <c r="G452" s="7"/>
      <c r="H452" s="2" t="s">
        <v>6199</v>
      </c>
      <c r="I452" s="7" t="s">
        <v>711</v>
      </c>
      <c r="J452" s="7" t="s">
        <v>2428</v>
      </c>
      <c r="K452" s="7" t="s">
        <v>154</v>
      </c>
      <c r="L452" s="7"/>
      <c r="M452" s="7" t="s">
        <v>6239</v>
      </c>
      <c r="N452" s="45" t="str">
        <f t="shared" si="313"/>
        <v>@HerdSB</v>
      </c>
      <c r="O452" s="7" t="s">
        <v>22</v>
      </c>
      <c r="P452" s="48" t="s">
        <v>2428</v>
      </c>
      <c r="Q452" s="47" t="s">
        <v>6197</v>
      </c>
      <c r="R452" s="48" t="s">
        <v>6207</v>
      </c>
      <c r="S452" s="48" t="s">
        <v>468</v>
      </c>
      <c r="T452" s="49" t="s">
        <v>74</v>
      </c>
      <c r="U452" s="7" t="s">
        <v>75</v>
      </c>
      <c r="V452" s="7"/>
      <c r="W452" s="50">
        <v>3.4</v>
      </c>
      <c r="X452" s="49" t="s">
        <v>6210</v>
      </c>
      <c r="Y452" s="49" t="s">
        <v>2375</v>
      </c>
      <c r="Z452" s="49" t="s">
        <v>125</v>
      </c>
      <c r="AA452" s="61">
        <v>0.89</v>
      </c>
      <c r="AB452" s="48" t="s">
        <v>6213</v>
      </c>
      <c r="AC452" s="92" t="s">
        <v>2428</v>
      </c>
      <c r="AD452" s="53" t="str">
        <f t="shared" si="314"/>
        <v>Link</v>
      </c>
      <c r="AE452" s="54">
        <v>9615</v>
      </c>
      <c r="AF452" s="55"/>
      <c r="AG452" s="85"/>
      <c r="AH452" s="56">
        <v>237525</v>
      </c>
      <c r="AI452" s="56"/>
      <c r="AJ452" s="56"/>
    </row>
    <row r="453" spans="1:36" ht="15" x14ac:dyDescent="0.2">
      <c r="A453" s="43" t="s">
        <v>5941</v>
      </c>
      <c r="B453" s="33" t="s">
        <v>346</v>
      </c>
      <c r="C453" s="7" t="s">
        <v>67</v>
      </c>
      <c r="D453" s="7" t="s">
        <v>6249</v>
      </c>
      <c r="E453" s="44">
        <v>5</v>
      </c>
      <c r="F453" s="7"/>
      <c r="G453" s="7"/>
      <c r="H453" s="2" t="s">
        <v>6252</v>
      </c>
      <c r="I453" s="7" t="s">
        <v>94</v>
      </c>
      <c r="J453" s="7" t="s">
        <v>6253</v>
      </c>
      <c r="K453" s="7" t="s">
        <v>48</v>
      </c>
      <c r="L453" s="7" t="s">
        <v>6254</v>
      </c>
      <c r="M453" s="7" t="s">
        <v>6255</v>
      </c>
      <c r="N453" s="45" t="s">
        <v>6256</v>
      </c>
      <c r="O453" s="7" t="s">
        <v>22</v>
      </c>
      <c r="P453" s="48" t="s">
        <v>6257</v>
      </c>
      <c r="Q453" s="47" t="s">
        <v>346</v>
      </c>
      <c r="R453" s="48" t="s">
        <v>6258</v>
      </c>
      <c r="S453" s="48" t="s">
        <v>238</v>
      </c>
      <c r="T453" s="49" t="s">
        <v>74</v>
      </c>
      <c r="U453" s="7" t="s">
        <v>75</v>
      </c>
      <c r="V453" s="7"/>
      <c r="W453" s="50">
        <v>3.41</v>
      </c>
      <c r="X453" s="49" t="s">
        <v>802</v>
      </c>
      <c r="Y453" s="49" t="s">
        <v>522</v>
      </c>
      <c r="Z453" s="49" t="s">
        <v>746</v>
      </c>
      <c r="AA453" s="61">
        <v>0.69</v>
      </c>
      <c r="AB453" s="48" t="s">
        <v>6261</v>
      </c>
      <c r="AC453" s="62" t="s">
        <v>6257</v>
      </c>
      <c r="AD453" s="53" t="str">
        <f t="shared" ref="AD453:AD455" si="315">HYPERLINK("https://www.mtsu.edu/programs/","Link")</f>
        <v>Link</v>
      </c>
      <c r="AE453" s="54">
        <v>19693</v>
      </c>
      <c r="AF453" s="55"/>
      <c r="AG453" s="85"/>
      <c r="AH453" s="56">
        <v>220978</v>
      </c>
      <c r="AI453" s="56"/>
      <c r="AJ453" s="56"/>
    </row>
    <row r="454" spans="1:36" ht="15" x14ac:dyDescent="0.2">
      <c r="A454" s="43" t="s">
        <v>5941</v>
      </c>
      <c r="B454" s="33" t="s">
        <v>346</v>
      </c>
      <c r="C454" s="7" t="s">
        <v>67</v>
      </c>
      <c r="D454" s="7" t="s">
        <v>6265</v>
      </c>
      <c r="E454" s="44">
        <v>5</v>
      </c>
      <c r="F454" s="7"/>
      <c r="G454" s="7"/>
      <c r="H454" s="2" t="s">
        <v>6252</v>
      </c>
      <c r="I454" s="7" t="s">
        <v>2622</v>
      </c>
      <c r="J454" s="7" t="s">
        <v>6270</v>
      </c>
      <c r="K454" s="7" t="s">
        <v>919</v>
      </c>
      <c r="L454" s="7" t="s">
        <v>6271</v>
      </c>
      <c r="M454" s="7" t="s">
        <v>6272</v>
      </c>
      <c r="N454" s="45" t="s">
        <v>6273</v>
      </c>
      <c r="O454" s="7" t="s">
        <v>22</v>
      </c>
      <c r="P454" s="48" t="s">
        <v>6257</v>
      </c>
      <c r="Q454" s="47" t="s">
        <v>346</v>
      </c>
      <c r="R454" s="48" t="s">
        <v>6258</v>
      </c>
      <c r="S454" s="48" t="s">
        <v>238</v>
      </c>
      <c r="T454" s="49" t="s">
        <v>74</v>
      </c>
      <c r="U454" s="7" t="s">
        <v>75</v>
      </c>
      <c r="V454" s="7"/>
      <c r="W454" s="50">
        <v>3.41</v>
      </c>
      <c r="X454" s="49" t="s">
        <v>802</v>
      </c>
      <c r="Y454" s="49" t="s">
        <v>522</v>
      </c>
      <c r="Z454" s="49" t="s">
        <v>746</v>
      </c>
      <c r="AA454" s="61">
        <v>0.69</v>
      </c>
      <c r="AB454" s="48" t="s">
        <v>6261</v>
      </c>
      <c r="AC454" s="62" t="s">
        <v>6257</v>
      </c>
      <c r="AD454" s="53" t="str">
        <f t="shared" si="315"/>
        <v>Link</v>
      </c>
      <c r="AE454" s="54">
        <v>19693</v>
      </c>
      <c r="AF454" s="55"/>
      <c r="AG454" s="85"/>
      <c r="AH454" s="56">
        <v>220978</v>
      </c>
      <c r="AI454" s="56"/>
      <c r="AJ454" s="56"/>
    </row>
    <row r="455" spans="1:36" ht="15" x14ac:dyDescent="0.2">
      <c r="A455" s="43" t="s">
        <v>5941</v>
      </c>
      <c r="B455" s="33" t="s">
        <v>346</v>
      </c>
      <c r="C455" s="7" t="s">
        <v>67</v>
      </c>
      <c r="D455" s="7" t="s">
        <v>6276</v>
      </c>
      <c r="E455" s="44">
        <v>5</v>
      </c>
      <c r="F455" s="7"/>
      <c r="G455" s="7"/>
      <c r="H455" s="2" t="s">
        <v>6252</v>
      </c>
      <c r="I455" s="7" t="s">
        <v>683</v>
      </c>
      <c r="J455" s="7" t="s">
        <v>267</v>
      </c>
      <c r="K455" s="7" t="s">
        <v>55</v>
      </c>
      <c r="L455" s="7" t="s">
        <v>6281</v>
      </c>
      <c r="M455" s="7" t="s">
        <v>6272</v>
      </c>
      <c r="N455" s="69" t="s">
        <v>6283</v>
      </c>
      <c r="O455" s="7" t="s">
        <v>22</v>
      </c>
      <c r="P455" s="48" t="s">
        <v>6257</v>
      </c>
      <c r="Q455" s="47" t="s">
        <v>346</v>
      </c>
      <c r="R455" s="48" t="s">
        <v>6258</v>
      </c>
      <c r="S455" s="48" t="s">
        <v>238</v>
      </c>
      <c r="T455" s="49" t="s">
        <v>74</v>
      </c>
      <c r="U455" s="7" t="s">
        <v>75</v>
      </c>
      <c r="V455" s="7"/>
      <c r="W455" s="50">
        <v>3.41</v>
      </c>
      <c r="X455" s="49" t="s">
        <v>802</v>
      </c>
      <c r="Y455" s="49" t="s">
        <v>522</v>
      </c>
      <c r="Z455" s="49" t="s">
        <v>746</v>
      </c>
      <c r="AA455" s="61">
        <v>0.69</v>
      </c>
      <c r="AB455" s="48" t="s">
        <v>6261</v>
      </c>
      <c r="AC455" s="62" t="s">
        <v>6257</v>
      </c>
      <c r="AD455" s="53" t="str">
        <f t="shared" si="315"/>
        <v>Link</v>
      </c>
      <c r="AE455" s="54">
        <v>19693</v>
      </c>
      <c r="AF455" s="55"/>
      <c r="AG455" s="85"/>
      <c r="AH455" s="56">
        <v>220978</v>
      </c>
      <c r="AI455" s="56"/>
      <c r="AJ455" s="56"/>
    </row>
    <row r="456" spans="1:36" ht="15" x14ac:dyDescent="0.2">
      <c r="A456" s="43" t="s">
        <v>5941</v>
      </c>
      <c r="B456" s="33" t="s">
        <v>219</v>
      </c>
      <c r="C456" s="7" t="s">
        <v>67</v>
      </c>
      <c r="D456" s="7" t="s">
        <v>6284</v>
      </c>
      <c r="E456" s="44">
        <v>5</v>
      </c>
      <c r="F456" s="7"/>
      <c r="G456" s="7"/>
      <c r="H456" s="2" t="s">
        <v>6286</v>
      </c>
      <c r="I456" s="7" t="s">
        <v>981</v>
      </c>
      <c r="J456" s="7" t="s">
        <v>6288</v>
      </c>
      <c r="K456" s="7" t="s">
        <v>48</v>
      </c>
      <c r="L456" s="7" t="s">
        <v>6289</v>
      </c>
      <c r="M456" s="7" t="s">
        <v>6290</v>
      </c>
      <c r="N456" s="45" t="str">
        <f t="shared" ref="N456:N459" si="316">HYPERLINK("twitter.com/charlottesb","@charlottesb")</f>
        <v>@charlottesb</v>
      </c>
      <c r="O456" s="74" t="str">
        <f t="shared" ref="O456:O459" si="317">HYPERLINK("https://charlotte49ers.com/sb_output.aspx?form=3","Questionnaire")</f>
        <v>Questionnaire</v>
      </c>
      <c r="P456" s="48" t="s">
        <v>6293</v>
      </c>
      <c r="Q456" s="47" t="s">
        <v>219</v>
      </c>
      <c r="R456" s="48" t="s">
        <v>6295</v>
      </c>
      <c r="S456" s="48" t="s">
        <v>354</v>
      </c>
      <c r="T456" s="49" t="s">
        <v>74</v>
      </c>
      <c r="U456" s="7" t="s">
        <v>75</v>
      </c>
      <c r="V456" s="7"/>
      <c r="W456" s="50">
        <v>3.9</v>
      </c>
      <c r="X456" s="49" t="s">
        <v>6298</v>
      </c>
      <c r="Y456" s="49" t="s">
        <v>2228</v>
      </c>
      <c r="Z456" s="49" t="s">
        <v>1510</v>
      </c>
      <c r="AA456" s="51">
        <v>0.62019999999999997</v>
      </c>
      <c r="AB456" s="48" t="s">
        <v>6302</v>
      </c>
      <c r="AC456" s="52" t="s">
        <v>6295</v>
      </c>
      <c r="AD456" s="53" t="str">
        <f t="shared" ref="AD456:AD459" si="318">HYPERLINK("https://academics.uncc.edu/undergraduate-majors","Link")</f>
        <v>Link</v>
      </c>
      <c r="AE456" s="54">
        <v>23404</v>
      </c>
      <c r="AF456" s="54">
        <v>198</v>
      </c>
      <c r="AG456" s="85"/>
      <c r="AH456" s="56">
        <v>199139</v>
      </c>
      <c r="AI456" s="56"/>
      <c r="AJ456" s="56"/>
    </row>
    <row r="457" spans="1:36" ht="15" x14ac:dyDescent="0.2">
      <c r="A457" s="43" t="s">
        <v>5941</v>
      </c>
      <c r="B457" s="33" t="s">
        <v>219</v>
      </c>
      <c r="C457" s="7" t="s">
        <v>67</v>
      </c>
      <c r="D457" s="7" t="s">
        <v>6312</v>
      </c>
      <c r="E457" s="44">
        <v>5</v>
      </c>
      <c r="F457" s="7"/>
      <c r="G457" s="7"/>
      <c r="H457" s="2" t="s">
        <v>6286</v>
      </c>
      <c r="I457" s="7" t="s">
        <v>5933</v>
      </c>
      <c r="J457" s="7" t="s">
        <v>6313</v>
      </c>
      <c r="K457" s="7" t="s">
        <v>55</v>
      </c>
      <c r="L457" s="7" t="s">
        <v>6314</v>
      </c>
      <c r="M457" s="7" t="s">
        <v>6315</v>
      </c>
      <c r="N457" s="45" t="str">
        <f t="shared" si="316"/>
        <v>@charlottesb</v>
      </c>
      <c r="O457" s="74" t="str">
        <f t="shared" si="317"/>
        <v>Questionnaire</v>
      </c>
      <c r="P457" s="48" t="s">
        <v>6293</v>
      </c>
      <c r="Q457" s="47" t="s">
        <v>219</v>
      </c>
      <c r="R457" s="48" t="s">
        <v>6295</v>
      </c>
      <c r="S457" s="48" t="s">
        <v>354</v>
      </c>
      <c r="T457" s="49" t="s">
        <v>74</v>
      </c>
      <c r="U457" s="7" t="s">
        <v>75</v>
      </c>
      <c r="V457" s="7"/>
      <c r="W457" s="50">
        <v>3.9</v>
      </c>
      <c r="X457" s="49" t="s">
        <v>6298</v>
      </c>
      <c r="Y457" s="49" t="s">
        <v>2228</v>
      </c>
      <c r="Z457" s="49" t="s">
        <v>1510</v>
      </c>
      <c r="AA457" s="51">
        <v>0.62019999999999997</v>
      </c>
      <c r="AB457" s="48" t="s">
        <v>6302</v>
      </c>
      <c r="AC457" s="52" t="s">
        <v>6295</v>
      </c>
      <c r="AD457" s="53" t="str">
        <f t="shared" si="318"/>
        <v>Link</v>
      </c>
      <c r="AE457" s="54">
        <v>23404</v>
      </c>
      <c r="AF457" s="54">
        <v>198</v>
      </c>
      <c r="AG457" s="85"/>
      <c r="AH457" s="56">
        <v>199139</v>
      </c>
      <c r="AI457" s="56"/>
      <c r="AJ457" s="56"/>
    </row>
    <row r="458" spans="1:36" ht="15" x14ac:dyDescent="0.2">
      <c r="A458" s="43" t="s">
        <v>5941</v>
      </c>
      <c r="B458" s="33" t="s">
        <v>219</v>
      </c>
      <c r="C458" s="7" t="s">
        <v>67</v>
      </c>
      <c r="D458" s="7" t="s">
        <v>6321</v>
      </c>
      <c r="E458" s="44">
        <v>5</v>
      </c>
      <c r="F458" s="7"/>
      <c r="G458" s="7"/>
      <c r="H458" s="2" t="s">
        <v>6286</v>
      </c>
      <c r="I458" s="7" t="s">
        <v>1124</v>
      </c>
      <c r="J458" s="7" t="s">
        <v>6322</v>
      </c>
      <c r="K458" s="7" t="s">
        <v>55</v>
      </c>
      <c r="L458" s="7" t="s">
        <v>6323</v>
      </c>
      <c r="M458" s="7" t="s">
        <v>6324</v>
      </c>
      <c r="N458" s="45" t="str">
        <f t="shared" si="316"/>
        <v>@charlottesb</v>
      </c>
      <c r="O458" s="74" t="str">
        <f t="shared" si="317"/>
        <v>Questionnaire</v>
      </c>
      <c r="P458" s="48" t="s">
        <v>6293</v>
      </c>
      <c r="Q458" s="47" t="s">
        <v>219</v>
      </c>
      <c r="R458" s="48" t="s">
        <v>6295</v>
      </c>
      <c r="S458" s="48" t="s">
        <v>354</v>
      </c>
      <c r="T458" s="49" t="s">
        <v>74</v>
      </c>
      <c r="U458" s="7" t="s">
        <v>75</v>
      </c>
      <c r="V458" s="7"/>
      <c r="W458" s="50">
        <v>3.9</v>
      </c>
      <c r="X458" s="49" t="s">
        <v>6298</v>
      </c>
      <c r="Y458" s="49" t="s">
        <v>2228</v>
      </c>
      <c r="Z458" s="49" t="s">
        <v>1510</v>
      </c>
      <c r="AA458" s="51">
        <v>0.62019999999999997</v>
      </c>
      <c r="AB458" s="48" t="s">
        <v>6302</v>
      </c>
      <c r="AC458" s="52" t="s">
        <v>6295</v>
      </c>
      <c r="AD458" s="53" t="str">
        <f t="shared" si="318"/>
        <v>Link</v>
      </c>
      <c r="AE458" s="54">
        <v>23404</v>
      </c>
      <c r="AF458" s="54">
        <v>198</v>
      </c>
      <c r="AG458" s="85"/>
      <c r="AH458" s="56">
        <v>199139</v>
      </c>
      <c r="AI458" s="56"/>
      <c r="AJ458" s="56"/>
    </row>
    <row r="459" spans="1:36" ht="15" x14ac:dyDescent="0.2">
      <c r="A459" s="43" t="s">
        <v>5941</v>
      </c>
      <c r="B459" s="33" t="s">
        <v>219</v>
      </c>
      <c r="C459" s="7" t="s">
        <v>67</v>
      </c>
      <c r="D459" s="7" t="s">
        <v>6330</v>
      </c>
      <c r="E459" s="44">
        <v>5</v>
      </c>
      <c r="F459" s="7" t="s">
        <v>116</v>
      </c>
      <c r="G459" s="7"/>
      <c r="H459" s="2" t="s">
        <v>6286</v>
      </c>
      <c r="I459" s="7" t="s">
        <v>6331</v>
      </c>
      <c r="J459" s="7" t="s">
        <v>6333</v>
      </c>
      <c r="K459" s="7" t="s">
        <v>139</v>
      </c>
      <c r="L459" s="7" t="s">
        <v>6334</v>
      </c>
      <c r="M459" s="7"/>
      <c r="N459" s="45" t="str">
        <f t="shared" si="316"/>
        <v>@charlottesb</v>
      </c>
      <c r="O459" s="74" t="str">
        <f t="shared" si="317"/>
        <v>Questionnaire</v>
      </c>
      <c r="P459" s="48" t="s">
        <v>6293</v>
      </c>
      <c r="Q459" s="47" t="s">
        <v>219</v>
      </c>
      <c r="R459" s="48" t="s">
        <v>6295</v>
      </c>
      <c r="S459" s="48" t="s">
        <v>354</v>
      </c>
      <c r="T459" s="49" t="s">
        <v>74</v>
      </c>
      <c r="U459" s="7" t="s">
        <v>75</v>
      </c>
      <c r="V459" s="7"/>
      <c r="W459" s="50">
        <v>3.9</v>
      </c>
      <c r="X459" s="49" t="s">
        <v>6298</v>
      </c>
      <c r="Y459" s="49" t="s">
        <v>2228</v>
      </c>
      <c r="Z459" s="49" t="s">
        <v>1510</v>
      </c>
      <c r="AA459" s="51">
        <v>0.62019999999999997</v>
      </c>
      <c r="AB459" s="48" t="s">
        <v>6302</v>
      </c>
      <c r="AC459" s="52" t="s">
        <v>6295</v>
      </c>
      <c r="AD459" s="53" t="str">
        <f t="shared" si="318"/>
        <v>Link</v>
      </c>
      <c r="AE459" s="54">
        <v>23404</v>
      </c>
      <c r="AF459" s="54">
        <v>198</v>
      </c>
      <c r="AG459" s="85"/>
      <c r="AH459" s="56">
        <v>199139</v>
      </c>
      <c r="AI459" s="56"/>
      <c r="AJ459" s="56"/>
    </row>
    <row r="460" spans="1:36" ht="13" x14ac:dyDescent="0.15">
      <c r="A460" s="64" t="s">
        <v>5941</v>
      </c>
      <c r="B460" s="2" t="s">
        <v>280</v>
      </c>
      <c r="C460" s="7" t="s">
        <v>67</v>
      </c>
      <c r="D460" s="7" t="s">
        <v>6341</v>
      </c>
      <c r="E460" s="44">
        <v>5</v>
      </c>
      <c r="F460" s="7"/>
      <c r="G460" s="7"/>
      <c r="H460" s="2" t="s">
        <v>6343</v>
      </c>
      <c r="I460" s="7" t="s">
        <v>6345</v>
      </c>
      <c r="J460" s="7" t="s">
        <v>6347</v>
      </c>
      <c r="K460" s="7" t="s">
        <v>48</v>
      </c>
      <c r="L460" s="7" t="s">
        <v>6348</v>
      </c>
      <c r="M460" s="7" t="s">
        <v>6349</v>
      </c>
      <c r="N460" s="45" t="s">
        <v>6350</v>
      </c>
      <c r="O460" s="74" t="str">
        <f t="shared" ref="O460:O464" si="319">HYPERLINK("https://meangreensports.com/sports/2018/7/6/sports-w-softbl-spec-rel-w-softbl-prospective-sa-html.aspx","Questionnaire")</f>
        <v>Questionnaire</v>
      </c>
      <c r="P460" s="48" t="s">
        <v>6354</v>
      </c>
      <c r="Q460" s="47" t="s">
        <v>280</v>
      </c>
      <c r="R460" s="48" t="s">
        <v>6355</v>
      </c>
      <c r="S460" s="48" t="s">
        <v>238</v>
      </c>
      <c r="T460" s="49" t="s">
        <v>74</v>
      </c>
      <c r="U460" s="7" t="s">
        <v>75</v>
      </c>
      <c r="V460" s="7"/>
      <c r="W460" s="50">
        <v>3.4</v>
      </c>
      <c r="X460" s="49" t="s">
        <v>676</v>
      </c>
      <c r="Y460" s="49" t="s">
        <v>676</v>
      </c>
      <c r="Z460" s="49" t="s">
        <v>1650</v>
      </c>
      <c r="AA460" s="65">
        <v>0.72</v>
      </c>
      <c r="AB460" s="48" t="s">
        <v>6360</v>
      </c>
      <c r="AC460" s="76" t="s">
        <v>6354</v>
      </c>
      <c r="AD460" s="67" t="str">
        <f t="shared" ref="AD460:AD464" si="320">HYPERLINK("http://catalog.unt.edu/content.php?catoid=5&amp;navoid=256","Link")</f>
        <v>Link</v>
      </c>
      <c r="AE460" s="54">
        <v>31241</v>
      </c>
      <c r="AF460" s="55"/>
      <c r="AG460" s="85"/>
      <c r="AH460" s="56">
        <v>227216</v>
      </c>
      <c r="AI460" s="56"/>
      <c r="AJ460" s="56"/>
    </row>
    <row r="461" spans="1:36" ht="13" x14ac:dyDescent="0.15">
      <c r="A461" s="64" t="s">
        <v>5941</v>
      </c>
      <c r="B461" s="2" t="s">
        <v>280</v>
      </c>
      <c r="C461" s="7" t="s">
        <v>67</v>
      </c>
      <c r="D461" s="7" t="s">
        <v>6364</v>
      </c>
      <c r="E461" s="44">
        <v>5</v>
      </c>
      <c r="F461" s="7"/>
      <c r="G461" s="7"/>
      <c r="H461" s="2" t="s">
        <v>6343</v>
      </c>
      <c r="I461" s="7" t="s">
        <v>1217</v>
      </c>
      <c r="J461" s="7" t="s">
        <v>6365</v>
      </c>
      <c r="K461" s="7" t="s">
        <v>55</v>
      </c>
      <c r="L461" s="7" t="s">
        <v>6367</v>
      </c>
      <c r="M461" s="7" t="s">
        <v>6368</v>
      </c>
      <c r="N461" s="69" t="str">
        <f t="shared" ref="N461:N462" si="321">HYPERLINK("twitter.com/MeanGreenSB","@MeanGreenSB")</f>
        <v>@MeanGreenSB</v>
      </c>
      <c r="O461" s="70" t="str">
        <f t="shared" si="319"/>
        <v>Questionnaire</v>
      </c>
      <c r="P461" s="48" t="s">
        <v>6354</v>
      </c>
      <c r="Q461" s="47" t="s">
        <v>280</v>
      </c>
      <c r="R461" s="48" t="s">
        <v>6355</v>
      </c>
      <c r="S461" s="48" t="s">
        <v>238</v>
      </c>
      <c r="T461" s="49" t="s">
        <v>74</v>
      </c>
      <c r="U461" s="7" t="s">
        <v>75</v>
      </c>
      <c r="V461" s="7"/>
      <c r="W461" s="50">
        <v>3.4</v>
      </c>
      <c r="X461" s="49" t="s">
        <v>676</v>
      </c>
      <c r="Y461" s="49" t="s">
        <v>676</v>
      </c>
      <c r="Z461" s="49" t="s">
        <v>1650</v>
      </c>
      <c r="AA461" s="65">
        <v>0.72</v>
      </c>
      <c r="AB461" s="48" t="s">
        <v>6360</v>
      </c>
      <c r="AC461" s="76" t="s">
        <v>6354</v>
      </c>
      <c r="AD461" s="67" t="str">
        <f t="shared" si="320"/>
        <v>Link</v>
      </c>
      <c r="AE461" s="54">
        <v>31241</v>
      </c>
      <c r="AF461" s="55"/>
      <c r="AG461" s="85"/>
      <c r="AH461" s="56">
        <v>227216</v>
      </c>
      <c r="AI461" s="56"/>
      <c r="AJ461" s="56"/>
    </row>
    <row r="462" spans="1:36" ht="13" x14ac:dyDescent="0.15">
      <c r="A462" s="64" t="s">
        <v>5941</v>
      </c>
      <c r="B462" s="2" t="s">
        <v>280</v>
      </c>
      <c r="C462" s="7" t="s">
        <v>67</v>
      </c>
      <c r="D462" s="7" t="s">
        <v>6380</v>
      </c>
      <c r="E462" s="44">
        <v>5</v>
      </c>
      <c r="F462" s="7"/>
      <c r="G462" s="7"/>
      <c r="H462" s="2" t="s">
        <v>6343</v>
      </c>
      <c r="I462" s="7" t="s">
        <v>6381</v>
      </c>
      <c r="J462" s="7" t="s">
        <v>1787</v>
      </c>
      <c r="K462" s="7" t="s">
        <v>55</v>
      </c>
      <c r="L462" s="7" t="s">
        <v>6382</v>
      </c>
      <c r="M462" s="7"/>
      <c r="N462" s="69" t="str">
        <f t="shared" si="321"/>
        <v>@MeanGreenSB</v>
      </c>
      <c r="O462" s="70" t="str">
        <f t="shared" si="319"/>
        <v>Questionnaire</v>
      </c>
      <c r="P462" s="48" t="s">
        <v>6354</v>
      </c>
      <c r="Q462" s="47" t="s">
        <v>280</v>
      </c>
      <c r="R462" s="48" t="s">
        <v>6355</v>
      </c>
      <c r="S462" s="48" t="s">
        <v>238</v>
      </c>
      <c r="T462" s="49" t="s">
        <v>74</v>
      </c>
      <c r="U462" s="7" t="s">
        <v>75</v>
      </c>
      <c r="V462" s="7"/>
      <c r="W462" s="50">
        <v>3.4</v>
      </c>
      <c r="X462" s="49" t="s">
        <v>676</v>
      </c>
      <c r="Y462" s="49" t="s">
        <v>676</v>
      </c>
      <c r="Z462" s="49" t="s">
        <v>1650</v>
      </c>
      <c r="AA462" s="65">
        <v>0.72</v>
      </c>
      <c r="AB462" s="48" t="s">
        <v>6360</v>
      </c>
      <c r="AC462" s="76" t="s">
        <v>6354</v>
      </c>
      <c r="AD462" s="67" t="str">
        <f t="shared" si="320"/>
        <v>Link</v>
      </c>
      <c r="AE462" s="54">
        <v>31241</v>
      </c>
      <c r="AF462" s="55"/>
      <c r="AG462" s="85"/>
      <c r="AH462" s="56">
        <v>227216</v>
      </c>
      <c r="AI462" s="56"/>
      <c r="AJ462" s="56"/>
    </row>
    <row r="463" spans="1:36" ht="13" x14ac:dyDescent="0.15">
      <c r="A463" s="64" t="s">
        <v>5941</v>
      </c>
      <c r="B463" s="2" t="s">
        <v>280</v>
      </c>
      <c r="C463" s="7" t="s">
        <v>67</v>
      </c>
      <c r="D463" s="7" t="s">
        <v>6388</v>
      </c>
      <c r="E463" s="44">
        <v>5</v>
      </c>
      <c r="F463" s="7"/>
      <c r="G463" s="7"/>
      <c r="H463" s="2" t="s">
        <v>6343</v>
      </c>
      <c r="I463" s="7" t="s">
        <v>754</v>
      </c>
      <c r="J463" s="7" t="s">
        <v>6390</v>
      </c>
      <c r="K463" s="7" t="s">
        <v>139</v>
      </c>
      <c r="L463" s="7"/>
      <c r="M463" s="7"/>
      <c r="N463" s="45" t="s">
        <v>6392</v>
      </c>
      <c r="O463" s="74" t="str">
        <f t="shared" si="319"/>
        <v>Questionnaire</v>
      </c>
      <c r="P463" s="48" t="s">
        <v>6354</v>
      </c>
      <c r="Q463" s="47" t="s">
        <v>280</v>
      </c>
      <c r="R463" s="48" t="s">
        <v>6355</v>
      </c>
      <c r="S463" s="48" t="s">
        <v>238</v>
      </c>
      <c r="T463" s="49" t="s">
        <v>74</v>
      </c>
      <c r="U463" s="7" t="s">
        <v>75</v>
      </c>
      <c r="V463" s="7"/>
      <c r="W463" s="50">
        <v>3.4</v>
      </c>
      <c r="X463" s="49" t="s">
        <v>676</v>
      </c>
      <c r="Y463" s="49" t="s">
        <v>676</v>
      </c>
      <c r="Z463" s="49" t="s">
        <v>1650</v>
      </c>
      <c r="AA463" s="65">
        <v>0.72</v>
      </c>
      <c r="AB463" s="48" t="s">
        <v>6360</v>
      </c>
      <c r="AC463" s="76" t="s">
        <v>6354</v>
      </c>
      <c r="AD463" s="67" t="str">
        <f t="shared" si="320"/>
        <v>Link</v>
      </c>
      <c r="AE463" s="54">
        <v>31241</v>
      </c>
      <c r="AF463" s="55"/>
      <c r="AG463" s="85"/>
      <c r="AH463" s="56">
        <v>227216</v>
      </c>
      <c r="AI463" s="56"/>
      <c r="AJ463" s="56"/>
    </row>
    <row r="464" spans="1:36" ht="13" x14ac:dyDescent="0.15">
      <c r="A464" s="64" t="s">
        <v>5941</v>
      </c>
      <c r="B464" s="2" t="s">
        <v>280</v>
      </c>
      <c r="C464" s="7" t="s">
        <v>67</v>
      </c>
      <c r="D464" s="7" t="s">
        <v>6399</v>
      </c>
      <c r="E464" s="44">
        <v>5</v>
      </c>
      <c r="F464" s="7" t="s">
        <v>116</v>
      </c>
      <c r="G464" s="7"/>
      <c r="H464" s="2" t="s">
        <v>6343</v>
      </c>
      <c r="I464" s="7" t="s">
        <v>6402</v>
      </c>
      <c r="J464" s="7" t="s">
        <v>4134</v>
      </c>
      <c r="K464" s="7" t="s">
        <v>120</v>
      </c>
      <c r="L464" s="7"/>
      <c r="M464" s="7"/>
      <c r="N464" s="45" t="s">
        <v>6392</v>
      </c>
      <c r="O464" s="74" t="str">
        <f t="shared" si="319"/>
        <v>Questionnaire</v>
      </c>
      <c r="P464" s="48" t="s">
        <v>6354</v>
      </c>
      <c r="Q464" s="47" t="s">
        <v>280</v>
      </c>
      <c r="R464" s="48" t="s">
        <v>6355</v>
      </c>
      <c r="S464" s="48" t="s">
        <v>238</v>
      </c>
      <c r="T464" s="49" t="s">
        <v>74</v>
      </c>
      <c r="U464" s="48" t="s">
        <v>75</v>
      </c>
      <c r="V464" s="73"/>
      <c r="W464" s="50">
        <v>3.4</v>
      </c>
      <c r="X464" s="49" t="s">
        <v>676</v>
      </c>
      <c r="Y464" s="49" t="s">
        <v>676</v>
      </c>
      <c r="Z464" s="49" t="s">
        <v>1650</v>
      </c>
      <c r="AA464" s="65">
        <v>0.72</v>
      </c>
      <c r="AB464" s="48" t="s">
        <v>6360</v>
      </c>
      <c r="AC464" s="76" t="s">
        <v>6354</v>
      </c>
      <c r="AD464" s="67" t="str">
        <f t="shared" si="320"/>
        <v>Link</v>
      </c>
      <c r="AE464" s="54">
        <v>31241</v>
      </c>
      <c r="AF464" s="55"/>
      <c r="AG464" s="85"/>
      <c r="AH464" s="56">
        <v>227216</v>
      </c>
      <c r="AI464" s="7"/>
      <c r="AJ464" s="7"/>
    </row>
    <row r="465" spans="1:36" ht="15" x14ac:dyDescent="0.2">
      <c r="A465" s="43" t="s">
        <v>5941</v>
      </c>
      <c r="B465" s="33" t="s">
        <v>6149</v>
      </c>
      <c r="C465" s="7" t="s">
        <v>67</v>
      </c>
      <c r="D465" s="7" t="s">
        <v>6412</v>
      </c>
      <c r="E465" s="44">
        <v>5</v>
      </c>
      <c r="F465" s="7"/>
      <c r="G465" s="7"/>
      <c r="H465" s="2" t="s">
        <v>6413</v>
      </c>
      <c r="I465" s="7" t="s">
        <v>2790</v>
      </c>
      <c r="J465" s="7" t="s">
        <v>6414</v>
      </c>
      <c r="K465" s="7" t="s">
        <v>48</v>
      </c>
      <c r="L465" s="7" t="s">
        <v>6415</v>
      </c>
      <c r="M465" s="7" t="s">
        <v>6416</v>
      </c>
      <c r="N465" s="45" t="str">
        <f t="shared" ref="N465:N468" si="322">HYPERLINK("twitter.com/SouthernMissSB","@SouthernMissSB")</f>
        <v>@SouthernMissSB</v>
      </c>
      <c r="O465" s="74" t="str">
        <f t="shared" ref="O465:O468" si="323">HYPERLINK("https://questionnaires.armssoftware.com/be30bcb26680","Questionnaire")</f>
        <v>Questionnaire</v>
      </c>
      <c r="P465" s="48" t="s">
        <v>6425</v>
      </c>
      <c r="Q465" s="47" t="s">
        <v>6149</v>
      </c>
      <c r="R465" s="48" t="s">
        <v>6427</v>
      </c>
      <c r="S465" s="48" t="s">
        <v>468</v>
      </c>
      <c r="T465" s="49" t="s">
        <v>74</v>
      </c>
      <c r="U465" s="7" t="s">
        <v>75</v>
      </c>
      <c r="V465" s="7"/>
      <c r="W465" s="50">
        <v>3.33</v>
      </c>
      <c r="X465" s="49" t="s">
        <v>1453</v>
      </c>
      <c r="Y465" s="49" t="s">
        <v>3063</v>
      </c>
      <c r="Z465" s="49" t="s">
        <v>278</v>
      </c>
      <c r="AA465" s="61">
        <v>0.6</v>
      </c>
      <c r="AB465" s="48" t="s">
        <v>6430</v>
      </c>
      <c r="AC465" s="62" t="s">
        <v>6425</v>
      </c>
      <c r="AD465" s="53" t="str">
        <f t="shared" ref="AD465:AD468" si="324">HYPERLINK("https://choose.usm.edu/degrees.php","Link")</f>
        <v>Link</v>
      </c>
      <c r="AE465" s="54">
        <v>11779</v>
      </c>
      <c r="AF465" s="55"/>
      <c r="AG465" s="85"/>
      <c r="AH465" s="56">
        <v>176372</v>
      </c>
      <c r="AI465" s="56"/>
      <c r="AJ465" s="56"/>
    </row>
    <row r="466" spans="1:36" ht="15" x14ac:dyDescent="0.2">
      <c r="A466" s="43" t="s">
        <v>5941</v>
      </c>
      <c r="B466" s="33" t="s">
        <v>6149</v>
      </c>
      <c r="C466" s="7" t="s">
        <v>67</v>
      </c>
      <c r="D466" s="7" t="s">
        <v>6442</v>
      </c>
      <c r="E466" s="44">
        <v>5</v>
      </c>
      <c r="F466" s="7"/>
      <c r="G466" s="7"/>
      <c r="H466" s="2" t="s">
        <v>6413</v>
      </c>
      <c r="I466" s="7" t="s">
        <v>904</v>
      </c>
      <c r="J466" s="7" t="s">
        <v>6443</v>
      </c>
      <c r="K466" s="7" t="s">
        <v>55</v>
      </c>
      <c r="L466" s="7" t="s">
        <v>6444</v>
      </c>
      <c r="M466" s="7" t="s">
        <v>6445</v>
      </c>
      <c r="N466" s="45" t="str">
        <f t="shared" si="322"/>
        <v>@SouthernMissSB</v>
      </c>
      <c r="O466" s="74" t="str">
        <f t="shared" si="323"/>
        <v>Questionnaire</v>
      </c>
      <c r="P466" s="48" t="s">
        <v>6425</v>
      </c>
      <c r="Q466" s="47" t="s">
        <v>6149</v>
      </c>
      <c r="R466" s="48" t="s">
        <v>6427</v>
      </c>
      <c r="S466" s="48" t="s">
        <v>468</v>
      </c>
      <c r="T466" s="49" t="s">
        <v>74</v>
      </c>
      <c r="U466" s="7" t="s">
        <v>75</v>
      </c>
      <c r="V466" s="7"/>
      <c r="W466" s="50">
        <v>3.33</v>
      </c>
      <c r="X466" s="49" t="s">
        <v>1453</v>
      </c>
      <c r="Y466" s="49" t="s">
        <v>3063</v>
      </c>
      <c r="Z466" s="49" t="s">
        <v>278</v>
      </c>
      <c r="AA466" s="61">
        <v>0.6</v>
      </c>
      <c r="AB466" s="48" t="s">
        <v>6430</v>
      </c>
      <c r="AC466" s="62" t="s">
        <v>6425</v>
      </c>
      <c r="AD466" s="53" t="str">
        <f t="shared" si="324"/>
        <v>Link</v>
      </c>
      <c r="AE466" s="54">
        <v>11779</v>
      </c>
      <c r="AF466" s="55"/>
      <c r="AG466" s="85"/>
      <c r="AH466" s="56">
        <v>176372</v>
      </c>
      <c r="AI466" s="56"/>
      <c r="AJ466" s="56"/>
    </row>
    <row r="467" spans="1:36" ht="15" x14ac:dyDescent="0.2">
      <c r="A467" s="43" t="s">
        <v>5941</v>
      </c>
      <c r="B467" s="33" t="s">
        <v>6149</v>
      </c>
      <c r="C467" s="7" t="s">
        <v>67</v>
      </c>
      <c r="D467" s="7" t="s">
        <v>6453</v>
      </c>
      <c r="E467" s="44">
        <v>5</v>
      </c>
      <c r="F467" s="7"/>
      <c r="G467" s="7"/>
      <c r="H467" s="2" t="s">
        <v>6413</v>
      </c>
      <c r="I467" s="7" t="s">
        <v>6124</v>
      </c>
      <c r="J467" s="7" t="s">
        <v>6454</v>
      </c>
      <c r="K467" s="7" t="s">
        <v>55</v>
      </c>
      <c r="L467" s="7" t="s">
        <v>6455</v>
      </c>
      <c r="M467" s="7"/>
      <c r="N467" s="69" t="str">
        <f t="shared" si="322"/>
        <v>@SouthernMissSB</v>
      </c>
      <c r="O467" s="70" t="str">
        <f t="shared" si="323"/>
        <v>Questionnaire</v>
      </c>
      <c r="P467" s="48" t="s">
        <v>6425</v>
      </c>
      <c r="Q467" s="47" t="s">
        <v>6149</v>
      </c>
      <c r="R467" s="48" t="s">
        <v>6427</v>
      </c>
      <c r="S467" s="48" t="s">
        <v>468</v>
      </c>
      <c r="T467" s="49" t="s">
        <v>74</v>
      </c>
      <c r="U467" s="7" t="s">
        <v>75</v>
      </c>
      <c r="V467" s="7"/>
      <c r="W467" s="50">
        <v>3.33</v>
      </c>
      <c r="X467" s="49" t="s">
        <v>1453</v>
      </c>
      <c r="Y467" s="49" t="s">
        <v>3063</v>
      </c>
      <c r="Z467" s="49" t="s">
        <v>278</v>
      </c>
      <c r="AA467" s="61">
        <v>0.6</v>
      </c>
      <c r="AB467" s="48" t="s">
        <v>6430</v>
      </c>
      <c r="AC467" s="62" t="s">
        <v>6425</v>
      </c>
      <c r="AD467" s="53" t="str">
        <f t="shared" si="324"/>
        <v>Link</v>
      </c>
      <c r="AE467" s="54">
        <v>11779</v>
      </c>
      <c r="AF467" s="55"/>
      <c r="AG467" s="85"/>
      <c r="AH467" s="56">
        <v>176372</v>
      </c>
      <c r="AI467" s="56"/>
      <c r="AJ467" s="56"/>
    </row>
    <row r="468" spans="1:36" ht="15" x14ac:dyDescent="0.2">
      <c r="A468" s="43" t="s">
        <v>5941</v>
      </c>
      <c r="B468" s="33" t="s">
        <v>6149</v>
      </c>
      <c r="C468" s="7" t="s">
        <v>67</v>
      </c>
      <c r="D468" s="7" t="s">
        <v>6465</v>
      </c>
      <c r="E468" s="44">
        <v>5</v>
      </c>
      <c r="F468" s="7"/>
      <c r="G468" s="7"/>
      <c r="H468" s="2" t="s">
        <v>6413</v>
      </c>
      <c r="I468" s="7" t="s">
        <v>6466</v>
      </c>
      <c r="J468" s="7" t="s">
        <v>6467</v>
      </c>
      <c r="K468" s="7" t="s">
        <v>120</v>
      </c>
      <c r="L468" s="7" t="s">
        <v>6468</v>
      </c>
      <c r="M468" s="7"/>
      <c r="N468" s="69" t="str">
        <f t="shared" si="322"/>
        <v>@SouthernMissSB</v>
      </c>
      <c r="O468" s="70" t="str">
        <f t="shared" si="323"/>
        <v>Questionnaire</v>
      </c>
      <c r="P468" s="48" t="s">
        <v>6425</v>
      </c>
      <c r="Q468" s="47" t="s">
        <v>6149</v>
      </c>
      <c r="R468" s="48" t="s">
        <v>6427</v>
      </c>
      <c r="S468" s="48" t="s">
        <v>468</v>
      </c>
      <c r="T468" s="49" t="s">
        <v>74</v>
      </c>
      <c r="U468" s="7" t="s">
        <v>75</v>
      </c>
      <c r="V468" s="7"/>
      <c r="W468" s="50">
        <v>3.33</v>
      </c>
      <c r="X468" s="49" t="s">
        <v>1453</v>
      </c>
      <c r="Y468" s="49" t="s">
        <v>3063</v>
      </c>
      <c r="Z468" s="49" t="s">
        <v>278</v>
      </c>
      <c r="AA468" s="61">
        <v>0.6</v>
      </c>
      <c r="AB468" s="48" t="s">
        <v>6430</v>
      </c>
      <c r="AC468" s="62" t="s">
        <v>6425</v>
      </c>
      <c r="AD468" s="53" t="str">
        <f t="shared" si="324"/>
        <v>Link</v>
      </c>
      <c r="AE468" s="54">
        <v>11779</v>
      </c>
      <c r="AF468" s="55"/>
      <c r="AG468" s="85"/>
      <c r="AH468" s="56">
        <v>176372</v>
      </c>
      <c r="AI468" s="56"/>
      <c r="AJ468" s="56"/>
    </row>
    <row r="469" spans="1:36" ht="13" x14ac:dyDescent="0.15">
      <c r="A469" s="64" t="s">
        <v>5941</v>
      </c>
      <c r="B469" s="2" t="s">
        <v>280</v>
      </c>
      <c r="C469" s="7" t="s">
        <v>67</v>
      </c>
      <c r="D469" s="7" t="s">
        <v>6475</v>
      </c>
      <c r="E469" s="44">
        <v>5</v>
      </c>
      <c r="F469" s="7" t="s">
        <v>116</v>
      </c>
      <c r="G469" s="7"/>
      <c r="H469" s="2" t="s">
        <v>6476</v>
      </c>
      <c r="I469" s="7" t="s">
        <v>6478</v>
      </c>
      <c r="J469" s="7" t="s">
        <v>6479</v>
      </c>
      <c r="K469" s="7" t="s">
        <v>48</v>
      </c>
      <c r="L469" s="7" t="s">
        <v>6480</v>
      </c>
      <c r="M469" s="7" t="s">
        <v>6482</v>
      </c>
      <c r="N469" s="7"/>
      <c r="O469" s="7"/>
      <c r="P469" s="48" t="s">
        <v>6483</v>
      </c>
      <c r="Q469" s="47" t="s">
        <v>280</v>
      </c>
      <c r="R469" s="48" t="s">
        <v>6485</v>
      </c>
      <c r="S469" s="48" t="s">
        <v>354</v>
      </c>
      <c r="T469" s="49" t="s">
        <v>74</v>
      </c>
      <c r="U469" s="48" t="s">
        <v>75</v>
      </c>
      <c r="V469" s="73"/>
      <c r="W469" s="61">
        <v>3.23</v>
      </c>
      <c r="X469" s="49" t="s">
        <v>1947</v>
      </c>
      <c r="Y469" s="49" t="s">
        <v>1785</v>
      </c>
      <c r="Z469" s="49" t="s">
        <v>1948</v>
      </c>
      <c r="AA469" s="65">
        <v>1</v>
      </c>
      <c r="AB469" s="48" t="s">
        <v>6488</v>
      </c>
      <c r="AC469" s="66" t="s">
        <v>6483</v>
      </c>
      <c r="AD469" s="67" t="str">
        <f t="shared" ref="AD469:AD475" si="325">HYPERLINK("https://www.utep.edu/academicprograms/","Link")</f>
        <v>Link</v>
      </c>
      <c r="AE469" s="54">
        <v>20521</v>
      </c>
      <c r="AF469" s="55"/>
      <c r="AG469" s="85"/>
      <c r="AH469" s="56">
        <v>228796</v>
      </c>
      <c r="AI469" s="85"/>
      <c r="AJ469" s="85"/>
    </row>
    <row r="470" spans="1:36" ht="13" x14ac:dyDescent="0.15">
      <c r="A470" s="64" t="s">
        <v>5941</v>
      </c>
      <c r="B470" s="2" t="s">
        <v>280</v>
      </c>
      <c r="C470" s="7" t="s">
        <v>67</v>
      </c>
      <c r="D470" s="7" t="s">
        <v>6493</v>
      </c>
      <c r="E470" s="44">
        <v>5</v>
      </c>
      <c r="F470" s="7"/>
      <c r="G470" s="7"/>
      <c r="H470" s="2" t="s">
        <v>6476</v>
      </c>
      <c r="I470" s="7" t="s">
        <v>6496</v>
      </c>
      <c r="J470" s="7" t="s">
        <v>6497</v>
      </c>
      <c r="K470" s="7" t="s">
        <v>48</v>
      </c>
      <c r="L470" s="7" t="s">
        <v>6498</v>
      </c>
      <c r="M470" s="7" t="s">
        <v>6499</v>
      </c>
      <c r="N470" s="69" t="str">
        <f t="shared" ref="N470:N475" si="326">HYPERLINK("twitter.com/UTEPSoftball","@UTEPSoftball")</f>
        <v>@UTEPSoftball</v>
      </c>
      <c r="O470" s="70" t="str">
        <f t="shared" ref="O470:O475" si="327">HYPERLINK("https://college.jumpforward.com/questionnaire.aspx?iid=396&amp;sportid=31","Questionnaire")</f>
        <v>Questionnaire</v>
      </c>
      <c r="P470" s="48" t="s">
        <v>6483</v>
      </c>
      <c r="Q470" s="47" t="s">
        <v>280</v>
      </c>
      <c r="R470" s="48" t="s">
        <v>6485</v>
      </c>
      <c r="S470" s="48" t="s">
        <v>354</v>
      </c>
      <c r="T470" s="49" t="s">
        <v>74</v>
      </c>
      <c r="U470" s="7" t="s">
        <v>75</v>
      </c>
      <c r="V470" s="7"/>
      <c r="W470" s="50">
        <v>3.23</v>
      </c>
      <c r="X470" s="49" t="s">
        <v>1947</v>
      </c>
      <c r="Y470" s="49" t="s">
        <v>1785</v>
      </c>
      <c r="Z470" s="49" t="s">
        <v>1948</v>
      </c>
      <c r="AA470" s="65">
        <v>1</v>
      </c>
      <c r="AB470" s="48" t="s">
        <v>6488</v>
      </c>
      <c r="AC470" s="66" t="s">
        <v>6483</v>
      </c>
      <c r="AD470" s="67" t="str">
        <f t="shared" si="325"/>
        <v>Link</v>
      </c>
      <c r="AE470" s="54">
        <v>20521</v>
      </c>
      <c r="AF470" s="55"/>
      <c r="AG470" s="85"/>
      <c r="AH470" s="56">
        <v>228796</v>
      </c>
      <c r="AI470" s="56"/>
      <c r="AJ470" s="56"/>
    </row>
    <row r="471" spans="1:36" ht="13" x14ac:dyDescent="0.15">
      <c r="A471" s="64" t="s">
        <v>5941</v>
      </c>
      <c r="B471" s="2" t="s">
        <v>280</v>
      </c>
      <c r="C471" s="7" t="s">
        <v>67</v>
      </c>
      <c r="D471" s="7" t="s">
        <v>6513</v>
      </c>
      <c r="E471" s="44">
        <v>5</v>
      </c>
      <c r="F471" s="7"/>
      <c r="G471" s="7"/>
      <c r="H471" s="2" t="s">
        <v>6476</v>
      </c>
      <c r="I471" s="7" t="s">
        <v>6514</v>
      </c>
      <c r="J471" s="7" t="s">
        <v>6515</v>
      </c>
      <c r="K471" s="7" t="s">
        <v>55</v>
      </c>
      <c r="L471" s="7" t="s">
        <v>6516</v>
      </c>
      <c r="M471" s="7" t="s">
        <v>6517</v>
      </c>
      <c r="N471" s="69" t="str">
        <f t="shared" si="326"/>
        <v>@UTEPSoftball</v>
      </c>
      <c r="O471" s="70" t="str">
        <f t="shared" si="327"/>
        <v>Questionnaire</v>
      </c>
      <c r="P471" s="48" t="s">
        <v>6483</v>
      </c>
      <c r="Q471" s="47" t="s">
        <v>280</v>
      </c>
      <c r="R471" s="48" t="s">
        <v>6485</v>
      </c>
      <c r="S471" s="48" t="s">
        <v>354</v>
      </c>
      <c r="T471" s="49" t="s">
        <v>74</v>
      </c>
      <c r="U471" s="7" t="s">
        <v>75</v>
      </c>
      <c r="V471" s="7"/>
      <c r="W471" s="61">
        <v>3.23</v>
      </c>
      <c r="X471" s="49" t="s">
        <v>1947</v>
      </c>
      <c r="Y471" s="49" t="s">
        <v>1785</v>
      </c>
      <c r="Z471" s="49" t="s">
        <v>1948</v>
      </c>
      <c r="AA471" s="65">
        <v>1</v>
      </c>
      <c r="AB471" s="48" t="s">
        <v>6488</v>
      </c>
      <c r="AC471" s="66" t="s">
        <v>6483</v>
      </c>
      <c r="AD471" s="67" t="str">
        <f t="shared" si="325"/>
        <v>Link</v>
      </c>
      <c r="AE471" s="54">
        <v>20521</v>
      </c>
      <c r="AF471" s="55"/>
      <c r="AG471" s="85"/>
      <c r="AH471" s="56">
        <v>228796</v>
      </c>
      <c r="AI471" s="56"/>
      <c r="AJ471" s="56"/>
    </row>
    <row r="472" spans="1:36" ht="13" x14ac:dyDescent="0.15">
      <c r="A472" s="64" t="s">
        <v>5941</v>
      </c>
      <c r="B472" s="2" t="s">
        <v>280</v>
      </c>
      <c r="C472" s="7" t="s">
        <v>67</v>
      </c>
      <c r="D472" s="7" t="s">
        <v>6525</v>
      </c>
      <c r="E472" s="44">
        <v>5</v>
      </c>
      <c r="F472" s="7"/>
      <c r="G472" s="7"/>
      <c r="H472" s="2" t="s">
        <v>6476</v>
      </c>
      <c r="I472" s="7" t="s">
        <v>6526</v>
      </c>
      <c r="J472" s="7" t="s">
        <v>6527</v>
      </c>
      <c r="K472" s="7" t="s">
        <v>55</v>
      </c>
      <c r="L472" s="7" t="s">
        <v>6528</v>
      </c>
      <c r="M472" s="7" t="s">
        <v>6517</v>
      </c>
      <c r="N472" s="69" t="str">
        <f t="shared" si="326"/>
        <v>@UTEPSoftball</v>
      </c>
      <c r="O472" s="70" t="str">
        <f t="shared" si="327"/>
        <v>Questionnaire</v>
      </c>
      <c r="P472" s="48" t="s">
        <v>6483</v>
      </c>
      <c r="Q472" s="47" t="s">
        <v>280</v>
      </c>
      <c r="R472" s="48" t="s">
        <v>6485</v>
      </c>
      <c r="S472" s="48" t="s">
        <v>354</v>
      </c>
      <c r="T472" s="49" t="s">
        <v>74</v>
      </c>
      <c r="U472" s="7" t="s">
        <v>75</v>
      </c>
      <c r="V472" s="7"/>
      <c r="W472" s="50">
        <v>3.23</v>
      </c>
      <c r="X472" s="49" t="s">
        <v>1947</v>
      </c>
      <c r="Y472" s="49" t="s">
        <v>1785</v>
      </c>
      <c r="Z472" s="49" t="s">
        <v>1948</v>
      </c>
      <c r="AA472" s="65">
        <v>1</v>
      </c>
      <c r="AB472" s="48" t="s">
        <v>6488</v>
      </c>
      <c r="AC472" s="66" t="s">
        <v>6483</v>
      </c>
      <c r="AD472" s="67" t="str">
        <f t="shared" si="325"/>
        <v>Link</v>
      </c>
      <c r="AE472" s="54">
        <v>20521</v>
      </c>
      <c r="AF472" s="55"/>
      <c r="AG472" s="85"/>
      <c r="AH472" s="56">
        <v>228796</v>
      </c>
      <c r="AI472" s="56"/>
      <c r="AJ472" s="56"/>
    </row>
    <row r="473" spans="1:36" ht="13" x14ac:dyDescent="0.15">
      <c r="A473" s="64" t="s">
        <v>5941</v>
      </c>
      <c r="B473" s="2" t="s">
        <v>280</v>
      </c>
      <c r="C473" s="7" t="s">
        <v>67</v>
      </c>
      <c r="D473" s="7" t="s">
        <v>6534</v>
      </c>
      <c r="E473" s="44">
        <v>5</v>
      </c>
      <c r="F473" s="7"/>
      <c r="G473" s="7"/>
      <c r="H473" s="2" t="s">
        <v>6476</v>
      </c>
      <c r="I473" s="7" t="s">
        <v>6535</v>
      </c>
      <c r="J473" s="7" t="s">
        <v>6536</v>
      </c>
      <c r="K473" s="7" t="s">
        <v>120</v>
      </c>
      <c r="L473" s="7" t="s">
        <v>6538</v>
      </c>
      <c r="M473" s="7" t="s">
        <v>6517</v>
      </c>
      <c r="N473" s="69" t="str">
        <f t="shared" si="326"/>
        <v>@UTEPSoftball</v>
      </c>
      <c r="O473" s="70" t="str">
        <f t="shared" si="327"/>
        <v>Questionnaire</v>
      </c>
      <c r="P473" s="48" t="s">
        <v>6483</v>
      </c>
      <c r="Q473" s="47" t="s">
        <v>280</v>
      </c>
      <c r="R473" s="48" t="s">
        <v>6485</v>
      </c>
      <c r="S473" s="48" t="s">
        <v>354</v>
      </c>
      <c r="T473" s="49" t="s">
        <v>74</v>
      </c>
      <c r="U473" s="7" t="s">
        <v>75</v>
      </c>
      <c r="V473" s="7"/>
      <c r="W473" s="50">
        <v>3.23</v>
      </c>
      <c r="X473" s="49" t="s">
        <v>1947</v>
      </c>
      <c r="Y473" s="49" t="s">
        <v>1785</v>
      </c>
      <c r="Z473" s="49" t="s">
        <v>1948</v>
      </c>
      <c r="AA473" s="65">
        <v>1</v>
      </c>
      <c r="AB473" s="48" t="s">
        <v>6488</v>
      </c>
      <c r="AC473" s="66" t="s">
        <v>6483</v>
      </c>
      <c r="AD473" s="67" t="str">
        <f t="shared" si="325"/>
        <v>Link</v>
      </c>
      <c r="AE473" s="54">
        <v>20521</v>
      </c>
      <c r="AF473" s="55"/>
      <c r="AG473" s="85"/>
      <c r="AH473" s="56">
        <v>228796</v>
      </c>
      <c r="AI473" s="56"/>
      <c r="AJ473" s="56"/>
    </row>
    <row r="474" spans="1:36" ht="13" x14ac:dyDescent="0.15">
      <c r="A474" s="64" t="s">
        <v>5941</v>
      </c>
      <c r="B474" s="2" t="s">
        <v>280</v>
      </c>
      <c r="C474" s="7" t="s">
        <v>67</v>
      </c>
      <c r="D474" s="7" t="s">
        <v>6546</v>
      </c>
      <c r="E474" s="44">
        <v>5</v>
      </c>
      <c r="F474" s="7"/>
      <c r="G474" s="7" t="s">
        <v>126</v>
      </c>
      <c r="H474" s="2" t="s">
        <v>6476</v>
      </c>
      <c r="I474" s="7" t="s">
        <v>6547</v>
      </c>
      <c r="J474" s="7"/>
      <c r="K474" s="7"/>
      <c r="L474" s="7"/>
      <c r="M474" s="7"/>
      <c r="N474" s="69" t="str">
        <f t="shared" si="326"/>
        <v>@UTEPSoftball</v>
      </c>
      <c r="O474" s="70" t="str">
        <f t="shared" si="327"/>
        <v>Questionnaire</v>
      </c>
      <c r="P474" s="48" t="s">
        <v>6483</v>
      </c>
      <c r="Q474" s="47" t="s">
        <v>280</v>
      </c>
      <c r="R474" s="48" t="s">
        <v>6485</v>
      </c>
      <c r="S474" s="48" t="s">
        <v>354</v>
      </c>
      <c r="T474" s="49" t="s">
        <v>74</v>
      </c>
      <c r="U474" s="7" t="s">
        <v>75</v>
      </c>
      <c r="V474" s="7"/>
      <c r="W474" s="50">
        <v>3.23</v>
      </c>
      <c r="X474" s="49" t="s">
        <v>1947</v>
      </c>
      <c r="Y474" s="49" t="s">
        <v>1785</v>
      </c>
      <c r="Z474" s="49" t="s">
        <v>1948</v>
      </c>
      <c r="AA474" s="65">
        <v>1</v>
      </c>
      <c r="AB474" s="48" t="s">
        <v>6488</v>
      </c>
      <c r="AC474" s="66" t="s">
        <v>6483</v>
      </c>
      <c r="AD474" s="67" t="str">
        <f t="shared" si="325"/>
        <v>Link</v>
      </c>
      <c r="AE474" s="54">
        <v>20521</v>
      </c>
      <c r="AF474" s="55"/>
      <c r="AG474" s="85"/>
      <c r="AH474" s="56">
        <v>228796</v>
      </c>
      <c r="AI474" s="56"/>
      <c r="AJ474" s="56"/>
    </row>
    <row r="475" spans="1:36" ht="13" x14ac:dyDescent="0.15">
      <c r="A475" s="64" t="s">
        <v>5941</v>
      </c>
      <c r="B475" s="2" t="s">
        <v>280</v>
      </c>
      <c r="C475" s="7" t="s">
        <v>67</v>
      </c>
      <c r="D475" s="7" t="s">
        <v>6552</v>
      </c>
      <c r="E475" s="44">
        <v>5</v>
      </c>
      <c r="F475" s="7"/>
      <c r="G475" s="7" t="s">
        <v>126</v>
      </c>
      <c r="H475" s="2" t="s">
        <v>6476</v>
      </c>
      <c r="I475" s="7" t="s">
        <v>6553</v>
      </c>
      <c r="J475" s="7"/>
      <c r="K475" s="7"/>
      <c r="L475" s="7"/>
      <c r="M475" s="7"/>
      <c r="N475" s="45" t="str">
        <f t="shared" si="326"/>
        <v>@UTEPSoftball</v>
      </c>
      <c r="O475" s="74" t="str">
        <f t="shared" si="327"/>
        <v>Questionnaire</v>
      </c>
      <c r="P475" s="48" t="s">
        <v>6483</v>
      </c>
      <c r="Q475" s="47" t="s">
        <v>280</v>
      </c>
      <c r="R475" s="48" t="s">
        <v>6485</v>
      </c>
      <c r="S475" s="48" t="s">
        <v>354</v>
      </c>
      <c r="T475" s="49" t="s">
        <v>74</v>
      </c>
      <c r="U475" s="7" t="s">
        <v>75</v>
      </c>
      <c r="V475" s="7"/>
      <c r="W475" s="50">
        <v>3.23</v>
      </c>
      <c r="X475" s="49" t="s">
        <v>1947</v>
      </c>
      <c r="Y475" s="49" t="s">
        <v>1785</v>
      </c>
      <c r="Z475" s="49" t="s">
        <v>1948</v>
      </c>
      <c r="AA475" s="65">
        <v>1</v>
      </c>
      <c r="AB475" s="48" t="s">
        <v>6488</v>
      </c>
      <c r="AC475" s="66" t="s">
        <v>6483</v>
      </c>
      <c r="AD475" s="67" t="str">
        <f t="shared" si="325"/>
        <v>Link</v>
      </c>
      <c r="AE475" s="54">
        <v>20521</v>
      </c>
      <c r="AF475" s="55"/>
      <c r="AG475" s="85"/>
      <c r="AH475" s="56">
        <v>228796</v>
      </c>
      <c r="AI475" s="56"/>
      <c r="AJ475" s="56"/>
    </row>
    <row r="476" spans="1:36" ht="15" x14ac:dyDescent="0.2">
      <c r="A476" s="43" t="s">
        <v>5941</v>
      </c>
      <c r="B476" s="33" t="s">
        <v>280</v>
      </c>
      <c r="C476" s="7" t="s">
        <v>67</v>
      </c>
      <c r="D476" s="7" t="s">
        <v>6558</v>
      </c>
      <c r="E476" s="44">
        <v>5</v>
      </c>
      <c r="F476" s="7"/>
      <c r="G476" s="7"/>
      <c r="H476" s="2" t="s">
        <v>6559</v>
      </c>
      <c r="I476" s="7" t="s">
        <v>1280</v>
      </c>
      <c r="J476" s="7" t="s">
        <v>6560</v>
      </c>
      <c r="K476" s="7" t="s">
        <v>48</v>
      </c>
      <c r="L476" s="7" t="s">
        <v>6561</v>
      </c>
      <c r="M476" s="7" t="s">
        <v>6562</v>
      </c>
      <c r="N476" s="45" t="str">
        <f t="shared" ref="N476:N479" si="328">HYPERLINK("twitter.com/utsasoftball","@utsasoftball")</f>
        <v>@utsasoftball</v>
      </c>
      <c r="O476" s="74" t="str">
        <f t="shared" ref="O476:O479" si="329">HYPERLINK("https://goutsa.com/sports/2016/4/5/747159.aspx","Questionnaire")</f>
        <v>Questionnaire</v>
      </c>
      <c r="P476" s="48" t="s">
        <v>6567</v>
      </c>
      <c r="Q476" s="47" t="s">
        <v>280</v>
      </c>
      <c r="R476" s="48" t="s">
        <v>6568</v>
      </c>
      <c r="S476" s="48" t="s">
        <v>288</v>
      </c>
      <c r="T476" s="49" t="s">
        <v>74</v>
      </c>
      <c r="U476" s="7" t="s">
        <v>75</v>
      </c>
      <c r="V476" s="7"/>
      <c r="W476" s="50">
        <v>3.29</v>
      </c>
      <c r="X476" s="49" t="s">
        <v>356</v>
      </c>
      <c r="Y476" s="49" t="s">
        <v>522</v>
      </c>
      <c r="Z476" s="49" t="s">
        <v>1994</v>
      </c>
      <c r="AA476" s="61">
        <v>0.76</v>
      </c>
      <c r="AB476" s="48" t="s">
        <v>6569</v>
      </c>
      <c r="AC476" s="52" t="s">
        <v>6567</v>
      </c>
      <c r="AD476" s="53" t="str">
        <f t="shared" ref="AD476:AD479" si="330">HYPERLINK("https://www.utsa.edu/academics/ugrad-degree-programs.html","Link")</f>
        <v>Link</v>
      </c>
      <c r="AE476" s="54">
        <v>24724</v>
      </c>
      <c r="AF476" s="55"/>
      <c r="AG476" s="85"/>
      <c r="AH476" s="56">
        <v>229027</v>
      </c>
      <c r="AI476" s="56"/>
      <c r="AJ476" s="56"/>
    </row>
    <row r="477" spans="1:36" ht="15" x14ac:dyDescent="0.2">
      <c r="A477" s="43" t="s">
        <v>5941</v>
      </c>
      <c r="B477" s="33" t="s">
        <v>280</v>
      </c>
      <c r="C477" s="7" t="s">
        <v>67</v>
      </c>
      <c r="D477" s="7" t="s">
        <v>6571</v>
      </c>
      <c r="E477" s="44">
        <v>5</v>
      </c>
      <c r="F477" s="7"/>
      <c r="G477" s="7"/>
      <c r="H477" s="2" t="s">
        <v>6559</v>
      </c>
      <c r="I477" s="7" t="s">
        <v>93</v>
      </c>
      <c r="J477" s="7" t="s">
        <v>1391</v>
      </c>
      <c r="K477" s="7" t="s">
        <v>55</v>
      </c>
      <c r="L477" s="7" t="s">
        <v>6574</v>
      </c>
      <c r="M477" s="7" t="s">
        <v>6576</v>
      </c>
      <c r="N477" s="45" t="str">
        <f t="shared" si="328"/>
        <v>@utsasoftball</v>
      </c>
      <c r="O477" s="74" t="str">
        <f t="shared" si="329"/>
        <v>Questionnaire</v>
      </c>
      <c r="P477" s="48" t="s">
        <v>6567</v>
      </c>
      <c r="Q477" s="47" t="s">
        <v>280</v>
      </c>
      <c r="R477" s="48" t="s">
        <v>6568</v>
      </c>
      <c r="S477" s="48" t="s">
        <v>288</v>
      </c>
      <c r="T477" s="49" t="s">
        <v>74</v>
      </c>
      <c r="U477" s="7" t="s">
        <v>75</v>
      </c>
      <c r="V477" s="7"/>
      <c r="W477" s="50">
        <v>3.29</v>
      </c>
      <c r="X477" s="49" t="s">
        <v>356</v>
      </c>
      <c r="Y477" s="49" t="s">
        <v>522</v>
      </c>
      <c r="Z477" s="49" t="s">
        <v>1994</v>
      </c>
      <c r="AA477" s="61">
        <v>0.76</v>
      </c>
      <c r="AB477" s="48" t="s">
        <v>6569</v>
      </c>
      <c r="AC477" s="52" t="s">
        <v>6567</v>
      </c>
      <c r="AD477" s="53" t="str">
        <f t="shared" si="330"/>
        <v>Link</v>
      </c>
      <c r="AE477" s="54">
        <v>24724</v>
      </c>
      <c r="AF477" s="55"/>
      <c r="AG477" s="85"/>
      <c r="AH477" s="56">
        <v>229027</v>
      </c>
      <c r="AI477" s="56"/>
      <c r="AJ477" s="56"/>
    </row>
    <row r="478" spans="1:36" ht="15" x14ac:dyDescent="0.2">
      <c r="A478" s="43" t="s">
        <v>5941</v>
      </c>
      <c r="B478" s="33" t="s">
        <v>280</v>
      </c>
      <c r="C478" s="7" t="s">
        <v>67</v>
      </c>
      <c r="D478" s="7" t="s">
        <v>6581</v>
      </c>
      <c r="E478" s="44">
        <v>5</v>
      </c>
      <c r="F478" s="7"/>
      <c r="G478" s="7"/>
      <c r="H478" s="2" t="s">
        <v>6559</v>
      </c>
      <c r="I478" s="7" t="s">
        <v>6583</v>
      </c>
      <c r="J478" s="7" t="s">
        <v>6585</v>
      </c>
      <c r="K478" s="7" t="s">
        <v>55</v>
      </c>
      <c r="L478" s="7" t="s">
        <v>6586</v>
      </c>
      <c r="M478" s="7"/>
      <c r="N478" s="45" t="str">
        <f t="shared" si="328"/>
        <v>@utsasoftball</v>
      </c>
      <c r="O478" s="74" t="str">
        <f t="shared" si="329"/>
        <v>Questionnaire</v>
      </c>
      <c r="P478" s="48" t="s">
        <v>6567</v>
      </c>
      <c r="Q478" s="47" t="s">
        <v>280</v>
      </c>
      <c r="R478" s="48" t="s">
        <v>6568</v>
      </c>
      <c r="S478" s="48" t="s">
        <v>288</v>
      </c>
      <c r="T478" s="49" t="s">
        <v>74</v>
      </c>
      <c r="U478" s="7" t="s">
        <v>75</v>
      </c>
      <c r="V478" s="7"/>
      <c r="W478" s="50">
        <v>3.29</v>
      </c>
      <c r="X478" s="49" t="s">
        <v>356</v>
      </c>
      <c r="Y478" s="49" t="s">
        <v>522</v>
      </c>
      <c r="Z478" s="49" t="s">
        <v>1994</v>
      </c>
      <c r="AA478" s="61">
        <v>0.76</v>
      </c>
      <c r="AB478" s="48" t="s">
        <v>6569</v>
      </c>
      <c r="AC478" s="52" t="s">
        <v>6567</v>
      </c>
      <c r="AD478" s="53" t="str">
        <f t="shared" si="330"/>
        <v>Link</v>
      </c>
      <c r="AE478" s="54">
        <v>24724</v>
      </c>
      <c r="AF478" s="55"/>
      <c r="AG478" s="85"/>
      <c r="AH478" s="56">
        <v>229027</v>
      </c>
      <c r="AI478" s="56"/>
      <c r="AJ478" s="56"/>
    </row>
    <row r="479" spans="1:36" ht="15" x14ac:dyDescent="0.2">
      <c r="A479" s="43" t="s">
        <v>5941</v>
      </c>
      <c r="B479" s="33" t="s">
        <v>280</v>
      </c>
      <c r="C479" s="7" t="s">
        <v>67</v>
      </c>
      <c r="D479" s="7" t="s">
        <v>6593</v>
      </c>
      <c r="E479" s="44">
        <v>5</v>
      </c>
      <c r="F479" s="7"/>
      <c r="G479" s="7"/>
      <c r="H479" s="2" t="s">
        <v>6559</v>
      </c>
      <c r="I479" s="7" t="s">
        <v>6595</v>
      </c>
      <c r="J479" s="7" t="s">
        <v>5757</v>
      </c>
      <c r="K479" s="7" t="s">
        <v>139</v>
      </c>
      <c r="L479" s="7"/>
      <c r="M479" s="7"/>
      <c r="N479" s="45" t="str">
        <f t="shared" si="328"/>
        <v>@utsasoftball</v>
      </c>
      <c r="O479" s="74" t="str">
        <f t="shared" si="329"/>
        <v>Questionnaire</v>
      </c>
      <c r="P479" s="48" t="s">
        <v>6567</v>
      </c>
      <c r="Q479" s="47" t="s">
        <v>280</v>
      </c>
      <c r="R479" s="48" t="s">
        <v>6568</v>
      </c>
      <c r="S479" s="48" t="s">
        <v>288</v>
      </c>
      <c r="T479" s="49" t="s">
        <v>74</v>
      </c>
      <c r="U479" s="7" t="s">
        <v>75</v>
      </c>
      <c r="V479" s="7"/>
      <c r="W479" s="50">
        <v>3.29</v>
      </c>
      <c r="X479" s="49" t="s">
        <v>356</v>
      </c>
      <c r="Y479" s="49" t="s">
        <v>522</v>
      </c>
      <c r="Z479" s="49" t="s">
        <v>1994</v>
      </c>
      <c r="AA479" s="61">
        <v>0.76</v>
      </c>
      <c r="AB479" s="48" t="s">
        <v>6569</v>
      </c>
      <c r="AC479" s="52" t="s">
        <v>6567</v>
      </c>
      <c r="AD479" s="53" t="str">
        <f t="shared" si="330"/>
        <v>Link</v>
      </c>
      <c r="AE479" s="54">
        <v>24724</v>
      </c>
      <c r="AF479" s="55"/>
      <c r="AG479" s="85"/>
      <c r="AH479" s="56">
        <v>229027</v>
      </c>
      <c r="AI479" s="56"/>
      <c r="AJ479" s="56"/>
    </row>
    <row r="480" spans="1:36" ht="15" x14ac:dyDescent="0.2">
      <c r="A480" s="43" t="s">
        <v>5941</v>
      </c>
      <c r="B480" s="33" t="s">
        <v>935</v>
      </c>
      <c r="C480" s="7" t="s">
        <v>67</v>
      </c>
      <c r="D480" s="7" t="s">
        <v>6601</v>
      </c>
      <c r="E480" s="44">
        <v>5</v>
      </c>
      <c r="F480" s="7"/>
      <c r="G480" s="7"/>
      <c r="H480" s="2" t="s">
        <v>6603</v>
      </c>
      <c r="I480" s="7" t="s">
        <v>206</v>
      </c>
      <c r="J480" s="7" t="s">
        <v>6605</v>
      </c>
      <c r="K480" s="7" t="s">
        <v>48</v>
      </c>
      <c r="L480" s="7" t="s">
        <v>6608</v>
      </c>
      <c r="M480" s="7" t="s">
        <v>6610</v>
      </c>
      <c r="N480" s="45" t="str">
        <f>HYPERLINK("twitter.com/WKUSoftball","@WKUSoftball")</f>
        <v>@WKUSoftball</v>
      </c>
      <c r="O480" s="74" t="str">
        <f t="shared" ref="O480:O482" si="331">HYPERLINK("https://college.jumpforward.com/questionnaire.aspx?iid=370&amp;sportid=31","Questionnaire")</f>
        <v>Questionnaire</v>
      </c>
      <c r="P480" s="48" t="s">
        <v>6612</v>
      </c>
      <c r="Q480" s="47" t="s">
        <v>935</v>
      </c>
      <c r="R480" s="48" t="s">
        <v>6613</v>
      </c>
      <c r="S480" s="48" t="s">
        <v>186</v>
      </c>
      <c r="T480" s="49" t="s">
        <v>74</v>
      </c>
      <c r="U480" s="7" t="s">
        <v>75</v>
      </c>
      <c r="V480" s="7"/>
      <c r="W480" s="50">
        <v>3.27</v>
      </c>
      <c r="X480" s="49" t="s">
        <v>1453</v>
      </c>
      <c r="Y480" s="49" t="s">
        <v>1628</v>
      </c>
      <c r="Z480" s="49" t="s">
        <v>1689</v>
      </c>
      <c r="AA480" s="61">
        <v>0.94</v>
      </c>
      <c r="AB480" s="48" t="s">
        <v>6618</v>
      </c>
      <c r="AC480" s="62" t="s">
        <v>6612</v>
      </c>
      <c r="AD480" s="53" t="str">
        <f t="shared" ref="AD480:AD482" si="332">HYPERLINK("https://www.wku.edu/majors/","Link")</f>
        <v>Link</v>
      </c>
      <c r="AE480" s="54">
        <v>17595</v>
      </c>
      <c r="AF480" s="55"/>
      <c r="AG480" s="85"/>
      <c r="AH480" s="56">
        <v>157951</v>
      </c>
      <c r="AI480" s="56"/>
      <c r="AJ480" s="56"/>
    </row>
    <row r="481" spans="1:36" ht="15" x14ac:dyDescent="0.2">
      <c r="A481" s="43" t="s">
        <v>5941</v>
      </c>
      <c r="B481" s="33" t="s">
        <v>935</v>
      </c>
      <c r="C481" s="7" t="s">
        <v>67</v>
      </c>
      <c r="D481" s="7" t="s">
        <v>6623</v>
      </c>
      <c r="E481" s="44">
        <v>5</v>
      </c>
      <c r="F481" s="7"/>
      <c r="G481" s="7"/>
      <c r="H481" s="2" t="s">
        <v>6603</v>
      </c>
      <c r="I481" s="7" t="s">
        <v>860</v>
      </c>
      <c r="J481" s="7" t="s">
        <v>6624</v>
      </c>
      <c r="K481" s="7" t="s">
        <v>55</v>
      </c>
      <c r="L481" s="7" t="s">
        <v>6625</v>
      </c>
      <c r="M481" s="7" t="s">
        <v>6626</v>
      </c>
      <c r="N481" s="45" t="str">
        <f>HYPERLINK("twitter.com/kaylabixel","@kaylabixel")</f>
        <v>@kaylabixel</v>
      </c>
      <c r="O481" s="74" t="str">
        <f t="shared" si="331"/>
        <v>Questionnaire</v>
      </c>
      <c r="P481" s="48" t="s">
        <v>6612</v>
      </c>
      <c r="Q481" s="47" t="s">
        <v>935</v>
      </c>
      <c r="R481" s="48" t="s">
        <v>6613</v>
      </c>
      <c r="S481" s="48" t="s">
        <v>186</v>
      </c>
      <c r="T481" s="49" t="s">
        <v>74</v>
      </c>
      <c r="U481" s="7" t="s">
        <v>75</v>
      </c>
      <c r="V481" s="7"/>
      <c r="W481" s="50">
        <v>3.27</v>
      </c>
      <c r="X481" s="49" t="s">
        <v>1453</v>
      </c>
      <c r="Y481" s="49" t="s">
        <v>1628</v>
      </c>
      <c r="Z481" s="49" t="s">
        <v>1689</v>
      </c>
      <c r="AA481" s="61">
        <v>0.94</v>
      </c>
      <c r="AB481" s="48" t="s">
        <v>6618</v>
      </c>
      <c r="AC481" s="62" t="s">
        <v>6612</v>
      </c>
      <c r="AD481" s="53" t="str">
        <f t="shared" si="332"/>
        <v>Link</v>
      </c>
      <c r="AE481" s="54">
        <v>17595</v>
      </c>
      <c r="AF481" s="55"/>
      <c r="AG481" s="85"/>
      <c r="AH481" s="56">
        <v>157951</v>
      </c>
      <c r="AI481" s="56"/>
      <c r="AJ481" s="56"/>
    </row>
    <row r="482" spans="1:36" ht="15" x14ac:dyDescent="0.2">
      <c r="A482" s="43" t="s">
        <v>5941</v>
      </c>
      <c r="B482" s="33" t="s">
        <v>935</v>
      </c>
      <c r="C482" s="7" t="s">
        <v>67</v>
      </c>
      <c r="D482" s="7" t="s">
        <v>6639</v>
      </c>
      <c r="E482" s="44">
        <v>5</v>
      </c>
      <c r="F482" s="7"/>
      <c r="G482" s="7"/>
      <c r="H482" s="2" t="s">
        <v>6603</v>
      </c>
      <c r="I482" s="7" t="s">
        <v>4894</v>
      </c>
      <c r="J482" s="7" t="s">
        <v>6640</v>
      </c>
      <c r="K482" s="7" t="s">
        <v>55</v>
      </c>
      <c r="L482" s="7" t="s">
        <v>6642</v>
      </c>
      <c r="M482" s="7"/>
      <c r="N482" s="45" t="str">
        <f>HYPERLINK("twitter.com/WKUSoftball","@WKUSoftball")</f>
        <v>@WKUSoftball</v>
      </c>
      <c r="O482" s="74" t="str">
        <f t="shared" si="331"/>
        <v>Questionnaire</v>
      </c>
      <c r="P482" s="48" t="s">
        <v>6612</v>
      </c>
      <c r="Q482" s="47" t="s">
        <v>935</v>
      </c>
      <c r="R482" s="48" t="s">
        <v>6613</v>
      </c>
      <c r="S482" s="48" t="s">
        <v>186</v>
      </c>
      <c r="T482" s="49" t="s">
        <v>74</v>
      </c>
      <c r="U482" s="7" t="s">
        <v>75</v>
      </c>
      <c r="V482" s="7"/>
      <c r="W482" s="50">
        <v>3.27</v>
      </c>
      <c r="X482" s="49" t="s">
        <v>1453</v>
      </c>
      <c r="Y482" s="49" t="s">
        <v>1628</v>
      </c>
      <c r="Z482" s="49" t="s">
        <v>1689</v>
      </c>
      <c r="AA482" s="61">
        <v>0.94</v>
      </c>
      <c r="AB482" s="48" t="s">
        <v>6618</v>
      </c>
      <c r="AC482" s="62" t="s">
        <v>6612</v>
      </c>
      <c r="AD482" s="53" t="str">
        <f t="shared" si="332"/>
        <v>Link</v>
      </c>
      <c r="AE482" s="54">
        <v>17595</v>
      </c>
      <c r="AF482" s="55"/>
      <c r="AG482" s="85"/>
      <c r="AH482" s="56">
        <v>157951</v>
      </c>
      <c r="AI482" s="56"/>
      <c r="AJ482" s="56"/>
    </row>
    <row r="483" spans="1:36" ht="13" x14ac:dyDescent="0.15">
      <c r="A483" s="64" t="s">
        <v>6652</v>
      </c>
      <c r="B483" s="2" t="s">
        <v>1814</v>
      </c>
      <c r="C483" s="7" t="s">
        <v>67</v>
      </c>
      <c r="D483" s="7" t="s">
        <v>6655</v>
      </c>
      <c r="E483" s="44">
        <v>5</v>
      </c>
      <c r="F483" s="7"/>
      <c r="G483" s="7"/>
      <c r="H483" s="2" t="s">
        <v>6657</v>
      </c>
      <c r="I483" s="7" t="s">
        <v>206</v>
      </c>
      <c r="J483" s="7" t="s">
        <v>6658</v>
      </c>
      <c r="K483" s="7" t="s">
        <v>48</v>
      </c>
      <c r="L483" s="7" t="s">
        <v>6660</v>
      </c>
      <c r="M483" s="7" t="s">
        <v>6661</v>
      </c>
      <c r="N483" s="45" t="str">
        <f t="shared" ref="N483:N485" si="333">HYPERLINK("twitter.com/csu_softball","@csu_softball")</f>
        <v>@csu_softball</v>
      </c>
      <c r="O483" s="74" t="str">
        <f t="shared" ref="O483:O485" si="334">HYPERLINK("http://www.csuvikings.com/sports/w-softbl/2015-16/files/Softball_Questionnaire.pdf","Questionnaire")</f>
        <v>Questionnaire</v>
      </c>
      <c r="P483" s="48" t="s">
        <v>6666</v>
      </c>
      <c r="Q483" s="60" t="s">
        <v>1814</v>
      </c>
      <c r="R483" s="48" t="s">
        <v>6150</v>
      </c>
      <c r="S483" s="48" t="s">
        <v>354</v>
      </c>
      <c r="T483" s="4" t="s">
        <v>74</v>
      </c>
      <c r="U483" s="7" t="s">
        <v>75</v>
      </c>
      <c r="V483" s="7"/>
      <c r="W483" s="91">
        <v>3.29</v>
      </c>
      <c r="X483" s="49" t="s">
        <v>1622</v>
      </c>
      <c r="Y483" s="49" t="s">
        <v>3853</v>
      </c>
      <c r="Z483" s="49" t="s">
        <v>746</v>
      </c>
      <c r="AA483" s="38">
        <v>0.87450000000000006</v>
      </c>
      <c r="AB483" s="6" t="s">
        <v>6667</v>
      </c>
      <c r="AC483" s="90" t="s">
        <v>6666</v>
      </c>
      <c r="AD483" s="53" t="str">
        <f t="shared" ref="AD483:AD485" si="335">HYPERLINK("http://www.csuohio.edu/majors/majors","Link")</f>
        <v>Link</v>
      </c>
      <c r="AE483" s="42">
        <v>12352</v>
      </c>
      <c r="AF483" s="55"/>
      <c r="AG483" s="85"/>
      <c r="AH483" s="56">
        <v>202134</v>
      </c>
      <c r="AI483" s="56"/>
      <c r="AJ483" s="56"/>
    </row>
    <row r="484" spans="1:36" ht="13" x14ac:dyDescent="0.15">
      <c r="A484" s="64" t="s">
        <v>6652</v>
      </c>
      <c r="B484" s="2" t="s">
        <v>1814</v>
      </c>
      <c r="C484" s="7" t="s">
        <v>67</v>
      </c>
      <c r="D484" s="7" t="s">
        <v>6671</v>
      </c>
      <c r="E484" s="44">
        <v>5</v>
      </c>
      <c r="F484" s="7"/>
      <c r="G484" s="7"/>
      <c r="H484" s="2" t="s">
        <v>6657</v>
      </c>
      <c r="I484" s="7" t="s">
        <v>1311</v>
      </c>
      <c r="J484" s="7" t="s">
        <v>6673</v>
      </c>
      <c r="K484" s="7" t="s">
        <v>55</v>
      </c>
      <c r="L484" s="7" t="s">
        <v>6675</v>
      </c>
      <c r="M484" s="7" t="s">
        <v>6676</v>
      </c>
      <c r="N484" s="45" t="str">
        <f t="shared" si="333"/>
        <v>@csu_softball</v>
      </c>
      <c r="O484" s="74" t="str">
        <f t="shared" si="334"/>
        <v>Questionnaire</v>
      </c>
      <c r="P484" s="48" t="s">
        <v>6666</v>
      </c>
      <c r="Q484" s="60" t="s">
        <v>1814</v>
      </c>
      <c r="R484" s="48" t="s">
        <v>6150</v>
      </c>
      <c r="S484" s="48" t="s">
        <v>354</v>
      </c>
      <c r="T484" s="4" t="s">
        <v>74</v>
      </c>
      <c r="U484" s="7" t="s">
        <v>75</v>
      </c>
      <c r="V484" s="7"/>
      <c r="W484" s="91">
        <v>3.29</v>
      </c>
      <c r="X484" s="49" t="s">
        <v>1622</v>
      </c>
      <c r="Y484" s="49" t="s">
        <v>3853</v>
      </c>
      <c r="Z484" s="49" t="s">
        <v>746</v>
      </c>
      <c r="AA484" s="38">
        <v>0.87450000000000006</v>
      </c>
      <c r="AB484" s="6" t="s">
        <v>6667</v>
      </c>
      <c r="AC484" s="90" t="s">
        <v>6666</v>
      </c>
      <c r="AD484" s="53" t="str">
        <f t="shared" si="335"/>
        <v>Link</v>
      </c>
      <c r="AE484" s="42">
        <v>12352</v>
      </c>
      <c r="AF484" s="55"/>
      <c r="AG484" s="85"/>
      <c r="AH484" s="56">
        <v>202134</v>
      </c>
      <c r="AI484" s="56"/>
      <c r="AJ484" s="56"/>
    </row>
    <row r="485" spans="1:36" ht="13" x14ac:dyDescent="0.15">
      <c r="A485" s="64" t="s">
        <v>6652</v>
      </c>
      <c r="B485" s="2" t="s">
        <v>1814</v>
      </c>
      <c r="C485" s="7" t="s">
        <v>67</v>
      </c>
      <c r="D485" s="7" t="s">
        <v>6680</v>
      </c>
      <c r="E485" s="44">
        <v>5</v>
      </c>
      <c r="F485" s="7" t="s">
        <v>116</v>
      </c>
      <c r="G485" s="7"/>
      <c r="H485" s="2" t="s">
        <v>6657</v>
      </c>
      <c r="I485" s="7" t="s">
        <v>6683</v>
      </c>
      <c r="J485" s="7" t="s">
        <v>6684</v>
      </c>
      <c r="K485" s="7" t="s">
        <v>55</v>
      </c>
      <c r="L485" s="7" t="s">
        <v>6685</v>
      </c>
      <c r="M485" s="7" t="s">
        <v>6687</v>
      </c>
      <c r="N485" s="45" t="str">
        <f t="shared" si="333"/>
        <v>@csu_softball</v>
      </c>
      <c r="O485" s="74" t="str">
        <f t="shared" si="334"/>
        <v>Questionnaire</v>
      </c>
      <c r="P485" s="48" t="s">
        <v>6666</v>
      </c>
      <c r="Q485" s="60" t="s">
        <v>1814</v>
      </c>
      <c r="R485" s="48" t="s">
        <v>6150</v>
      </c>
      <c r="S485" s="48" t="s">
        <v>354</v>
      </c>
      <c r="T485" s="4" t="s">
        <v>74</v>
      </c>
      <c r="U485" s="48" t="s">
        <v>75</v>
      </c>
      <c r="V485" s="73"/>
      <c r="W485" s="91">
        <v>3.29</v>
      </c>
      <c r="X485" s="49" t="s">
        <v>1622</v>
      </c>
      <c r="Y485" s="49" t="s">
        <v>3853</v>
      </c>
      <c r="Z485" s="49" t="s">
        <v>746</v>
      </c>
      <c r="AA485" s="38">
        <v>0.87450000000000006</v>
      </c>
      <c r="AB485" s="6" t="s">
        <v>6667</v>
      </c>
      <c r="AC485" s="90" t="s">
        <v>6666</v>
      </c>
      <c r="AD485" s="53" t="str">
        <f t="shared" si="335"/>
        <v>Link</v>
      </c>
      <c r="AE485" s="42">
        <v>12352</v>
      </c>
      <c r="AF485" s="55"/>
      <c r="AG485" s="85"/>
      <c r="AH485" s="56">
        <v>202134</v>
      </c>
      <c r="AI485" s="85"/>
      <c r="AJ485" s="85"/>
    </row>
    <row r="486" spans="1:36" ht="13" x14ac:dyDescent="0.15">
      <c r="A486" s="64" t="s">
        <v>6652</v>
      </c>
      <c r="B486" s="2" t="s">
        <v>4538</v>
      </c>
      <c r="C486" s="7" t="s">
        <v>67</v>
      </c>
      <c r="D486" s="7" t="s">
        <v>6697</v>
      </c>
      <c r="E486" s="44">
        <v>5</v>
      </c>
      <c r="F486" s="7"/>
      <c r="G486" s="7"/>
      <c r="H486" s="2" t="s">
        <v>6700</v>
      </c>
      <c r="I486" s="7" t="s">
        <v>6702</v>
      </c>
      <c r="J486" s="7" t="s">
        <v>1455</v>
      </c>
      <c r="K486" s="7" t="s">
        <v>48</v>
      </c>
      <c r="L486" s="7" t="s">
        <v>6703</v>
      </c>
      <c r="M486" s="7" t="s">
        <v>6704</v>
      </c>
      <c r="N486" s="45" t="str">
        <f t="shared" ref="N486:N489" si="336">HYPERLINK("twitter.com/detroittitanssb","@detroittitanssb")</f>
        <v>@detroittitanssb</v>
      </c>
      <c r="O486" s="74" t="str">
        <f t="shared" ref="O486:O489" si="337">HYPERLINK("https://questionnaire.acsathletics.com/Questionnaire/Questionnaire.aspx?q=1241&amp;s=12403&amp;o=232","Questionnaire")</f>
        <v>Questionnaire</v>
      </c>
      <c r="P486" s="48" t="s">
        <v>5681</v>
      </c>
      <c r="Q486" s="60" t="s">
        <v>4538</v>
      </c>
      <c r="R486" s="48" t="s">
        <v>5681</v>
      </c>
      <c r="S486" s="48" t="s">
        <v>354</v>
      </c>
      <c r="T486" s="4" t="s">
        <v>63</v>
      </c>
      <c r="U486" s="2" t="s">
        <v>343</v>
      </c>
      <c r="V486" s="7"/>
      <c r="W486" s="91">
        <v>3.59</v>
      </c>
      <c r="X486" s="49" t="s">
        <v>6713</v>
      </c>
      <c r="Y486" s="49" t="s">
        <v>6714</v>
      </c>
      <c r="Z486" s="49" t="s">
        <v>320</v>
      </c>
      <c r="AA486" s="65">
        <v>0.78</v>
      </c>
      <c r="AB486" s="39">
        <v>53574</v>
      </c>
      <c r="AC486" s="84" t="s">
        <v>5681</v>
      </c>
      <c r="AD486" s="53" t="str">
        <f t="shared" ref="AD486:AD489" si="338">HYPERLINK("http://www.udmercy.edu/academics/programs/","Link")</f>
        <v>Link</v>
      </c>
      <c r="AE486" s="42">
        <v>2646</v>
      </c>
      <c r="AF486" s="55"/>
      <c r="AG486" s="85"/>
      <c r="AH486" s="56">
        <v>169716</v>
      </c>
      <c r="AI486" s="56"/>
      <c r="AJ486" s="56"/>
    </row>
    <row r="487" spans="1:36" ht="13" x14ac:dyDescent="0.15">
      <c r="A487" s="64" t="s">
        <v>6652</v>
      </c>
      <c r="B487" s="2" t="s">
        <v>4538</v>
      </c>
      <c r="C487" s="7" t="s">
        <v>67</v>
      </c>
      <c r="D487" s="7" t="s">
        <v>6722</v>
      </c>
      <c r="E487" s="44">
        <v>5</v>
      </c>
      <c r="F487" s="7"/>
      <c r="G487" s="7" t="s">
        <v>126</v>
      </c>
      <c r="H487" s="2" t="s">
        <v>6700</v>
      </c>
      <c r="I487" s="7" t="s">
        <v>6724</v>
      </c>
      <c r="J487" s="7"/>
      <c r="K487" s="7"/>
      <c r="L487" s="7"/>
      <c r="M487" s="7"/>
      <c r="N487" s="45" t="str">
        <f t="shared" si="336"/>
        <v>@detroittitanssb</v>
      </c>
      <c r="O487" s="74" t="str">
        <f t="shared" si="337"/>
        <v>Questionnaire</v>
      </c>
      <c r="P487" s="48" t="s">
        <v>5681</v>
      </c>
      <c r="Q487" s="60" t="s">
        <v>4538</v>
      </c>
      <c r="R487" s="48" t="s">
        <v>5681</v>
      </c>
      <c r="S487" s="48" t="s">
        <v>354</v>
      </c>
      <c r="T487" s="4" t="s">
        <v>63</v>
      </c>
      <c r="U487" s="2" t="s">
        <v>343</v>
      </c>
      <c r="V487" s="7"/>
      <c r="W487" s="91">
        <v>3.59</v>
      </c>
      <c r="X487" s="49" t="s">
        <v>6713</v>
      </c>
      <c r="Y487" s="49" t="s">
        <v>6714</v>
      </c>
      <c r="Z487" s="49" t="s">
        <v>320</v>
      </c>
      <c r="AA487" s="65">
        <v>0.78</v>
      </c>
      <c r="AB487" s="39">
        <v>53574</v>
      </c>
      <c r="AC487" s="84" t="s">
        <v>5681</v>
      </c>
      <c r="AD487" s="53" t="str">
        <f t="shared" si="338"/>
        <v>Link</v>
      </c>
      <c r="AE487" s="42">
        <v>2646</v>
      </c>
      <c r="AF487" s="55"/>
      <c r="AG487" s="85"/>
      <c r="AH487" s="56">
        <v>169716</v>
      </c>
      <c r="AI487" s="56"/>
      <c r="AJ487" s="56"/>
    </row>
    <row r="488" spans="1:36" ht="13" x14ac:dyDescent="0.15">
      <c r="A488" s="64" t="s">
        <v>6652</v>
      </c>
      <c r="B488" s="2" t="s">
        <v>4538</v>
      </c>
      <c r="C488" s="7" t="s">
        <v>67</v>
      </c>
      <c r="D488" s="7" t="s">
        <v>6731</v>
      </c>
      <c r="E488" s="44">
        <v>5</v>
      </c>
      <c r="F488" s="7"/>
      <c r="G488" s="7"/>
      <c r="H488" s="2" t="s">
        <v>6700</v>
      </c>
      <c r="I488" s="7" t="s">
        <v>2289</v>
      </c>
      <c r="J488" s="7" t="s">
        <v>1727</v>
      </c>
      <c r="K488" s="7" t="s">
        <v>120</v>
      </c>
      <c r="L488" s="7" t="s">
        <v>6735</v>
      </c>
      <c r="M488" s="7"/>
      <c r="N488" s="45" t="str">
        <f t="shared" si="336"/>
        <v>@detroittitanssb</v>
      </c>
      <c r="O488" s="74" t="str">
        <f t="shared" si="337"/>
        <v>Questionnaire</v>
      </c>
      <c r="P488" s="48" t="s">
        <v>5681</v>
      </c>
      <c r="Q488" s="60" t="s">
        <v>4538</v>
      </c>
      <c r="R488" s="48" t="s">
        <v>5681</v>
      </c>
      <c r="S488" s="48" t="s">
        <v>354</v>
      </c>
      <c r="T488" s="4" t="s">
        <v>63</v>
      </c>
      <c r="U488" s="2" t="s">
        <v>343</v>
      </c>
      <c r="V488" s="7"/>
      <c r="W488" s="91">
        <v>3.59</v>
      </c>
      <c r="X488" s="49" t="s">
        <v>6713</v>
      </c>
      <c r="Y488" s="49" t="s">
        <v>6714</v>
      </c>
      <c r="Z488" s="49" t="s">
        <v>320</v>
      </c>
      <c r="AA488" s="65">
        <v>0.78</v>
      </c>
      <c r="AB488" s="39">
        <v>53574</v>
      </c>
      <c r="AC488" s="84" t="s">
        <v>5681</v>
      </c>
      <c r="AD488" s="53" t="str">
        <f t="shared" si="338"/>
        <v>Link</v>
      </c>
      <c r="AE488" s="42">
        <v>2646</v>
      </c>
      <c r="AF488" s="55"/>
      <c r="AG488" s="85"/>
      <c r="AH488" s="56">
        <v>169716</v>
      </c>
      <c r="AI488" s="56"/>
      <c r="AJ488" s="56"/>
    </row>
    <row r="489" spans="1:36" ht="13" x14ac:dyDescent="0.15">
      <c r="A489" s="64" t="s">
        <v>6652</v>
      </c>
      <c r="B489" s="2" t="s">
        <v>4538</v>
      </c>
      <c r="C489" s="7" t="s">
        <v>67</v>
      </c>
      <c r="D489" s="7" t="s">
        <v>6742</v>
      </c>
      <c r="E489" s="44">
        <v>5</v>
      </c>
      <c r="F489" s="7"/>
      <c r="G489" s="7"/>
      <c r="H489" s="2" t="s">
        <v>6700</v>
      </c>
      <c r="I489" s="7" t="s">
        <v>363</v>
      </c>
      <c r="J489" s="7" t="s">
        <v>855</v>
      </c>
      <c r="K489" s="7" t="s">
        <v>139</v>
      </c>
      <c r="L489" s="7"/>
      <c r="M489" s="7"/>
      <c r="N489" s="45" t="str">
        <f t="shared" si="336"/>
        <v>@detroittitanssb</v>
      </c>
      <c r="O489" s="74" t="str">
        <f t="shared" si="337"/>
        <v>Questionnaire</v>
      </c>
      <c r="P489" s="48" t="s">
        <v>5681</v>
      </c>
      <c r="Q489" s="60" t="s">
        <v>4538</v>
      </c>
      <c r="R489" s="48" t="s">
        <v>5681</v>
      </c>
      <c r="S489" s="48" t="s">
        <v>354</v>
      </c>
      <c r="T489" s="4" t="s">
        <v>63</v>
      </c>
      <c r="U489" s="2" t="s">
        <v>343</v>
      </c>
      <c r="V489" s="7"/>
      <c r="W489" s="91">
        <v>3.59</v>
      </c>
      <c r="X489" s="49" t="s">
        <v>6713</v>
      </c>
      <c r="Y489" s="49" t="s">
        <v>6714</v>
      </c>
      <c r="Z489" s="49" t="s">
        <v>320</v>
      </c>
      <c r="AA489" s="65">
        <v>0.78</v>
      </c>
      <c r="AB489" s="39">
        <v>53574</v>
      </c>
      <c r="AC489" s="84" t="s">
        <v>5681</v>
      </c>
      <c r="AD489" s="53" t="str">
        <f t="shared" si="338"/>
        <v>Link</v>
      </c>
      <c r="AE489" s="42">
        <v>2646</v>
      </c>
      <c r="AF489" s="55"/>
      <c r="AG489" s="85"/>
      <c r="AH489" s="56">
        <v>169716</v>
      </c>
      <c r="AI489" s="56"/>
      <c r="AJ489" s="56"/>
    </row>
    <row r="490" spans="1:36" ht="15" x14ac:dyDescent="0.2">
      <c r="A490" s="43" t="s">
        <v>6652</v>
      </c>
      <c r="B490" s="33" t="s">
        <v>1721</v>
      </c>
      <c r="C490" s="7" t="s">
        <v>67</v>
      </c>
      <c r="D490" s="7" t="s">
        <v>6746</v>
      </c>
      <c r="E490" s="44">
        <v>5</v>
      </c>
      <c r="F490" s="7"/>
      <c r="G490" s="7"/>
      <c r="H490" s="2" t="s">
        <v>6747</v>
      </c>
      <c r="I490" s="7" t="s">
        <v>3179</v>
      </c>
      <c r="J490" s="7" t="s">
        <v>6749</v>
      </c>
      <c r="K490" s="7" t="s">
        <v>48</v>
      </c>
      <c r="L490" s="7" t="s">
        <v>6751</v>
      </c>
      <c r="M490" s="7" t="s">
        <v>6752</v>
      </c>
      <c r="N490" s="45" t="str">
        <f t="shared" ref="N490:N492" si="339">HYPERLINK("twitter.com/UICsoftball","@UICsoftball")</f>
        <v>@UICsoftball</v>
      </c>
      <c r="O490" s="74" t="str">
        <f t="shared" ref="O490:O492" si="340">HYPERLINK("https://uicflames.com/sports/2016/6/27/recruiting-contacts-by-sport.aspx","Questionnaire")</f>
        <v>Questionnaire</v>
      </c>
      <c r="P490" s="48" t="s">
        <v>6762</v>
      </c>
      <c r="Q490" s="47" t="s">
        <v>1721</v>
      </c>
      <c r="R490" s="48" t="s">
        <v>1877</v>
      </c>
      <c r="S490" s="48" t="s">
        <v>288</v>
      </c>
      <c r="T490" s="49" t="s">
        <v>74</v>
      </c>
      <c r="U490" s="7" t="s">
        <v>75</v>
      </c>
      <c r="V490" s="7"/>
      <c r="W490" s="50">
        <v>3.32</v>
      </c>
      <c r="X490" s="49" t="s">
        <v>2141</v>
      </c>
      <c r="Y490" s="49" t="s">
        <v>6768</v>
      </c>
      <c r="Z490" s="49" t="s">
        <v>545</v>
      </c>
      <c r="AA490" s="61">
        <v>0.74</v>
      </c>
      <c r="AB490" s="48" t="s">
        <v>6769</v>
      </c>
      <c r="AC490" s="62" t="s">
        <v>6762</v>
      </c>
      <c r="AD490" s="53" t="str">
        <f t="shared" ref="AD490:AD492" si="341">HYPERLINK("https://catalog.uic.edu/ucat/degree-programs/degree-minors/","Link")</f>
        <v>Link</v>
      </c>
      <c r="AE490" s="54">
        <v>17959</v>
      </c>
      <c r="AF490" s="54">
        <v>145</v>
      </c>
      <c r="AG490" s="85"/>
      <c r="AH490" s="56">
        <v>145600</v>
      </c>
      <c r="AI490" s="56"/>
      <c r="AJ490" s="56"/>
    </row>
    <row r="491" spans="1:36" ht="15" x14ac:dyDescent="0.2">
      <c r="A491" s="43" t="s">
        <v>6652</v>
      </c>
      <c r="B491" s="33" t="s">
        <v>1721</v>
      </c>
      <c r="C491" s="7" t="s">
        <v>67</v>
      </c>
      <c r="D491" s="7" t="s">
        <v>6771</v>
      </c>
      <c r="E491" s="44">
        <v>5</v>
      </c>
      <c r="F491" s="7"/>
      <c r="G491" s="7"/>
      <c r="H491" s="2" t="s">
        <v>6747</v>
      </c>
      <c r="I491" s="7" t="s">
        <v>1217</v>
      </c>
      <c r="J491" s="7" t="s">
        <v>6773</v>
      </c>
      <c r="K491" s="7" t="s">
        <v>55</v>
      </c>
      <c r="L491" s="7" t="s">
        <v>6774</v>
      </c>
      <c r="M491" s="7" t="s">
        <v>6776</v>
      </c>
      <c r="N491" s="45" t="str">
        <f t="shared" si="339"/>
        <v>@UICsoftball</v>
      </c>
      <c r="O491" s="74" t="str">
        <f t="shared" si="340"/>
        <v>Questionnaire</v>
      </c>
      <c r="P491" s="48" t="s">
        <v>6762</v>
      </c>
      <c r="Q491" s="47" t="s">
        <v>1721</v>
      </c>
      <c r="R491" s="48" t="s">
        <v>1877</v>
      </c>
      <c r="S491" s="48" t="s">
        <v>288</v>
      </c>
      <c r="T491" s="49" t="s">
        <v>74</v>
      </c>
      <c r="U491" s="7" t="s">
        <v>75</v>
      </c>
      <c r="V491" s="7"/>
      <c r="W491" s="50">
        <v>3.32</v>
      </c>
      <c r="X491" s="49" t="s">
        <v>2141</v>
      </c>
      <c r="Y491" s="49" t="s">
        <v>6768</v>
      </c>
      <c r="Z491" s="49" t="s">
        <v>545</v>
      </c>
      <c r="AA491" s="61">
        <v>0.74</v>
      </c>
      <c r="AB491" s="48" t="s">
        <v>6769</v>
      </c>
      <c r="AC491" s="62" t="s">
        <v>6762</v>
      </c>
      <c r="AD491" s="53" t="str">
        <f t="shared" si="341"/>
        <v>Link</v>
      </c>
      <c r="AE491" s="54">
        <v>17959</v>
      </c>
      <c r="AF491" s="54">
        <v>145</v>
      </c>
      <c r="AG491" s="85"/>
      <c r="AH491" s="56">
        <v>145600</v>
      </c>
      <c r="AI491" s="56"/>
      <c r="AJ491" s="56"/>
    </row>
    <row r="492" spans="1:36" ht="15" x14ac:dyDescent="0.2">
      <c r="A492" s="43" t="s">
        <v>6652</v>
      </c>
      <c r="B492" s="33" t="s">
        <v>1721</v>
      </c>
      <c r="C492" s="7" t="s">
        <v>67</v>
      </c>
      <c r="D492" s="7" t="s">
        <v>6780</v>
      </c>
      <c r="E492" s="44">
        <v>5</v>
      </c>
      <c r="F492" s="7" t="s">
        <v>116</v>
      </c>
      <c r="G492" s="7"/>
      <c r="H492" s="2" t="s">
        <v>6747</v>
      </c>
      <c r="I492" s="7" t="s">
        <v>5320</v>
      </c>
      <c r="J492" s="7" t="s">
        <v>6781</v>
      </c>
      <c r="K492" s="7" t="s">
        <v>55</v>
      </c>
      <c r="L492" s="7" t="s">
        <v>6783</v>
      </c>
      <c r="M492" s="7"/>
      <c r="N492" s="45" t="str">
        <f t="shared" si="339"/>
        <v>@UICsoftball</v>
      </c>
      <c r="O492" s="74" t="str">
        <f t="shared" si="340"/>
        <v>Questionnaire</v>
      </c>
      <c r="P492" s="48" t="s">
        <v>6762</v>
      </c>
      <c r="Q492" s="47" t="s">
        <v>1721</v>
      </c>
      <c r="R492" s="48" t="s">
        <v>1877</v>
      </c>
      <c r="S492" s="48" t="s">
        <v>288</v>
      </c>
      <c r="T492" s="49" t="s">
        <v>74</v>
      </c>
      <c r="U492" s="7" t="s">
        <v>75</v>
      </c>
      <c r="V492" s="7"/>
      <c r="W492" s="50">
        <v>3.32</v>
      </c>
      <c r="X492" s="49" t="s">
        <v>2141</v>
      </c>
      <c r="Y492" s="49" t="s">
        <v>6768</v>
      </c>
      <c r="Z492" s="49" t="s">
        <v>545</v>
      </c>
      <c r="AA492" s="61">
        <v>0.74</v>
      </c>
      <c r="AB492" s="48" t="s">
        <v>6769</v>
      </c>
      <c r="AC492" s="62" t="s">
        <v>6762</v>
      </c>
      <c r="AD492" s="53" t="str">
        <f t="shared" si="341"/>
        <v>Link</v>
      </c>
      <c r="AE492" s="54">
        <v>17959</v>
      </c>
      <c r="AF492" s="54">
        <v>145</v>
      </c>
      <c r="AG492" s="85"/>
      <c r="AH492" s="56">
        <v>145600</v>
      </c>
      <c r="AI492" s="56"/>
      <c r="AJ492" s="56"/>
    </row>
    <row r="493" spans="1:36" ht="13" x14ac:dyDescent="0.15">
      <c r="A493" s="64" t="s">
        <v>6652</v>
      </c>
      <c r="B493" s="2" t="s">
        <v>1151</v>
      </c>
      <c r="C493" s="7" t="s">
        <v>67</v>
      </c>
      <c r="D493" s="7" t="s">
        <v>6789</v>
      </c>
      <c r="E493" s="44">
        <v>5</v>
      </c>
      <c r="F493" s="7"/>
      <c r="G493" s="7"/>
      <c r="H493" s="2" t="s">
        <v>6790</v>
      </c>
      <c r="I493" s="7" t="s">
        <v>6792</v>
      </c>
      <c r="J493" s="7" t="s">
        <v>6793</v>
      </c>
      <c r="K493" s="7" t="s">
        <v>48</v>
      </c>
      <c r="L493" s="7" t="s">
        <v>6795</v>
      </c>
      <c r="M493" s="7" t="s">
        <v>6797</v>
      </c>
      <c r="N493" s="45" t="str">
        <f t="shared" ref="N493:N494" si="342">HYPERLINK("twitter.com/iupuisoftball","@iupuisoftball")</f>
        <v>@iupuisoftball</v>
      </c>
      <c r="O493" s="74" t="str">
        <f t="shared" ref="O493:O494" si="343">HYPERLINK("https://college.jumpforward.com/questionnaire.aspx?iid=1623&amp;sportid=31","Questionnaire")</f>
        <v>Questionnaire</v>
      </c>
      <c r="P493" s="48" t="s">
        <v>6803</v>
      </c>
      <c r="Q493" s="60" t="s">
        <v>1151</v>
      </c>
      <c r="R493" s="48" t="s">
        <v>3079</v>
      </c>
      <c r="S493" s="48" t="s">
        <v>354</v>
      </c>
      <c r="T493" s="4" t="s">
        <v>74</v>
      </c>
      <c r="U493" s="7" t="s">
        <v>75</v>
      </c>
      <c r="V493" s="7"/>
      <c r="W493" s="91">
        <v>3.45</v>
      </c>
      <c r="X493" s="49" t="s">
        <v>396</v>
      </c>
      <c r="Y493" s="49" t="s">
        <v>1029</v>
      </c>
      <c r="Z493" s="49" t="s">
        <v>1689</v>
      </c>
      <c r="AA493" s="65">
        <v>0.74</v>
      </c>
      <c r="AB493" s="6" t="s">
        <v>6804</v>
      </c>
      <c r="AC493" s="84" t="s">
        <v>6803</v>
      </c>
      <c r="AD493" s="53" t="str">
        <f t="shared" ref="AD493:AD494" si="344">HYPERLINK("https://www.iupui.edu/academics/degrees-majors/index.html","Link")</f>
        <v>Link</v>
      </c>
      <c r="AE493" s="42">
        <v>21748</v>
      </c>
      <c r="AF493" s="42">
        <v>192</v>
      </c>
      <c r="AG493" s="85"/>
      <c r="AH493" s="56">
        <v>151111</v>
      </c>
      <c r="AI493" s="56"/>
      <c r="AJ493" s="56"/>
    </row>
    <row r="494" spans="1:36" ht="13" x14ac:dyDescent="0.15">
      <c r="A494" s="64" t="s">
        <v>6652</v>
      </c>
      <c r="B494" s="2" t="s">
        <v>1151</v>
      </c>
      <c r="C494" s="7" t="s">
        <v>67</v>
      </c>
      <c r="D494" s="7" t="s">
        <v>6809</v>
      </c>
      <c r="E494" s="44">
        <v>5</v>
      </c>
      <c r="F494" s="7"/>
      <c r="G494" s="7"/>
      <c r="H494" s="2" t="s">
        <v>6790</v>
      </c>
      <c r="I494" s="7" t="s">
        <v>201</v>
      </c>
      <c r="J494" s="7" t="s">
        <v>6811</v>
      </c>
      <c r="K494" s="7" t="s">
        <v>55</v>
      </c>
      <c r="L494" s="7" t="s">
        <v>6813</v>
      </c>
      <c r="M494" s="7"/>
      <c r="N494" s="45" t="str">
        <f t="shared" si="342"/>
        <v>@iupuisoftball</v>
      </c>
      <c r="O494" s="74" t="str">
        <f t="shared" si="343"/>
        <v>Questionnaire</v>
      </c>
      <c r="P494" s="48" t="s">
        <v>6803</v>
      </c>
      <c r="Q494" s="60" t="s">
        <v>1151</v>
      </c>
      <c r="R494" s="48" t="s">
        <v>3079</v>
      </c>
      <c r="S494" s="48" t="s">
        <v>354</v>
      </c>
      <c r="T494" s="4" t="s">
        <v>74</v>
      </c>
      <c r="U494" s="7" t="s">
        <v>75</v>
      </c>
      <c r="V494" s="7"/>
      <c r="W494" s="91">
        <v>3.45</v>
      </c>
      <c r="X494" s="49" t="s">
        <v>396</v>
      </c>
      <c r="Y494" s="49" t="s">
        <v>1029</v>
      </c>
      <c r="Z494" s="49" t="s">
        <v>1689</v>
      </c>
      <c r="AA494" s="65">
        <v>0.74</v>
      </c>
      <c r="AB494" s="6" t="s">
        <v>6804</v>
      </c>
      <c r="AC494" s="84" t="s">
        <v>6803</v>
      </c>
      <c r="AD494" s="53" t="str">
        <f t="shared" si="344"/>
        <v>Link</v>
      </c>
      <c r="AE494" s="42">
        <v>21748</v>
      </c>
      <c r="AF494" s="42">
        <v>192</v>
      </c>
      <c r="AG494" s="85"/>
      <c r="AH494" s="56">
        <v>151111</v>
      </c>
      <c r="AI494" s="56"/>
      <c r="AJ494" s="56"/>
    </row>
    <row r="495" spans="1:36" ht="15" x14ac:dyDescent="0.2">
      <c r="A495" s="43" t="s">
        <v>6652</v>
      </c>
      <c r="B495" s="33" t="s">
        <v>935</v>
      </c>
      <c r="C495" s="7" t="s">
        <v>67</v>
      </c>
      <c r="D495" s="7" t="s">
        <v>6820</v>
      </c>
      <c r="E495" s="44">
        <v>5</v>
      </c>
      <c r="F495" s="7"/>
      <c r="G495" s="7"/>
      <c r="H495" s="2" t="s">
        <v>6822</v>
      </c>
      <c r="I495" s="7" t="s">
        <v>3030</v>
      </c>
      <c r="J495" s="7" t="s">
        <v>6824</v>
      </c>
      <c r="K495" s="7" t="s">
        <v>48</v>
      </c>
      <c r="L495" s="7" t="s">
        <v>6826</v>
      </c>
      <c r="M495" s="7" t="s">
        <v>6827</v>
      </c>
      <c r="N495" s="69" t="str">
        <f t="shared" ref="N495:N497" si="345">HYPERLINK("twitter.com/NKUNorseSB","@NKUNorseSB")</f>
        <v>@NKUNorseSB</v>
      </c>
      <c r="O495" s="74" t="str">
        <f t="shared" ref="O495:O497" si="346">HYPERLINK("https://nkunorse.com/sb_output.aspx?form=3","Questionnaire")</f>
        <v>Questionnaire</v>
      </c>
      <c r="P495" s="48" t="s">
        <v>6831</v>
      </c>
      <c r="Q495" s="47" t="s">
        <v>935</v>
      </c>
      <c r="R495" s="48" t="s">
        <v>6834</v>
      </c>
      <c r="S495" s="60" t="s">
        <v>205</v>
      </c>
      <c r="T495" s="49" t="s">
        <v>74</v>
      </c>
      <c r="U495" s="7" t="s">
        <v>75</v>
      </c>
      <c r="V495" s="7"/>
      <c r="W495" s="50">
        <v>3.43</v>
      </c>
      <c r="X495" s="49" t="s">
        <v>5423</v>
      </c>
      <c r="Y495" s="49" t="s">
        <v>3520</v>
      </c>
      <c r="Z495" s="49" t="s">
        <v>278</v>
      </c>
      <c r="AA495" s="61">
        <v>0.91</v>
      </c>
      <c r="AB495" s="48" t="s">
        <v>6838</v>
      </c>
      <c r="AC495" s="62" t="s">
        <v>6831</v>
      </c>
      <c r="AD495" s="53" t="str">
        <f t="shared" ref="AD495:AD497" si="347">HYPERLINK("https://www.nku.edu/academics.html","Link")</f>
        <v>Link</v>
      </c>
      <c r="AE495" s="54">
        <v>12380</v>
      </c>
      <c r="AF495" s="55"/>
      <c r="AG495" s="85"/>
      <c r="AH495" s="56">
        <v>157447</v>
      </c>
      <c r="AI495" s="56"/>
      <c r="AJ495" s="56"/>
    </row>
    <row r="496" spans="1:36" ht="15" x14ac:dyDescent="0.2">
      <c r="A496" s="43" t="s">
        <v>6652</v>
      </c>
      <c r="B496" s="33" t="s">
        <v>935</v>
      </c>
      <c r="C496" s="7" t="s">
        <v>67</v>
      </c>
      <c r="D496" s="7" t="s">
        <v>6841</v>
      </c>
      <c r="E496" s="44">
        <v>5</v>
      </c>
      <c r="F496" s="7"/>
      <c r="G496" s="7"/>
      <c r="H496" s="2" t="s">
        <v>6822</v>
      </c>
      <c r="I496" s="7" t="s">
        <v>1075</v>
      </c>
      <c r="J496" s="7" t="s">
        <v>5086</v>
      </c>
      <c r="K496" s="7" t="s">
        <v>55</v>
      </c>
      <c r="L496" s="7" t="s">
        <v>6846</v>
      </c>
      <c r="M496" s="7" t="s">
        <v>6847</v>
      </c>
      <c r="N496" s="45" t="str">
        <f t="shared" si="345"/>
        <v>@NKUNorseSB</v>
      </c>
      <c r="O496" s="74" t="str">
        <f t="shared" si="346"/>
        <v>Questionnaire</v>
      </c>
      <c r="P496" s="48" t="s">
        <v>6831</v>
      </c>
      <c r="Q496" s="47" t="s">
        <v>935</v>
      </c>
      <c r="R496" s="48" t="s">
        <v>6834</v>
      </c>
      <c r="S496" s="60" t="s">
        <v>205</v>
      </c>
      <c r="T496" s="49" t="s">
        <v>74</v>
      </c>
      <c r="U496" s="7" t="s">
        <v>75</v>
      </c>
      <c r="V496" s="7"/>
      <c r="W496" s="50">
        <v>3.43</v>
      </c>
      <c r="X496" s="49" t="s">
        <v>5423</v>
      </c>
      <c r="Y496" s="49" t="s">
        <v>3520</v>
      </c>
      <c r="Z496" s="49" t="s">
        <v>278</v>
      </c>
      <c r="AA496" s="61">
        <v>0.91</v>
      </c>
      <c r="AB496" s="48" t="s">
        <v>6838</v>
      </c>
      <c r="AC496" s="62" t="s">
        <v>6831</v>
      </c>
      <c r="AD496" s="53" t="str">
        <f t="shared" si="347"/>
        <v>Link</v>
      </c>
      <c r="AE496" s="54">
        <v>12380</v>
      </c>
      <c r="AF496" s="55"/>
      <c r="AG496" s="85"/>
      <c r="AH496" s="56">
        <v>157447</v>
      </c>
      <c r="AI496" s="56"/>
      <c r="AJ496" s="56"/>
    </row>
    <row r="497" spans="1:36" ht="15" x14ac:dyDescent="0.2">
      <c r="A497" s="43" t="s">
        <v>6652</v>
      </c>
      <c r="B497" s="33" t="s">
        <v>935</v>
      </c>
      <c r="C497" s="7" t="s">
        <v>67</v>
      </c>
      <c r="D497" s="7" t="s">
        <v>6855</v>
      </c>
      <c r="E497" s="44">
        <v>5</v>
      </c>
      <c r="F497" s="7"/>
      <c r="G497" s="7"/>
      <c r="H497" s="2" t="s">
        <v>6822</v>
      </c>
      <c r="I497" s="7" t="s">
        <v>6856</v>
      </c>
      <c r="J497" s="7" t="s">
        <v>6858</v>
      </c>
      <c r="K497" s="7" t="s">
        <v>55</v>
      </c>
      <c r="L497" s="7" t="s">
        <v>6860</v>
      </c>
      <c r="M497" s="7" t="s">
        <v>6861</v>
      </c>
      <c r="N497" s="45" t="str">
        <f t="shared" si="345"/>
        <v>@NKUNorseSB</v>
      </c>
      <c r="O497" s="74" t="str">
        <f t="shared" si="346"/>
        <v>Questionnaire</v>
      </c>
      <c r="P497" s="48" t="s">
        <v>6831</v>
      </c>
      <c r="Q497" s="47" t="s">
        <v>935</v>
      </c>
      <c r="R497" s="48" t="s">
        <v>6834</v>
      </c>
      <c r="S497" s="60" t="s">
        <v>205</v>
      </c>
      <c r="T497" s="49" t="s">
        <v>74</v>
      </c>
      <c r="U497" s="7" t="s">
        <v>75</v>
      </c>
      <c r="V497" s="7"/>
      <c r="W497" s="50">
        <v>3.43</v>
      </c>
      <c r="X497" s="49" t="s">
        <v>5423</v>
      </c>
      <c r="Y497" s="49" t="s">
        <v>3520</v>
      </c>
      <c r="Z497" s="49" t="s">
        <v>278</v>
      </c>
      <c r="AA497" s="61">
        <v>0.91</v>
      </c>
      <c r="AB497" s="48" t="s">
        <v>6838</v>
      </c>
      <c r="AC497" s="62" t="s">
        <v>6831</v>
      </c>
      <c r="AD497" s="53" t="str">
        <f t="shared" si="347"/>
        <v>Link</v>
      </c>
      <c r="AE497" s="54">
        <v>12380</v>
      </c>
      <c r="AF497" s="55"/>
      <c r="AG497" s="85"/>
      <c r="AH497" s="56">
        <v>157447</v>
      </c>
      <c r="AI497" s="56"/>
      <c r="AJ497" s="56"/>
    </row>
    <row r="498" spans="1:36" ht="15" x14ac:dyDescent="0.2">
      <c r="A498" s="43" t="s">
        <v>6652</v>
      </c>
      <c r="B498" s="33" t="s">
        <v>4538</v>
      </c>
      <c r="C498" s="7" t="s">
        <v>67</v>
      </c>
      <c r="D498" s="7" t="s">
        <v>6862</v>
      </c>
      <c r="E498" s="44">
        <v>5</v>
      </c>
      <c r="F498" s="7"/>
      <c r="G498" s="7"/>
      <c r="H498" s="2" t="s">
        <v>6865</v>
      </c>
      <c r="I498" s="7" t="s">
        <v>3315</v>
      </c>
      <c r="J498" s="7" t="s">
        <v>6867</v>
      </c>
      <c r="K498" s="7" t="s">
        <v>48</v>
      </c>
      <c r="L498" s="7" t="s">
        <v>6868</v>
      </c>
      <c r="M498" s="7" t="s">
        <v>6869</v>
      </c>
      <c r="N498" s="45" t="s">
        <v>6871</v>
      </c>
      <c r="O498" s="74" t="str">
        <f t="shared" ref="O498:O501" si="348">HYPERLINK("https://questionnaires.armssoftware.com/2375ad676cb2","Questionnaire")</f>
        <v>Questionnaire</v>
      </c>
      <c r="P498" s="48" t="s">
        <v>6872</v>
      </c>
      <c r="Q498" s="47" t="s">
        <v>4538</v>
      </c>
      <c r="R498" s="48" t="s">
        <v>6875</v>
      </c>
      <c r="S498" s="48" t="s">
        <v>172</v>
      </c>
      <c r="T498" s="49" t="s">
        <v>74</v>
      </c>
      <c r="U498" s="7" t="s">
        <v>75</v>
      </c>
      <c r="V498" s="7"/>
      <c r="W498" s="50">
        <v>3.4</v>
      </c>
      <c r="X498" s="49" t="s">
        <v>6880</v>
      </c>
      <c r="Y498" s="49" t="s">
        <v>801</v>
      </c>
      <c r="Z498" s="49" t="s">
        <v>2190</v>
      </c>
      <c r="AA498" s="61">
        <v>0.86</v>
      </c>
      <c r="AB498" s="48" t="s">
        <v>6883</v>
      </c>
      <c r="AC498" s="62" t="s">
        <v>6872</v>
      </c>
      <c r="AD498" s="53" t="str">
        <f t="shared" ref="AD498:AD501" si="349">HYPERLINK("https://www.oakland.edu/futurestudents/academics/","Link")</f>
        <v>Link</v>
      </c>
      <c r="AE498" s="54">
        <v>16568</v>
      </c>
      <c r="AF498" s="55"/>
      <c r="AG498" s="85"/>
      <c r="AH498" s="56">
        <v>171571</v>
      </c>
      <c r="AI498" s="56"/>
      <c r="AJ498" s="56"/>
    </row>
    <row r="499" spans="1:36" ht="15" x14ac:dyDescent="0.2">
      <c r="A499" s="43" t="s">
        <v>6652</v>
      </c>
      <c r="B499" s="33" t="s">
        <v>4538</v>
      </c>
      <c r="C499" s="7" t="s">
        <v>67</v>
      </c>
      <c r="D499" s="7" t="s">
        <v>6886</v>
      </c>
      <c r="E499" s="44">
        <v>5</v>
      </c>
      <c r="F499" s="7"/>
      <c r="G499" s="7"/>
      <c r="H499" s="2" t="s">
        <v>6865</v>
      </c>
      <c r="I499" s="7" t="s">
        <v>1266</v>
      </c>
      <c r="J499" s="7" t="s">
        <v>6887</v>
      </c>
      <c r="K499" s="7" t="s">
        <v>55</v>
      </c>
      <c r="L499" s="7" t="s">
        <v>6888</v>
      </c>
      <c r="M499" s="7"/>
      <c r="N499" s="45" t="str">
        <f t="shared" ref="N499:N501" si="350">HYPERLINK("twitter.com/oaklandsoftball","@oaklandsoftball")</f>
        <v>@oaklandsoftball</v>
      </c>
      <c r="O499" s="74" t="str">
        <f t="shared" si="348"/>
        <v>Questionnaire</v>
      </c>
      <c r="P499" s="48" t="s">
        <v>6872</v>
      </c>
      <c r="Q499" s="47" t="s">
        <v>4538</v>
      </c>
      <c r="R499" s="48" t="s">
        <v>6875</v>
      </c>
      <c r="S499" s="48" t="s">
        <v>172</v>
      </c>
      <c r="T499" s="49" t="s">
        <v>74</v>
      </c>
      <c r="U499" s="7" t="s">
        <v>75</v>
      </c>
      <c r="V499" s="7"/>
      <c r="W499" s="50">
        <v>3.4</v>
      </c>
      <c r="X499" s="49" t="s">
        <v>6880</v>
      </c>
      <c r="Y499" s="49" t="s">
        <v>801</v>
      </c>
      <c r="Z499" s="49" t="s">
        <v>2190</v>
      </c>
      <c r="AA499" s="61">
        <v>0.86</v>
      </c>
      <c r="AB499" s="48" t="s">
        <v>6883</v>
      </c>
      <c r="AC499" s="62" t="s">
        <v>6872</v>
      </c>
      <c r="AD499" s="53" t="str">
        <f t="shared" si="349"/>
        <v>Link</v>
      </c>
      <c r="AE499" s="54">
        <v>16568</v>
      </c>
      <c r="AF499" s="55"/>
      <c r="AG499" s="85"/>
      <c r="AH499" s="56">
        <v>171571</v>
      </c>
      <c r="AI499" s="56"/>
      <c r="AJ499" s="56"/>
    </row>
    <row r="500" spans="1:36" ht="15" x14ac:dyDescent="0.2">
      <c r="A500" s="43" t="s">
        <v>6652</v>
      </c>
      <c r="B500" s="33" t="s">
        <v>4538</v>
      </c>
      <c r="C500" s="7" t="s">
        <v>67</v>
      </c>
      <c r="D500" s="7" t="s">
        <v>6894</v>
      </c>
      <c r="E500" s="44">
        <v>5</v>
      </c>
      <c r="F500" s="7"/>
      <c r="G500" s="7"/>
      <c r="H500" s="2" t="s">
        <v>6865</v>
      </c>
      <c r="I500" s="7" t="s">
        <v>2028</v>
      </c>
      <c r="J500" s="7" t="s">
        <v>977</v>
      </c>
      <c r="K500" s="7" t="s">
        <v>120</v>
      </c>
      <c r="L500" s="7"/>
      <c r="M500" s="7"/>
      <c r="N500" s="45" t="str">
        <f t="shared" si="350"/>
        <v>@oaklandsoftball</v>
      </c>
      <c r="O500" s="74" t="str">
        <f t="shared" si="348"/>
        <v>Questionnaire</v>
      </c>
      <c r="P500" s="48" t="s">
        <v>6872</v>
      </c>
      <c r="Q500" s="47" t="s">
        <v>4538</v>
      </c>
      <c r="R500" s="48" t="s">
        <v>6875</v>
      </c>
      <c r="S500" s="48" t="s">
        <v>172</v>
      </c>
      <c r="T500" s="49" t="s">
        <v>74</v>
      </c>
      <c r="U500" s="7" t="s">
        <v>75</v>
      </c>
      <c r="V500" s="7"/>
      <c r="W500" s="50">
        <v>3.4</v>
      </c>
      <c r="X500" s="49" t="s">
        <v>6880</v>
      </c>
      <c r="Y500" s="49" t="s">
        <v>801</v>
      </c>
      <c r="Z500" s="49" t="s">
        <v>2190</v>
      </c>
      <c r="AA500" s="61">
        <v>0.86</v>
      </c>
      <c r="AB500" s="48" t="s">
        <v>6883</v>
      </c>
      <c r="AC500" s="62" t="s">
        <v>6872</v>
      </c>
      <c r="AD500" s="53" t="str">
        <f t="shared" si="349"/>
        <v>Link</v>
      </c>
      <c r="AE500" s="54">
        <v>16568</v>
      </c>
      <c r="AF500" s="55"/>
      <c r="AG500" s="85"/>
      <c r="AH500" s="56">
        <v>171571</v>
      </c>
      <c r="AI500" s="56"/>
      <c r="AJ500" s="56"/>
    </row>
    <row r="501" spans="1:36" ht="15" x14ac:dyDescent="0.2">
      <c r="A501" s="43" t="s">
        <v>6652</v>
      </c>
      <c r="B501" s="33" t="s">
        <v>4538</v>
      </c>
      <c r="C501" s="7" t="s">
        <v>67</v>
      </c>
      <c r="D501" s="7" t="s">
        <v>6900</v>
      </c>
      <c r="E501" s="44">
        <v>5</v>
      </c>
      <c r="F501" s="7"/>
      <c r="G501" s="7"/>
      <c r="H501" s="2" t="s">
        <v>6865</v>
      </c>
      <c r="I501" s="7" t="s">
        <v>6901</v>
      </c>
      <c r="J501" s="7" t="s">
        <v>4306</v>
      </c>
      <c r="K501" s="7" t="s">
        <v>139</v>
      </c>
      <c r="L501" s="7"/>
      <c r="M501" s="7"/>
      <c r="N501" s="45" t="str">
        <f t="shared" si="350"/>
        <v>@oaklandsoftball</v>
      </c>
      <c r="O501" s="74" t="str">
        <f t="shared" si="348"/>
        <v>Questionnaire</v>
      </c>
      <c r="P501" s="48" t="s">
        <v>6872</v>
      </c>
      <c r="Q501" s="47" t="s">
        <v>4538</v>
      </c>
      <c r="R501" s="48" t="s">
        <v>6875</v>
      </c>
      <c r="S501" s="48" t="s">
        <v>172</v>
      </c>
      <c r="T501" s="49" t="s">
        <v>74</v>
      </c>
      <c r="U501" s="7" t="s">
        <v>75</v>
      </c>
      <c r="V501" s="7"/>
      <c r="W501" s="50">
        <v>3.4</v>
      </c>
      <c r="X501" s="49" t="s">
        <v>6880</v>
      </c>
      <c r="Y501" s="49" t="s">
        <v>801</v>
      </c>
      <c r="Z501" s="49" t="s">
        <v>2190</v>
      </c>
      <c r="AA501" s="61">
        <v>0.86</v>
      </c>
      <c r="AB501" s="48" t="s">
        <v>6883</v>
      </c>
      <c r="AC501" s="62" t="s">
        <v>6872</v>
      </c>
      <c r="AD501" s="53" t="str">
        <f t="shared" si="349"/>
        <v>Link</v>
      </c>
      <c r="AE501" s="54">
        <v>16568</v>
      </c>
      <c r="AF501" s="55"/>
      <c r="AG501" s="85"/>
      <c r="AH501" s="56">
        <v>171571</v>
      </c>
      <c r="AI501" s="56"/>
      <c r="AJ501" s="56"/>
    </row>
    <row r="502" spans="1:36" ht="13" x14ac:dyDescent="0.15">
      <c r="A502" s="64" t="s">
        <v>6652</v>
      </c>
      <c r="B502" s="2" t="s">
        <v>5094</v>
      </c>
      <c r="C502" s="7" t="s">
        <v>67</v>
      </c>
      <c r="D502" s="7" t="s">
        <v>6908</v>
      </c>
      <c r="E502" s="44">
        <v>5</v>
      </c>
      <c r="F502" s="7"/>
      <c r="G502" s="7"/>
      <c r="H502" s="2" t="s">
        <v>6910</v>
      </c>
      <c r="I502" s="7" t="s">
        <v>2037</v>
      </c>
      <c r="J502" s="7" t="s">
        <v>6911</v>
      </c>
      <c r="K502" s="7" t="s">
        <v>48</v>
      </c>
      <c r="L502" s="7" t="s">
        <v>6913</v>
      </c>
      <c r="M502" s="7" t="s">
        <v>6914</v>
      </c>
      <c r="N502" s="45" t="str">
        <f t="shared" ref="N502:N503" si="351">HYPERLINK("twitter.com/gbphoenixsb","@gbphoenixsb")</f>
        <v>@gbphoenixsb</v>
      </c>
      <c r="O502" s="74" t="str">
        <f t="shared" ref="O502:O503" si="352">HYPERLINK("https://greenbayphoenix.com/news/2018/8/7/3753280.aspx","Questionnaire")</f>
        <v>Questionnaire</v>
      </c>
      <c r="P502" s="48" t="s">
        <v>6918</v>
      </c>
      <c r="Q502" s="60" t="s">
        <v>5094</v>
      </c>
      <c r="R502" s="48" t="s">
        <v>6920</v>
      </c>
      <c r="S502" s="6" t="s">
        <v>238</v>
      </c>
      <c r="T502" s="4" t="s">
        <v>74</v>
      </c>
      <c r="U502" s="7" t="s">
        <v>75</v>
      </c>
      <c r="V502" s="7"/>
      <c r="W502" s="91">
        <v>3.33</v>
      </c>
      <c r="X502" s="49" t="s">
        <v>214</v>
      </c>
      <c r="Y502" s="49" t="s">
        <v>214</v>
      </c>
      <c r="Z502" s="49" t="s">
        <v>1994</v>
      </c>
      <c r="AA502" s="65">
        <v>0.73</v>
      </c>
      <c r="AB502" s="6" t="s">
        <v>6922</v>
      </c>
      <c r="AC502" s="90" t="s">
        <v>6918</v>
      </c>
      <c r="AD502" s="53" t="str">
        <f t="shared" ref="AD502:AD503" si="353">HYPERLINK("https://www.uwgb.edu/majors-minors/","Link")</f>
        <v>Link</v>
      </c>
      <c r="AE502" s="42">
        <v>6757</v>
      </c>
      <c r="AF502" s="55"/>
      <c r="AG502" s="85"/>
      <c r="AH502" s="56">
        <v>240277</v>
      </c>
      <c r="AI502" s="56"/>
      <c r="AJ502" s="56"/>
    </row>
    <row r="503" spans="1:36" ht="13" x14ac:dyDescent="0.15">
      <c r="A503" s="64" t="s">
        <v>6652</v>
      </c>
      <c r="B503" s="2" t="s">
        <v>5094</v>
      </c>
      <c r="C503" s="7" t="s">
        <v>67</v>
      </c>
      <c r="D503" s="7" t="s">
        <v>6927</v>
      </c>
      <c r="E503" s="44">
        <v>5</v>
      </c>
      <c r="F503" s="7"/>
      <c r="G503" s="7"/>
      <c r="H503" s="2" t="s">
        <v>6910</v>
      </c>
      <c r="I503" s="7" t="s">
        <v>6928</v>
      </c>
      <c r="J503" s="7" t="s">
        <v>6929</v>
      </c>
      <c r="K503" s="7" t="s">
        <v>55</v>
      </c>
      <c r="L503" s="7" t="s">
        <v>6930</v>
      </c>
      <c r="M503" s="7"/>
      <c r="N503" s="45" t="str">
        <f t="shared" si="351"/>
        <v>@gbphoenixsb</v>
      </c>
      <c r="O503" s="74" t="str">
        <f t="shared" si="352"/>
        <v>Questionnaire</v>
      </c>
      <c r="P503" s="48" t="s">
        <v>6918</v>
      </c>
      <c r="Q503" s="60" t="s">
        <v>5094</v>
      </c>
      <c r="R503" s="48" t="s">
        <v>6920</v>
      </c>
      <c r="S503" s="6" t="s">
        <v>238</v>
      </c>
      <c r="T503" s="4" t="s">
        <v>74</v>
      </c>
      <c r="U503" s="7" t="s">
        <v>75</v>
      </c>
      <c r="V503" s="7"/>
      <c r="W503" s="91">
        <v>3.33</v>
      </c>
      <c r="X503" s="49" t="s">
        <v>214</v>
      </c>
      <c r="Y503" s="49" t="s">
        <v>214</v>
      </c>
      <c r="Z503" s="49" t="s">
        <v>1994</v>
      </c>
      <c r="AA503" s="65">
        <v>0.73</v>
      </c>
      <c r="AB503" s="6" t="s">
        <v>6922</v>
      </c>
      <c r="AC503" s="90" t="s">
        <v>6918</v>
      </c>
      <c r="AD503" s="53" t="str">
        <f t="shared" si="353"/>
        <v>Link</v>
      </c>
      <c r="AE503" s="42">
        <v>6757</v>
      </c>
      <c r="AF503" s="55"/>
      <c r="AG503" s="85"/>
      <c r="AH503" s="56">
        <v>240277</v>
      </c>
      <c r="AI503" s="56"/>
      <c r="AJ503" s="56"/>
    </row>
    <row r="504" spans="1:36" ht="15" x14ac:dyDescent="0.2">
      <c r="A504" s="43" t="s">
        <v>6652</v>
      </c>
      <c r="B504" s="33" t="s">
        <v>1814</v>
      </c>
      <c r="C504" s="7" t="s">
        <v>67</v>
      </c>
      <c r="D504" s="7" t="s">
        <v>6933</v>
      </c>
      <c r="E504" s="44">
        <v>5</v>
      </c>
      <c r="F504" s="7"/>
      <c r="G504" s="7"/>
      <c r="H504" s="2" t="s">
        <v>6935</v>
      </c>
      <c r="I504" s="7" t="s">
        <v>161</v>
      </c>
      <c r="J504" s="7" t="s">
        <v>6937</v>
      </c>
      <c r="K504" s="7" t="s">
        <v>48</v>
      </c>
      <c r="L504" s="7" t="s">
        <v>6939</v>
      </c>
      <c r="M504" s="7" t="s">
        <v>6940</v>
      </c>
      <c r="N504" s="45" t="str">
        <f t="shared" ref="N504:N506" si="354">HYPERLINK("twitter.com/wsu_sb","@wsu_sb")</f>
        <v>@wsu_sb</v>
      </c>
      <c r="O504" s="7" t="s">
        <v>22</v>
      </c>
      <c r="P504" s="48" t="s">
        <v>6946</v>
      </c>
      <c r="Q504" s="47" t="s">
        <v>1814</v>
      </c>
      <c r="R504" s="48" t="s">
        <v>6949</v>
      </c>
      <c r="S504" s="48" t="s">
        <v>468</v>
      </c>
      <c r="T504" s="73" t="s">
        <v>74</v>
      </c>
      <c r="U504" s="7" t="s">
        <v>75</v>
      </c>
      <c r="V504" s="7"/>
      <c r="W504" s="50">
        <v>3.3</v>
      </c>
      <c r="X504" s="49" t="s">
        <v>6952</v>
      </c>
      <c r="Y504" s="49" t="s">
        <v>6953</v>
      </c>
      <c r="Z504" s="49" t="s">
        <v>125</v>
      </c>
      <c r="AA504" s="61">
        <v>0.99</v>
      </c>
      <c r="AB504" s="48" t="s">
        <v>6955</v>
      </c>
      <c r="AC504" s="62" t="s">
        <v>6946</v>
      </c>
      <c r="AD504" s="53" t="str">
        <f t="shared" ref="AD504:AD506" si="355">HYPERLINK("https://www.wright.edu/degrees-and-programs/catalog/programs","Link")</f>
        <v>Link</v>
      </c>
      <c r="AE504" s="54">
        <v>1302</v>
      </c>
      <c r="AF504" s="55"/>
      <c r="AG504" s="85"/>
      <c r="AH504" s="56">
        <v>206604</v>
      </c>
      <c r="AI504" s="56"/>
      <c r="AJ504" s="56"/>
    </row>
    <row r="505" spans="1:36" ht="15" x14ac:dyDescent="0.2">
      <c r="A505" s="43" t="s">
        <v>6652</v>
      </c>
      <c r="B505" s="33" t="s">
        <v>1814</v>
      </c>
      <c r="C505" s="7" t="s">
        <v>67</v>
      </c>
      <c r="D505" s="7" t="s">
        <v>6962</v>
      </c>
      <c r="E505" s="44">
        <v>5</v>
      </c>
      <c r="F505" s="7"/>
      <c r="G505" s="7"/>
      <c r="H505" s="2" t="s">
        <v>6935</v>
      </c>
      <c r="I505" s="7" t="s">
        <v>6278</v>
      </c>
      <c r="J505" s="7" t="s">
        <v>6966</v>
      </c>
      <c r="K505" s="7" t="s">
        <v>55</v>
      </c>
      <c r="L505" s="7" t="s">
        <v>6967</v>
      </c>
      <c r="M505" s="7" t="s">
        <v>6968</v>
      </c>
      <c r="N505" s="45" t="str">
        <f t="shared" si="354"/>
        <v>@wsu_sb</v>
      </c>
      <c r="O505" s="7" t="s">
        <v>22</v>
      </c>
      <c r="P505" s="48" t="s">
        <v>6946</v>
      </c>
      <c r="Q505" s="47" t="s">
        <v>1814</v>
      </c>
      <c r="R505" s="48" t="s">
        <v>6949</v>
      </c>
      <c r="S505" s="48" t="s">
        <v>468</v>
      </c>
      <c r="T505" s="73" t="s">
        <v>74</v>
      </c>
      <c r="U505" s="7" t="s">
        <v>75</v>
      </c>
      <c r="V505" s="7"/>
      <c r="W505" s="50">
        <v>3.3</v>
      </c>
      <c r="X505" s="49" t="s">
        <v>6952</v>
      </c>
      <c r="Y505" s="49" t="s">
        <v>6953</v>
      </c>
      <c r="Z505" s="49" t="s">
        <v>125</v>
      </c>
      <c r="AA505" s="61">
        <v>0.99</v>
      </c>
      <c r="AB505" s="48" t="s">
        <v>6955</v>
      </c>
      <c r="AC505" s="62" t="s">
        <v>6946</v>
      </c>
      <c r="AD505" s="53" t="str">
        <f t="shared" si="355"/>
        <v>Link</v>
      </c>
      <c r="AE505" s="54">
        <v>1302</v>
      </c>
      <c r="AF505" s="55"/>
      <c r="AG505" s="85"/>
      <c r="AH505" s="56">
        <v>206604</v>
      </c>
      <c r="AI505" s="56"/>
      <c r="AJ505" s="56"/>
    </row>
    <row r="506" spans="1:36" ht="15" x14ac:dyDescent="0.2">
      <c r="A506" s="43" t="s">
        <v>6652</v>
      </c>
      <c r="B506" s="33" t="s">
        <v>1814</v>
      </c>
      <c r="C506" s="7" t="s">
        <v>67</v>
      </c>
      <c r="D506" s="7" t="s">
        <v>6972</v>
      </c>
      <c r="E506" s="44">
        <v>5</v>
      </c>
      <c r="F506" s="7"/>
      <c r="G506" s="7"/>
      <c r="H506" s="2" t="s">
        <v>6935</v>
      </c>
      <c r="I506" s="7" t="s">
        <v>329</v>
      </c>
      <c r="J506" s="7" t="s">
        <v>2817</v>
      </c>
      <c r="K506" s="7" t="s">
        <v>55</v>
      </c>
      <c r="L506" s="7" t="s">
        <v>6977</v>
      </c>
      <c r="M506" s="7" t="s">
        <v>6968</v>
      </c>
      <c r="N506" s="45" t="str">
        <f t="shared" si="354"/>
        <v>@wsu_sb</v>
      </c>
      <c r="O506" s="7" t="s">
        <v>22</v>
      </c>
      <c r="P506" s="48" t="s">
        <v>6946</v>
      </c>
      <c r="Q506" s="47" t="s">
        <v>1814</v>
      </c>
      <c r="R506" s="48" t="s">
        <v>6949</v>
      </c>
      <c r="S506" s="48" t="s">
        <v>468</v>
      </c>
      <c r="T506" s="73" t="s">
        <v>74</v>
      </c>
      <c r="U506" s="7" t="s">
        <v>75</v>
      </c>
      <c r="V506" s="7"/>
      <c r="W506" s="50">
        <v>3.3</v>
      </c>
      <c r="X506" s="49" t="s">
        <v>6952</v>
      </c>
      <c r="Y506" s="49" t="s">
        <v>6953</v>
      </c>
      <c r="Z506" s="49" t="s">
        <v>125</v>
      </c>
      <c r="AA506" s="61">
        <v>0.99</v>
      </c>
      <c r="AB506" s="48" t="s">
        <v>6955</v>
      </c>
      <c r="AC506" s="62" t="s">
        <v>6946</v>
      </c>
      <c r="AD506" s="53" t="str">
        <f t="shared" si="355"/>
        <v>Link</v>
      </c>
      <c r="AE506" s="54">
        <v>1302</v>
      </c>
      <c r="AF506" s="55"/>
      <c r="AG506" s="85"/>
      <c r="AH506" s="56">
        <v>206604</v>
      </c>
      <c r="AI506" s="56"/>
      <c r="AJ506" s="56"/>
    </row>
    <row r="507" spans="1:36" ht="15" x14ac:dyDescent="0.2">
      <c r="A507" s="93" t="s">
        <v>6652</v>
      </c>
      <c r="B507" s="33" t="s">
        <v>1814</v>
      </c>
      <c r="C507" s="48" t="s">
        <v>67</v>
      </c>
      <c r="D507" s="48"/>
      <c r="E507" s="44">
        <v>5</v>
      </c>
      <c r="F507" s="7"/>
      <c r="G507" s="48"/>
      <c r="H507" s="2" t="s">
        <v>6994</v>
      </c>
      <c r="I507" s="7" t="s">
        <v>2790</v>
      </c>
      <c r="J507" s="7" t="s">
        <v>1448</v>
      </c>
      <c r="K507" s="7" t="s">
        <v>48</v>
      </c>
      <c r="L507" s="7" t="s">
        <v>6997</v>
      </c>
      <c r="M507" s="7"/>
      <c r="N507" s="45" t="str">
        <f t="shared" ref="N507:N510" si="356">HYPERLINK("twitter.com/YSUSoftball","@YSUSoftball")</f>
        <v>@YSUSoftball</v>
      </c>
      <c r="O507" s="74" t="str">
        <f t="shared" ref="O507:O510" si="357">HYPERLINK("https://www.ysusports.com/sports/sball/recruits","Questionnaire")</f>
        <v>Questionnaire</v>
      </c>
      <c r="P507" s="48" t="s">
        <v>7007</v>
      </c>
      <c r="Q507" s="47" t="s">
        <v>1814</v>
      </c>
      <c r="R507" s="48" t="s">
        <v>7008</v>
      </c>
      <c r="S507" s="48" t="s">
        <v>186</v>
      </c>
      <c r="T507" s="49" t="s">
        <v>74</v>
      </c>
      <c r="U507" s="55" t="s">
        <v>75</v>
      </c>
      <c r="V507" s="55"/>
      <c r="W507" s="50">
        <v>3.24</v>
      </c>
      <c r="X507" s="49" t="s">
        <v>3485</v>
      </c>
      <c r="Y507" s="49" t="s">
        <v>1628</v>
      </c>
      <c r="Z507" s="49" t="s">
        <v>357</v>
      </c>
      <c r="AA507" s="61">
        <v>0.67</v>
      </c>
      <c r="AB507" s="48" t="s">
        <v>7011</v>
      </c>
      <c r="AC507" s="62" t="s">
        <v>7007</v>
      </c>
      <c r="AD507" s="53" t="str">
        <f t="shared" ref="AD507:AD510" si="358">HYPERLINK("http://www.ysu.edu/academics#t_bachelors-degrees","Link")</f>
        <v>Link</v>
      </c>
      <c r="AE507" s="54">
        <v>11283</v>
      </c>
      <c r="AF507" s="55"/>
      <c r="AG507" s="85"/>
      <c r="AH507" s="56">
        <v>206695</v>
      </c>
      <c r="AI507" s="56" t="s">
        <v>2459</v>
      </c>
      <c r="AJ507" s="56"/>
    </row>
    <row r="508" spans="1:36" ht="15" x14ac:dyDescent="0.2">
      <c r="A508" s="93" t="s">
        <v>6652</v>
      </c>
      <c r="B508" s="33" t="s">
        <v>1814</v>
      </c>
      <c r="C508" s="48" t="s">
        <v>67</v>
      </c>
      <c r="D508" s="48"/>
      <c r="E508" s="44">
        <v>5</v>
      </c>
      <c r="F508" s="7"/>
      <c r="G508" s="48"/>
      <c r="H508" s="2" t="s">
        <v>6994</v>
      </c>
      <c r="I508" s="7" t="s">
        <v>2037</v>
      </c>
      <c r="J508" s="7" t="s">
        <v>7023</v>
      </c>
      <c r="K508" s="7" t="s">
        <v>55</v>
      </c>
      <c r="L508" s="7" t="s">
        <v>7024</v>
      </c>
      <c r="M508" s="7"/>
      <c r="N508" s="45" t="str">
        <f t="shared" si="356"/>
        <v>@YSUSoftball</v>
      </c>
      <c r="O508" s="74" t="str">
        <f t="shared" si="357"/>
        <v>Questionnaire</v>
      </c>
      <c r="P508" s="48" t="s">
        <v>7007</v>
      </c>
      <c r="Q508" s="47" t="s">
        <v>1814</v>
      </c>
      <c r="R508" s="48" t="s">
        <v>7008</v>
      </c>
      <c r="S508" s="48" t="s">
        <v>186</v>
      </c>
      <c r="T508" s="49" t="s">
        <v>74</v>
      </c>
      <c r="U508" s="55" t="s">
        <v>75</v>
      </c>
      <c r="V508" s="55"/>
      <c r="W508" s="50">
        <v>3.24</v>
      </c>
      <c r="X508" s="49" t="s">
        <v>3485</v>
      </c>
      <c r="Y508" s="49" t="s">
        <v>1628</v>
      </c>
      <c r="Z508" s="49" t="s">
        <v>357</v>
      </c>
      <c r="AA508" s="61">
        <v>0.67</v>
      </c>
      <c r="AB508" s="48" t="s">
        <v>7011</v>
      </c>
      <c r="AC508" s="62" t="s">
        <v>7007</v>
      </c>
      <c r="AD508" s="53" t="str">
        <f t="shared" si="358"/>
        <v>Link</v>
      </c>
      <c r="AE508" s="54">
        <v>11283</v>
      </c>
      <c r="AF508" s="55"/>
      <c r="AG508" s="85"/>
      <c r="AH508" s="56">
        <v>206695</v>
      </c>
      <c r="AI508" s="56" t="s">
        <v>2459</v>
      </c>
      <c r="AJ508" s="56"/>
    </row>
    <row r="509" spans="1:36" ht="15" x14ac:dyDescent="0.2">
      <c r="A509" s="93" t="s">
        <v>6652</v>
      </c>
      <c r="B509" s="33" t="s">
        <v>1814</v>
      </c>
      <c r="C509" s="48" t="s">
        <v>67</v>
      </c>
      <c r="D509" s="48"/>
      <c r="E509" s="44">
        <v>5</v>
      </c>
      <c r="F509" s="7"/>
      <c r="G509" s="48"/>
      <c r="H509" s="2" t="s">
        <v>6994</v>
      </c>
      <c r="I509" s="7" t="s">
        <v>1148</v>
      </c>
      <c r="J509" s="7" t="s">
        <v>7033</v>
      </c>
      <c r="K509" s="7" t="s">
        <v>55</v>
      </c>
      <c r="L509" s="7" t="s">
        <v>7035</v>
      </c>
      <c r="M509" s="7"/>
      <c r="N509" s="45" t="str">
        <f t="shared" si="356"/>
        <v>@YSUSoftball</v>
      </c>
      <c r="O509" s="74" t="str">
        <f t="shared" si="357"/>
        <v>Questionnaire</v>
      </c>
      <c r="P509" s="48" t="s">
        <v>7007</v>
      </c>
      <c r="Q509" s="47" t="s">
        <v>1814</v>
      </c>
      <c r="R509" s="48" t="s">
        <v>7008</v>
      </c>
      <c r="S509" s="48" t="s">
        <v>186</v>
      </c>
      <c r="T509" s="49" t="s">
        <v>74</v>
      </c>
      <c r="U509" s="55" t="s">
        <v>75</v>
      </c>
      <c r="V509" s="55"/>
      <c r="W509" s="50">
        <v>3.24</v>
      </c>
      <c r="X509" s="49" t="s">
        <v>3485</v>
      </c>
      <c r="Y509" s="49" t="s">
        <v>1628</v>
      </c>
      <c r="Z509" s="49" t="s">
        <v>357</v>
      </c>
      <c r="AA509" s="61">
        <v>0.67</v>
      </c>
      <c r="AB509" s="48" t="s">
        <v>7011</v>
      </c>
      <c r="AC509" s="62" t="s">
        <v>7007</v>
      </c>
      <c r="AD509" s="53" t="str">
        <f t="shared" si="358"/>
        <v>Link</v>
      </c>
      <c r="AE509" s="54">
        <v>11283</v>
      </c>
      <c r="AF509" s="55"/>
      <c r="AG509" s="85"/>
      <c r="AH509" s="56">
        <v>206695</v>
      </c>
      <c r="AI509" s="56" t="s">
        <v>2459</v>
      </c>
      <c r="AJ509" s="56"/>
    </row>
    <row r="510" spans="1:36" ht="15" x14ac:dyDescent="0.2">
      <c r="A510" s="93" t="s">
        <v>6652</v>
      </c>
      <c r="B510" s="33" t="s">
        <v>1814</v>
      </c>
      <c r="C510" s="48" t="s">
        <v>67</v>
      </c>
      <c r="D510" s="48"/>
      <c r="E510" s="44">
        <v>5</v>
      </c>
      <c r="F510" s="7"/>
      <c r="G510" s="48" t="s">
        <v>126</v>
      </c>
      <c r="H510" s="2" t="s">
        <v>6994</v>
      </c>
      <c r="I510" s="7" t="s">
        <v>7047</v>
      </c>
      <c r="J510" s="7"/>
      <c r="K510" s="7"/>
      <c r="L510" s="7"/>
      <c r="M510" s="7"/>
      <c r="N510" s="69" t="str">
        <f t="shared" si="356"/>
        <v>@YSUSoftball</v>
      </c>
      <c r="O510" s="70" t="str">
        <f t="shared" si="357"/>
        <v>Questionnaire</v>
      </c>
      <c r="P510" s="48" t="s">
        <v>7007</v>
      </c>
      <c r="Q510" s="47" t="s">
        <v>1814</v>
      </c>
      <c r="R510" s="48" t="s">
        <v>7008</v>
      </c>
      <c r="S510" s="48" t="s">
        <v>186</v>
      </c>
      <c r="T510" s="49" t="s">
        <v>74</v>
      </c>
      <c r="U510" s="55" t="s">
        <v>75</v>
      </c>
      <c r="V510" s="55"/>
      <c r="W510" s="50">
        <v>3.24</v>
      </c>
      <c r="X510" s="49" t="s">
        <v>3485</v>
      </c>
      <c r="Y510" s="49" t="s">
        <v>1628</v>
      </c>
      <c r="Z510" s="49" t="s">
        <v>357</v>
      </c>
      <c r="AA510" s="61">
        <v>0.67</v>
      </c>
      <c r="AB510" s="48" t="s">
        <v>7011</v>
      </c>
      <c r="AC510" s="62" t="s">
        <v>7007</v>
      </c>
      <c r="AD510" s="53" t="str">
        <f t="shared" si="358"/>
        <v>Link</v>
      </c>
      <c r="AE510" s="54">
        <v>11283</v>
      </c>
      <c r="AF510" s="55"/>
      <c r="AG510" s="85"/>
      <c r="AH510" s="56">
        <v>206695</v>
      </c>
      <c r="AI510" s="56" t="s">
        <v>2459</v>
      </c>
      <c r="AJ510" s="56"/>
    </row>
    <row r="511" spans="1:36" ht="15" x14ac:dyDescent="0.2">
      <c r="A511" s="43" t="s">
        <v>7056</v>
      </c>
      <c r="B511" s="33" t="s">
        <v>2123</v>
      </c>
      <c r="C511" s="7" t="s">
        <v>67</v>
      </c>
      <c r="D511" s="7" t="s">
        <v>7057</v>
      </c>
      <c r="E511" s="44">
        <v>5</v>
      </c>
      <c r="F511" s="7"/>
      <c r="G511" s="7"/>
      <c r="H511" s="2" t="s">
        <v>7058</v>
      </c>
      <c r="I511" s="7" t="s">
        <v>1528</v>
      </c>
      <c r="J511" s="7" t="s">
        <v>7059</v>
      </c>
      <c r="K511" s="7" t="s">
        <v>48</v>
      </c>
      <c r="L511" s="7" t="s">
        <v>7060</v>
      </c>
      <c r="M511" s="7" t="s">
        <v>7061</v>
      </c>
      <c r="N511" s="69" t="str">
        <f t="shared" ref="N511:N513" si="359">HYPERLINK("twitter.com/brownsoftball","@brownsoftball")</f>
        <v>@brownsoftball</v>
      </c>
      <c r="O511" s="69" t="str">
        <f t="shared" ref="O511:O513" si="360">HYPERLINK("https://brownbears.com/sports/2018/4/27/Recruiting-Online-Forms.aspx","Questionnaire")</f>
        <v>Questionnaire</v>
      </c>
      <c r="P511" s="47" t="s">
        <v>196</v>
      </c>
      <c r="Q511" s="47" t="s">
        <v>2123</v>
      </c>
      <c r="R511" s="48" t="s">
        <v>3234</v>
      </c>
      <c r="S511" s="48" t="s">
        <v>62</v>
      </c>
      <c r="T511" s="49" t="s">
        <v>63</v>
      </c>
      <c r="U511" s="48" t="s">
        <v>75</v>
      </c>
      <c r="V511" s="73"/>
      <c r="W511" s="50">
        <v>4.05</v>
      </c>
      <c r="X511" s="49" t="s">
        <v>1171</v>
      </c>
      <c r="Y511" s="49" t="s">
        <v>7068</v>
      </c>
      <c r="Z511" s="49" t="s">
        <v>765</v>
      </c>
      <c r="AA511" s="51">
        <v>9.2999999999999999E-2</v>
      </c>
      <c r="AB511" s="71">
        <v>68106</v>
      </c>
      <c r="AC511" s="52" t="s">
        <v>196</v>
      </c>
      <c r="AD511" s="53" t="str">
        <f t="shared" ref="AD511:AD513" si="361">HYPERLINK("https://www.brown.edu/academics/degree-granting","Link")</f>
        <v>Link</v>
      </c>
      <c r="AE511" s="54">
        <v>6926</v>
      </c>
      <c r="AF511" s="54">
        <v>14</v>
      </c>
      <c r="AG511" s="55"/>
      <c r="AH511" s="56">
        <v>217156</v>
      </c>
      <c r="AI511" s="7"/>
      <c r="AJ511" s="7"/>
    </row>
    <row r="512" spans="1:36" ht="15" x14ac:dyDescent="0.2">
      <c r="A512" s="43" t="s">
        <v>7056</v>
      </c>
      <c r="B512" s="33" t="s">
        <v>2123</v>
      </c>
      <c r="C512" s="7" t="s">
        <v>67</v>
      </c>
      <c r="D512" s="7" t="s">
        <v>7073</v>
      </c>
      <c r="E512" s="44">
        <v>5</v>
      </c>
      <c r="F512" s="7"/>
      <c r="G512" s="7"/>
      <c r="H512" s="2" t="s">
        <v>7058</v>
      </c>
      <c r="I512" s="7" t="s">
        <v>2885</v>
      </c>
      <c r="J512" s="7" t="s">
        <v>7075</v>
      </c>
      <c r="K512" s="7" t="s">
        <v>55</v>
      </c>
      <c r="L512" s="7" t="s">
        <v>7078</v>
      </c>
      <c r="M512" s="7" t="s">
        <v>7080</v>
      </c>
      <c r="N512" s="69" t="str">
        <f t="shared" si="359"/>
        <v>@brownsoftball</v>
      </c>
      <c r="O512" s="69" t="str">
        <f t="shared" si="360"/>
        <v>Questionnaire</v>
      </c>
      <c r="P512" s="47" t="s">
        <v>196</v>
      </c>
      <c r="Q512" s="47" t="s">
        <v>2123</v>
      </c>
      <c r="R512" s="48" t="s">
        <v>3234</v>
      </c>
      <c r="S512" s="48" t="s">
        <v>62</v>
      </c>
      <c r="T512" s="49" t="s">
        <v>63</v>
      </c>
      <c r="U512" s="48" t="s">
        <v>75</v>
      </c>
      <c r="V512" s="73"/>
      <c r="W512" s="50">
        <v>4.05</v>
      </c>
      <c r="X512" s="49" t="s">
        <v>1171</v>
      </c>
      <c r="Y512" s="49" t="s">
        <v>7068</v>
      </c>
      <c r="Z512" s="49" t="s">
        <v>765</v>
      </c>
      <c r="AA512" s="51">
        <v>9.2999999999999999E-2</v>
      </c>
      <c r="AB512" s="71">
        <v>68106</v>
      </c>
      <c r="AC512" s="52" t="s">
        <v>196</v>
      </c>
      <c r="AD512" s="53" t="str">
        <f t="shared" si="361"/>
        <v>Link</v>
      </c>
      <c r="AE512" s="54">
        <v>6926</v>
      </c>
      <c r="AF512" s="54">
        <v>14</v>
      </c>
      <c r="AG512" s="55"/>
      <c r="AH512" s="56">
        <v>217156</v>
      </c>
      <c r="AI512" s="7"/>
      <c r="AJ512" s="7"/>
    </row>
    <row r="513" spans="1:36" ht="15" x14ac:dyDescent="0.2">
      <c r="A513" s="43" t="s">
        <v>7056</v>
      </c>
      <c r="B513" s="33" t="s">
        <v>2123</v>
      </c>
      <c r="C513" s="7" t="s">
        <v>67</v>
      </c>
      <c r="D513" s="7" t="s">
        <v>7086</v>
      </c>
      <c r="E513" s="44">
        <v>5</v>
      </c>
      <c r="F513" s="7"/>
      <c r="G513" s="7"/>
      <c r="H513" s="2" t="s">
        <v>7058</v>
      </c>
      <c r="I513" s="7" t="s">
        <v>7088</v>
      </c>
      <c r="J513" s="7" t="s">
        <v>7089</v>
      </c>
      <c r="K513" s="7" t="s">
        <v>55</v>
      </c>
      <c r="L513" s="7" t="s">
        <v>7092</v>
      </c>
      <c r="M513" s="7" t="s">
        <v>7080</v>
      </c>
      <c r="N513" s="69" t="str">
        <f t="shared" si="359"/>
        <v>@brownsoftball</v>
      </c>
      <c r="O513" s="69" t="str">
        <f t="shared" si="360"/>
        <v>Questionnaire</v>
      </c>
      <c r="P513" s="47" t="s">
        <v>196</v>
      </c>
      <c r="Q513" s="47" t="s">
        <v>2123</v>
      </c>
      <c r="R513" s="48" t="s">
        <v>3234</v>
      </c>
      <c r="S513" s="48" t="s">
        <v>62</v>
      </c>
      <c r="T513" s="49" t="s">
        <v>63</v>
      </c>
      <c r="U513" s="48" t="s">
        <v>75</v>
      </c>
      <c r="V513" s="73"/>
      <c r="W513" s="50">
        <v>4.05</v>
      </c>
      <c r="X513" s="49" t="s">
        <v>1171</v>
      </c>
      <c r="Y513" s="49" t="s">
        <v>7068</v>
      </c>
      <c r="Z513" s="49" t="s">
        <v>765</v>
      </c>
      <c r="AA513" s="51">
        <v>9.2999999999999999E-2</v>
      </c>
      <c r="AB513" s="71">
        <v>68106</v>
      </c>
      <c r="AC513" s="52" t="s">
        <v>196</v>
      </c>
      <c r="AD513" s="53" t="str">
        <f t="shared" si="361"/>
        <v>Link</v>
      </c>
      <c r="AE513" s="54">
        <v>6926</v>
      </c>
      <c r="AF513" s="54">
        <v>14</v>
      </c>
      <c r="AG513" s="55"/>
      <c r="AH513" s="56">
        <v>217156</v>
      </c>
      <c r="AI513" s="7"/>
      <c r="AJ513" s="7"/>
    </row>
    <row r="514" spans="1:36" ht="15" x14ac:dyDescent="0.2">
      <c r="A514" s="43" t="s">
        <v>7056</v>
      </c>
      <c r="B514" s="33" t="s">
        <v>1304</v>
      </c>
      <c r="C514" s="7" t="s">
        <v>67</v>
      </c>
      <c r="D514" s="7" t="s">
        <v>7099</v>
      </c>
      <c r="E514" s="44">
        <v>5</v>
      </c>
      <c r="F514" s="7"/>
      <c r="G514" s="7"/>
      <c r="H514" s="2" t="s">
        <v>7104</v>
      </c>
      <c r="I514" s="7" t="s">
        <v>1080</v>
      </c>
      <c r="J514" s="7" t="s">
        <v>7106</v>
      </c>
      <c r="K514" s="7" t="s">
        <v>48</v>
      </c>
      <c r="L514" s="7" t="s">
        <v>7107</v>
      </c>
      <c r="M514" s="7" t="s">
        <v>7108</v>
      </c>
      <c r="N514" s="69" t="str">
        <f t="shared" ref="N514:N516" si="362">HYPERLINK("twitter.com/CULionsSoftball","@CULionsSoftball")</f>
        <v>@CULionsSoftball</v>
      </c>
      <c r="O514" s="69" t="str">
        <f t="shared" ref="O514:O516" si="363">HYPERLINK("https://gocolumbialions.com/news/2006/7/7/325134.aspx","Questionnaire")</f>
        <v>Questionnaire</v>
      </c>
      <c r="P514" s="48" t="s">
        <v>7112</v>
      </c>
      <c r="Q514" s="60" t="s">
        <v>1304</v>
      </c>
      <c r="R514" s="48" t="s">
        <v>1897</v>
      </c>
      <c r="S514" s="48" t="s">
        <v>288</v>
      </c>
      <c r="T514" s="49" t="s">
        <v>74</v>
      </c>
      <c r="U514" s="48" t="s">
        <v>75</v>
      </c>
      <c r="V514" s="73"/>
      <c r="W514" s="50">
        <v>3.83</v>
      </c>
      <c r="X514" s="49" t="s">
        <v>5520</v>
      </c>
      <c r="Y514" s="49" t="s">
        <v>4796</v>
      </c>
      <c r="Z514" s="49" t="s">
        <v>1172</v>
      </c>
      <c r="AA514" s="61">
        <v>7.0000000000000007E-2</v>
      </c>
      <c r="AB514" s="71">
        <v>71785</v>
      </c>
      <c r="AC514" s="62" t="s">
        <v>7112</v>
      </c>
      <c r="AD514" s="53" t="str">
        <f t="shared" ref="AD514:AD516" si="364">HYPERLINK("https://www.college.columbia.edu/academics/programs","Link")</f>
        <v>Link</v>
      </c>
      <c r="AE514" s="54">
        <v>8124</v>
      </c>
      <c r="AF514" s="54">
        <v>5</v>
      </c>
      <c r="AG514" s="55"/>
      <c r="AH514" s="56">
        <v>190150</v>
      </c>
      <c r="AI514" s="7"/>
      <c r="AJ514" s="7"/>
    </row>
    <row r="515" spans="1:36" ht="15" x14ac:dyDescent="0.2">
      <c r="A515" s="43" t="s">
        <v>7056</v>
      </c>
      <c r="B515" s="33" t="s">
        <v>1304</v>
      </c>
      <c r="C515" s="7" t="s">
        <v>67</v>
      </c>
      <c r="D515" s="7" t="s">
        <v>7123</v>
      </c>
      <c r="E515" s="44">
        <v>5</v>
      </c>
      <c r="F515" s="7"/>
      <c r="G515" s="7"/>
      <c r="H515" s="2" t="s">
        <v>7104</v>
      </c>
      <c r="I515" s="7" t="s">
        <v>7124</v>
      </c>
      <c r="J515" s="7" t="s">
        <v>7125</v>
      </c>
      <c r="K515" s="7" t="s">
        <v>55</v>
      </c>
      <c r="L515" s="7" t="s">
        <v>7126</v>
      </c>
      <c r="M515" s="7" t="s">
        <v>7127</v>
      </c>
      <c r="N515" s="69" t="str">
        <f t="shared" si="362"/>
        <v>@CULionsSoftball</v>
      </c>
      <c r="O515" s="69" t="str">
        <f t="shared" si="363"/>
        <v>Questionnaire</v>
      </c>
      <c r="P515" s="48" t="s">
        <v>7112</v>
      </c>
      <c r="Q515" s="60" t="s">
        <v>1304</v>
      </c>
      <c r="R515" s="48" t="s">
        <v>1897</v>
      </c>
      <c r="S515" s="48" t="s">
        <v>288</v>
      </c>
      <c r="T515" s="49" t="s">
        <v>74</v>
      </c>
      <c r="U515" s="48" t="s">
        <v>75</v>
      </c>
      <c r="V515" s="73"/>
      <c r="W515" s="50">
        <v>3.83</v>
      </c>
      <c r="X515" s="49" t="s">
        <v>5520</v>
      </c>
      <c r="Y515" s="49" t="s">
        <v>4796</v>
      </c>
      <c r="Z515" s="49" t="s">
        <v>1172</v>
      </c>
      <c r="AA515" s="61">
        <v>7.0000000000000007E-2</v>
      </c>
      <c r="AB515" s="71">
        <v>71785</v>
      </c>
      <c r="AC515" s="62" t="s">
        <v>7112</v>
      </c>
      <c r="AD515" s="53" t="str">
        <f t="shared" si="364"/>
        <v>Link</v>
      </c>
      <c r="AE515" s="54">
        <v>8124</v>
      </c>
      <c r="AF515" s="54">
        <v>5</v>
      </c>
      <c r="AG515" s="55"/>
      <c r="AH515" s="56">
        <v>190150</v>
      </c>
      <c r="AI515" s="7"/>
      <c r="AJ515" s="7"/>
    </row>
    <row r="516" spans="1:36" ht="15" x14ac:dyDescent="0.2">
      <c r="A516" s="43" t="s">
        <v>7056</v>
      </c>
      <c r="B516" s="33" t="s">
        <v>1304</v>
      </c>
      <c r="C516" s="7" t="s">
        <v>67</v>
      </c>
      <c r="D516" s="7" t="s">
        <v>7132</v>
      </c>
      <c r="E516" s="44">
        <v>5</v>
      </c>
      <c r="F516" s="7"/>
      <c r="G516" s="7"/>
      <c r="H516" s="2" t="s">
        <v>7104</v>
      </c>
      <c r="I516" s="7" t="s">
        <v>772</v>
      </c>
      <c r="J516" s="7" t="s">
        <v>7133</v>
      </c>
      <c r="K516" s="7" t="s">
        <v>55</v>
      </c>
      <c r="L516" s="7" t="s">
        <v>7134</v>
      </c>
      <c r="M516" s="7" t="s">
        <v>7135</v>
      </c>
      <c r="N516" s="45" t="str">
        <f t="shared" si="362"/>
        <v>@CULionsSoftball</v>
      </c>
      <c r="O516" s="45" t="str">
        <f t="shared" si="363"/>
        <v>Questionnaire</v>
      </c>
      <c r="P516" s="48" t="s">
        <v>7112</v>
      </c>
      <c r="Q516" s="60" t="s">
        <v>1304</v>
      </c>
      <c r="R516" s="48" t="s">
        <v>1897</v>
      </c>
      <c r="S516" s="48" t="s">
        <v>288</v>
      </c>
      <c r="T516" s="49" t="s">
        <v>74</v>
      </c>
      <c r="U516" s="48" t="s">
        <v>75</v>
      </c>
      <c r="V516" s="73"/>
      <c r="W516" s="50">
        <v>3.83</v>
      </c>
      <c r="X516" s="49" t="s">
        <v>5520</v>
      </c>
      <c r="Y516" s="49" t="s">
        <v>4796</v>
      </c>
      <c r="Z516" s="49" t="s">
        <v>1172</v>
      </c>
      <c r="AA516" s="61">
        <v>7.0000000000000007E-2</v>
      </c>
      <c r="AB516" s="71">
        <v>71785</v>
      </c>
      <c r="AC516" s="62" t="s">
        <v>7112</v>
      </c>
      <c r="AD516" s="53" t="str">
        <f t="shared" si="364"/>
        <v>Link</v>
      </c>
      <c r="AE516" s="54">
        <v>8124</v>
      </c>
      <c r="AF516" s="54">
        <v>5</v>
      </c>
      <c r="AG516" s="55"/>
      <c r="AH516" s="56">
        <v>190150</v>
      </c>
      <c r="AI516" s="7"/>
      <c r="AJ516" s="7"/>
    </row>
    <row r="517" spans="1:36" ht="15" x14ac:dyDescent="0.2">
      <c r="A517" s="43" t="s">
        <v>7056</v>
      </c>
      <c r="B517" s="33" t="s">
        <v>1304</v>
      </c>
      <c r="C517" s="7" t="s">
        <v>67</v>
      </c>
      <c r="D517" s="7" t="s">
        <v>7138</v>
      </c>
      <c r="E517" s="44">
        <v>5</v>
      </c>
      <c r="F517" s="7"/>
      <c r="G517" s="7"/>
      <c r="H517" s="2" t="s">
        <v>7139</v>
      </c>
      <c r="I517" s="7" t="s">
        <v>3235</v>
      </c>
      <c r="J517" s="7" t="s">
        <v>7140</v>
      </c>
      <c r="K517" s="7" t="s">
        <v>48</v>
      </c>
      <c r="L517" s="7" t="s">
        <v>7141</v>
      </c>
      <c r="M517" s="7" t="s">
        <v>7142</v>
      </c>
      <c r="N517" s="45" t="str">
        <f t="shared" ref="N517:N520" si="365">HYPERLINK("twitter.com/cornellsoftball","@cornellsoftball")</f>
        <v>@cornellsoftball</v>
      </c>
      <c r="O517" s="45" t="str">
        <f t="shared" ref="O517:O520" si="366">HYPERLINK("https://questionnaires.armssoftware.com/edb022b2f092","Questionnaire")</f>
        <v>Questionnaire</v>
      </c>
      <c r="P517" s="47" t="s">
        <v>7149</v>
      </c>
      <c r="Q517" s="47" t="s">
        <v>1304</v>
      </c>
      <c r="R517" s="48" t="s">
        <v>7150</v>
      </c>
      <c r="S517" s="48" t="s">
        <v>468</v>
      </c>
      <c r="T517" s="49" t="s">
        <v>63</v>
      </c>
      <c r="U517" s="48" t="s">
        <v>75</v>
      </c>
      <c r="V517" s="73"/>
      <c r="W517" s="50">
        <v>4.03</v>
      </c>
      <c r="X517" s="49" t="s">
        <v>3762</v>
      </c>
      <c r="Y517" s="49" t="s">
        <v>1171</v>
      </c>
      <c r="Z517" s="49" t="s">
        <v>765</v>
      </c>
      <c r="AA517" s="61">
        <v>0.14000000000000001</v>
      </c>
      <c r="AB517" s="71">
        <v>67613</v>
      </c>
      <c r="AC517" s="52" t="s">
        <v>7149</v>
      </c>
      <c r="AD517" s="53" t="str">
        <f t="shared" ref="AD517:AD520" si="367">HYPERLINK("https://www.cornell.edu/academics/fields.cfm","Link")</f>
        <v>Link</v>
      </c>
      <c r="AE517" s="54">
        <v>14566</v>
      </c>
      <c r="AF517" s="54">
        <v>14</v>
      </c>
      <c r="AG517" s="55"/>
      <c r="AH517" s="56">
        <v>190415</v>
      </c>
      <c r="AI517" s="7"/>
      <c r="AJ517" s="7"/>
    </row>
    <row r="518" spans="1:36" ht="15" x14ac:dyDescent="0.2">
      <c r="A518" s="43" t="s">
        <v>7056</v>
      </c>
      <c r="B518" s="33" t="s">
        <v>1304</v>
      </c>
      <c r="C518" s="7" t="s">
        <v>67</v>
      </c>
      <c r="D518" s="7" t="s">
        <v>7156</v>
      </c>
      <c r="E518" s="44">
        <v>5</v>
      </c>
      <c r="F518" s="7"/>
      <c r="G518" s="7"/>
      <c r="H518" s="2" t="s">
        <v>7139</v>
      </c>
      <c r="I518" s="7" t="s">
        <v>2011</v>
      </c>
      <c r="J518" s="7" t="s">
        <v>7158</v>
      </c>
      <c r="K518" s="7" t="s">
        <v>55</v>
      </c>
      <c r="L518" s="7" t="s">
        <v>7160</v>
      </c>
      <c r="M518" s="7" t="s">
        <v>7161</v>
      </c>
      <c r="N518" s="45" t="str">
        <f t="shared" si="365"/>
        <v>@cornellsoftball</v>
      </c>
      <c r="O518" s="45" t="str">
        <f t="shared" si="366"/>
        <v>Questionnaire</v>
      </c>
      <c r="P518" s="47" t="s">
        <v>7149</v>
      </c>
      <c r="Q518" s="47" t="s">
        <v>1304</v>
      </c>
      <c r="R518" s="48" t="s">
        <v>7150</v>
      </c>
      <c r="S518" s="48" t="s">
        <v>468</v>
      </c>
      <c r="T518" s="49" t="s">
        <v>63</v>
      </c>
      <c r="U518" s="48" t="s">
        <v>75</v>
      </c>
      <c r="V518" s="73"/>
      <c r="W518" s="50">
        <v>4.03</v>
      </c>
      <c r="X518" s="49" t="s">
        <v>3762</v>
      </c>
      <c r="Y518" s="49" t="s">
        <v>1171</v>
      </c>
      <c r="Z518" s="49" t="s">
        <v>765</v>
      </c>
      <c r="AA518" s="61">
        <v>0.14000000000000001</v>
      </c>
      <c r="AB518" s="71">
        <v>67613</v>
      </c>
      <c r="AC518" s="52" t="s">
        <v>7149</v>
      </c>
      <c r="AD518" s="53" t="str">
        <f t="shared" si="367"/>
        <v>Link</v>
      </c>
      <c r="AE518" s="54">
        <v>14566</v>
      </c>
      <c r="AF518" s="54">
        <v>14</v>
      </c>
      <c r="AG518" s="55"/>
      <c r="AH518" s="56">
        <v>190415</v>
      </c>
      <c r="AI518" s="7"/>
      <c r="AJ518" s="7"/>
    </row>
    <row r="519" spans="1:36" ht="15" x14ac:dyDescent="0.2">
      <c r="A519" s="43" t="s">
        <v>7056</v>
      </c>
      <c r="B519" s="33" t="s">
        <v>1304</v>
      </c>
      <c r="C519" s="7" t="s">
        <v>67</v>
      </c>
      <c r="D519" s="7" t="s">
        <v>7166</v>
      </c>
      <c r="E519" s="44">
        <v>5</v>
      </c>
      <c r="F519" s="7"/>
      <c r="G519" s="7"/>
      <c r="H519" s="2" t="s">
        <v>7139</v>
      </c>
      <c r="I519" s="7" t="s">
        <v>513</v>
      </c>
      <c r="J519" s="7" t="s">
        <v>7168</v>
      </c>
      <c r="K519" s="7" t="s">
        <v>55</v>
      </c>
      <c r="L519" s="7" t="s">
        <v>7169</v>
      </c>
      <c r="M519" s="7"/>
      <c r="N519" s="45" t="str">
        <f t="shared" si="365"/>
        <v>@cornellsoftball</v>
      </c>
      <c r="O519" s="45" t="str">
        <f t="shared" si="366"/>
        <v>Questionnaire</v>
      </c>
      <c r="P519" s="47" t="s">
        <v>7149</v>
      </c>
      <c r="Q519" s="47" t="s">
        <v>1304</v>
      </c>
      <c r="R519" s="48" t="s">
        <v>7150</v>
      </c>
      <c r="S519" s="48" t="s">
        <v>468</v>
      </c>
      <c r="T519" s="49" t="s">
        <v>63</v>
      </c>
      <c r="U519" s="48" t="s">
        <v>75</v>
      </c>
      <c r="V519" s="73"/>
      <c r="W519" s="50">
        <v>4.03</v>
      </c>
      <c r="X519" s="49" t="s">
        <v>3762</v>
      </c>
      <c r="Y519" s="49" t="s">
        <v>1171</v>
      </c>
      <c r="Z519" s="49" t="s">
        <v>765</v>
      </c>
      <c r="AA519" s="61">
        <v>0.14000000000000001</v>
      </c>
      <c r="AB519" s="71">
        <v>67613</v>
      </c>
      <c r="AC519" s="52" t="s">
        <v>7149</v>
      </c>
      <c r="AD519" s="53" t="str">
        <f t="shared" si="367"/>
        <v>Link</v>
      </c>
      <c r="AE519" s="54">
        <v>14566</v>
      </c>
      <c r="AF519" s="54">
        <v>14</v>
      </c>
      <c r="AG519" s="55"/>
      <c r="AH519" s="56">
        <v>190415</v>
      </c>
      <c r="AI519" s="7"/>
      <c r="AJ519" s="7"/>
    </row>
    <row r="520" spans="1:36" ht="15" x14ac:dyDescent="0.2">
      <c r="A520" s="43" t="s">
        <v>7056</v>
      </c>
      <c r="B520" s="33" t="s">
        <v>1304</v>
      </c>
      <c r="C520" s="7" t="s">
        <v>67</v>
      </c>
      <c r="D520" s="7" t="s">
        <v>7174</v>
      </c>
      <c r="E520" s="44">
        <v>5</v>
      </c>
      <c r="F520" s="7"/>
      <c r="G520" s="7"/>
      <c r="H520" s="2" t="s">
        <v>7139</v>
      </c>
      <c r="I520" s="7" t="s">
        <v>3108</v>
      </c>
      <c r="J520" s="7" t="s">
        <v>7175</v>
      </c>
      <c r="K520" s="7" t="s">
        <v>139</v>
      </c>
      <c r="L520" s="7" t="s">
        <v>7177</v>
      </c>
      <c r="M520" s="7"/>
      <c r="N520" s="45" t="str">
        <f t="shared" si="365"/>
        <v>@cornellsoftball</v>
      </c>
      <c r="O520" s="45" t="str">
        <f t="shared" si="366"/>
        <v>Questionnaire</v>
      </c>
      <c r="P520" s="47" t="s">
        <v>7149</v>
      </c>
      <c r="Q520" s="47" t="s">
        <v>1304</v>
      </c>
      <c r="R520" s="48" t="s">
        <v>7150</v>
      </c>
      <c r="S520" s="48" t="s">
        <v>468</v>
      </c>
      <c r="T520" s="49" t="s">
        <v>63</v>
      </c>
      <c r="U520" s="48" t="s">
        <v>75</v>
      </c>
      <c r="V520" s="73"/>
      <c r="W520" s="50">
        <v>4.03</v>
      </c>
      <c r="X520" s="49" t="s">
        <v>3762</v>
      </c>
      <c r="Y520" s="49" t="s">
        <v>1171</v>
      </c>
      <c r="Z520" s="49" t="s">
        <v>765</v>
      </c>
      <c r="AA520" s="61">
        <v>0.14000000000000001</v>
      </c>
      <c r="AB520" s="71">
        <v>67613</v>
      </c>
      <c r="AC520" s="52" t="s">
        <v>7149</v>
      </c>
      <c r="AD520" s="53" t="str">
        <f t="shared" si="367"/>
        <v>Link</v>
      </c>
      <c r="AE520" s="54">
        <v>14566</v>
      </c>
      <c r="AF520" s="54">
        <v>14</v>
      </c>
      <c r="AG520" s="55"/>
      <c r="AH520" s="56">
        <v>190415</v>
      </c>
      <c r="AI520" s="7"/>
      <c r="AJ520" s="7"/>
    </row>
    <row r="521" spans="1:36" ht="15" x14ac:dyDescent="0.2">
      <c r="A521" s="43" t="s">
        <v>7056</v>
      </c>
      <c r="B521" s="33" t="s">
        <v>6890</v>
      </c>
      <c r="C521" s="7" t="s">
        <v>67</v>
      </c>
      <c r="D521" s="7" t="s">
        <v>7183</v>
      </c>
      <c r="E521" s="44">
        <v>5</v>
      </c>
      <c r="F521" s="7"/>
      <c r="G521" s="7"/>
      <c r="H521" s="2" t="s">
        <v>7185</v>
      </c>
      <c r="I521" s="7" t="s">
        <v>1080</v>
      </c>
      <c r="J521" s="7" t="s">
        <v>1906</v>
      </c>
      <c r="K521" s="7" t="s">
        <v>48</v>
      </c>
      <c r="L521" s="7" t="s">
        <v>7189</v>
      </c>
      <c r="M521" s="7" t="s">
        <v>7191</v>
      </c>
      <c r="N521" s="45" t="str">
        <f t="shared" ref="N521:N524" si="368">HYPERLINK("twitter.com/dartmouthsball","@dartmouthsball")</f>
        <v>@dartmouthsball</v>
      </c>
      <c r="O521" s="45" t="str">
        <f t="shared" ref="O521:O524" si="369">HYPERLINK("https://questionnaires.armssoftware.com/28523a0b9879?DB_OEM_ID=11600","Questionnaire")</f>
        <v>Questionnaire</v>
      </c>
      <c r="P521" s="48" t="s">
        <v>7197</v>
      </c>
      <c r="Q521" s="47" t="s">
        <v>6890</v>
      </c>
      <c r="R521" s="48" t="s">
        <v>2735</v>
      </c>
      <c r="S521" s="48" t="s">
        <v>172</v>
      </c>
      <c r="T521" s="73" t="s">
        <v>63</v>
      </c>
      <c r="U521" s="48" t="s">
        <v>75</v>
      </c>
      <c r="V521" s="73"/>
      <c r="W521" s="50">
        <v>4.0599999999999996</v>
      </c>
      <c r="X521" s="49" t="s">
        <v>7201</v>
      </c>
      <c r="Y521" s="49" t="s">
        <v>1171</v>
      </c>
      <c r="Z521" s="49" t="s">
        <v>889</v>
      </c>
      <c r="AA521" s="61">
        <v>0.11</v>
      </c>
      <c r="AB521" s="71">
        <v>69474</v>
      </c>
      <c r="AC521" s="62" t="s">
        <v>7197</v>
      </c>
      <c r="AD521" s="53" t="str">
        <f t="shared" ref="AD521:AD524" si="370">HYPERLINK("http://home.dartmouth.edu/education/degrees","Link")</f>
        <v>Link</v>
      </c>
      <c r="AE521" s="54">
        <v>4310</v>
      </c>
      <c r="AF521" s="54">
        <v>11</v>
      </c>
      <c r="AG521" s="55"/>
      <c r="AH521" s="56">
        <v>182670</v>
      </c>
      <c r="AI521" s="7"/>
      <c r="AJ521" s="7"/>
    </row>
    <row r="522" spans="1:36" ht="15" x14ac:dyDescent="0.2">
      <c r="A522" s="43" t="s">
        <v>7056</v>
      </c>
      <c r="B522" s="33" t="s">
        <v>6890</v>
      </c>
      <c r="C522" s="7" t="s">
        <v>67</v>
      </c>
      <c r="D522" s="7" t="s">
        <v>7208</v>
      </c>
      <c r="E522" s="44">
        <v>5</v>
      </c>
      <c r="F522" s="7"/>
      <c r="G522" s="7"/>
      <c r="H522" s="2" t="s">
        <v>7185</v>
      </c>
      <c r="I522" s="7" t="s">
        <v>206</v>
      </c>
      <c r="J522" s="7" t="s">
        <v>3054</v>
      </c>
      <c r="K522" s="7" t="s">
        <v>55</v>
      </c>
      <c r="L522" s="7" t="s">
        <v>7211</v>
      </c>
      <c r="M522" s="7" t="s">
        <v>7213</v>
      </c>
      <c r="N522" s="45" t="str">
        <f t="shared" si="368"/>
        <v>@dartmouthsball</v>
      </c>
      <c r="O522" s="45" t="str">
        <f t="shared" si="369"/>
        <v>Questionnaire</v>
      </c>
      <c r="P522" s="48" t="s">
        <v>7197</v>
      </c>
      <c r="Q522" s="47" t="s">
        <v>6890</v>
      </c>
      <c r="R522" s="48" t="s">
        <v>2735</v>
      </c>
      <c r="S522" s="48" t="s">
        <v>172</v>
      </c>
      <c r="T522" s="73" t="s">
        <v>63</v>
      </c>
      <c r="U522" s="48" t="s">
        <v>75</v>
      </c>
      <c r="V522" s="73"/>
      <c r="W522" s="50">
        <v>4.0599999999999996</v>
      </c>
      <c r="X522" s="49" t="s">
        <v>7201</v>
      </c>
      <c r="Y522" s="49" t="s">
        <v>1171</v>
      </c>
      <c r="Z522" s="49" t="s">
        <v>889</v>
      </c>
      <c r="AA522" s="61">
        <v>0.11</v>
      </c>
      <c r="AB522" s="71">
        <v>69474</v>
      </c>
      <c r="AC522" s="62" t="s">
        <v>7197</v>
      </c>
      <c r="AD522" s="53" t="str">
        <f t="shared" si="370"/>
        <v>Link</v>
      </c>
      <c r="AE522" s="54">
        <v>4310</v>
      </c>
      <c r="AF522" s="54">
        <v>11</v>
      </c>
      <c r="AG522" s="55"/>
      <c r="AH522" s="56">
        <v>182670</v>
      </c>
      <c r="AI522" s="7"/>
      <c r="AJ522" s="7"/>
    </row>
    <row r="523" spans="1:36" ht="15" x14ac:dyDescent="0.2">
      <c r="A523" s="43" t="s">
        <v>7056</v>
      </c>
      <c r="B523" s="33" t="s">
        <v>6890</v>
      </c>
      <c r="C523" s="7" t="s">
        <v>67</v>
      </c>
      <c r="D523" s="7" t="s">
        <v>7216</v>
      </c>
      <c r="E523" s="44">
        <v>5</v>
      </c>
      <c r="F523" s="7"/>
      <c r="G523" s="7"/>
      <c r="H523" s="2" t="s">
        <v>7185</v>
      </c>
      <c r="I523" s="7" t="s">
        <v>4659</v>
      </c>
      <c r="J523" s="7" t="s">
        <v>7219</v>
      </c>
      <c r="K523" s="7" t="s">
        <v>55</v>
      </c>
      <c r="L523" s="7" t="s">
        <v>7220</v>
      </c>
      <c r="M523" s="7" t="s">
        <v>7221</v>
      </c>
      <c r="N523" s="45" t="str">
        <f t="shared" si="368"/>
        <v>@dartmouthsball</v>
      </c>
      <c r="O523" s="45" t="str">
        <f t="shared" si="369"/>
        <v>Questionnaire</v>
      </c>
      <c r="P523" s="48" t="s">
        <v>7197</v>
      </c>
      <c r="Q523" s="47" t="s">
        <v>6890</v>
      </c>
      <c r="R523" s="48" t="s">
        <v>2735</v>
      </c>
      <c r="S523" s="48" t="s">
        <v>172</v>
      </c>
      <c r="T523" s="73" t="s">
        <v>63</v>
      </c>
      <c r="U523" s="48" t="s">
        <v>75</v>
      </c>
      <c r="V523" s="73"/>
      <c r="W523" s="50">
        <v>4.0599999999999996</v>
      </c>
      <c r="X523" s="49" t="s">
        <v>7201</v>
      </c>
      <c r="Y523" s="49" t="s">
        <v>1171</v>
      </c>
      <c r="Z523" s="49" t="s">
        <v>889</v>
      </c>
      <c r="AA523" s="61">
        <v>0.11</v>
      </c>
      <c r="AB523" s="71">
        <v>69474</v>
      </c>
      <c r="AC523" s="62" t="s">
        <v>7197</v>
      </c>
      <c r="AD523" s="53" t="str">
        <f t="shared" si="370"/>
        <v>Link</v>
      </c>
      <c r="AE523" s="54">
        <v>4310</v>
      </c>
      <c r="AF523" s="54">
        <v>11</v>
      </c>
      <c r="AG523" s="55"/>
      <c r="AH523" s="56">
        <v>182670</v>
      </c>
      <c r="AI523" s="7"/>
      <c r="AJ523" s="7"/>
    </row>
    <row r="524" spans="1:36" ht="15" x14ac:dyDescent="0.2">
      <c r="A524" s="43" t="s">
        <v>7056</v>
      </c>
      <c r="B524" s="33" t="s">
        <v>6890</v>
      </c>
      <c r="C524" s="7" t="s">
        <v>67</v>
      </c>
      <c r="D524" s="7" t="s">
        <v>7227</v>
      </c>
      <c r="E524" s="44">
        <v>5</v>
      </c>
      <c r="F524" s="7" t="s">
        <v>116</v>
      </c>
      <c r="G524" s="7"/>
      <c r="H524" s="2" t="s">
        <v>7185</v>
      </c>
      <c r="I524" s="7" t="s">
        <v>1092</v>
      </c>
      <c r="J524" s="7" t="s">
        <v>1906</v>
      </c>
      <c r="K524" s="7" t="s">
        <v>48</v>
      </c>
      <c r="L524" s="7" t="s">
        <v>7189</v>
      </c>
      <c r="M524" s="7" t="s">
        <v>7229</v>
      </c>
      <c r="N524" s="45" t="str">
        <f t="shared" si="368"/>
        <v>@dartmouthsball</v>
      </c>
      <c r="O524" s="45" t="str">
        <f t="shared" si="369"/>
        <v>Questionnaire</v>
      </c>
      <c r="P524" s="48" t="s">
        <v>7197</v>
      </c>
      <c r="Q524" s="47" t="s">
        <v>6890</v>
      </c>
      <c r="R524" s="48" t="s">
        <v>2735</v>
      </c>
      <c r="S524" s="48" t="s">
        <v>172</v>
      </c>
      <c r="T524" s="73" t="s">
        <v>63</v>
      </c>
      <c r="U524" s="48" t="s">
        <v>75</v>
      </c>
      <c r="V524" s="73"/>
      <c r="W524" s="50">
        <v>4.0599999999999996</v>
      </c>
      <c r="X524" s="49" t="s">
        <v>7201</v>
      </c>
      <c r="Y524" s="49" t="s">
        <v>1171</v>
      </c>
      <c r="Z524" s="49" t="s">
        <v>889</v>
      </c>
      <c r="AA524" s="61">
        <v>0.11</v>
      </c>
      <c r="AB524" s="71">
        <v>69474</v>
      </c>
      <c r="AC524" s="62" t="s">
        <v>7197</v>
      </c>
      <c r="AD524" s="53" t="str">
        <f t="shared" si="370"/>
        <v>Link</v>
      </c>
      <c r="AE524" s="54">
        <v>4310</v>
      </c>
      <c r="AF524" s="54">
        <v>11</v>
      </c>
      <c r="AG524" s="55"/>
      <c r="AH524" s="56">
        <v>182670</v>
      </c>
      <c r="AI524" s="7"/>
      <c r="AJ524" s="7"/>
    </row>
    <row r="525" spans="1:36" ht="15" x14ac:dyDescent="0.2">
      <c r="A525" s="43" t="s">
        <v>7056</v>
      </c>
      <c r="B525" s="33" t="s">
        <v>595</v>
      </c>
      <c r="C525" s="7" t="s">
        <v>67</v>
      </c>
      <c r="D525" s="7" t="s">
        <v>7235</v>
      </c>
      <c r="E525" s="44">
        <v>5</v>
      </c>
      <c r="F525" s="7"/>
      <c r="G525" s="7"/>
      <c r="H525" s="2" t="s">
        <v>7236</v>
      </c>
      <c r="I525" s="7" t="s">
        <v>5168</v>
      </c>
      <c r="J525" s="7" t="s">
        <v>7238</v>
      </c>
      <c r="K525" s="7" t="s">
        <v>48</v>
      </c>
      <c r="L525" s="7" t="s">
        <v>7240</v>
      </c>
      <c r="M525" s="7" t="s">
        <v>7241</v>
      </c>
      <c r="N525" s="45" t="str">
        <f t="shared" ref="N525:N528" si="371">HYPERLINK("twitter.com/HarvardSB","@HarvardSB")</f>
        <v>@HarvardSB</v>
      </c>
      <c r="O525" s="45" t="str">
        <f t="shared" ref="O525:O528" si="372">HYPERLINK("https://www.gocrimson.com/information/recruiting/recruiting_forms","Questionnaire")</f>
        <v>Questionnaire</v>
      </c>
      <c r="P525" s="47" t="s">
        <v>7250</v>
      </c>
      <c r="Q525" s="47" t="s">
        <v>595</v>
      </c>
      <c r="R525" s="48" t="s">
        <v>5284</v>
      </c>
      <c r="S525" s="48" t="s">
        <v>238</v>
      </c>
      <c r="T525" s="73" t="s">
        <v>63</v>
      </c>
      <c r="U525" s="48" t="s">
        <v>75</v>
      </c>
      <c r="V525" s="73"/>
      <c r="W525" s="50">
        <v>4.04</v>
      </c>
      <c r="X525" s="49" t="s">
        <v>4796</v>
      </c>
      <c r="Y525" s="49" t="s">
        <v>1884</v>
      </c>
      <c r="Z525" s="49" t="s">
        <v>1172</v>
      </c>
      <c r="AA525" s="61">
        <v>0.05</v>
      </c>
      <c r="AB525" s="71">
        <v>66900</v>
      </c>
      <c r="AC525" s="52" t="s">
        <v>7250</v>
      </c>
      <c r="AD525" s="53" t="str">
        <f t="shared" ref="AD525:AD528" si="373">HYPERLINK("https://college.harvard.edu/academics/fields-study/concentrations","Link")</f>
        <v>Link</v>
      </c>
      <c r="AE525" s="54">
        <v>9915</v>
      </c>
      <c r="AF525" s="54">
        <v>2</v>
      </c>
      <c r="AG525" s="55"/>
      <c r="AH525" s="56">
        <v>166027</v>
      </c>
      <c r="AI525" s="7"/>
      <c r="AJ525" s="7"/>
    </row>
    <row r="526" spans="1:36" ht="15" x14ac:dyDescent="0.2">
      <c r="A526" s="43" t="s">
        <v>7056</v>
      </c>
      <c r="B526" s="33" t="s">
        <v>595</v>
      </c>
      <c r="C526" s="7" t="s">
        <v>67</v>
      </c>
      <c r="D526" s="7" t="s">
        <v>7254</v>
      </c>
      <c r="E526" s="44">
        <v>5</v>
      </c>
      <c r="F526" s="7"/>
      <c r="G526" s="7"/>
      <c r="H526" s="2" t="s">
        <v>7236</v>
      </c>
      <c r="I526" s="7" t="s">
        <v>7255</v>
      </c>
      <c r="J526" s="7" t="s">
        <v>7256</v>
      </c>
      <c r="K526" s="7" t="s">
        <v>55</v>
      </c>
      <c r="L526" s="7" t="s">
        <v>7257</v>
      </c>
      <c r="M526" s="7" t="s">
        <v>7258</v>
      </c>
      <c r="N526" s="45" t="str">
        <f t="shared" si="371"/>
        <v>@HarvardSB</v>
      </c>
      <c r="O526" s="45" t="str">
        <f t="shared" si="372"/>
        <v>Questionnaire</v>
      </c>
      <c r="P526" s="47" t="s">
        <v>7250</v>
      </c>
      <c r="Q526" s="47" t="s">
        <v>595</v>
      </c>
      <c r="R526" s="48" t="s">
        <v>5284</v>
      </c>
      <c r="S526" s="48" t="s">
        <v>238</v>
      </c>
      <c r="T526" s="73" t="s">
        <v>63</v>
      </c>
      <c r="U526" s="48" t="s">
        <v>75</v>
      </c>
      <c r="V526" s="73"/>
      <c r="W526" s="50">
        <v>4.04</v>
      </c>
      <c r="X526" s="49" t="s">
        <v>4796</v>
      </c>
      <c r="Y526" s="49" t="s">
        <v>1884</v>
      </c>
      <c r="Z526" s="49" t="s">
        <v>1172</v>
      </c>
      <c r="AA526" s="61">
        <v>0.05</v>
      </c>
      <c r="AB526" s="71">
        <v>66900</v>
      </c>
      <c r="AC526" s="52" t="s">
        <v>7250</v>
      </c>
      <c r="AD526" s="53" t="str">
        <f t="shared" si="373"/>
        <v>Link</v>
      </c>
      <c r="AE526" s="54">
        <v>9915</v>
      </c>
      <c r="AF526" s="54">
        <v>2</v>
      </c>
      <c r="AG526" s="55"/>
      <c r="AH526" s="56">
        <v>166027</v>
      </c>
      <c r="AI526" s="7"/>
      <c r="AJ526" s="7"/>
    </row>
    <row r="527" spans="1:36" ht="15" x14ac:dyDescent="0.2">
      <c r="A527" s="43" t="s">
        <v>7056</v>
      </c>
      <c r="B527" s="33" t="s">
        <v>595</v>
      </c>
      <c r="C527" s="7" t="s">
        <v>67</v>
      </c>
      <c r="D527" s="7" t="s">
        <v>7268</v>
      </c>
      <c r="E527" s="44">
        <v>5</v>
      </c>
      <c r="F527" s="7"/>
      <c r="G527" s="7"/>
      <c r="H527" s="2" t="s">
        <v>7236</v>
      </c>
      <c r="I527" s="7" t="s">
        <v>5168</v>
      </c>
      <c r="J527" s="7" t="s">
        <v>7269</v>
      </c>
      <c r="K527" s="7" t="s">
        <v>55</v>
      </c>
      <c r="L527" s="7" t="s">
        <v>7270</v>
      </c>
      <c r="M527" s="7"/>
      <c r="N527" s="45" t="str">
        <f t="shared" si="371"/>
        <v>@HarvardSB</v>
      </c>
      <c r="O527" s="45" t="str">
        <f t="shared" si="372"/>
        <v>Questionnaire</v>
      </c>
      <c r="P527" s="47" t="s">
        <v>7250</v>
      </c>
      <c r="Q527" s="47" t="s">
        <v>595</v>
      </c>
      <c r="R527" s="48" t="s">
        <v>5284</v>
      </c>
      <c r="S527" s="48" t="s">
        <v>238</v>
      </c>
      <c r="T527" s="73" t="s">
        <v>63</v>
      </c>
      <c r="U527" s="48" t="s">
        <v>75</v>
      </c>
      <c r="V527" s="73"/>
      <c r="W527" s="50">
        <v>4.04</v>
      </c>
      <c r="X527" s="49" t="s">
        <v>4796</v>
      </c>
      <c r="Y527" s="49" t="s">
        <v>1884</v>
      </c>
      <c r="Z527" s="49" t="s">
        <v>1172</v>
      </c>
      <c r="AA527" s="61">
        <v>0.05</v>
      </c>
      <c r="AB527" s="71">
        <v>66900</v>
      </c>
      <c r="AC527" s="52" t="s">
        <v>7250</v>
      </c>
      <c r="AD527" s="53" t="str">
        <f t="shared" si="373"/>
        <v>Link</v>
      </c>
      <c r="AE527" s="54">
        <v>9915</v>
      </c>
      <c r="AF527" s="54">
        <v>2</v>
      </c>
      <c r="AG527" s="55"/>
      <c r="AH527" s="56">
        <v>166027</v>
      </c>
      <c r="AI527" s="7"/>
      <c r="AJ527" s="7"/>
    </row>
    <row r="528" spans="1:36" ht="15" x14ac:dyDescent="0.2">
      <c r="A528" s="43" t="s">
        <v>7056</v>
      </c>
      <c r="B528" s="33" t="s">
        <v>595</v>
      </c>
      <c r="C528" s="7" t="s">
        <v>67</v>
      </c>
      <c r="D528" s="7" t="s">
        <v>7279</v>
      </c>
      <c r="E528" s="44">
        <v>5</v>
      </c>
      <c r="F528" s="7" t="s">
        <v>116</v>
      </c>
      <c r="G528" s="7"/>
      <c r="H528" s="2" t="s">
        <v>7236</v>
      </c>
      <c r="I528" s="7" t="s">
        <v>206</v>
      </c>
      <c r="J528" s="7" t="s">
        <v>7280</v>
      </c>
      <c r="K528" s="7" t="s">
        <v>139</v>
      </c>
      <c r="L528" s="7" t="s">
        <v>7281</v>
      </c>
      <c r="M528" s="7"/>
      <c r="N528" s="45" t="str">
        <f t="shared" si="371"/>
        <v>@HarvardSB</v>
      </c>
      <c r="O528" s="45" t="str">
        <f t="shared" si="372"/>
        <v>Questionnaire</v>
      </c>
      <c r="P528" s="47" t="s">
        <v>7250</v>
      </c>
      <c r="Q528" s="47" t="s">
        <v>595</v>
      </c>
      <c r="R528" s="48" t="s">
        <v>5284</v>
      </c>
      <c r="S528" s="48" t="s">
        <v>238</v>
      </c>
      <c r="T528" s="73" t="s">
        <v>63</v>
      </c>
      <c r="U528" s="48" t="s">
        <v>75</v>
      </c>
      <c r="V528" s="73"/>
      <c r="W528" s="50">
        <v>4.04</v>
      </c>
      <c r="X528" s="49" t="s">
        <v>4796</v>
      </c>
      <c r="Y528" s="49" t="s">
        <v>1884</v>
      </c>
      <c r="Z528" s="49" t="s">
        <v>1172</v>
      </c>
      <c r="AA528" s="61">
        <v>0.05</v>
      </c>
      <c r="AB528" s="71">
        <v>66900</v>
      </c>
      <c r="AC528" s="52" t="s">
        <v>7250</v>
      </c>
      <c r="AD528" s="53" t="str">
        <f t="shared" si="373"/>
        <v>Link</v>
      </c>
      <c r="AE528" s="54">
        <v>9915</v>
      </c>
      <c r="AF528" s="54">
        <v>2</v>
      </c>
      <c r="AG528" s="55"/>
      <c r="AH528" s="56">
        <v>166027</v>
      </c>
      <c r="AI528" s="7"/>
      <c r="AJ528" s="7"/>
    </row>
    <row r="529" spans="1:36" ht="15" x14ac:dyDescent="0.2">
      <c r="A529" s="43" t="s">
        <v>7056</v>
      </c>
      <c r="B529" s="33" t="s">
        <v>1231</v>
      </c>
      <c r="C529" s="7" t="s">
        <v>67</v>
      </c>
      <c r="D529" s="7" t="s">
        <v>7284</v>
      </c>
      <c r="E529" s="44">
        <v>5</v>
      </c>
      <c r="F529" s="7"/>
      <c r="G529" s="7"/>
      <c r="H529" s="2" t="s">
        <v>7285</v>
      </c>
      <c r="I529" s="7" t="s">
        <v>789</v>
      </c>
      <c r="J529" s="7" t="s">
        <v>701</v>
      </c>
      <c r="K529" s="7" t="s">
        <v>48</v>
      </c>
      <c r="L529" s="7" t="s">
        <v>7287</v>
      </c>
      <c r="M529" s="7" t="s">
        <v>7288</v>
      </c>
      <c r="N529" s="45" t="str">
        <f t="shared" ref="N529:N530" si="374">HYPERLINK("twitter.com/Penn_Softball","@Penn_Softball")</f>
        <v>@Penn_Softball</v>
      </c>
      <c r="O529" s="45" t="str">
        <f t="shared" ref="O529:O530" si="375">HYPERLINK("https://pennathletics.com/sports/2016/6/27/_131485206151941951.aspx","Questionnaire")</f>
        <v>Questionnaire</v>
      </c>
      <c r="P529" s="48" t="s">
        <v>7298</v>
      </c>
      <c r="Q529" s="60" t="s">
        <v>1231</v>
      </c>
      <c r="R529" s="48" t="s">
        <v>2043</v>
      </c>
      <c r="S529" s="48" t="s">
        <v>288</v>
      </c>
      <c r="T529" s="73" t="s">
        <v>63</v>
      </c>
      <c r="U529" s="48" t="s">
        <v>75</v>
      </c>
      <c r="V529" s="73"/>
      <c r="W529" s="50">
        <v>3.91</v>
      </c>
      <c r="X529" s="49" t="s">
        <v>7300</v>
      </c>
      <c r="Y529" s="49" t="s">
        <v>5520</v>
      </c>
      <c r="Z529" s="49" t="s">
        <v>765</v>
      </c>
      <c r="AA529" s="61">
        <v>0.1</v>
      </c>
      <c r="AB529" s="71">
        <v>66800</v>
      </c>
      <c r="AC529" s="62" t="s">
        <v>7298</v>
      </c>
      <c r="AD529" s="53" t="str">
        <f t="shared" ref="AD529:AD530" si="376">HYPERLINK("http://www.admissions.upenn.edu/academics/majors-minors","Link")</f>
        <v>Link</v>
      </c>
      <c r="AE529" s="54">
        <v>10406</v>
      </c>
      <c r="AF529" s="54">
        <v>8</v>
      </c>
      <c r="AG529" s="55"/>
      <c r="AH529" s="56">
        <v>215062</v>
      </c>
      <c r="AI529" s="7"/>
      <c r="AJ529" s="7"/>
    </row>
    <row r="530" spans="1:36" ht="15" x14ac:dyDescent="0.2">
      <c r="A530" s="43" t="s">
        <v>7056</v>
      </c>
      <c r="B530" s="33" t="s">
        <v>1231</v>
      </c>
      <c r="C530" s="7" t="s">
        <v>67</v>
      </c>
      <c r="D530" s="7" t="s">
        <v>7309</v>
      </c>
      <c r="E530" s="44">
        <v>5</v>
      </c>
      <c r="F530" s="7"/>
      <c r="G530" s="7"/>
      <c r="H530" s="2" t="s">
        <v>7285</v>
      </c>
      <c r="I530" s="7" t="s">
        <v>1726</v>
      </c>
      <c r="J530" s="7" t="s">
        <v>3810</v>
      </c>
      <c r="K530" s="7" t="s">
        <v>55</v>
      </c>
      <c r="L530" s="7" t="s">
        <v>7312</v>
      </c>
      <c r="M530" s="7" t="s">
        <v>7313</v>
      </c>
      <c r="N530" s="45" t="str">
        <f t="shared" si="374"/>
        <v>@Penn_Softball</v>
      </c>
      <c r="O530" s="45" t="str">
        <f t="shared" si="375"/>
        <v>Questionnaire</v>
      </c>
      <c r="P530" s="48" t="s">
        <v>7298</v>
      </c>
      <c r="Q530" s="60" t="s">
        <v>1231</v>
      </c>
      <c r="R530" s="48" t="s">
        <v>2043</v>
      </c>
      <c r="S530" s="48" t="s">
        <v>288</v>
      </c>
      <c r="T530" s="73" t="s">
        <v>63</v>
      </c>
      <c r="U530" s="48" t="s">
        <v>75</v>
      </c>
      <c r="V530" s="73"/>
      <c r="W530" s="50">
        <v>3.91</v>
      </c>
      <c r="X530" s="49" t="s">
        <v>7300</v>
      </c>
      <c r="Y530" s="49" t="s">
        <v>5520</v>
      </c>
      <c r="Z530" s="49" t="s">
        <v>765</v>
      </c>
      <c r="AA530" s="61">
        <v>0.1</v>
      </c>
      <c r="AB530" s="71">
        <v>66800</v>
      </c>
      <c r="AC530" s="62" t="s">
        <v>7298</v>
      </c>
      <c r="AD530" s="53" t="str">
        <f t="shared" si="376"/>
        <v>Link</v>
      </c>
      <c r="AE530" s="54">
        <v>10406</v>
      </c>
      <c r="AF530" s="54">
        <v>8</v>
      </c>
      <c r="AG530" s="55"/>
      <c r="AH530" s="56">
        <v>215062</v>
      </c>
      <c r="AI530" s="7"/>
      <c r="AJ530" s="7"/>
    </row>
    <row r="531" spans="1:36" ht="15" x14ac:dyDescent="0.2">
      <c r="A531" s="43" t="s">
        <v>7056</v>
      </c>
      <c r="B531" s="33" t="s">
        <v>3272</v>
      </c>
      <c r="C531" s="7" t="s">
        <v>67</v>
      </c>
      <c r="D531" s="7" t="s">
        <v>7318</v>
      </c>
      <c r="E531" s="44">
        <v>5</v>
      </c>
      <c r="F531" s="7"/>
      <c r="G531" s="7"/>
      <c r="H531" s="2" t="s">
        <v>7319</v>
      </c>
      <c r="I531" s="7" t="s">
        <v>1822</v>
      </c>
      <c r="J531" s="7" t="s">
        <v>7320</v>
      </c>
      <c r="K531" s="7" t="s">
        <v>48</v>
      </c>
      <c r="L531" s="7" t="s">
        <v>7321</v>
      </c>
      <c r="M531" s="7" t="s">
        <v>7322</v>
      </c>
      <c r="N531" s="45" t="str">
        <f t="shared" ref="N531:N534" si="377">HYPERLINK("twitter.com/PUSoftball","@PUSoftball")</f>
        <v>@PUSoftball</v>
      </c>
      <c r="O531" s="45" t="str">
        <f t="shared" ref="O531:O534" si="378">HYPERLINK("https://goprincetontigers.com/news/2006/6/18/295195.aspx","Questionnaire")</f>
        <v>Questionnaire</v>
      </c>
      <c r="P531" s="48" t="s">
        <v>7328</v>
      </c>
      <c r="Q531" s="47" t="s">
        <v>3272</v>
      </c>
      <c r="R531" s="48" t="s">
        <v>7328</v>
      </c>
      <c r="S531" s="48" t="s">
        <v>172</v>
      </c>
      <c r="T531" s="49" t="s">
        <v>63</v>
      </c>
      <c r="U531" s="48" t="s">
        <v>75</v>
      </c>
      <c r="V531" s="73"/>
      <c r="W531" s="50">
        <v>3.89</v>
      </c>
      <c r="X531" s="49" t="s">
        <v>7068</v>
      </c>
      <c r="Y531" s="49" t="s">
        <v>4796</v>
      </c>
      <c r="Z531" s="49" t="s">
        <v>1172</v>
      </c>
      <c r="AA531" s="61">
        <v>7.0000000000000007E-2</v>
      </c>
      <c r="AB531" s="71">
        <v>63690</v>
      </c>
      <c r="AC531" s="62" t="s">
        <v>7328</v>
      </c>
      <c r="AD531" s="53" t="str">
        <f t="shared" ref="AD531:AD534" si="379">HYPERLINK("https://www.princeton.edu/academics/areas-of-study","Link")</f>
        <v>Link</v>
      </c>
      <c r="AE531" s="54">
        <v>5400</v>
      </c>
      <c r="AF531" s="54">
        <v>1</v>
      </c>
      <c r="AG531" s="55"/>
      <c r="AH531" s="56">
        <v>186131</v>
      </c>
      <c r="AI531" s="7"/>
      <c r="AJ531" s="7"/>
    </row>
    <row r="532" spans="1:36" ht="15" x14ac:dyDescent="0.2">
      <c r="A532" s="43" t="s">
        <v>7056</v>
      </c>
      <c r="B532" s="33" t="s">
        <v>3272</v>
      </c>
      <c r="C532" s="7" t="s">
        <v>67</v>
      </c>
      <c r="D532" s="7" t="s">
        <v>7332</v>
      </c>
      <c r="E532" s="44">
        <v>5</v>
      </c>
      <c r="F532" s="7"/>
      <c r="G532" s="7"/>
      <c r="H532" s="2" t="s">
        <v>7319</v>
      </c>
      <c r="I532" s="7" t="s">
        <v>306</v>
      </c>
      <c r="J532" s="7" t="s">
        <v>7334</v>
      </c>
      <c r="K532" s="7" t="s">
        <v>55</v>
      </c>
      <c r="L532" s="7" t="s">
        <v>7335</v>
      </c>
      <c r="M532" s="7" t="s">
        <v>7336</v>
      </c>
      <c r="N532" s="45" t="str">
        <f t="shared" si="377"/>
        <v>@PUSoftball</v>
      </c>
      <c r="O532" s="45" t="str">
        <f t="shared" si="378"/>
        <v>Questionnaire</v>
      </c>
      <c r="P532" s="48" t="s">
        <v>7328</v>
      </c>
      <c r="Q532" s="47" t="s">
        <v>3272</v>
      </c>
      <c r="R532" s="48" t="s">
        <v>7328</v>
      </c>
      <c r="S532" s="48" t="s">
        <v>172</v>
      </c>
      <c r="T532" s="49" t="s">
        <v>63</v>
      </c>
      <c r="U532" s="48" t="s">
        <v>75</v>
      </c>
      <c r="V532" s="73"/>
      <c r="W532" s="50">
        <v>3.89</v>
      </c>
      <c r="X532" s="49" t="s">
        <v>7068</v>
      </c>
      <c r="Y532" s="49" t="s">
        <v>4796</v>
      </c>
      <c r="Z532" s="49" t="s">
        <v>1172</v>
      </c>
      <c r="AA532" s="61">
        <v>7.0000000000000007E-2</v>
      </c>
      <c r="AB532" s="71">
        <v>63690</v>
      </c>
      <c r="AC532" s="62" t="s">
        <v>7328</v>
      </c>
      <c r="AD532" s="53" t="str">
        <f t="shared" si="379"/>
        <v>Link</v>
      </c>
      <c r="AE532" s="54">
        <v>5400</v>
      </c>
      <c r="AF532" s="54">
        <v>1</v>
      </c>
      <c r="AG532" s="55"/>
      <c r="AH532" s="56">
        <v>186131</v>
      </c>
      <c r="AI532" s="7"/>
      <c r="AJ532" s="7"/>
    </row>
    <row r="533" spans="1:36" ht="15" x14ac:dyDescent="0.2">
      <c r="A533" s="43" t="s">
        <v>7056</v>
      </c>
      <c r="B533" s="33" t="s">
        <v>3272</v>
      </c>
      <c r="C533" s="7" t="s">
        <v>67</v>
      </c>
      <c r="D533" s="7" t="s">
        <v>7341</v>
      </c>
      <c r="E533" s="44">
        <v>5</v>
      </c>
      <c r="F533" s="7"/>
      <c r="G533" s="7"/>
      <c r="H533" s="2" t="s">
        <v>7319</v>
      </c>
      <c r="I533" s="7" t="s">
        <v>2402</v>
      </c>
      <c r="J533" s="7" t="s">
        <v>118</v>
      </c>
      <c r="K533" s="7" t="s">
        <v>55</v>
      </c>
      <c r="L533" s="7" t="s">
        <v>7342</v>
      </c>
      <c r="M533" s="7" t="s">
        <v>7336</v>
      </c>
      <c r="N533" s="45" t="str">
        <f t="shared" si="377"/>
        <v>@PUSoftball</v>
      </c>
      <c r="O533" s="45" t="str">
        <f t="shared" si="378"/>
        <v>Questionnaire</v>
      </c>
      <c r="P533" s="48" t="s">
        <v>7328</v>
      </c>
      <c r="Q533" s="47" t="s">
        <v>3272</v>
      </c>
      <c r="R533" s="48" t="s">
        <v>7328</v>
      </c>
      <c r="S533" s="48" t="s">
        <v>172</v>
      </c>
      <c r="T533" s="49" t="s">
        <v>63</v>
      </c>
      <c r="U533" s="48" t="s">
        <v>75</v>
      </c>
      <c r="V533" s="73"/>
      <c r="W533" s="50">
        <v>3.89</v>
      </c>
      <c r="X533" s="49" t="s">
        <v>7068</v>
      </c>
      <c r="Y533" s="49" t="s">
        <v>4796</v>
      </c>
      <c r="Z533" s="49" t="s">
        <v>1172</v>
      </c>
      <c r="AA533" s="61">
        <v>7.0000000000000007E-2</v>
      </c>
      <c r="AB533" s="71">
        <v>63690</v>
      </c>
      <c r="AC533" s="62" t="s">
        <v>7328</v>
      </c>
      <c r="AD533" s="53" t="str">
        <f t="shared" si="379"/>
        <v>Link</v>
      </c>
      <c r="AE533" s="54">
        <v>5400</v>
      </c>
      <c r="AF533" s="54">
        <v>1</v>
      </c>
      <c r="AG533" s="55"/>
      <c r="AH533" s="56">
        <v>186131</v>
      </c>
      <c r="AI533" s="7"/>
      <c r="AJ533" s="7"/>
    </row>
    <row r="534" spans="1:36" ht="15" x14ac:dyDescent="0.2">
      <c r="A534" s="43" t="s">
        <v>7056</v>
      </c>
      <c r="B534" s="33" t="s">
        <v>3272</v>
      </c>
      <c r="C534" s="7" t="s">
        <v>67</v>
      </c>
      <c r="D534" s="7" t="s">
        <v>7347</v>
      </c>
      <c r="E534" s="44">
        <v>5</v>
      </c>
      <c r="F534" s="7"/>
      <c r="G534" s="7"/>
      <c r="H534" s="2" t="s">
        <v>7319</v>
      </c>
      <c r="I534" s="7" t="s">
        <v>1052</v>
      </c>
      <c r="J534" s="7" t="s">
        <v>7350</v>
      </c>
      <c r="K534" s="7" t="s">
        <v>139</v>
      </c>
      <c r="L534" s="7" t="s">
        <v>7351</v>
      </c>
      <c r="M534" s="7"/>
      <c r="N534" s="45" t="str">
        <f t="shared" si="377"/>
        <v>@PUSoftball</v>
      </c>
      <c r="O534" s="45" t="str">
        <f t="shared" si="378"/>
        <v>Questionnaire</v>
      </c>
      <c r="P534" s="48" t="s">
        <v>7328</v>
      </c>
      <c r="Q534" s="47" t="s">
        <v>3272</v>
      </c>
      <c r="R534" s="48" t="s">
        <v>7328</v>
      </c>
      <c r="S534" s="48" t="s">
        <v>172</v>
      </c>
      <c r="T534" s="49" t="s">
        <v>63</v>
      </c>
      <c r="U534" s="48" t="s">
        <v>75</v>
      </c>
      <c r="V534" s="73"/>
      <c r="W534" s="50">
        <v>3.89</v>
      </c>
      <c r="X534" s="49" t="s">
        <v>7068</v>
      </c>
      <c r="Y534" s="49" t="s">
        <v>4796</v>
      </c>
      <c r="Z534" s="49" t="s">
        <v>1172</v>
      </c>
      <c r="AA534" s="61">
        <v>7.0000000000000007E-2</v>
      </c>
      <c r="AB534" s="71">
        <v>63690</v>
      </c>
      <c r="AC534" s="62" t="s">
        <v>7328</v>
      </c>
      <c r="AD534" s="53" t="str">
        <f t="shared" si="379"/>
        <v>Link</v>
      </c>
      <c r="AE534" s="54">
        <v>5400</v>
      </c>
      <c r="AF534" s="54">
        <v>1</v>
      </c>
      <c r="AG534" s="55"/>
      <c r="AH534" s="56">
        <v>186131</v>
      </c>
      <c r="AI534" s="7"/>
      <c r="AJ534" s="7"/>
    </row>
    <row r="535" spans="1:36" ht="15" x14ac:dyDescent="0.2">
      <c r="A535" s="43" t="s">
        <v>7056</v>
      </c>
      <c r="B535" s="33" t="s">
        <v>158</v>
      </c>
      <c r="C535" s="7" t="s">
        <v>67</v>
      </c>
      <c r="D535" s="7" t="s">
        <v>7355</v>
      </c>
      <c r="E535" s="44">
        <v>5</v>
      </c>
      <c r="F535" s="7"/>
      <c r="G535" s="7"/>
      <c r="H535" s="2" t="s">
        <v>7357</v>
      </c>
      <c r="I535" s="7" t="s">
        <v>1092</v>
      </c>
      <c r="J535" s="7" t="s">
        <v>6589</v>
      </c>
      <c r="K535" s="7" t="s">
        <v>48</v>
      </c>
      <c r="L535" s="7" t="s">
        <v>7358</v>
      </c>
      <c r="M535" s="7" t="s">
        <v>7359</v>
      </c>
      <c r="N535" s="45" t="str">
        <f t="shared" ref="N535:N538" si="380">HYPERLINK("twitter.com/yalesoftball","@yalesoftball")</f>
        <v>@yalesoftball</v>
      </c>
      <c r="O535" s="45" t="str">
        <f t="shared" ref="O535:O538" si="381">HYPERLINK("https://questionnaires.armssoftware.com/2f706a6f2478","Questionnaire")</f>
        <v>Questionnaire</v>
      </c>
      <c r="P535" s="47" t="s">
        <v>7363</v>
      </c>
      <c r="Q535" s="47" t="s">
        <v>158</v>
      </c>
      <c r="R535" s="48" t="s">
        <v>776</v>
      </c>
      <c r="S535" s="48" t="s">
        <v>238</v>
      </c>
      <c r="T535" s="49" t="s">
        <v>63</v>
      </c>
      <c r="U535" s="48" t="s">
        <v>75</v>
      </c>
      <c r="V535" s="73"/>
      <c r="W535" s="50">
        <v>4.1900000000000004</v>
      </c>
      <c r="X535" s="49" t="s">
        <v>4796</v>
      </c>
      <c r="Y535" s="49" t="s">
        <v>4796</v>
      </c>
      <c r="Z535" s="49" t="s">
        <v>1172</v>
      </c>
      <c r="AA535" s="61">
        <v>0.06</v>
      </c>
      <c r="AB535" s="71">
        <v>68950</v>
      </c>
      <c r="AC535" s="52" t="s">
        <v>7363</v>
      </c>
      <c r="AD535" s="53" t="str">
        <f t="shared" ref="AD535:AD538" si="382">HYPERLINK("http://catalog.yale.edu/ycps/majors-in-yale-college/","Link")</f>
        <v>Link</v>
      </c>
      <c r="AE535" s="54">
        <v>5472</v>
      </c>
      <c r="AF535" s="54">
        <v>3</v>
      </c>
      <c r="AG535" s="55"/>
      <c r="AH535" s="56">
        <v>130794</v>
      </c>
      <c r="AI535" s="7"/>
      <c r="AJ535" s="7"/>
    </row>
    <row r="536" spans="1:36" ht="15" x14ac:dyDescent="0.2">
      <c r="A536" s="43" t="s">
        <v>7056</v>
      </c>
      <c r="B536" s="33" t="s">
        <v>158</v>
      </c>
      <c r="C536" s="7" t="s">
        <v>67</v>
      </c>
      <c r="D536" s="7" t="s">
        <v>7374</v>
      </c>
      <c r="E536" s="44">
        <v>5</v>
      </c>
      <c r="F536" s="7"/>
      <c r="G536" s="7"/>
      <c r="H536" s="2" t="s">
        <v>7357</v>
      </c>
      <c r="I536" s="7" t="s">
        <v>161</v>
      </c>
      <c r="J536" s="7" t="s">
        <v>7375</v>
      </c>
      <c r="K536" s="7" t="s">
        <v>55</v>
      </c>
      <c r="L536" s="7" t="s">
        <v>7376</v>
      </c>
      <c r="M536" s="7" t="s">
        <v>7377</v>
      </c>
      <c r="N536" s="45" t="str">
        <f t="shared" si="380"/>
        <v>@yalesoftball</v>
      </c>
      <c r="O536" s="45" t="str">
        <f t="shared" si="381"/>
        <v>Questionnaire</v>
      </c>
      <c r="P536" s="47" t="s">
        <v>7363</v>
      </c>
      <c r="Q536" s="47" t="s">
        <v>158</v>
      </c>
      <c r="R536" s="48" t="s">
        <v>776</v>
      </c>
      <c r="S536" s="48" t="s">
        <v>238</v>
      </c>
      <c r="T536" s="49" t="s">
        <v>63</v>
      </c>
      <c r="U536" s="48" t="s">
        <v>75</v>
      </c>
      <c r="V536" s="73"/>
      <c r="W536" s="50">
        <v>4.1900000000000004</v>
      </c>
      <c r="X536" s="49" t="s">
        <v>4796</v>
      </c>
      <c r="Y536" s="49" t="s">
        <v>4796</v>
      </c>
      <c r="Z536" s="49" t="s">
        <v>1172</v>
      </c>
      <c r="AA536" s="61">
        <v>0.06</v>
      </c>
      <c r="AB536" s="71">
        <v>68950</v>
      </c>
      <c r="AC536" s="52" t="s">
        <v>7363</v>
      </c>
      <c r="AD536" s="53" t="str">
        <f t="shared" si="382"/>
        <v>Link</v>
      </c>
      <c r="AE536" s="54">
        <v>5472</v>
      </c>
      <c r="AF536" s="54">
        <v>3</v>
      </c>
      <c r="AG536" s="55"/>
      <c r="AH536" s="56">
        <v>130794</v>
      </c>
      <c r="AI536" s="7"/>
      <c r="AJ536" s="7"/>
    </row>
    <row r="537" spans="1:36" ht="15" x14ac:dyDescent="0.2">
      <c r="A537" s="43" t="s">
        <v>7056</v>
      </c>
      <c r="B537" s="33" t="s">
        <v>158</v>
      </c>
      <c r="C537" s="7" t="s">
        <v>67</v>
      </c>
      <c r="D537" s="7" t="s">
        <v>7382</v>
      </c>
      <c r="E537" s="44">
        <v>5</v>
      </c>
      <c r="F537" s="7"/>
      <c r="G537" s="7"/>
      <c r="H537" s="2" t="s">
        <v>7357</v>
      </c>
      <c r="I537" s="7" t="s">
        <v>7385</v>
      </c>
      <c r="J537" s="7" t="s">
        <v>7387</v>
      </c>
      <c r="K537" s="7" t="s">
        <v>139</v>
      </c>
      <c r="L537" s="7"/>
      <c r="M537" s="7"/>
      <c r="N537" s="45" t="str">
        <f t="shared" si="380"/>
        <v>@yalesoftball</v>
      </c>
      <c r="O537" s="45" t="str">
        <f t="shared" si="381"/>
        <v>Questionnaire</v>
      </c>
      <c r="P537" s="47" t="s">
        <v>7363</v>
      </c>
      <c r="Q537" s="47" t="s">
        <v>158</v>
      </c>
      <c r="R537" s="48" t="s">
        <v>776</v>
      </c>
      <c r="S537" s="48" t="s">
        <v>238</v>
      </c>
      <c r="T537" s="49" t="s">
        <v>63</v>
      </c>
      <c r="U537" s="48" t="s">
        <v>75</v>
      </c>
      <c r="V537" s="73"/>
      <c r="W537" s="50">
        <v>4.1900000000000004</v>
      </c>
      <c r="X537" s="49" t="s">
        <v>4796</v>
      </c>
      <c r="Y537" s="49" t="s">
        <v>4796</v>
      </c>
      <c r="Z537" s="49" t="s">
        <v>1172</v>
      </c>
      <c r="AA537" s="61">
        <v>0.06</v>
      </c>
      <c r="AB537" s="71">
        <v>68950</v>
      </c>
      <c r="AC537" s="52" t="s">
        <v>7363</v>
      </c>
      <c r="AD537" s="53" t="str">
        <f t="shared" si="382"/>
        <v>Link</v>
      </c>
      <c r="AE537" s="54">
        <v>5472</v>
      </c>
      <c r="AF537" s="54">
        <v>3</v>
      </c>
      <c r="AG537" s="55"/>
      <c r="AH537" s="56">
        <v>130794</v>
      </c>
      <c r="AI537" s="7"/>
      <c r="AJ537" s="7"/>
    </row>
    <row r="538" spans="1:36" ht="15" x14ac:dyDescent="0.2">
      <c r="A538" s="43" t="s">
        <v>7056</v>
      </c>
      <c r="B538" s="33" t="s">
        <v>158</v>
      </c>
      <c r="C538" s="7" t="s">
        <v>67</v>
      </c>
      <c r="D538" s="7" t="s">
        <v>7389</v>
      </c>
      <c r="E538" s="44">
        <v>5</v>
      </c>
      <c r="F538" s="7" t="s">
        <v>116</v>
      </c>
      <c r="G538" s="7"/>
      <c r="H538" s="2" t="s">
        <v>7357</v>
      </c>
      <c r="I538" s="7" t="s">
        <v>537</v>
      </c>
      <c r="J538" s="7" t="s">
        <v>7390</v>
      </c>
      <c r="K538" s="7" t="s">
        <v>55</v>
      </c>
      <c r="L538" s="7" t="s">
        <v>7391</v>
      </c>
      <c r="M538" s="7"/>
      <c r="N538" s="45" t="str">
        <f t="shared" si="380"/>
        <v>@yalesoftball</v>
      </c>
      <c r="O538" s="45" t="str">
        <f t="shared" si="381"/>
        <v>Questionnaire</v>
      </c>
      <c r="P538" s="47" t="s">
        <v>7363</v>
      </c>
      <c r="Q538" s="47" t="s">
        <v>158</v>
      </c>
      <c r="R538" s="48" t="s">
        <v>776</v>
      </c>
      <c r="S538" s="48" t="s">
        <v>238</v>
      </c>
      <c r="T538" s="49" t="s">
        <v>63</v>
      </c>
      <c r="U538" s="48" t="s">
        <v>75</v>
      </c>
      <c r="V538" s="73"/>
      <c r="W538" s="50">
        <v>4.1900000000000004</v>
      </c>
      <c r="X538" s="49" t="s">
        <v>4796</v>
      </c>
      <c r="Y538" s="49" t="s">
        <v>4796</v>
      </c>
      <c r="Z538" s="49" t="s">
        <v>1172</v>
      </c>
      <c r="AA538" s="61">
        <v>0.06</v>
      </c>
      <c r="AB538" s="71">
        <v>68950</v>
      </c>
      <c r="AC538" s="52" t="s">
        <v>7363</v>
      </c>
      <c r="AD538" s="53" t="str">
        <f t="shared" si="382"/>
        <v>Link</v>
      </c>
      <c r="AE538" s="54">
        <v>5472</v>
      </c>
      <c r="AF538" s="54">
        <v>3</v>
      </c>
      <c r="AG538" s="55"/>
      <c r="AH538" s="56">
        <v>130794</v>
      </c>
      <c r="AI538" s="7"/>
      <c r="AJ538" s="7"/>
    </row>
    <row r="539" spans="1:36" ht="15" x14ac:dyDescent="0.2">
      <c r="A539" s="64" t="s">
        <v>7398</v>
      </c>
      <c r="B539" s="33" t="s">
        <v>1814</v>
      </c>
      <c r="C539" s="7" t="s">
        <v>67</v>
      </c>
      <c r="D539" s="7" t="s">
        <v>7400</v>
      </c>
      <c r="E539" s="44">
        <v>5</v>
      </c>
      <c r="F539" s="7"/>
      <c r="G539" s="7"/>
      <c r="H539" s="2" t="s">
        <v>7401</v>
      </c>
      <c r="I539" s="7" t="s">
        <v>7402</v>
      </c>
      <c r="J539" s="7" t="s">
        <v>7403</v>
      </c>
      <c r="K539" s="7" t="s">
        <v>48</v>
      </c>
      <c r="L539" s="7" t="s">
        <v>7404</v>
      </c>
      <c r="M539" s="7" t="s">
        <v>7405</v>
      </c>
      <c r="N539" s="45" t="str">
        <f t="shared" ref="N539:N542" si="383">HYPERLINK("twitter.com/zipssb","@zipssb")</f>
        <v>@zipssb</v>
      </c>
      <c r="O539" s="45" t="str">
        <f t="shared" ref="O539:O542" si="384">HYPERLINK("https://college.jumpforward.com/questionnaire.aspx?iid=365&amp;sportid=31","Questionnaire")</f>
        <v>Questionnaire</v>
      </c>
      <c r="P539" s="47" t="s">
        <v>7410</v>
      </c>
      <c r="Q539" s="60" t="s">
        <v>1814</v>
      </c>
      <c r="R539" s="48" t="s">
        <v>7410</v>
      </c>
      <c r="S539" s="48" t="s">
        <v>62</v>
      </c>
      <c r="T539" s="4" t="s">
        <v>74</v>
      </c>
      <c r="U539" s="48" t="s">
        <v>75</v>
      </c>
      <c r="V539" s="73"/>
      <c r="W539" s="91">
        <v>3.34</v>
      </c>
      <c r="X539" s="49" t="s">
        <v>1622</v>
      </c>
      <c r="Y539" s="49" t="s">
        <v>4408</v>
      </c>
      <c r="Z539" s="49" t="s">
        <v>1689</v>
      </c>
      <c r="AA539" s="38">
        <v>0.9516</v>
      </c>
      <c r="AB539" s="48" t="s">
        <v>7412</v>
      </c>
      <c r="AC539" s="52" t="s">
        <v>7410</v>
      </c>
      <c r="AD539" s="53" t="str">
        <f t="shared" ref="AD539:AD542" si="385">HYPERLINK("http://www.uakron.edu/bcas/academics/undergraduate/majors.dot","Link")</f>
        <v>Link</v>
      </c>
      <c r="AE539" s="42">
        <v>17417</v>
      </c>
      <c r="AF539" s="55"/>
      <c r="AG539" s="55"/>
      <c r="AH539" s="56">
        <v>200800</v>
      </c>
      <c r="AI539" s="7"/>
      <c r="AJ539" s="7"/>
    </row>
    <row r="540" spans="1:36" ht="15" x14ac:dyDescent="0.2">
      <c r="A540" s="64" t="s">
        <v>7398</v>
      </c>
      <c r="B540" s="33" t="s">
        <v>1814</v>
      </c>
      <c r="C540" s="7" t="s">
        <v>67</v>
      </c>
      <c r="D540" s="7" t="s">
        <v>7415</v>
      </c>
      <c r="E540" s="44">
        <v>5</v>
      </c>
      <c r="F540" s="7"/>
      <c r="G540" s="7"/>
      <c r="H540" s="2" t="s">
        <v>7401</v>
      </c>
      <c r="I540" s="7" t="s">
        <v>7416</v>
      </c>
      <c r="J540" s="7" t="s">
        <v>7417</v>
      </c>
      <c r="K540" s="7" t="s">
        <v>55</v>
      </c>
      <c r="L540" s="7" t="s">
        <v>7418</v>
      </c>
      <c r="M540" s="7" t="s">
        <v>7405</v>
      </c>
      <c r="N540" s="45" t="str">
        <f t="shared" si="383"/>
        <v>@zipssb</v>
      </c>
      <c r="O540" s="45" t="str">
        <f t="shared" si="384"/>
        <v>Questionnaire</v>
      </c>
      <c r="P540" s="47" t="s">
        <v>7410</v>
      </c>
      <c r="Q540" s="60" t="s">
        <v>1814</v>
      </c>
      <c r="R540" s="48" t="s">
        <v>7410</v>
      </c>
      <c r="S540" s="48" t="s">
        <v>62</v>
      </c>
      <c r="T540" s="4" t="s">
        <v>74</v>
      </c>
      <c r="U540" s="48" t="s">
        <v>75</v>
      </c>
      <c r="V540" s="73"/>
      <c r="W540" s="91">
        <v>3.34</v>
      </c>
      <c r="X540" s="49" t="s">
        <v>1622</v>
      </c>
      <c r="Y540" s="49" t="s">
        <v>4408</v>
      </c>
      <c r="Z540" s="49" t="s">
        <v>1689</v>
      </c>
      <c r="AA540" s="38">
        <v>0.9516</v>
      </c>
      <c r="AB540" s="48" t="s">
        <v>7412</v>
      </c>
      <c r="AC540" s="52" t="s">
        <v>7410</v>
      </c>
      <c r="AD540" s="53" t="str">
        <f t="shared" si="385"/>
        <v>Link</v>
      </c>
      <c r="AE540" s="42">
        <v>17417</v>
      </c>
      <c r="AF540" s="55"/>
      <c r="AG540" s="55"/>
      <c r="AH540" s="56">
        <v>200800</v>
      </c>
      <c r="AI540" s="7"/>
      <c r="AJ540" s="7"/>
    </row>
    <row r="541" spans="1:36" ht="15" x14ac:dyDescent="0.2">
      <c r="A541" s="64" t="s">
        <v>7398</v>
      </c>
      <c r="B541" s="33" t="s">
        <v>1814</v>
      </c>
      <c r="C541" s="7" t="s">
        <v>67</v>
      </c>
      <c r="D541" s="7" t="s">
        <v>7423</v>
      </c>
      <c r="E541" s="44">
        <v>5</v>
      </c>
      <c r="F541" s="7"/>
      <c r="G541" s="7"/>
      <c r="H541" s="2" t="s">
        <v>7401</v>
      </c>
      <c r="I541" s="7" t="s">
        <v>2806</v>
      </c>
      <c r="J541" s="7" t="s">
        <v>2659</v>
      </c>
      <c r="K541" s="7" t="s">
        <v>55</v>
      </c>
      <c r="L541" s="7" t="s">
        <v>7426</v>
      </c>
      <c r="M541" s="7" t="s">
        <v>7405</v>
      </c>
      <c r="N541" s="45" t="str">
        <f t="shared" si="383"/>
        <v>@zipssb</v>
      </c>
      <c r="O541" s="45" t="str">
        <f t="shared" si="384"/>
        <v>Questionnaire</v>
      </c>
      <c r="P541" s="47" t="s">
        <v>7410</v>
      </c>
      <c r="Q541" s="60" t="s">
        <v>1814</v>
      </c>
      <c r="R541" s="48" t="s">
        <v>7410</v>
      </c>
      <c r="S541" s="48" t="s">
        <v>62</v>
      </c>
      <c r="T541" s="4" t="s">
        <v>74</v>
      </c>
      <c r="U541" s="48" t="s">
        <v>75</v>
      </c>
      <c r="V541" s="73"/>
      <c r="W541" s="91">
        <v>3.34</v>
      </c>
      <c r="X541" s="49" t="s">
        <v>1622</v>
      </c>
      <c r="Y541" s="49" t="s">
        <v>4408</v>
      </c>
      <c r="Z541" s="49" t="s">
        <v>1689</v>
      </c>
      <c r="AA541" s="38">
        <v>0.9516</v>
      </c>
      <c r="AB541" s="48" t="s">
        <v>7412</v>
      </c>
      <c r="AC541" s="52" t="s">
        <v>7410</v>
      </c>
      <c r="AD541" s="53" t="str">
        <f t="shared" si="385"/>
        <v>Link</v>
      </c>
      <c r="AE541" s="42">
        <v>17417</v>
      </c>
      <c r="AF541" s="55"/>
      <c r="AG541" s="55"/>
      <c r="AH541" s="56">
        <v>200800</v>
      </c>
      <c r="AI541" s="7"/>
      <c r="AJ541" s="7"/>
    </row>
    <row r="542" spans="1:36" ht="15" x14ac:dyDescent="0.2">
      <c r="A542" s="64" t="s">
        <v>7398</v>
      </c>
      <c r="B542" s="33" t="s">
        <v>1814</v>
      </c>
      <c r="C542" s="7" t="s">
        <v>67</v>
      </c>
      <c r="D542" s="7" t="s">
        <v>7434</v>
      </c>
      <c r="E542" s="44">
        <v>5</v>
      </c>
      <c r="F542" s="7"/>
      <c r="G542" s="7"/>
      <c r="H542" s="2" t="s">
        <v>7401</v>
      </c>
      <c r="I542" s="7" t="s">
        <v>6110</v>
      </c>
      <c r="J542" s="7" t="s">
        <v>7435</v>
      </c>
      <c r="K542" s="7" t="s">
        <v>120</v>
      </c>
      <c r="L542" s="7" t="s">
        <v>7436</v>
      </c>
      <c r="M542" s="7" t="s">
        <v>7405</v>
      </c>
      <c r="N542" s="45" t="str">
        <f t="shared" si="383"/>
        <v>@zipssb</v>
      </c>
      <c r="O542" s="45" t="str">
        <f t="shared" si="384"/>
        <v>Questionnaire</v>
      </c>
      <c r="P542" s="47" t="s">
        <v>7410</v>
      </c>
      <c r="Q542" s="60" t="s">
        <v>1814</v>
      </c>
      <c r="R542" s="48" t="s">
        <v>7410</v>
      </c>
      <c r="S542" s="48" t="s">
        <v>62</v>
      </c>
      <c r="T542" s="4" t="s">
        <v>74</v>
      </c>
      <c r="U542" s="48" t="s">
        <v>75</v>
      </c>
      <c r="V542" s="73"/>
      <c r="W542" s="91">
        <v>3.34</v>
      </c>
      <c r="X542" s="49" t="s">
        <v>1622</v>
      </c>
      <c r="Y542" s="49" t="s">
        <v>4408</v>
      </c>
      <c r="Z542" s="49" t="s">
        <v>1689</v>
      </c>
      <c r="AA542" s="38">
        <v>0.9516</v>
      </c>
      <c r="AB542" s="48" t="s">
        <v>7412</v>
      </c>
      <c r="AC542" s="52" t="s">
        <v>7410</v>
      </c>
      <c r="AD542" s="53" t="str">
        <f t="shared" si="385"/>
        <v>Link</v>
      </c>
      <c r="AE542" s="42">
        <v>17417</v>
      </c>
      <c r="AF542" s="55"/>
      <c r="AG542" s="55"/>
      <c r="AH542" s="56">
        <v>200800</v>
      </c>
      <c r="AI542" s="7"/>
      <c r="AJ542" s="7"/>
    </row>
    <row r="543" spans="1:36" ht="15" x14ac:dyDescent="0.2">
      <c r="A543" s="64" t="s">
        <v>7398</v>
      </c>
      <c r="B543" s="33" t="s">
        <v>1151</v>
      </c>
      <c r="C543" s="7" t="s">
        <v>67</v>
      </c>
      <c r="D543" s="7" t="s">
        <v>7438</v>
      </c>
      <c r="E543" s="44">
        <v>5</v>
      </c>
      <c r="F543" s="7"/>
      <c r="G543" s="7"/>
      <c r="H543" s="2" t="s">
        <v>7440</v>
      </c>
      <c r="I543" s="7" t="s">
        <v>306</v>
      </c>
      <c r="J543" s="7" t="s">
        <v>7441</v>
      </c>
      <c r="K543" s="7" t="s">
        <v>48</v>
      </c>
      <c r="L543" s="7" t="s">
        <v>7442</v>
      </c>
      <c r="M543" s="7" t="s">
        <v>7443</v>
      </c>
      <c r="N543" s="45" t="s">
        <v>7444</v>
      </c>
      <c r="O543" s="45" t="str">
        <f t="shared" ref="O543:O545" si="386">HYPERLINK("https://ballstatesports.com/sports/2016/10/7/becoming-a-cardinal.aspx","Questionnaire")</f>
        <v>Questionnaire</v>
      </c>
      <c r="P543" s="47" t="s">
        <v>7447</v>
      </c>
      <c r="Q543" s="47" t="s">
        <v>1151</v>
      </c>
      <c r="R543" s="48" t="s">
        <v>7448</v>
      </c>
      <c r="S543" s="48" t="s">
        <v>186</v>
      </c>
      <c r="T543" s="49" t="s">
        <v>74</v>
      </c>
      <c r="U543" s="48" t="s">
        <v>75</v>
      </c>
      <c r="V543" s="73"/>
      <c r="W543" s="50">
        <v>3.45</v>
      </c>
      <c r="X543" s="49" t="s">
        <v>345</v>
      </c>
      <c r="Y543" s="49" t="s">
        <v>1509</v>
      </c>
      <c r="Z543" s="49" t="s">
        <v>240</v>
      </c>
      <c r="AA543" s="51">
        <v>0.62250000000000005</v>
      </c>
      <c r="AB543" s="48" t="s">
        <v>7454</v>
      </c>
      <c r="AC543" s="52" t="s">
        <v>7447</v>
      </c>
      <c r="AD543" s="53" t="str">
        <f t="shared" ref="AD543:AD546" si="387">HYPERLINK("https://cms.bsu.edu/academics/undergraduatestudy/majors","Link")</f>
        <v>Link</v>
      </c>
      <c r="AE543" s="54">
        <v>17011</v>
      </c>
      <c r="AF543" s="54">
        <v>187</v>
      </c>
      <c r="AG543" s="55"/>
      <c r="AH543" s="56">
        <v>150136</v>
      </c>
      <c r="AI543" s="7"/>
      <c r="AJ543" s="7"/>
    </row>
    <row r="544" spans="1:36" ht="15" x14ac:dyDescent="0.2">
      <c r="A544" s="64" t="s">
        <v>7398</v>
      </c>
      <c r="B544" s="33" t="s">
        <v>1151</v>
      </c>
      <c r="C544" s="7" t="s">
        <v>67</v>
      </c>
      <c r="D544" s="7" t="s">
        <v>7456</v>
      </c>
      <c r="E544" s="44">
        <v>5</v>
      </c>
      <c r="F544" s="7"/>
      <c r="G544" s="7"/>
      <c r="H544" s="2" t="s">
        <v>7440</v>
      </c>
      <c r="I544" s="7" t="s">
        <v>3503</v>
      </c>
      <c r="J544" s="7" t="s">
        <v>3412</v>
      </c>
      <c r="K544" s="7" t="s">
        <v>55</v>
      </c>
      <c r="L544" s="7" t="s">
        <v>7459</v>
      </c>
      <c r="M544" s="7" t="s">
        <v>7460</v>
      </c>
      <c r="N544" s="74" t="s">
        <v>7461</v>
      </c>
      <c r="O544" s="45" t="str">
        <f t="shared" si="386"/>
        <v>Questionnaire</v>
      </c>
      <c r="P544" s="47" t="s">
        <v>7447</v>
      </c>
      <c r="Q544" s="47" t="s">
        <v>1151</v>
      </c>
      <c r="R544" s="48" t="s">
        <v>7448</v>
      </c>
      <c r="S544" s="48" t="s">
        <v>186</v>
      </c>
      <c r="T544" s="49" t="s">
        <v>74</v>
      </c>
      <c r="U544" s="48" t="s">
        <v>75</v>
      </c>
      <c r="V544" s="73"/>
      <c r="W544" s="50">
        <v>3.45</v>
      </c>
      <c r="X544" s="49" t="s">
        <v>345</v>
      </c>
      <c r="Y544" s="49" t="s">
        <v>1509</v>
      </c>
      <c r="Z544" s="49" t="s">
        <v>240</v>
      </c>
      <c r="AA544" s="51">
        <v>0.62250000000000005</v>
      </c>
      <c r="AB544" s="48" t="s">
        <v>7454</v>
      </c>
      <c r="AC544" s="52" t="s">
        <v>7447</v>
      </c>
      <c r="AD544" s="53" t="str">
        <f t="shared" si="387"/>
        <v>Link</v>
      </c>
      <c r="AE544" s="54">
        <v>17011</v>
      </c>
      <c r="AF544" s="54">
        <v>187</v>
      </c>
      <c r="AG544" s="55"/>
      <c r="AH544" s="56">
        <v>150136</v>
      </c>
      <c r="AI544" s="7"/>
      <c r="AJ544" s="7"/>
    </row>
    <row r="545" spans="1:36" ht="15" x14ac:dyDescent="0.2">
      <c r="A545" s="64" t="s">
        <v>7398</v>
      </c>
      <c r="B545" s="33" t="s">
        <v>1151</v>
      </c>
      <c r="C545" s="7" t="s">
        <v>67</v>
      </c>
      <c r="D545" s="7" t="s">
        <v>7465</v>
      </c>
      <c r="E545" s="44">
        <v>5</v>
      </c>
      <c r="F545" s="7"/>
      <c r="G545" s="7"/>
      <c r="H545" s="2" t="s">
        <v>7440</v>
      </c>
      <c r="I545" s="7" t="s">
        <v>6100</v>
      </c>
      <c r="J545" s="7" t="s">
        <v>7470</v>
      </c>
      <c r="K545" s="7" t="s">
        <v>55</v>
      </c>
      <c r="L545" s="7" t="s">
        <v>7471</v>
      </c>
      <c r="M545" s="7" t="s">
        <v>7472</v>
      </c>
      <c r="N545" s="7"/>
      <c r="O545" s="45" t="str">
        <f t="shared" si="386"/>
        <v>Questionnaire</v>
      </c>
      <c r="P545" s="47" t="s">
        <v>7447</v>
      </c>
      <c r="Q545" s="47" t="s">
        <v>1151</v>
      </c>
      <c r="R545" s="48" t="s">
        <v>7448</v>
      </c>
      <c r="S545" s="48" t="s">
        <v>186</v>
      </c>
      <c r="T545" s="49" t="s">
        <v>74</v>
      </c>
      <c r="U545" s="48" t="s">
        <v>75</v>
      </c>
      <c r="V545" s="73"/>
      <c r="W545" s="50">
        <v>3.45</v>
      </c>
      <c r="X545" s="49" t="s">
        <v>345</v>
      </c>
      <c r="Y545" s="49" t="s">
        <v>1509</v>
      </c>
      <c r="Z545" s="49" t="s">
        <v>240</v>
      </c>
      <c r="AA545" s="51">
        <v>0.62250000000000005</v>
      </c>
      <c r="AB545" s="48" t="s">
        <v>7454</v>
      </c>
      <c r="AC545" s="52" t="s">
        <v>7447</v>
      </c>
      <c r="AD545" s="53" t="str">
        <f t="shared" si="387"/>
        <v>Link</v>
      </c>
      <c r="AE545" s="54">
        <v>17011</v>
      </c>
      <c r="AF545" s="54">
        <v>187</v>
      </c>
      <c r="AG545" s="55"/>
      <c r="AH545" s="56">
        <v>150136</v>
      </c>
      <c r="AI545" s="7"/>
      <c r="AJ545" s="7"/>
    </row>
    <row r="546" spans="1:36" ht="15" x14ac:dyDescent="0.2">
      <c r="A546" s="64" t="s">
        <v>7398</v>
      </c>
      <c r="B546" s="33" t="s">
        <v>1151</v>
      </c>
      <c r="C546" s="7" t="s">
        <v>67</v>
      </c>
      <c r="D546" s="7" t="s">
        <v>7475</v>
      </c>
      <c r="E546" s="44">
        <v>5</v>
      </c>
      <c r="F546" s="7"/>
      <c r="G546" s="7"/>
      <c r="H546" s="2" t="s">
        <v>7440</v>
      </c>
      <c r="I546" s="7" t="s">
        <v>7478</v>
      </c>
      <c r="J546" s="7" t="s">
        <v>7480</v>
      </c>
      <c r="K546" s="7" t="s">
        <v>139</v>
      </c>
      <c r="L546" s="7" t="s">
        <v>7481</v>
      </c>
      <c r="M546" s="7"/>
      <c r="N546" s="7"/>
      <c r="O546" s="7"/>
      <c r="P546" s="47" t="s">
        <v>7447</v>
      </c>
      <c r="Q546" s="47" t="s">
        <v>1151</v>
      </c>
      <c r="R546" s="48" t="s">
        <v>7448</v>
      </c>
      <c r="S546" s="48" t="s">
        <v>186</v>
      </c>
      <c r="T546" s="49" t="s">
        <v>74</v>
      </c>
      <c r="U546" s="48" t="s">
        <v>75</v>
      </c>
      <c r="V546" s="73"/>
      <c r="W546" s="61">
        <v>3.45</v>
      </c>
      <c r="X546" s="49" t="s">
        <v>345</v>
      </c>
      <c r="Y546" s="49" t="s">
        <v>1509</v>
      </c>
      <c r="Z546" s="49" t="s">
        <v>240</v>
      </c>
      <c r="AA546" s="51">
        <v>0.62250000000000005</v>
      </c>
      <c r="AB546" s="48" t="s">
        <v>7454</v>
      </c>
      <c r="AC546" s="52" t="s">
        <v>7447</v>
      </c>
      <c r="AD546" s="53" t="str">
        <f t="shared" si="387"/>
        <v>Link</v>
      </c>
      <c r="AE546" s="54">
        <v>17011</v>
      </c>
      <c r="AF546" s="54">
        <v>187</v>
      </c>
      <c r="AG546" s="55"/>
      <c r="AH546" s="56">
        <v>150136</v>
      </c>
      <c r="AI546" s="85"/>
      <c r="AJ546" s="85"/>
    </row>
    <row r="547" spans="1:36" ht="15" x14ac:dyDescent="0.2">
      <c r="A547" s="64" t="s">
        <v>7398</v>
      </c>
      <c r="B547" s="33" t="s">
        <v>1814</v>
      </c>
      <c r="C547" s="7" t="s">
        <v>67</v>
      </c>
      <c r="D547" s="7" t="s">
        <v>7486</v>
      </c>
      <c r="E547" s="44">
        <v>5</v>
      </c>
      <c r="F547" s="7"/>
      <c r="G547" s="7"/>
      <c r="H547" s="2" t="s">
        <v>7488</v>
      </c>
      <c r="I547" s="7" t="s">
        <v>539</v>
      </c>
      <c r="J547" s="7" t="s">
        <v>5365</v>
      </c>
      <c r="K547" s="7" t="s">
        <v>48</v>
      </c>
      <c r="L547" s="7" t="s">
        <v>7489</v>
      </c>
      <c r="M547" s="7" t="s">
        <v>7490</v>
      </c>
      <c r="N547" s="69" t="str">
        <f t="shared" ref="N547:N550" si="388">HYPERLINK("twitter.com/bgsusoftball","@bgsusoftball")</f>
        <v>@bgsusoftball</v>
      </c>
      <c r="O547" s="69" t="str">
        <f t="shared" ref="O547:O550" si="389">HYPERLINK("https://bgsufalcons.com/sports/2009/6/16/GEN_0616092357.aspx","Questionnaire")</f>
        <v>Questionnaire</v>
      </c>
      <c r="P547" s="47" t="s">
        <v>7499</v>
      </c>
      <c r="Q547" s="47" t="s">
        <v>1814</v>
      </c>
      <c r="R547" s="48" t="s">
        <v>6613</v>
      </c>
      <c r="S547" s="48" t="s">
        <v>186</v>
      </c>
      <c r="T547" s="49" t="s">
        <v>74</v>
      </c>
      <c r="U547" s="48" t="s">
        <v>75</v>
      </c>
      <c r="V547" s="73"/>
      <c r="W547" s="50">
        <v>3.3</v>
      </c>
      <c r="X547" s="49" t="s">
        <v>1029</v>
      </c>
      <c r="Y547" s="49" t="s">
        <v>1622</v>
      </c>
      <c r="Z547" s="49" t="s">
        <v>125</v>
      </c>
      <c r="AA547" s="51">
        <v>0.76049999999999995</v>
      </c>
      <c r="AB547" s="48" t="s">
        <v>7504</v>
      </c>
      <c r="AC547" s="52" t="s">
        <v>7499</v>
      </c>
      <c r="AD547" s="53" t="str">
        <f t="shared" ref="AD547:AD550" si="390">HYPERLINK("https://www.bgsu.edu/admissions/academics/undergraduate-majors-and-programs.html","Link")</f>
        <v>Link</v>
      </c>
      <c r="AE547" s="54">
        <v>14852</v>
      </c>
      <c r="AF547" s="54">
        <v>202</v>
      </c>
      <c r="AG547" s="55"/>
      <c r="AH547" s="56">
        <v>201441</v>
      </c>
      <c r="AI547" s="7"/>
      <c r="AJ547" s="7"/>
    </row>
    <row r="548" spans="1:36" ht="15" x14ac:dyDescent="0.2">
      <c r="A548" s="64" t="s">
        <v>7398</v>
      </c>
      <c r="B548" s="33" t="s">
        <v>1814</v>
      </c>
      <c r="C548" s="7" t="s">
        <v>67</v>
      </c>
      <c r="D548" s="7" t="s">
        <v>7508</v>
      </c>
      <c r="E548" s="44">
        <v>5</v>
      </c>
      <c r="F548" s="7"/>
      <c r="G548" s="7"/>
      <c r="H548" s="2" t="s">
        <v>7488</v>
      </c>
      <c r="I548" s="7" t="s">
        <v>7509</v>
      </c>
      <c r="J548" s="7" t="s">
        <v>805</v>
      </c>
      <c r="K548" s="7" t="s">
        <v>55</v>
      </c>
      <c r="L548" s="7"/>
      <c r="M548" s="7"/>
      <c r="N548" s="69" t="str">
        <f t="shared" si="388"/>
        <v>@bgsusoftball</v>
      </c>
      <c r="O548" s="69" t="str">
        <f t="shared" si="389"/>
        <v>Questionnaire</v>
      </c>
      <c r="P548" s="47" t="s">
        <v>7499</v>
      </c>
      <c r="Q548" s="47" t="s">
        <v>1814</v>
      </c>
      <c r="R548" s="48" t="s">
        <v>6613</v>
      </c>
      <c r="S548" s="48" t="s">
        <v>186</v>
      </c>
      <c r="T548" s="49" t="s">
        <v>74</v>
      </c>
      <c r="U548" s="48" t="s">
        <v>75</v>
      </c>
      <c r="V548" s="73"/>
      <c r="W548" s="50">
        <v>3.3</v>
      </c>
      <c r="X548" s="49" t="s">
        <v>1029</v>
      </c>
      <c r="Y548" s="49" t="s">
        <v>1622</v>
      </c>
      <c r="Z548" s="49" t="s">
        <v>125</v>
      </c>
      <c r="AA548" s="51">
        <v>0.76049999999999995</v>
      </c>
      <c r="AB548" s="48" t="s">
        <v>7504</v>
      </c>
      <c r="AC548" s="52" t="s">
        <v>7499</v>
      </c>
      <c r="AD548" s="53" t="str">
        <f t="shared" si="390"/>
        <v>Link</v>
      </c>
      <c r="AE548" s="54">
        <v>14852</v>
      </c>
      <c r="AF548" s="54">
        <v>202</v>
      </c>
      <c r="AG548" s="55"/>
      <c r="AH548" s="56">
        <v>201441</v>
      </c>
      <c r="AI548" s="7"/>
      <c r="AJ548" s="7"/>
    </row>
    <row r="549" spans="1:36" ht="15" x14ac:dyDescent="0.2">
      <c r="A549" s="64" t="s">
        <v>7398</v>
      </c>
      <c r="B549" s="33" t="s">
        <v>1814</v>
      </c>
      <c r="C549" s="7" t="s">
        <v>67</v>
      </c>
      <c r="D549" s="7" t="s">
        <v>7516</v>
      </c>
      <c r="E549" s="44">
        <v>5</v>
      </c>
      <c r="F549" s="7" t="s">
        <v>116</v>
      </c>
      <c r="G549" s="7"/>
      <c r="H549" s="2" t="s">
        <v>7488</v>
      </c>
      <c r="I549" s="7" t="s">
        <v>4382</v>
      </c>
      <c r="J549" s="7" t="s">
        <v>7518</v>
      </c>
      <c r="K549" s="7" t="s">
        <v>139</v>
      </c>
      <c r="L549" s="7" t="s">
        <v>7519</v>
      </c>
      <c r="M549" s="7"/>
      <c r="N549" s="69" t="str">
        <f t="shared" si="388"/>
        <v>@bgsusoftball</v>
      </c>
      <c r="O549" s="69" t="str">
        <f t="shared" si="389"/>
        <v>Questionnaire</v>
      </c>
      <c r="P549" s="47" t="s">
        <v>7499</v>
      </c>
      <c r="Q549" s="47" t="s">
        <v>1814</v>
      </c>
      <c r="R549" s="48" t="s">
        <v>6613</v>
      </c>
      <c r="S549" s="48" t="s">
        <v>186</v>
      </c>
      <c r="T549" s="49" t="s">
        <v>74</v>
      </c>
      <c r="U549" s="48" t="s">
        <v>75</v>
      </c>
      <c r="V549" s="73"/>
      <c r="W549" s="50">
        <v>3.3</v>
      </c>
      <c r="X549" s="49" t="s">
        <v>1029</v>
      </c>
      <c r="Y549" s="49" t="s">
        <v>1622</v>
      </c>
      <c r="Z549" s="49" t="s">
        <v>125</v>
      </c>
      <c r="AA549" s="51">
        <v>0.76049999999999995</v>
      </c>
      <c r="AB549" s="48" t="s">
        <v>7504</v>
      </c>
      <c r="AC549" s="52" t="s">
        <v>7499</v>
      </c>
      <c r="AD549" s="53" t="str">
        <f t="shared" si="390"/>
        <v>Link</v>
      </c>
      <c r="AE549" s="54">
        <v>14852</v>
      </c>
      <c r="AF549" s="54">
        <v>202</v>
      </c>
      <c r="AG549" s="55"/>
      <c r="AH549" s="56">
        <v>201441</v>
      </c>
      <c r="AI549" s="7"/>
      <c r="AJ549" s="7"/>
    </row>
    <row r="550" spans="1:36" ht="15" x14ac:dyDescent="0.2">
      <c r="A550" s="64" t="s">
        <v>7398</v>
      </c>
      <c r="B550" s="33" t="s">
        <v>1814</v>
      </c>
      <c r="C550" s="7" t="s">
        <v>67</v>
      </c>
      <c r="D550" s="7" t="s">
        <v>7523</v>
      </c>
      <c r="E550" s="44">
        <v>5</v>
      </c>
      <c r="F550" s="7" t="s">
        <v>116</v>
      </c>
      <c r="G550" s="7"/>
      <c r="H550" s="2" t="s">
        <v>7488</v>
      </c>
      <c r="I550" s="7" t="s">
        <v>4044</v>
      </c>
      <c r="J550" s="7" t="s">
        <v>4003</v>
      </c>
      <c r="K550" s="7" t="s">
        <v>55</v>
      </c>
      <c r="L550" s="7" t="s">
        <v>7524</v>
      </c>
      <c r="M550" s="7"/>
      <c r="N550" s="45" t="str">
        <f t="shared" si="388"/>
        <v>@bgsusoftball</v>
      </c>
      <c r="O550" s="45" t="str">
        <f t="shared" si="389"/>
        <v>Questionnaire</v>
      </c>
      <c r="P550" s="47" t="s">
        <v>7499</v>
      </c>
      <c r="Q550" s="47" t="s">
        <v>1814</v>
      </c>
      <c r="R550" s="48" t="s">
        <v>6613</v>
      </c>
      <c r="S550" s="48" t="s">
        <v>186</v>
      </c>
      <c r="T550" s="49" t="s">
        <v>74</v>
      </c>
      <c r="U550" s="48" t="s">
        <v>75</v>
      </c>
      <c r="V550" s="73"/>
      <c r="W550" s="50">
        <v>3.3</v>
      </c>
      <c r="X550" s="49" t="s">
        <v>1029</v>
      </c>
      <c r="Y550" s="49" t="s">
        <v>1622</v>
      </c>
      <c r="Z550" s="49" t="s">
        <v>125</v>
      </c>
      <c r="AA550" s="51">
        <v>0.76049999999999995</v>
      </c>
      <c r="AB550" s="48" t="s">
        <v>7504</v>
      </c>
      <c r="AC550" s="52" t="s">
        <v>7499</v>
      </c>
      <c r="AD550" s="53" t="str">
        <f t="shared" si="390"/>
        <v>Link</v>
      </c>
      <c r="AE550" s="54">
        <v>14852</v>
      </c>
      <c r="AF550" s="54">
        <v>202</v>
      </c>
      <c r="AG550" s="55"/>
      <c r="AH550" s="56">
        <v>201441</v>
      </c>
      <c r="AI550" s="7"/>
      <c r="AJ550" s="7"/>
    </row>
    <row r="551" spans="1:36" ht="13" x14ac:dyDescent="0.15">
      <c r="A551" s="64" t="s">
        <v>7398</v>
      </c>
      <c r="B551" s="2" t="s">
        <v>1304</v>
      </c>
      <c r="C551" s="7" t="s">
        <v>67</v>
      </c>
      <c r="D551" s="7" t="s">
        <v>7532</v>
      </c>
      <c r="E551" s="44">
        <v>5</v>
      </c>
      <c r="F551" s="7"/>
      <c r="G551" s="7"/>
      <c r="H551" s="2" t="s">
        <v>7534</v>
      </c>
      <c r="I551" s="7" t="s">
        <v>754</v>
      </c>
      <c r="J551" s="7" t="s">
        <v>5881</v>
      </c>
      <c r="K551" s="7" t="s">
        <v>48</v>
      </c>
      <c r="L551" s="7" t="s">
        <v>7536</v>
      </c>
      <c r="M551" s="7" t="s">
        <v>7537</v>
      </c>
      <c r="N551" s="45" t="str">
        <f t="shared" ref="N551:N555" si="391">HYPERLINK("twitter.com/ubbullssoftball","@ubbullssoftball")</f>
        <v>@ubbullssoftball</v>
      </c>
      <c r="O551" s="45" t="str">
        <f t="shared" ref="O551:O555" si="392">HYPERLINK("http://www.ubbulls.com/information/recruiting","Questionnaire")</f>
        <v>Questionnaire</v>
      </c>
      <c r="P551" s="47" t="s">
        <v>7539</v>
      </c>
      <c r="Q551" s="47" t="s">
        <v>1304</v>
      </c>
      <c r="R551" s="48" t="s">
        <v>7539</v>
      </c>
      <c r="S551" s="49" t="s">
        <v>62</v>
      </c>
      <c r="T551" s="49" t="s">
        <v>74</v>
      </c>
      <c r="U551" s="48" t="s">
        <v>75</v>
      </c>
      <c r="V551" s="73"/>
      <c r="W551" s="50">
        <v>3.6</v>
      </c>
      <c r="X551" s="49" t="s">
        <v>2228</v>
      </c>
      <c r="Y551" s="49" t="s">
        <v>1777</v>
      </c>
      <c r="Z551" s="49" t="s">
        <v>1408</v>
      </c>
      <c r="AA551" s="51">
        <v>0.59379999999999999</v>
      </c>
      <c r="AB551" s="48" t="s">
        <v>7544</v>
      </c>
      <c r="AC551" s="66" t="s">
        <v>7539</v>
      </c>
      <c r="AD551" s="67" t="str">
        <f t="shared" ref="AD551:AD555" si="393">HYPERLINK("https://catalog.buffalo.edu/academicprograms/","Link")</f>
        <v>Link</v>
      </c>
      <c r="AE551" s="54">
        <v>20412</v>
      </c>
      <c r="AF551" s="54">
        <v>97</v>
      </c>
      <c r="AG551" s="55"/>
      <c r="AH551" s="56">
        <v>196088</v>
      </c>
      <c r="AI551" s="7"/>
      <c r="AJ551" s="7"/>
    </row>
    <row r="552" spans="1:36" ht="13" x14ac:dyDescent="0.15">
      <c r="A552" s="64" t="s">
        <v>7398</v>
      </c>
      <c r="B552" s="2" t="s">
        <v>1304</v>
      </c>
      <c r="C552" s="7" t="s">
        <v>67</v>
      </c>
      <c r="D552" s="7" t="s">
        <v>7551</v>
      </c>
      <c r="E552" s="44">
        <v>5</v>
      </c>
      <c r="F552" s="7"/>
      <c r="G552" s="7"/>
      <c r="H552" s="2" t="s">
        <v>7534</v>
      </c>
      <c r="I552" s="7" t="s">
        <v>6331</v>
      </c>
      <c r="J552" s="7" t="s">
        <v>7552</v>
      </c>
      <c r="K552" s="7" t="s">
        <v>7553</v>
      </c>
      <c r="L552" s="7" t="s">
        <v>7554</v>
      </c>
      <c r="M552" s="7" t="s">
        <v>7555</v>
      </c>
      <c r="N552" s="45" t="str">
        <f t="shared" si="391"/>
        <v>@ubbullssoftball</v>
      </c>
      <c r="O552" s="45" t="str">
        <f t="shared" si="392"/>
        <v>Questionnaire</v>
      </c>
      <c r="P552" s="47" t="s">
        <v>7539</v>
      </c>
      <c r="Q552" s="47" t="s">
        <v>1304</v>
      </c>
      <c r="R552" s="48" t="s">
        <v>7539</v>
      </c>
      <c r="S552" s="49" t="s">
        <v>62</v>
      </c>
      <c r="T552" s="49" t="s">
        <v>74</v>
      </c>
      <c r="U552" s="48" t="s">
        <v>75</v>
      </c>
      <c r="V552" s="73"/>
      <c r="W552" s="50">
        <v>3.6</v>
      </c>
      <c r="X552" s="49" t="s">
        <v>2228</v>
      </c>
      <c r="Y552" s="49" t="s">
        <v>1777</v>
      </c>
      <c r="Z552" s="49" t="s">
        <v>1408</v>
      </c>
      <c r="AA552" s="51">
        <v>0.59379999999999999</v>
      </c>
      <c r="AB552" s="48" t="s">
        <v>7544</v>
      </c>
      <c r="AC552" s="66" t="s">
        <v>7539</v>
      </c>
      <c r="AD552" s="67" t="str">
        <f t="shared" si="393"/>
        <v>Link</v>
      </c>
      <c r="AE552" s="54">
        <v>20412</v>
      </c>
      <c r="AF552" s="54">
        <v>97</v>
      </c>
      <c r="AG552" s="55"/>
      <c r="AH552" s="56">
        <v>196088</v>
      </c>
      <c r="AI552" s="7"/>
      <c r="AJ552" s="7"/>
    </row>
    <row r="553" spans="1:36" ht="13" x14ac:dyDescent="0.15">
      <c r="A553" s="64" t="s">
        <v>7398</v>
      </c>
      <c r="B553" s="2" t="s">
        <v>1304</v>
      </c>
      <c r="C553" s="7" t="s">
        <v>67</v>
      </c>
      <c r="D553" s="7" t="s">
        <v>7561</v>
      </c>
      <c r="E553" s="44">
        <v>5</v>
      </c>
      <c r="F553" s="7"/>
      <c r="G553" s="7"/>
      <c r="H553" s="2" t="s">
        <v>7534</v>
      </c>
      <c r="I553" s="7" t="s">
        <v>644</v>
      </c>
      <c r="J553" s="7" t="s">
        <v>3054</v>
      </c>
      <c r="K553" s="7" t="s">
        <v>154</v>
      </c>
      <c r="L553" s="7" t="s">
        <v>7562</v>
      </c>
      <c r="M553" s="7" t="s">
        <v>7563</v>
      </c>
      <c r="N553" s="45" t="str">
        <f t="shared" si="391"/>
        <v>@ubbullssoftball</v>
      </c>
      <c r="O553" s="45" t="str">
        <f t="shared" si="392"/>
        <v>Questionnaire</v>
      </c>
      <c r="P553" s="47" t="s">
        <v>7539</v>
      </c>
      <c r="Q553" s="47" t="s">
        <v>1304</v>
      </c>
      <c r="R553" s="48" t="s">
        <v>7539</v>
      </c>
      <c r="S553" s="49" t="s">
        <v>62</v>
      </c>
      <c r="T553" s="49" t="s">
        <v>74</v>
      </c>
      <c r="U553" s="48" t="s">
        <v>75</v>
      </c>
      <c r="V553" s="73"/>
      <c r="W553" s="50">
        <v>3.6</v>
      </c>
      <c r="X553" s="49" t="s">
        <v>2228</v>
      </c>
      <c r="Y553" s="49" t="s">
        <v>1777</v>
      </c>
      <c r="Z553" s="49" t="s">
        <v>1408</v>
      </c>
      <c r="AA553" s="51">
        <v>0.59379999999999999</v>
      </c>
      <c r="AB553" s="48" t="s">
        <v>7544</v>
      </c>
      <c r="AC553" s="66" t="s">
        <v>7539</v>
      </c>
      <c r="AD553" s="67" t="str">
        <f t="shared" si="393"/>
        <v>Link</v>
      </c>
      <c r="AE553" s="54">
        <v>20412</v>
      </c>
      <c r="AF553" s="54">
        <v>97</v>
      </c>
      <c r="AG553" s="55"/>
      <c r="AH553" s="56">
        <v>196088</v>
      </c>
      <c r="AI553" s="7"/>
      <c r="AJ553" s="7"/>
    </row>
    <row r="554" spans="1:36" ht="13" x14ac:dyDescent="0.15">
      <c r="A554" s="64" t="s">
        <v>7398</v>
      </c>
      <c r="B554" s="2" t="s">
        <v>1304</v>
      </c>
      <c r="C554" s="7" t="s">
        <v>67</v>
      </c>
      <c r="D554" s="7" t="s">
        <v>7568</v>
      </c>
      <c r="E554" s="44">
        <v>5</v>
      </c>
      <c r="F554" s="7"/>
      <c r="G554" s="7"/>
      <c r="H554" s="2" t="s">
        <v>7534</v>
      </c>
      <c r="I554" s="7" t="s">
        <v>4019</v>
      </c>
      <c r="J554" s="7" t="s">
        <v>263</v>
      </c>
      <c r="K554" s="7" t="s">
        <v>55</v>
      </c>
      <c r="L554" s="7" t="s">
        <v>7571</v>
      </c>
      <c r="M554" s="7" t="s">
        <v>7572</v>
      </c>
      <c r="N554" s="45" t="str">
        <f t="shared" si="391"/>
        <v>@ubbullssoftball</v>
      </c>
      <c r="O554" s="45" t="str">
        <f t="shared" si="392"/>
        <v>Questionnaire</v>
      </c>
      <c r="P554" s="47" t="s">
        <v>7539</v>
      </c>
      <c r="Q554" s="47" t="s">
        <v>1304</v>
      </c>
      <c r="R554" s="48" t="s">
        <v>7539</v>
      </c>
      <c r="S554" s="49" t="s">
        <v>62</v>
      </c>
      <c r="T554" s="49" t="s">
        <v>74</v>
      </c>
      <c r="U554" s="48" t="s">
        <v>75</v>
      </c>
      <c r="V554" s="73"/>
      <c r="W554" s="50">
        <v>3.6</v>
      </c>
      <c r="X554" s="49" t="s">
        <v>2228</v>
      </c>
      <c r="Y554" s="49" t="s">
        <v>1777</v>
      </c>
      <c r="Z554" s="49" t="s">
        <v>1408</v>
      </c>
      <c r="AA554" s="51">
        <v>0.59379999999999999</v>
      </c>
      <c r="AB554" s="48" t="s">
        <v>7544</v>
      </c>
      <c r="AC554" s="66" t="s">
        <v>7539</v>
      </c>
      <c r="AD554" s="67" t="str">
        <f t="shared" si="393"/>
        <v>Link</v>
      </c>
      <c r="AE554" s="54">
        <v>20412</v>
      </c>
      <c r="AF554" s="54">
        <v>97</v>
      </c>
      <c r="AG554" s="55"/>
      <c r="AH554" s="56">
        <v>196088</v>
      </c>
      <c r="AI554" s="7"/>
      <c r="AJ554" s="7"/>
    </row>
    <row r="555" spans="1:36" ht="13" x14ac:dyDescent="0.15">
      <c r="A555" s="64" t="s">
        <v>7398</v>
      </c>
      <c r="B555" s="2" t="s">
        <v>1304</v>
      </c>
      <c r="C555" s="7" t="s">
        <v>67</v>
      </c>
      <c r="D555" s="7" t="s">
        <v>7576</v>
      </c>
      <c r="E555" s="44">
        <v>5</v>
      </c>
      <c r="F555" s="7" t="s">
        <v>116</v>
      </c>
      <c r="G555" s="7"/>
      <c r="H555" s="2" t="s">
        <v>7534</v>
      </c>
      <c r="I555" s="7" t="s">
        <v>3572</v>
      </c>
      <c r="J555" s="7" t="s">
        <v>5881</v>
      </c>
      <c r="K555" s="7" t="s">
        <v>139</v>
      </c>
      <c r="L555" s="7"/>
      <c r="M555" s="7"/>
      <c r="N555" s="45" t="str">
        <f t="shared" si="391"/>
        <v>@ubbullssoftball</v>
      </c>
      <c r="O555" s="45" t="str">
        <f t="shared" si="392"/>
        <v>Questionnaire</v>
      </c>
      <c r="P555" s="47" t="s">
        <v>7539</v>
      </c>
      <c r="Q555" s="47" t="s">
        <v>1304</v>
      </c>
      <c r="R555" s="48" t="s">
        <v>7539</v>
      </c>
      <c r="S555" s="49" t="s">
        <v>62</v>
      </c>
      <c r="T555" s="49" t="s">
        <v>74</v>
      </c>
      <c r="U555" s="48" t="s">
        <v>75</v>
      </c>
      <c r="V555" s="73"/>
      <c r="W555" s="50">
        <v>3.6</v>
      </c>
      <c r="X555" s="49" t="s">
        <v>2228</v>
      </c>
      <c r="Y555" s="49" t="s">
        <v>1777</v>
      </c>
      <c r="Z555" s="49" t="s">
        <v>1408</v>
      </c>
      <c r="AA555" s="51">
        <v>0.59379999999999999</v>
      </c>
      <c r="AB555" s="48" t="s">
        <v>7544</v>
      </c>
      <c r="AC555" s="66" t="s">
        <v>7539</v>
      </c>
      <c r="AD555" s="67" t="str">
        <f t="shared" si="393"/>
        <v>Link</v>
      </c>
      <c r="AE555" s="54">
        <v>20412</v>
      </c>
      <c r="AF555" s="54">
        <v>97</v>
      </c>
      <c r="AG555" s="55"/>
      <c r="AH555" s="56">
        <v>196088</v>
      </c>
      <c r="AI555" s="7"/>
      <c r="AJ555" s="7"/>
    </row>
    <row r="556" spans="1:36" ht="15" x14ac:dyDescent="0.2">
      <c r="A556" s="64" t="s">
        <v>7398</v>
      </c>
      <c r="B556" s="33" t="s">
        <v>4538</v>
      </c>
      <c r="C556" s="7" t="s">
        <v>67</v>
      </c>
      <c r="D556" s="7" t="s">
        <v>7593</v>
      </c>
      <c r="E556" s="44">
        <v>5</v>
      </c>
      <c r="F556" s="7"/>
      <c r="G556" s="7"/>
      <c r="H556" s="2" t="s">
        <v>7595</v>
      </c>
      <c r="I556" s="7" t="s">
        <v>7596</v>
      </c>
      <c r="J556" s="7" t="s">
        <v>7597</v>
      </c>
      <c r="K556" s="7" t="s">
        <v>48</v>
      </c>
      <c r="L556" s="7" t="s">
        <v>7598</v>
      </c>
      <c r="M556" s="7" t="s">
        <v>7599</v>
      </c>
      <c r="N556" s="74" t="str">
        <f t="shared" ref="N556:N558" si="394">HYPERLINK("twitter.com/CMUSoftball","@CMUSoftball")</f>
        <v>@CMUSoftball</v>
      </c>
      <c r="O556" s="45" t="str">
        <f t="shared" ref="O556:O558" si="395">HYPERLINK("https://cmuchippewas.com/sports/2018/7/6/ot-questionnaires-html.aspx?path=wrestling","Questionnaire")</f>
        <v>Questionnaire</v>
      </c>
      <c r="P556" s="47" t="s">
        <v>7602</v>
      </c>
      <c r="Q556" s="47" t="s">
        <v>4538</v>
      </c>
      <c r="R556" s="48" t="s">
        <v>7604</v>
      </c>
      <c r="S556" s="48" t="s">
        <v>468</v>
      </c>
      <c r="T556" s="49" t="s">
        <v>74</v>
      </c>
      <c r="U556" s="48" t="s">
        <v>75</v>
      </c>
      <c r="V556" s="73"/>
      <c r="W556" s="50">
        <v>3.32</v>
      </c>
      <c r="X556" s="49" t="s">
        <v>1029</v>
      </c>
      <c r="Y556" s="49" t="s">
        <v>3520</v>
      </c>
      <c r="Z556" s="49" t="s">
        <v>1994</v>
      </c>
      <c r="AA556" s="51">
        <v>0.71560000000000001</v>
      </c>
      <c r="AB556" s="48" t="s">
        <v>7606</v>
      </c>
      <c r="AC556" s="52" t="s">
        <v>7602</v>
      </c>
      <c r="AD556" s="53" t="str">
        <f t="shared" ref="AD556:AD558" si="396">HYPERLINK("https://go.cmich.edu/academics/Undergraduate/Find_Program/Pages/default.aspx","Link")</f>
        <v>Link</v>
      </c>
      <c r="AE556" s="54">
        <v>19877</v>
      </c>
      <c r="AF556" s="54">
        <v>207</v>
      </c>
      <c r="AG556" s="55"/>
      <c r="AH556" s="56">
        <v>169248</v>
      </c>
      <c r="AI556" s="7"/>
      <c r="AJ556" s="7"/>
    </row>
    <row r="557" spans="1:36" ht="15" x14ac:dyDescent="0.2">
      <c r="A557" s="64" t="s">
        <v>7398</v>
      </c>
      <c r="B557" s="33" t="s">
        <v>4538</v>
      </c>
      <c r="C557" s="7" t="s">
        <v>67</v>
      </c>
      <c r="D557" s="7" t="s">
        <v>7613</v>
      </c>
      <c r="E557" s="44">
        <v>5</v>
      </c>
      <c r="F557" s="7"/>
      <c r="G557" s="7"/>
      <c r="H557" s="2" t="s">
        <v>7595</v>
      </c>
      <c r="I557" s="7" t="s">
        <v>7616</v>
      </c>
      <c r="J557" s="7" t="s">
        <v>7617</v>
      </c>
      <c r="K557" s="7" t="s">
        <v>55</v>
      </c>
      <c r="L557" s="7" t="s">
        <v>7618</v>
      </c>
      <c r="M557" s="7" t="s">
        <v>7619</v>
      </c>
      <c r="N557" s="74" t="str">
        <f t="shared" si="394"/>
        <v>@CMUSoftball</v>
      </c>
      <c r="O557" s="45" t="str">
        <f t="shared" si="395"/>
        <v>Questionnaire</v>
      </c>
      <c r="P557" s="47" t="s">
        <v>7602</v>
      </c>
      <c r="Q557" s="47" t="s">
        <v>4538</v>
      </c>
      <c r="R557" s="48" t="s">
        <v>7604</v>
      </c>
      <c r="S557" s="48" t="s">
        <v>468</v>
      </c>
      <c r="T557" s="49" t="s">
        <v>74</v>
      </c>
      <c r="U557" s="48" t="s">
        <v>75</v>
      </c>
      <c r="V557" s="73"/>
      <c r="W557" s="50">
        <v>3.32</v>
      </c>
      <c r="X557" s="49" t="s">
        <v>1029</v>
      </c>
      <c r="Y557" s="49" t="s">
        <v>3520</v>
      </c>
      <c r="Z557" s="49" t="s">
        <v>1994</v>
      </c>
      <c r="AA557" s="51">
        <v>0.71560000000000001</v>
      </c>
      <c r="AB557" s="48" t="s">
        <v>7606</v>
      </c>
      <c r="AC557" s="52" t="s">
        <v>7602</v>
      </c>
      <c r="AD557" s="53" t="str">
        <f t="shared" si="396"/>
        <v>Link</v>
      </c>
      <c r="AE557" s="54">
        <v>19877</v>
      </c>
      <c r="AF557" s="54">
        <v>207</v>
      </c>
      <c r="AG557" s="55"/>
      <c r="AH557" s="56">
        <v>169248</v>
      </c>
      <c r="AI557" s="7"/>
      <c r="AJ557" s="7"/>
    </row>
    <row r="558" spans="1:36" ht="15" x14ac:dyDescent="0.2">
      <c r="A558" s="64" t="s">
        <v>7398</v>
      </c>
      <c r="B558" s="33" t="s">
        <v>4538</v>
      </c>
      <c r="C558" s="7" t="s">
        <v>67</v>
      </c>
      <c r="D558" s="7" t="s">
        <v>7626</v>
      </c>
      <c r="E558" s="44">
        <v>5</v>
      </c>
      <c r="F558" s="7"/>
      <c r="G558" s="7"/>
      <c r="H558" s="2" t="s">
        <v>7595</v>
      </c>
      <c r="I558" s="7" t="s">
        <v>2037</v>
      </c>
      <c r="J558" s="7" t="s">
        <v>7627</v>
      </c>
      <c r="K558" s="7" t="s">
        <v>55</v>
      </c>
      <c r="L558" s="7" t="s">
        <v>7628</v>
      </c>
      <c r="M558" s="7" t="s">
        <v>7629</v>
      </c>
      <c r="N558" s="74" t="str">
        <f t="shared" si="394"/>
        <v>@CMUSoftball</v>
      </c>
      <c r="O558" s="45" t="str">
        <f t="shared" si="395"/>
        <v>Questionnaire</v>
      </c>
      <c r="P558" s="47" t="s">
        <v>7602</v>
      </c>
      <c r="Q558" s="47" t="s">
        <v>4538</v>
      </c>
      <c r="R558" s="48" t="s">
        <v>7604</v>
      </c>
      <c r="S558" s="48" t="s">
        <v>468</v>
      </c>
      <c r="T558" s="49" t="s">
        <v>74</v>
      </c>
      <c r="U558" s="48" t="s">
        <v>75</v>
      </c>
      <c r="V558" s="73"/>
      <c r="W558" s="50">
        <v>3.32</v>
      </c>
      <c r="X558" s="49" t="s">
        <v>1029</v>
      </c>
      <c r="Y558" s="49" t="s">
        <v>3520</v>
      </c>
      <c r="Z558" s="49" t="s">
        <v>1994</v>
      </c>
      <c r="AA558" s="51">
        <v>0.71560000000000001</v>
      </c>
      <c r="AB558" s="48" t="s">
        <v>7606</v>
      </c>
      <c r="AC558" s="52" t="s">
        <v>7602</v>
      </c>
      <c r="AD558" s="53" t="str">
        <f t="shared" si="396"/>
        <v>Link</v>
      </c>
      <c r="AE558" s="54">
        <v>19877</v>
      </c>
      <c r="AF558" s="54">
        <v>207</v>
      </c>
      <c r="AG558" s="55"/>
      <c r="AH558" s="56">
        <v>169248</v>
      </c>
      <c r="AI558" s="7"/>
      <c r="AJ558" s="7"/>
    </row>
    <row r="559" spans="1:36" ht="15" x14ac:dyDescent="0.2">
      <c r="A559" s="64" t="s">
        <v>7398</v>
      </c>
      <c r="B559" s="33" t="s">
        <v>1814</v>
      </c>
      <c r="C559" s="7" t="s">
        <v>67</v>
      </c>
      <c r="D559" s="7" t="s">
        <v>7635</v>
      </c>
      <c r="E559" s="44">
        <v>5</v>
      </c>
      <c r="F559" s="7"/>
      <c r="G559" s="7"/>
      <c r="H559" s="2" t="s">
        <v>7636</v>
      </c>
      <c r="I559" s="7" t="s">
        <v>173</v>
      </c>
      <c r="J559" s="7" t="s">
        <v>7637</v>
      </c>
      <c r="K559" s="7" t="s">
        <v>48</v>
      </c>
      <c r="L559" s="7" t="s">
        <v>7638</v>
      </c>
      <c r="M559" s="7" t="s">
        <v>7639</v>
      </c>
      <c r="N559" s="45" t="str">
        <f t="shared" ref="N559:N562" si="397">HYPERLINK("twitter.com/KentStSoftball","@KentStSoftball")</f>
        <v>@KentStSoftball</v>
      </c>
      <c r="O559" s="45" t="str">
        <f t="shared" ref="O559:O562" si="398">HYPERLINK("https://college.jumpforward.com/questionnaire.aspx?iid=339&amp;sportid=31","Questionnaire")</f>
        <v>Questionnaire</v>
      </c>
      <c r="P559" s="47" t="s">
        <v>7648</v>
      </c>
      <c r="Q559" s="47" t="s">
        <v>1814</v>
      </c>
      <c r="R559" s="48" t="s">
        <v>4159</v>
      </c>
      <c r="S559" s="48" t="s">
        <v>468</v>
      </c>
      <c r="T559" s="49" t="s">
        <v>74</v>
      </c>
      <c r="U559" s="48" t="s">
        <v>75</v>
      </c>
      <c r="V559" s="73"/>
      <c r="W559" s="50">
        <v>3.38</v>
      </c>
      <c r="X559" s="49" t="s">
        <v>2341</v>
      </c>
      <c r="Y559" s="49" t="s">
        <v>2141</v>
      </c>
      <c r="Z559" s="49" t="s">
        <v>1715</v>
      </c>
      <c r="AA559" s="61">
        <v>0.85</v>
      </c>
      <c r="AB559" s="48" t="s">
        <v>7649</v>
      </c>
      <c r="AC559" s="52" t="s">
        <v>7648</v>
      </c>
      <c r="AD559" s="53" t="str">
        <f t="shared" ref="AD559:AD562" si="399">HYPERLINK("https://www.kent.edu/majors","Link")</f>
        <v>Link</v>
      </c>
      <c r="AE559" s="54">
        <v>23684</v>
      </c>
      <c r="AF559" s="54">
        <v>176</v>
      </c>
      <c r="AG559" s="55"/>
      <c r="AH559" s="56">
        <v>203517</v>
      </c>
      <c r="AI559" s="7"/>
      <c r="AJ559" s="7"/>
    </row>
    <row r="560" spans="1:36" ht="15" x14ac:dyDescent="0.2">
      <c r="A560" s="64" t="s">
        <v>7398</v>
      </c>
      <c r="B560" s="33" t="s">
        <v>1814</v>
      </c>
      <c r="C560" s="7" t="s">
        <v>67</v>
      </c>
      <c r="D560" s="7" t="s">
        <v>7654</v>
      </c>
      <c r="E560" s="44">
        <v>5</v>
      </c>
      <c r="F560" s="7"/>
      <c r="G560" s="7"/>
      <c r="H560" s="2" t="s">
        <v>7636</v>
      </c>
      <c r="I560" s="7" t="s">
        <v>3492</v>
      </c>
      <c r="J560" s="7" t="s">
        <v>263</v>
      </c>
      <c r="K560" s="7" t="s">
        <v>55</v>
      </c>
      <c r="L560" s="7" t="s">
        <v>7655</v>
      </c>
      <c r="M560" s="7" t="s">
        <v>7656</v>
      </c>
      <c r="N560" s="45" t="str">
        <f t="shared" si="397"/>
        <v>@KentStSoftball</v>
      </c>
      <c r="O560" s="45" t="str">
        <f t="shared" si="398"/>
        <v>Questionnaire</v>
      </c>
      <c r="P560" s="47" t="s">
        <v>7648</v>
      </c>
      <c r="Q560" s="47" t="s">
        <v>1814</v>
      </c>
      <c r="R560" s="48" t="s">
        <v>4159</v>
      </c>
      <c r="S560" s="48" t="s">
        <v>468</v>
      </c>
      <c r="T560" s="49" t="s">
        <v>74</v>
      </c>
      <c r="U560" s="48" t="s">
        <v>75</v>
      </c>
      <c r="V560" s="73"/>
      <c r="W560" s="50">
        <v>3.38</v>
      </c>
      <c r="X560" s="49" t="s">
        <v>2341</v>
      </c>
      <c r="Y560" s="49" t="s">
        <v>2141</v>
      </c>
      <c r="Z560" s="49" t="s">
        <v>1715</v>
      </c>
      <c r="AA560" s="61">
        <v>0.85</v>
      </c>
      <c r="AB560" s="48" t="s">
        <v>7649</v>
      </c>
      <c r="AC560" s="52" t="s">
        <v>7648</v>
      </c>
      <c r="AD560" s="53" t="str">
        <f t="shared" si="399"/>
        <v>Link</v>
      </c>
      <c r="AE560" s="54">
        <v>23684</v>
      </c>
      <c r="AF560" s="54">
        <v>176</v>
      </c>
      <c r="AG560" s="55"/>
      <c r="AH560" s="56">
        <v>203517</v>
      </c>
      <c r="AI560" s="7"/>
      <c r="AJ560" s="7"/>
    </row>
    <row r="561" spans="1:36" ht="15" x14ac:dyDescent="0.2">
      <c r="A561" s="64" t="s">
        <v>7398</v>
      </c>
      <c r="B561" s="33" t="s">
        <v>1814</v>
      </c>
      <c r="C561" s="7" t="s">
        <v>67</v>
      </c>
      <c r="D561" s="7" t="s">
        <v>7664</v>
      </c>
      <c r="E561" s="44">
        <v>5</v>
      </c>
      <c r="F561" s="7" t="s">
        <v>116</v>
      </c>
      <c r="G561" s="7"/>
      <c r="H561" s="2" t="s">
        <v>7636</v>
      </c>
      <c r="I561" s="7" t="s">
        <v>7665</v>
      </c>
      <c r="J561" s="7" t="s">
        <v>7667</v>
      </c>
      <c r="K561" s="7" t="s">
        <v>55</v>
      </c>
      <c r="L561" s="7" t="s">
        <v>7669</v>
      </c>
      <c r="M561" s="7" t="s">
        <v>7656</v>
      </c>
      <c r="N561" s="69" t="str">
        <f t="shared" si="397"/>
        <v>@KentStSoftball</v>
      </c>
      <c r="O561" s="45" t="str">
        <f t="shared" si="398"/>
        <v>Questionnaire</v>
      </c>
      <c r="P561" s="47" t="s">
        <v>7648</v>
      </c>
      <c r="Q561" s="47" t="s">
        <v>1814</v>
      </c>
      <c r="R561" s="48" t="s">
        <v>4159</v>
      </c>
      <c r="S561" s="48" t="s">
        <v>468</v>
      </c>
      <c r="T561" s="49" t="s">
        <v>74</v>
      </c>
      <c r="U561" s="48" t="s">
        <v>75</v>
      </c>
      <c r="V561" s="73"/>
      <c r="W561" s="50">
        <v>3.38</v>
      </c>
      <c r="X561" s="49" t="s">
        <v>2341</v>
      </c>
      <c r="Y561" s="49" t="s">
        <v>2141</v>
      </c>
      <c r="Z561" s="49" t="s">
        <v>1715</v>
      </c>
      <c r="AA561" s="61">
        <v>0.85</v>
      </c>
      <c r="AB561" s="48" t="s">
        <v>7649</v>
      </c>
      <c r="AC561" s="52" t="s">
        <v>7648</v>
      </c>
      <c r="AD561" s="53" t="str">
        <f t="shared" si="399"/>
        <v>Link</v>
      </c>
      <c r="AE561" s="54">
        <v>23684</v>
      </c>
      <c r="AF561" s="54">
        <v>176</v>
      </c>
      <c r="AG561" s="55"/>
      <c r="AH561" s="56">
        <v>203517</v>
      </c>
      <c r="AI561" s="7"/>
      <c r="AJ561" s="7"/>
    </row>
    <row r="562" spans="1:36" ht="15" x14ac:dyDescent="0.2">
      <c r="A562" s="64" t="s">
        <v>7398</v>
      </c>
      <c r="B562" s="33" t="s">
        <v>1814</v>
      </c>
      <c r="C562" s="7" t="s">
        <v>67</v>
      </c>
      <c r="D562" s="7" t="s">
        <v>7678</v>
      </c>
      <c r="E562" s="44">
        <v>5</v>
      </c>
      <c r="F562" s="7" t="s">
        <v>116</v>
      </c>
      <c r="G562" s="7"/>
      <c r="H562" s="2" t="s">
        <v>7636</v>
      </c>
      <c r="I562" s="7" t="s">
        <v>852</v>
      </c>
      <c r="J562" s="7" t="s">
        <v>7680</v>
      </c>
      <c r="K562" s="7" t="s">
        <v>139</v>
      </c>
      <c r="L562" s="7" t="s">
        <v>7683</v>
      </c>
      <c r="M562" s="7" t="s">
        <v>7656</v>
      </c>
      <c r="N562" s="45" t="str">
        <f t="shared" si="397"/>
        <v>@KentStSoftball</v>
      </c>
      <c r="O562" s="45" t="str">
        <f t="shared" si="398"/>
        <v>Questionnaire</v>
      </c>
      <c r="P562" s="47" t="s">
        <v>7648</v>
      </c>
      <c r="Q562" s="47" t="s">
        <v>1814</v>
      </c>
      <c r="R562" s="48" t="s">
        <v>4159</v>
      </c>
      <c r="S562" s="48" t="s">
        <v>468</v>
      </c>
      <c r="T562" s="49" t="s">
        <v>74</v>
      </c>
      <c r="U562" s="48" t="s">
        <v>75</v>
      </c>
      <c r="V562" s="73"/>
      <c r="W562" s="50">
        <v>3.38</v>
      </c>
      <c r="X562" s="49" t="s">
        <v>2341</v>
      </c>
      <c r="Y562" s="49" t="s">
        <v>2141</v>
      </c>
      <c r="Z562" s="49" t="s">
        <v>1715</v>
      </c>
      <c r="AA562" s="61">
        <v>0.85</v>
      </c>
      <c r="AB562" s="48" t="s">
        <v>7649</v>
      </c>
      <c r="AC562" s="52" t="s">
        <v>7648</v>
      </c>
      <c r="AD562" s="53" t="str">
        <f t="shared" si="399"/>
        <v>Link</v>
      </c>
      <c r="AE562" s="54">
        <v>23684</v>
      </c>
      <c r="AF562" s="54">
        <v>176</v>
      </c>
      <c r="AG562" s="55"/>
      <c r="AH562" s="56">
        <v>203517</v>
      </c>
      <c r="AI562" s="7"/>
      <c r="AJ562" s="7"/>
    </row>
    <row r="563" spans="1:36" ht="15" x14ac:dyDescent="0.2">
      <c r="A563" s="64" t="s">
        <v>7398</v>
      </c>
      <c r="B563" s="33" t="s">
        <v>1814</v>
      </c>
      <c r="C563" s="7" t="s">
        <v>67</v>
      </c>
      <c r="D563" s="7" t="s">
        <v>7686</v>
      </c>
      <c r="E563" s="44">
        <v>5</v>
      </c>
      <c r="F563" s="7"/>
      <c r="G563" s="7"/>
      <c r="H563" s="2" t="s">
        <v>7687</v>
      </c>
      <c r="I563" s="7" t="s">
        <v>7688</v>
      </c>
      <c r="J563" s="7" t="s">
        <v>7075</v>
      </c>
      <c r="K563" s="7" t="s">
        <v>48</v>
      </c>
      <c r="L563" s="7" t="s">
        <v>7690</v>
      </c>
      <c r="M563" s="7" t="s">
        <v>7692</v>
      </c>
      <c r="N563" s="45" t="str">
        <f t="shared" ref="N563:N565" si="400">HYPERLINK("twitter.com/miamioh_sb","@miamioh_sb")</f>
        <v>@miamioh_sb</v>
      </c>
      <c r="O563" s="48" t="s">
        <v>22</v>
      </c>
      <c r="P563" s="48" t="s">
        <v>7695</v>
      </c>
      <c r="Q563" s="47" t="s">
        <v>1814</v>
      </c>
      <c r="R563" s="48" t="s">
        <v>7697</v>
      </c>
      <c r="S563" s="48" t="s">
        <v>172</v>
      </c>
      <c r="T563" s="49" t="s">
        <v>74</v>
      </c>
      <c r="U563" s="48" t="s">
        <v>75</v>
      </c>
      <c r="V563" s="73"/>
      <c r="W563" s="50">
        <v>3.77</v>
      </c>
      <c r="X563" s="49" t="s">
        <v>2260</v>
      </c>
      <c r="Y563" s="49" t="s">
        <v>1899</v>
      </c>
      <c r="Z563" s="49" t="s">
        <v>179</v>
      </c>
      <c r="AA563" s="61">
        <v>0.65</v>
      </c>
      <c r="AB563" s="48" t="s">
        <v>7702</v>
      </c>
      <c r="AC563" s="62" t="s">
        <v>7695</v>
      </c>
      <c r="AD563" s="53" t="str">
        <f t="shared" ref="AD563:AD565" si="401">HYPERLINK("https://miamioh.edu/academics/majors-minors/index.html","Link")</f>
        <v>Link</v>
      </c>
      <c r="AE563" s="54">
        <v>16981</v>
      </c>
      <c r="AF563" s="54">
        <v>78</v>
      </c>
      <c r="AG563" s="55"/>
      <c r="AH563" s="56">
        <v>204024</v>
      </c>
      <c r="AI563" s="7"/>
      <c r="AJ563" s="7"/>
    </row>
    <row r="564" spans="1:36" ht="15" x14ac:dyDescent="0.2">
      <c r="A564" s="64" t="s">
        <v>7398</v>
      </c>
      <c r="B564" s="33" t="s">
        <v>1814</v>
      </c>
      <c r="C564" s="7" t="s">
        <v>67</v>
      </c>
      <c r="D564" s="7" t="s">
        <v>7708</v>
      </c>
      <c r="E564" s="44">
        <v>5</v>
      </c>
      <c r="F564" s="7"/>
      <c r="G564" s="7"/>
      <c r="H564" s="2" t="s">
        <v>7687</v>
      </c>
      <c r="I564" s="7" t="s">
        <v>1258</v>
      </c>
      <c r="J564" s="7" t="s">
        <v>7709</v>
      </c>
      <c r="K564" s="7" t="s">
        <v>55</v>
      </c>
      <c r="L564" s="7" t="s">
        <v>7711</v>
      </c>
      <c r="M564" s="7"/>
      <c r="N564" s="45" t="str">
        <f t="shared" si="400"/>
        <v>@miamioh_sb</v>
      </c>
      <c r="O564" s="48" t="s">
        <v>22</v>
      </c>
      <c r="P564" s="48" t="s">
        <v>7695</v>
      </c>
      <c r="Q564" s="47" t="s">
        <v>1814</v>
      </c>
      <c r="R564" s="48" t="s">
        <v>7697</v>
      </c>
      <c r="S564" s="48" t="s">
        <v>172</v>
      </c>
      <c r="T564" s="49" t="s">
        <v>74</v>
      </c>
      <c r="U564" s="48" t="s">
        <v>75</v>
      </c>
      <c r="V564" s="73"/>
      <c r="W564" s="50">
        <v>3.77</v>
      </c>
      <c r="X564" s="49" t="s">
        <v>2260</v>
      </c>
      <c r="Y564" s="49" t="s">
        <v>1899</v>
      </c>
      <c r="Z564" s="49" t="s">
        <v>179</v>
      </c>
      <c r="AA564" s="61">
        <v>0.65</v>
      </c>
      <c r="AB564" s="48" t="s">
        <v>7702</v>
      </c>
      <c r="AC564" s="62" t="s">
        <v>7695</v>
      </c>
      <c r="AD564" s="53" t="str">
        <f t="shared" si="401"/>
        <v>Link</v>
      </c>
      <c r="AE564" s="54">
        <v>16981</v>
      </c>
      <c r="AF564" s="54">
        <v>78</v>
      </c>
      <c r="AG564" s="55"/>
      <c r="AH564" s="56">
        <v>204024</v>
      </c>
      <c r="AI564" s="7"/>
      <c r="AJ564" s="7"/>
    </row>
    <row r="565" spans="1:36" ht="15" x14ac:dyDescent="0.2">
      <c r="A565" s="64" t="s">
        <v>7398</v>
      </c>
      <c r="B565" s="33" t="s">
        <v>1814</v>
      </c>
      <c r="C565" s="7" t="s">
        <v>67</v>
      </c>
      <c r="D565" s="7" t="s">
        <v>7714</v>
      </c>
      <c r="E565" s="44">
        <v>5</v>
      </c>
      <c r="F565" s="7"/>
      <c r="G565" s="7"/>
      <c r="H565" s="2" t="s">
        <v>7687</v>
      </c>
      <c r="I565" s="7" t="s">
        <v>442</v>
      </c>
      <c r="J565" s="7" t="s">
        <v>7715</v>
      </c>
      <c r="K565" s="7" t="s">
        <v>55</v>
      </c>
      <c r="L565" s="7" t="s">
        <v>7716</v>
      </c>
      <c r="M565" s="7"/>
      <c r="N565" s="45" t="str">
        <f t="shared" si="400"/>
        <v>@miamioh_sb</v>
      </c>
      <c r="O565" s="48" t="s">
        <v>22</v>
      </c>
      <c r="P565" s="48" t="s">
        <v>7695</v>
      </c>
      <c r="Q565" s="47" t="s">
        <v>1814</v>
      </c>
      <c r="R565" s="48" t="s">
        <v>7697</v>
      </c>
      <c r="S565" s="48" t="s">
        <v>172</v>
      </c>
      <c r="T565" s="49" t="s">
        <v>74</v>
      </c>
      <c r="U565" s="48" t="s">
        <v>75</v>
      </c>
      <c r="V565" s="73"/>
      <c r="W565" s="50">
        <v>3.77</v>
      </c>
      <c r="X565" s="49" t="s">
        <v>2260</v>
      </c>
      <c r="Y565" s="49" t="s">
        <v>1899</v>
      </c>
      <c r="Z565" s="49" t="s">
        <v>179</v>
      </c>
      <c r="AA565" s="61">
        <v>0.65</v>
      </c>
      <c r="AB565" s="48" t="s">
        <v>7702</v>
      </c>
      <c r="AC565" s="62" t="s">
        <v>7695</v>
      </c>
      <c r="AD565" s="53" t="str">
        <f t="shared" si="401"/>
        <v>Link</v>
      </c>
      <c r="AE565" s="54">
        <v>16981</v>
      </c>
      <c r="AF565" s="54">
        <v>78</v>
      </c>
      <c r="AG565" s="55"/>
      <c r="AH565" s="56">
        <v>204024</v>
      </c>
      <c r="AI565" s="7"/>
      <c r="AJ565" s="7"/>
    </row>
    <row r="566" spans="1:36" ht="15" x14ac:dyDescent="0.2">
      <c r="A566" s="43" t="s">
        <v>7398</v>
      </c>
      <c r="B566" s="33" t="s">
        <v>1721</v>
      </c>
      <c r="C566" s="7" t="s">
        <v>67</v>
      </c>
      <c r="D566" s="7" t="s">
        <v>7721</v>
      </c>
      <c r="E566" s="44">
        <v>5</v>
      </c>
      <c r="F566" s="7"/>
      <c r="G566" s="7"/>
      <c r="H566" s="2" t="s">
        <v>7722</v>
      </c>
      <c r="I566" s="7" t="s">
        <v>3905</v>
      </c>
      <c r="J566" s="7" t="s">
        <v>7724</v>
      </c>
      <c r="K566" s="7" t="s">
        <v>48</v>
      </c>
      <c r="L566" s="7" t="s">
        <v>7727</v>
      </c>
      <c r="M566" s="7" t="s">
        <v>7728</v>
      </c>
      <c r="N566" s="45" t="str">
        <f t="shared" ref="N566:N567" si="402">HYPERLINK("twitter.com/NIUSoftball","@NIUSoftball")</f>
        <v>@NIUSoftball</v>
      </c>
      <c r="O566" s="45" t="str">
        <f t="shared" ref="O566:O567" si="403">HYPERLINK("https://college.jumpforward.com/questionnaire.aspx?iid=465&amp;sportid=31","Questionnaire")</f>
        <v>Questionnaire</v>
      </c>
      <c r="P566" s="48" t="s">
        <v>7731</v>
      </c>
      <c r="Q566" s="47" t="s">
        <v>1721</v>
      </c>
      <c r="R566" s="48" t="s">
        <v>7732</v>
      </c>
      <c r="S566" s="48" t="s">
        <v>468</v>
      </c>
      <c r="T566" s="49" t="s">
        <v>74</v>
      </c>
      <c r="U566" s="48" t="s">
        <v>75</v>
      </c>
      <c r="V566" s="73"/>
      <c r="W566" s="50">
        <v>3.26</v>
      </c>
      <c r="X566" s="49" t="s">
        <v>1144</v>
      </c>
      <c r="Y566" s="49" t="s">
        <v>720</v>
      </c>
      <c r="Z566" s="49" t="s">
        <v>746</v>
      </c>
      <c r="AA566" s="61">
        <v>0.52</v>
      </c>
      <c r="AB566" s="48" t="s">
        <v>7737</v>
      </c>
      <c r="AC566" s="62" t="s">
        <v>7731</v>
      </c>
      <c r="AD566" s="53" t="str">
        <f t="shared" ref="AD566:AD567" si="404">HYPERLINK("http://www.niu.edu/academics/undergraduate/index.shtml","Link")</f>
        <v>Link</v>
      </c>
      <c r="AE566" s="54">
        <v>14079</v>
      </c>
      <c r="AF566" s="55"/>
      <c r="AG566" s="55"/>
      <c r="AH566" s="56">
        <v>147703</v>
      </c>
      <c r="AI566" s="7"/>
      <c r="AJ566" s="7"/>
    </row>
    <row r="567" spans="1:36" ht="15" x14ac:dyDescent="0.2">
      <c r="A567" s="43" t="s">
        <v>7398</v>
      </c>
      <c r="B567" s="33" t="s">
        <v>1721</v>
      </c>
      <c r="C567" s="7" t="s">
        <v>67</v>
      </c>
      <c r="D567" s="7" t="s">
        <v>7745</v>
      </c>
      <c r="E567" s="44">
        <v>5</v>
      </c>
      <c r="F567" s="7"/>
      <c r="G567" s="7"/>
      <c r="H567" s="2" t="s">
        <v>7722</v>
      </c>
      <c r="I567" s="7" t="s">
        <v>981</v>
      </c>
      <c r="J567" s="7" t="s">
        <v>5594</v>
      </c>
      <c r="K567" s="7" t="s">
        <v>55</v>
      </c>
      <c r="L567" s="7" t="s">
        <v>7746</v>
      </c>
      <c r="M567" s="7" t="s">
        <v>7747</v>
      </c>
      <c r="N567" s="45" t="str">
        <f t="shared" si="402"/>
        <v>@NIUSoftball</v>
      </c>
      <c r="O567" s="45" t="str">
        <f t="shared" si="403"/>
        <v>Questionnaire</v>
      </c>
      <c r="P567" s="48" t="s">
        <v>7731</v>
      </c>
      <c r="Q567" s="47" t="s">
        <v>1721</v>
      </c>
      <c r="R567" s="48" t="s">
        <v>7732</v>
      </c>
      <c r="S567" s="48" t="s">
        <v>468</v>
      </c>
      <c r="T567" s="49" t="s">
        <v>74</v>
      </c>
      <c r="U567" s="48" t="s">
        <v>75</v>
      </c>
      <c r="V567" s="73"/>
      <c r="W567" s="50">
        <v>3.26</v>
      </c>
      <c r="X567" s="49" t="s">
        <v>1144</v>
      </c>
      <c r="Y567" s="49" t="s">
        <v>720</v>
      </c>
      <c r="Z567" s="49" t="s">
        <v>746</v>
      </c>
      <c r="AA567" s="61">
        <v>0.52</v>
      </c>
      <c r="AB567" s="48" t="s">
        <v>7737</v>
      </c>
      <c r="AC567" s="62" t="s">
        <v>7731</v>
      </c>
      <c r="AD567" s="53" t="str">
        <f t="shared" si="404"/>
        <v>Link</v>
      </c>
      <c r="AE567" s="54">
        <v>14079</v>
      </c>
      <c r="AF567" s="55"/>
      <c r="AG567" s="55"/>
      <c r="AH567" s="56">
        <v>147703</v>
      </c>
      <c r="AI567" s="7"/>
      <c r="AJ567" s="7"/>
    </row>
    <row r="568" spans="1:36" ht="15" x14ac:dyDescent="0.2">
      <c r="A568" s="64" t="s">
        <v>7398</v>
      </c>
      <c r="B568" s="33" t="s">
        <v>1814</v>
      </c>
      <c r="C568" s="7" t="s">
        <v>67</v>
      </c>
      <c r="D568" s="7" t="s">
        <v>7753</v>
      </c>
      <c r="E568" s="44">
        <v>5</v>
      </c>
      <c r="F568" s="7"/>
      <c r="G568" s="7"/>
      <c r="H568" s="2" t="s">
        <v>7755</v>
      </c>
      <c r="I568" s="2" t="s">
        <v>2144</v>
      </c>
      <c r="J568" s="2" t="s">
        <v>7756</v>
      </c>
      <c r="K568" s="7" t="s">
        <v>48</v>
      </c>
      <c r="L568" s="2" t="s">
        <v>7757</v>
      </c>
      <c r="M568" s="2" t="s">
        <v>7759</v>
      </c>
      <c r="N568" s="45" t="str">
        <f t="shared" ref="N568:N570" si="405">HYPERLINK("twitter.com/ohiobobcatsb","@ohiobobcatsb")</f>
        <v>@ohiobobcatsb</v>
      </c>
      <c r="O568" s="45" t="str">
        <f t="shared" ref="O568:O570" si="406">HYPERLINK("https://www.ohiobobcats.com/recruitinginformation","Questionnaire")</f>
        <v>Questionnaire</v>
      </c>
      <c r="P568" s="48" t="s">
        <v>7755</v>
      </c>
      <c r="Q568" s="47" t="s">
        <v>1814</v>
      </c>
      <c r="R568" s="48" t="s">
        <v>7762</v>
      </c>
      <c r="S568" s="48" t="s">
        <v>468</v>
      </c>
      <c r="T568" s="73" t="s">
        <v>74</v>
      </c>
      <c r="U568" s="48" t="s">
        <v>75</v>
      </c>
      <c r="V568" s="73"/>
      <c r="W568" s="50">
        <v>3.48</v>
      </c>
      <c r="X568" s="49" t="s">
        <v>676</v>
      </c>
      <c r="Y568" s="49" t="s">
        <v>344</v>
      </c>
      <c r="Z568" s="49" t="s">
        <v>1650</v>
      </c>
      <c r="AA568" s="61">
        <v>0.75</v>
      </c>
      <c r="AB568" s="48" t="s">
        <v>7765</v>
      </c>
      <c r="AC568" s="62" t="s">
        <v>7755</v>
      </c>
      <c r="AD568" s="53" t="str">
        <f t="shared" ref="AD568:AD570" si="407">HYPERLINK("https://www.ohio.edu/majors/undergrad/","Link")</f>
        <v>Link</v>
      </c>
      <c r="AE568" s="54">
        <v>23585</v>
      </c>
      <c r="AF568" s="54">
        <v>151</v>
      </c>
      <c r="AG568" s="55"/>
      <c r="AH568" s="56">
        <v>204857</v>
      </c>
      <c r="AI568" s="7"/>
      <c r="AJ568" s="7"/>
    </row>
    <row r="569" spans="1:36" ht="15" x14ac:dyDescent="0.2">
      <c r="A569" s="64" t="s">
        <v>7398</v>
      </c>
      <c r="B569" s="33" t="s">
        <v>1814</v>
      </c>
      <c r="C569" s="7" t="s">
        <v>67</v>
      </c>
      <c r="D569" s="7" t="s">
        <v>7772</v>
      </c>
      <c r="E569" s="44">
        <v>5</v>
      </c>
      <c r="F569" s="7"/>
      <c r="G569" s="7"/>
      <c r="H569" s="2" t="s">
        <v>7755</v>
      </c>
      <c r="I569" s="2" t="s">
        <v>981</v>
      </c>
      <c r="J569" s="2" t="s">
        <v>1124</v>
      </c>
      <c r="K569" s="2" t="s">
        <v>55</v>
      </c>
      <c r="L569" s="2" t="s">
        <v>7773</v>
      </c>
      <c r="M569" s="2"/>
      <c r="N569" s="45" t="str">
        <f t="shared" si="405"/>
        <v>@ohiobobcatsb</v>
      </c>
      <c r="O569" s="45" t="str">
        <f t="shared" si="406"/>
        <v>Questionnaire</v>
      </c>
      <c r="P569" s="48" t="s">
        <v>7755</v>
      </c>
      <c r="Q569" s="47" t="s">
        <v>1814</v>
      </c>
      <c r="R569" s="48" t="s">
        <v>7762</v>
      </c>
      <c r="S569" s="48" t="s">
        <v>468</v>
      </c>
      <c r="T569" s="73" t="s">
        <v>74</v>
      </c>
      <c r="U569" s="48" t="s">
        <v>75</v>
      </c>
      <c r="V569" s="73"/>
      <c r="W569" s="50">
        <v>3.48</v>
      </c>
      <c r="X569" s="49" t="s">
        <v>676</v>
      </c>
      <c r="Y569" s="49" t="s">
        <v>344</v>
      </c>
      <c r="Z569" s="49" t="s">
        <v>1650</v>
      </c>
      <c r="AA569" s="61">
        <v>0.75</v>
      </c>
      <c r="AB569" s="48" t="s">
        <v>7765</v>
      </c>
      <c r="AC569" s="62" t="s">
        <v>7755</v>
      </c>
      <c r="AD569" s="53" t="str">
        <f t="shared" si="407"/>
        <v>Link</v>
      </c>
      <c r="AE569" s="54">
        <v>23585</v>
      </c>
      <c r="AF569" s="54">
        <v>151</v>
      </c>
      <c r="AG569" s="55"/>
      <c r="AH569" s="56">
        <v>204857</v>
      </c>
      <c r="AI569" s="7"/>
      <c r="AJ569" s="7"/>
    </row>
    <row r="570" spans="1:36" ht="15" x14ac:dyDescent="0.2">
      <c r="A570" s="64" t="s">
        <v>7398</v>
      </c>
      <c r="B570" s="33" t="s">
        <v>1814</v>
      </c>
      <c r="C570" s="7" t="s">
        <v>67</v>
      </c>
      <c r="D570" s="7" t="s">
        <v>7778</v>
      </c>
      <c r="E570" s="44">
        <v>5</v>
      </c>
      <c r="F570" s="7"/>
      <c r="G570" s="7"/>
      <c r="H570" s="2" t="s">
        <v>7755</v>
      </c>
      <c r="I570" s="2" t="s">
        <v>7779</v>
      </c>
      <c r="J570" s="2" t="s">
        <v>7780</v>
      </c>
      <c r="K570" s="2" t="s">
        <v>55</v>
      </c>
      <c r="L570" s="2" t="s">
        <v>7781</v>
      </c>
      <c r="M570" s="2"/>
      <c r="N570" s="45" t="str">
        <f t="shared" si="405"/>
        <v>@ohiobobcatsb</v>
      </c>
      <c r="O570" s="45" t="str">
        <f t="shared" si="406"/>
        <v>Questionnaire</v>
      </c>
      <c r="P570" s="48" t="s">
        <v>7755</v>
      </c>
      <c r="Q570" s="47" t="s">
        <v>1814</v>
      </c>
      <c r="R570" s="48" t="s">
        <v>7762</v>
      </c>
      <c r="S570" s="48" t="s">
        <v>468</v>
      </c>
      <c r="T570" s="73" t="s">
        <v>74</v>
      </c>
      <c r="U570" s="48" t="s">
        <v>75</v>
      </c>
      <c r="V570" s="73"/>
      <c r="W570" s="50">
        <v>3.48</v>
      </c>
      <c r="X570" s="49" t="s">
        <v>676</v>
      </c>
      <c r="Y570" s="49" t="s">
        <v>344</v>
      </c>
      <c r="Z570" s="49" t="s">
        <v>1650</v>
      </c>
      <c r="AA570" s="61">
        <v>0.75</v>
      </c>
      <c r="AB570" s="48" t="s">
        <v>7765</v>
      </c>
      <c r="AC570" s="62" t="s">
        <v>7755</v>
      </c>
      <c r="AD570" s="53" t="str">
        <f t="shared" si="407"/>
        <v>Link</v>
      </c>
      <c r="AE570" s="54">
        <v>23585</v>
      </c>
      <c r="AF570" s="54">
        <v>151</v>
      </c>
      <c r="AG570" s="55"/>
      <c r="AH570" s="56">
        <v>204857</v>
      </c>
      <c r="AI570" s="7"/>
      <c r="AJ570" s="7"/>
    </row>
    <row r="571" spans="1:36" ht="15" x14ac:dyDescent="0.2">
      <c r="A571" s="64" t="s">
        <v>7398</v>
      </c>
      <c r="B571" s="33" t="s">
        <v>1814</v>
      </c>
      <c r="C571" s="7" t="s">
        <v>67</v>
      </c>
      <c r="D571" s="7" t="s">
        <v>7784</v>
      </c>
      <c r="E571" s="44">
        <v>5</v>
      </c>
      <c r="F571" s="7"/>
      <c r="G571" s="7"/>
      <c r="H571" s="2" t="s">
        <v>7785</v>
      </c>
      <c r="I571" s="7" t="s">
        <v>1541</v>
      </c>
      <c r="J571" s="7" t="s">
        <v>7787</v>
      </c>
      <c r="K571" s="7" t="s">
        <v>48</v>
      </c>
      <c r="L571" s="7" t="s">
        <v>7788</v>
      </c>
      <c r="M571" s="7" t="s">
        <v>7790</v>
      </c>
      <c r="N571" s="45" t="str">
        <f t="shared" ref="N571:N574" si="408">HYPERLINK("twitter.com/toledosoftball","@toledosoftball")</f>
        <v>@toledosoftball</v>
      </c>
      <c r="O571" s="45" t="str">
        <f t="shared" ref="O571:O574" si="409">HYPERLINK("https://utrockets.com/sb_output.aspx?form=3&amp;path=softball","Questionnaire")</f>
        <v>Questionnaire</v>
      </c>
      <c r="P571" s="48" t="s">
        <v>7797</v>
      </c>
      <c r="Q571" s="47" t="s">
        <v>1814</v>
      </c>
      <c r="R571" s="48" t="s">
        <v>7797</v>
      </c>
      <c r="S571" s="48" t="s">
        <v>62</v>
      </c>
      <c r="T571" s="49" t="s">
        <v>74</v>
      </c>
      <c r="U571" s="48" t="s">
        <v>75</v>
      </c>
      <c r="V571" s="73"/>
      <c r="W571" s="50">
        <v>3.36</v>
      </c>
      <c r="X571" s="49" t="s">
        <v>2046</v>
      </c>
      <c r="Y571" s="49" t="s">
        <v>7801</v>
      </c>
      <c r="Z571" s="49" t="s">
        <v>278</v>
      </c>
      <c r="AA571" s="61">
        <v>0.94</v>
      </c>
      <c r="AB571" s="48" t="s">
        <v>7803</v>
      </c>
      <c r="AC571" s="62" t="s">
        <v>7797</v>
      </c>
      <c r="AD571" s="53" t="str">
        <f t="shared" ref="AD571:AD574" si="410">HYPERLINK("http://www.utoledo.edu/admission/freshman/majors.html","Link")</f>
        <v>Link</v>
      </c>
      <c r="AE571" s="54">
        <v>16223</v>
      </c>
      <c r="AF571" s="55"/>
      <c r="AG571" s="55"/>
      <c r="AH571" s="56">
        <v>206084</v>
      </c>
      <c r="AI571" s="7"/>
      <c r="AJ571" s="7"/>
    </row>
    <row r="572" spans="1:36" ht="15" x14ac:dyDescent="0.2">
      <c r="A572" s="64" t="s">
        <v>7398</v>
      </c>
      <c r="B572" s="33" t="s">
        <v>1814</v>
      </c>
      <c r="C572" s="7" t="s">
        <v>67</v>
      </c>
      <c r="D572" s="7" t="s">
        <v>7807</v>
      </c>
      <c r="E572" s="44">
        <v>5</v>
      </c>
      <c r="F572" s="7"/>
      <c r="G572" s="7"/>
      <c r="H572" s="2" t="s">
        <v>7785</v>
      </c>
      <c r="I572" s="7" t="s">
        <v>2316</v>
      </c>
      <c r="J572" s="7" t="s">
        <v>7808</v>
      </c>
      <c r="K572" s="7" t="s">
        <v>55</v>
      </c>
      <c r="L572" s="7" t="s">
        <v>7809</v>
      </c>
      <c r="M572" s="7" t="s">
        <v>7810</v>
      </c>
      <c r="N572" s="45" t="str">
        <f t="shared" si="408"/>
        <v>@toledosoftball</v>
      </c>
      <c r="O572" s="45" t="str">
        <f t="shared" si="409"/>
        <v>Questionnaire</v>
      </c>
      <c r="P572" s="48" t="s">
        <v>7797</v>
      </c>
      <c r="Q572" s="47" t="s">
        <v>1814</v>
      </c>
      <c r="R572" s="48" t="s">
        <v>7797</v>
      </c>
      <c r="S572" s="48" t="s">
        <v>62</v>
      </c>
      <c r="T572" s="49" t="s">
        <v>74</v>
      </c>
      <c r="U572" s="48" t="s">
        <v>75</v>
      </c>
      <c r="V572" s="73"/>
      <c r="W572" s="50">
        <v>3.36</v>
      </c>
      <c r="X572" s="49" t="s">
        <v>2046</v>
      </c>
      <c r="Y572" s="49" t="s">
        <v>7801</v>
      </c>
      <c r="Z572" s="49" t="s">
        <v>278</v>
      </c>
      <c r="AA572" s="61">
        <v>0.94</v>
      </c>
      <c r="AB572" s="48" t="s">
        <v>7803</v>
      </c>
      <c r="AC572" s="62" t="s">
        <v>7797</v>
      </c>
      <c r="AD572" s="53" t="str">
        <f t="shared" si="410"/>
        <v>Link</v>
      </c>
      <c r="AE572" s="54">
        <v>16223</v>
      </c>
      <c r="AF572" s="55"/>
      <c r="AG572" s="55"/>
      <c r="AH572" s="56">
        <v>206084</v>
      </c>
      <c r="AI572" s="7"/>
      <c r="AJ572" s="7"/>
    </row>
    <row r="573" spans="1:36" ht="15" x14ac:dyDescent="0.2">
      <c r="A573" s="64" t="s">
        <v>7398</v>
      </c>
      <c r="B573" s="33" t="s">
        <v>1814</v>
      </c>
      <c r="C573" s="7" t="s">
        <v>67</v>
      </c>
      <c r="D573" s="7" t="s">
        <v>7820</v>
      </c>
      <c r="E573" s="44">
        <v>5</v>
      </c>
      <c r="F573" s="7"/>
      <c r="G573" s="7"/>
      <c r="H573" s="2" t="s">
        <v>7785</v>
      </c>
      <c r="I573" s="7" t="s">
        <v>2747</v>
      </c>
      <c r="J573" s="7" t="s">
        <v>7824</v>
      </c>
      <c r="K573" s="7" t="s">
        <v>55</v>
      </c>
      <c r="L573" s="7" t="s">
        <v>7826</v>
      </c>
      <c r="M573" s="7" t="s">
        <v>7827</v>
      </c>
      <c r="N573" s="45" t="str">
        <f t="shared" si="408"/>
        <v>@toledosoftball</v>
      </c>
      <c r="O573" s="45" t="str">
        <f t="shared" si="409"/>
        <v>Questionnaire</v>
      </c>
      <c r="P573" s="48" t="s">
        <v>7797</v>
      </c>
      <c r="Q573" s="47" t="s">
        <v>1814</v>
      </c>
      <c r="R573" s="48" t="s">
        <v>7797</v>
      </c>
      <c r="S573" s="48" t="s">
        <v>62</v>
      </c>
      <c r="T573" s="49" t="s">
        <v>74</v>
      </c>
      <c r="U573" s="48" t="s">
        <v>75</v>
      </c>
      <c r="V573" s="73"/>
      <c r="W573" s="50">
        <v>3.36</v>
      </c>
      <c r="X573" s="49" t="s">
        <v>2046</v>
      </c>
      <c r="Y573" s="49" t="s">
        <v>7801</v>
      </c>
      <c r="Z573" s="49" t="s">
        <v>278</v>
      </c>
      <c r="AA573" s="61">
        <v>0.94</v>
      </c>
      <c r="AB573" s="48" t="s">
        <v>7803</v>
      </c>
      <c r="AC573" s="62" t="s">
        <v>7797</v>
      </c>
      <c r="AD573" s="53" t="str">
        <f t="shared" si="410"/>
        <v>Link</v>
      </c>
      <c r="AE573" s="54">
        <v>16223</v>
      </c>
      <c r="AF573" s="55"/>
      <c r="AG573" s="55"/>
      <c r="AH573" s="56">
        <v>206084</v>
      </c>
      <c r="AI573" s="7"/>
      <c r="AJ573" s="7"/>
    </row>
    <row r="574" spans="1:36" ht="15" x14ac:dyDescent="0.2">
      <c r="A574" s="64" t="s">
        <v>7398</v>
      </c>
      <c r="B574" s="33" t="s">
        <v>1814</v>
      </c>
      <c r="C574" s="7" t="s">
        <v>67</v>
      </c>
      <c r="D574" s="7" t="s">
        <v>7834</v>
      </c>
      <c r="E574" s="44">
        <v>5</v>
      </c>
      <c r="F574" s="7"/>
      <c r="G574" s="7"/>
      <c r="H574" s="2" t="s">
        <v>7785</v>
      </c>
      <c r="I574" s="7" t="s">
        <v>991</v>
      </c>
      <c r="J574" s="7" t="s">
        <v>7835</v>
      </c>
      <c r="K574" s="7" t="s">
        <v>139</v>
      </c>
      <c r="L574" s="7" t="s">
        <v>7837</v>
      </c>
      <c r="M574" s="7"/>
      <c r="N574" s="45" t="str">
        <f t="shared" si="408"/>
        <v>@toledosoftball</v>
      </c>
      <c r="O574" s="45" t="str">
        <f t="shared" si="409"/>
        <v>Questionnaire</v>
      </c>
      <c r="P574" s="48" t="s">
        <v>7797</v>
      </c>
      <c r="Q574" s="47" t="s">
        <v>1814</v>
      </c>
      <c r="R574" s="48" t="s">
        <v>7797</v>
      </c>
      <c r="S574" s="48" t="s">
        <v>62</v>
      </c>
      <c r="T574" s="49" t="s">
        <v>74</v>
      </c>
      <c r="U574" s="48" t="s">
        <v>75</v>
      </c>
      <c r="V574" s="73"/>
      <c r="W574" s="50">
        <v>3.36</v>
      </c>
      <c r="X574" s="49" t="s">
        <v>2046</v>
      </c>
      <c r="Y574" s="49" t="s">
        <v>7801</v>
      </c>
      <c r="Z574" s="49" t="s">
        <v>278</v>
      </c>
      <c r="AA574" s="61">
        <v>0.94</v>
      </c>
      <c r="AB574" s="48" t="s">
        <v>7803</v>
      </c>
      <c r="AC574" s="62" t="s">
        <v>7797</v>
      </c>
      <c r="AD574" s="53" t="str">
        <f t="shared" si="410"/>
        <v>Link</v>
      </c>
      <c r="AE574" s="54">
        <v>16223</v>
      </c>
      <c r="AF574" s="55"/>
      <c r="AG574" s="55"/>
      <c r="AH574" s="56">
        <v>206084</v>
      </c>
      <c r="AI574" s="7"/>
      <c r="AJ574" s="7"/>
    </row>
    <row r="575" spans="1:36" ht="15" x14ac:dyDescent="0.2">
      <c r="A575" s="64" t="s">
        <v>7398</v>
      </c>
      <c r="B575" s="33" t="s">
        <v>4538</v>
      </c>
      <c r="C575" s="7" t="s">
        <v>67</v>
      </c>
      <c r="D575" s="7" t="s">
        <v>7842</v>
      </c>
      <c r="E575" s="44">
        <v>5</v>
      </c>
      <c r="F575" s="7"/>
      <c r="G575" s="7"/>
      <c r="H575" s="2" t="s">
        <v>7845</v>
      </c>
      <c r="I575" s="7" t="s">
        <v>1827</v>
      </c>
      <c r="J575" s="7" t="s">
        <v>7846</v>
      </c>
      <c r="K575" s="7" t="s">
        <v>48</v>
      </c>
      <c r="L575" s="7" t="s">
        <v>7847</v>
      </c>
      <c r="M575" s="7" t="s">
        <v>7848</v>
      </c>
      <c r="N575" s="45" t="str">
        <f t="shared" ref="N575:N579" si="411">HYPERLINK("twitter.com/WMUSoftball","@WMUSoftball")</f>
        <v>@WMUSoftball</v>
      </c>
      <c r="O575" s="45" t="str">
        <f t="shared" ref="O575:O579" si="412">HYPERLINK("https://wmubroncos.com/sb_output.aspx?form=26","Questionnaire")</f>
        <v>Questionnaire</v>
      </c>
      <c r="P575" s="48" t="s">
        <v>7855</v>
      </c>
      <c r="Q575" s="47" t="s">
        <v>4538</v>
      </c>
      <c r="R575" s="48" t="s">
        <v>6510</v>
      </c>
      <c r="S575" s="48" t="s">
        <v>186</v>
      </c>
      <c r="T575" s="49" t="s">
        <v>74</v>
      </c>
      <c r="U575" s="48" t="s">
        <v>75</v>
      </c>
      <c r="V575" s="73"/>
      <c r="W575" s="50">
        <v>3.33</v>
      </c>
      <c r="X575" s="49" t="s">
        <v>7856</v>
      </c>
      <c r="Y575" s="49" t="s">
        <v>7857</v>
      </c>
      <c r="Z575" s="49" t="s">
        <v>746</v>
      </c>
      <c r="AA575" s="61">
        <v>0.82</v>
      </c>
      <c r="AB575" s="48" t="s">
        <v>7859</v>
      </c>
      <c r="AC575" s="62" t="s">
        <v>7855</v>
      </c>
      <c r="AD575" s="53" t="str">
        <f t="shared" ref="AD575:AD579" si="413">HYPERLINK("https://wmich.edu/academics/undergraduate","Link")</f>
        <v>Link</v>
      </c>
      <c r="AE575" s="54">
        <v>18313</v>
      </c>
      <c r="AF575" s="54">
        <v>207</v>
      </c>
      <c r="AG575" s="55"/>
      <c r="AH575" s="56">
        <v>172699</v>
      </c>
      <c r="AI575" s="7"/>
      <c r="AJ575" s="7"/>
    </row>
    <row r="576" spans="1:36" ht="15" x14ac:dyDescent="0.2">
      <c r="A576" s="64" t="s">
        <v>7398</v>
      </c>
      <c r="B576" s="33" t="s">
        <v>4538</v>
      </c>
      <c r="C576" s="7" t="s">
        <v>67</v>
      </c>
      <c r="D576" s="7" t="s">
        <v>7863</v>
      </c>
      <c r="E576" s="44">
        <v>5</v>
      </c>
      <c r="F576" s="7"/>
      <c r="G576" s="7"/>
      <c r="H576" s="2" t="s">
        <v>7845</v>
      </c>
      <c r="I576" s="7" t="s">
        <v>7864</v>
      </c>
      <c r="J576" s="7" t="s">
        <v>2095</v>
      </c>
      <c r="K576" s="7" t="s">
        <v>55</v>
      </c>
      <c r="L576" s="7" t="s">
        <v>7865</v>
      </c>
      <c r="M576" s="7" t="s">
        <v>7866</v>
      </c>
      <c r="N576" s="45" t="str">
        <f t="shared" si="411"/>
        <v>@WMUSoftball</v>
      </c>
      <c r="O576" s="45" t="str">
        <f t="shared" si="412"/>
        <v>Questionnaire</v>
      </c>
      <c r="P576" s="48" t="s">
        <v>7855</v>
      </c>
      <c r="Q576" s="47" t="s">
        <v>4538</v>
      </c>
      <c r="R576" s="48" t="s">
        <v>6510</v>
      </c>
      <c r="S576" s="48" t="s">
        <v>186</v>
      </c>
      <c r="T576" s="49" t="s">
        <v>74</v>
      </c>
      <c r="U576" s="48" t="s">
        <v>75</v>
      </c>
      <c r="V576" s="73"/>
      <c r="W576" s="50">
        <v>3.33</v>
      </c>
      <c r="X576" s="49" t="s">
        <v>7856</v>
      </c>
      <c r="Y576" s="49" t="s">
        <v>7857</v>
      </c>
      <c r="Z576" s="49" t="s">
        <v>746</v>
      </c>
      <c r="AA576" s="61">
        <v>0.82</v>
      </c>
      <c r="AB576" s="48" t="s">
        <v>7859</v>
      </c>
      <c r="AC576" s="62" t="s">
        <v>7855</v>
      </c>
      <c r="AD576" s="53" t="str">
        <f t="shared" si="413"/>
        <v>Link</v>
      </c>
      <c r="AE576" s="54">
        <v>18313</v>
      </c>
      <c r="AF576" s="54">
        <v>207</v>
      </c>
      <c r="AG576" s="55"/>
      <c r="AH576" s="56">
        <v>172699</v>
      </c>
      <c r="AI576" s="7"/>
      <c r="AJ576" s="7"/>
    </row>
    <row r="577" spans="1:36" ht="15" x14ac:dyDescent="0.2">
      <c r="A577" s="64" t="s">
        <v>7398</v>
      </c>
      <c r="B577" s="33" t="s">
        <v>4538</v>
      </c>
      <c r="C577" s="7" t="s">
        <v>67</v>
      </c>
      <c r="D577" s="7" t="s">
        <v>7875</v>
      </c>
      <c r="E577" s="44">
        <v>5</v>
      </c>
      <c r="F577" s="7"/>
      <c r="G577" s="7" t="s">
        <v>126</v>
      </c>
      <c r="H577" s="2" t="s">
        <v>7845</v>
      </c>
      <c r="I577" s="7" t="s">
        <v>7878</v>
      </c>
      <c r="J577" s="7"/>
      <c r="K577" s="7"/>
      <c r="L577" s="7"/>
      <c r="M577" s="7"/>
      <c r="N577" s="45" t="str">
        <f t="shared" si="411"/>
        <v>@WMUSoftball</v>
      </c>
      <c r="O577" s="45" t="str">
        <f t="shared" si="412"/>
        <v>Questionnaire</v>
      </c>
      <c r="P577" s="48" t="s">
        <v>7855</v>
      </c>
      <c r="Q577" s="47" t="s">
        <v>4538</v>
      </c>
      <c r="R577" s="48" t="s">
        <v>6510</v>
      </c>
      <c r="S577" s="48" t="s">
        <v>186</v>
      </c>
      <c r="T577" s="49" t="s">
        <v>74</v>
      </c>
      <c r="U577" s="48" t="s">
        <v>75</v>
      </c>
      <c r="V577" s="73"/>
      <c r="W577" s="50">
        <v>3.33</v>
      </c>
      <c r="X577" s="49" t="s">
        <v>7856</v>
      </c>
      <c r="Y577" s="49" t="s">
        <v>7857</v>
      </c>
      <c r="Z577" s="49" t="s">
        <v>746</v>
      </c>
      <c r="AA577" s="61">
        <v>0.82</v>
      </c>
      <c r="AB577" s="48" t="s">
        <v>7859</v>
      </c>
      <c r="AC577" s="62" t="s">
        <v>7855</v>
      </c>
      <c r="AD577" s="53" t="str">
        <f t="shared" si="413"/>
        <v>Link</v>
      </c>
      <c r="AE577" s="54">
        <v>18313</v>
      </c>
      <c r="AF577" s="54">
        <v>207</v>
      </c>
      <c r="AG577" s="55"/>
      <c r="AH577" s="56">
        <v>172699</v>
      </c>
      <c r="AI577" s="7"/>
      <c r="AJ577" s="7"/>
    </row>
    <row r="578" spans="1:36" ht="15" x14ac:dyDescent="0.2">
      <c r="A578" s="64" t="s">
        <v>7398</v>
      </c>
      <c r="B578" s="33" t="s">
        <v>4538</v>
      </c>
      <c r="C578" s="7" t="s">
        <v>67</v>
      </c>
      <c r="D578" s="7" t="s">
        <v>7885</v>
      </c>
      <c r="E578" s="44">
        <v>5</v>
      </c>
      <c r="F578" s="7"/>
      <c r="G578" s="7"/>
      <c r="H578" s="2" t="s">
        <v>7845</v>
      </c>
      <c r="I578" s="7" t="s">
        <v>369</v>
      </c>
      <c r="J578" s="7" t="s">
        <v>7886</v>
      </c>
      <c r="K578" s="7" t="s">
        <v>139</v>
      </c>
      <c r="L578" s="7"/>
      <c r="M578" s="7"/>
      <c r="N578" s="45" t="str">
        <f t="shared" si="411"/>
        <v>@WMUSoftball</v>
      </c>
      <c r="O578" s="45" t="str">
        <f t="shared" si="412"/>
        <v>Questionnaire</v>
      </c>
      <c r="P578" s="48" t="s">
        <v>7855</v>
      </c>
      <c r="Q578" s="47" t="s">
        <v>4538</v>
      </c>
      <c r="R578" s="48" t="s">
        <v>6510</v>
      </c>
      <c r="S578" s="48" t="s">
        <v>186</v>
      </c>
      <c r="T578" s="49" t="s">
        <v>74</v>
      </c>
      <c r="U578" s="48" t="s">
        <v>75</v>
      </c>
      <c r="V578" s="73"/>
      <c r="W578" s="50">
        <v>3.33</v>
      </c>
      <c r="X578" s="49" t="s">
        <v>7856</v>
      </c>
      <c r="Y578" s="49" t="s">
        <v>7857</v>
      </c>
      <c r="Z578" s="49" t="s">
        <v>746</v>
      </c>
      <c r="AA578" s="61">
        <v>0.82</v>
      </c>
      <c r="AB578" s="48" t="s">
        <v>7859</v>
      </c>
      <c r="AC578" s="62" t="s">
        <v>7855</v>
      </c>
      <c r="AD578" s="53" t="str">
        <f t="shared" si="413"/>
        <v>Link</v>
      </c>
      <c r="AE578" s="54">
        <v>18313</v>
      </c>
      <c r="AF578" s="54">
        <v>207</v>
      </c>
      <c r="AG578" s="55"/>
      <c r="AH578" s="56">
        <v>172699</v>
      </c>
      <c r="AI578" s="7"/>
      <c r="AJ578" s="7"/>
    </row>
    <row r="579" spans="1:36" ht="15" x14ac:dyDescent="0.2">
      <c r="A579" s="64" t="s">
        <v>7398</v>
      </c>
      <c r="B579" s="33" t="s">
        <v>4538</v>
      </c>
      <c r="C579" s="7" t="s">
        <v>67</v>
      </c>
      <c r="D579" s="7" t="s">
        <v>7894</v>
      </c>
      <c r="E579" s="44">
        <v>5</v>
      </c>
      <c r="F579" s="7" t="s">
        <v>116</v>
      </c>
      <c r="G579" s="7"/>
      <c r="H579" s="2" t="s">
        <v>7845</v>
      </c>
      <c r="I579" s="7" t="s">
        <v>5606</v>
      </c>
      <c r="J579" s="7" t="s">
        <v>491</v>
      </c>
      <c r="K579" s="7" t="s">
        <v>55</v>
      </c>
      <c r="L579" s="7"/>
      <c r="M579" s="7"/>
      <c r="N579" s="45" t="str">
        <f t="shared" si="411"/>
        <v>@WMUSoftball</v>
      </c>
      <c r="O579" s="45" t="str">
        <f t="shared" si="412"/>
        <v>Questionnaire</v>
      </c>
      <c r="P579" s="48" t="s">
        <v>7855</v>
      </c>
      <c r="Q579" s="47" t="s">
        <v>4538</v>
      </c>
      <c r="R579" s="48" t="s">
        <v>6510</v>
      </c>
      <c r="S579" s="48" t="s">
        <v>186</v>
      </c>
      <c r="T579" s="49" t="s">
        <v>74</v>
      </c>
      <c r="U579" s="48" t="s">
        <v>75</v>
      </c>
      <c r="V579" s="73"/>
      <c r="W579" s="50">
        <v>3.33</v>
      </c>
      <c r="X579" s="49" t="s">
        <v>7856</v>
      </c>
      <c r="Y579" s="49" t="s">
        <v>7857</v>
      </c>
      <c r="Z579" s="49" t="s">
        <v>746</v>
      </c>
      <c r="AA579" s="61">
        <v>0.82</v>
      </c>
      <c r="AB579" s="48" t="s">
        <v>7859</v>
      </c>
      <c r="AC579" s="62" t="s">
        <v>7855</v>
      </c>
      <c r="AD579" s="53" t="str">
        <f t="shared" si="413"/>
        <v>Link</v>
      </c>
      <c r="AE579" s="54">
        <v>18313</v>
      </c>
      <c r="AF579" s="54">
        <v>207</v>
      </c>
      <c r="AG579" s="55"/>
      <c r="AH579" s="56">
        <v>172699</v>
      </c>
      <c r="AI579" s="7"/>
      <c r="AJ579" s="7"/>
    </row>
    <row r="580" spans="1:36" ht="15" x14ac:dyDescent="0.2">
      <c r="A580" s="64" t="s">
        <v>7904</v>
      </c>
      <c r="B580" s="33" t="s">
        <v>1304</v>
      </c>
      <c r="C580" s="7" t="s">
        <v>67</v>
      </c>
      <c r="D580" s="7" t="s">
        <v>7905</v>
      </c>
      <c r="E580" s="44">
        <v>5</v>
      </c>
      <c r="F580" s="7"/>
      <c r="G580" s="7"/>
      <c r="H580" s="2" t="s">
        <v>7906</v>
      </c>
      <c r="I580" s="7" t="s">
        <v>1159</v>
      </c>
      <c r="J580" s="7" t="s">
        <v>968</v>
      </c>
      <c r="K580" s="7" t="s">
        <v>48</v>
      </c>
      <c r="L580" s="7" t="s">
        <v>7907</v>
      </c>
      <c r="M580" s="7" t="s">
        <v>7908</v>
      </c>
      <c r="N580" s="45" t="str">
        <f t="shared" ref="N580:N582" si="414">HYPERLINK("twitter.com/GriffsSoftball","@GriffsSoftball")</f>
        <v>@GriffsSoftball</v>
      </c>
      <c r="O580" s="45" t="str">
        <f t="shared" ref="O580:O582" si="415">HYPERLINK("https://questionnaires.armssoftware.com/bdd1f4784851?DB_OEM_ID=20500","Questionnaire")</f>
        <v>Questionnaire</v>
      </c>
      <c r="P580" s="47" t="s">
        <v>7916</v>
      </c>
      <c r="Q580" s="47" t="s">
        <v>1304</v>
      </c>
      <c r="R580" s="48" t="s">
        <v>7539</v>
      </c>
      <c r="S580" s="48" t="s">
        <v>62</v>
      </c>
      <c r="T580" s="49" t="s">
        <v>63</v>
      </c>
      <c r="U580" s="48" t="s">
        <v>343</v>
      </c>
      <c r="V580" s="73"/>
      <c r="W580" s="50">
        <v>3.47</v>
      </c>
      <c r="X580" s="49" t="s">
        <v>802</v>
      </c>
      <c r="Y580" s="49" t="s">
        <v>676</v>
      </c>
      <c r="Z580" s="49" t="s">
        <v>689</v>
      </c>
      <c r="AA580" s="51">
        <v>0.77849999999999997</v>
      </c>
      <c r="AB580" s="71">
        <v>50946</v>
      </c>
      <c r="AC580" s="52" t="s">
        <v>7916</v>
      </c>
      <c r="AD580" s="53" t="str">
        <f t="shared" ref="AD580:AD582" si="416">HYPERLINK("http://catalog.canisius.edu/undergraduate/majors/","Link")</f>
        <v>Link</v>
      </c>
      <c r="AE580" s="54">
        <v>2595</v>
      </c>
      <c r="AF580" s="55"/>
      <c r="AG580" s="55"/>
      <c r="AH580" s="56">
        <v>189705</v>
      </c>
      <c r="AI580" s="7"/>
      <c r="AJ580" s="7"/>
    </row>
    <row r="581" spans="1:36" ht="15" x14ac:dyDescent="0.2">
      <c r="A581" s="64" t="s">
        <v>7904</v>
      </c>
      <c r="B581" s="33" t="s">
        <v>1304</v>
      </c>
      <c r="C581" s="7" t="s">
        <v>67</v>
      </c>
      <c r="D581" s="7" t="s">
        <v>7927</v>
      </c>
      <c r="E581" s="44">
        <v>5</v>
      </c>
      <c r="F581" s="7"/>
      <c r="G581" s="7"/>
      <c r="H581" s="2" t="s">
        <v>7906</v>
      </c>
      <c r="I581" s="7" t="s">
        <v>2549</v>
      </c>
      <c r="J581" s="7" t="s">
        <v>7928</v>
      </c>
      <c r="K581" s="7" t="s">
        <v>120</v>
      </c>
      <c r="L581" s="7" t="s">
        <v>7930</v>
      </c>
      <c r="M581" s="7" t="s">
        <v>7931</v>
      </c>
      <c r="N581" s="45" t="str">
        <f t="shared" si="414"/>
        <v>@GriffsSoftball</v>
      </c>
      <c r="O581" s="45" t="str">
        <f t="shared" si="415"/>
        <v>Questionnaire</v>
      </c>
      <c r="P581" s="47" t="s">
        <v>7916</v>
      </c>
      <c r="Q581" s="47" t="s">
        <v>1304</v>
      </c>
      <c r="R581" s="48" t="s">
        <v>7539</v>
      </c>
      <c r="S581" s="48" t="s">
        <v>62</v>
      </c>
      <c r="T581" s="49" t="s">
        <v>63</v>
      </c>
      <c r="U581" s="48" t="s">
        <v>343</v>
      </c>
      <c r="V581" s="73"/>
      <c r="W581" s="50">
        <v>3.47</v>
      </c>
      <c r="X581" s="49" t="s">
        <v>802</v>
      </c>
      <c r="Y581" s="49" t="s">
        <v>676</v>
      </c>
      <c r="Z581" s="49" t="s">
        <v>689</v>
      </c>
      <c r="AA581" s="51">
        <v>0.77849999999999997</v>
      </c>
      <c r="AB581" s="71">
        <v>50946</v>
      </c>
      <c r="AC581" s="52" t="s">
        <v>7916</v>
      </c>
      <c r="AD581" s="53" t="str">
        <f t="shared" si="416"/>
        <v>Link</v>
      </c>
      <c r="AE581" s="54">
        <v>2595</v>
      </c>
      <c r="AF581" s="55"/>
      <c r="AG581" s="55"/>
      <c r="AH581" s="56">
        <v>189705</v>
      </c>
      <c r="AI581" s="7"/>
      <c r="AJ581" s="7"/>
    </row>
    <row r="582" spans="1:36" ht="15" x14ac:dyDescent="0.2">
      <c r="A582" s="64" t="s">
        <v>7904</v>
      </c>
      <c r="B582" s="33" t="s">
        <v>1304</v>
      </c>
      <c r="C582" s="7" t="s">
        <v>67</v>
      </c>
      <c r="D582" s="7" t="s">
        <v>7941</v>
      </c>
      <c r="E582" s="44">
        <v>5</v>
      </c>
      <c r="F582" s="7"/>
      <c r="G582" s="7"/>
      <c r="H582" s="2" t="s">
        <v>7906</v>
      </c>
      <c r="I582" s="7" t="s">
        <v>1589</v>
      </c>
      <c r="J582" s="7" t="s">
        <v>7945</v>
      </c>
      <c r="K582" s="7" t="s">
        <v>55</v>
      </c>
      <c r="L582" s="7" t="s">
        <v>7947</v>
      </c>
      <c r="M582" s="7" t="s">
        <v>7931</v>
      </c>
      <c r="N582" s="45" t="str">
        <f t="shared" si="414"/>
        <v>@GriffsSoftball</v>
      </c>
      <c r="O582" s="45" t="str">
        <f t="shared" si="415"/>
        <v>Questionnaire</v>
      </c>
      <c r="P582" s="47" t="s">
        <v>7916</v>
      </c>
      <c r="Q582" s="47" t="s">
        <v>1304</v>
      </c>
      <c r="R582" s="48" t="s">
        <v>7539</v>
      </c>
      <c r="S582" s="48" t="s">
        <v>62</v>
      </c>
      <c r="T582" s="49" t="s">
        <v>63</v>
      </c>
      <c r="U582" s="48" t="s">
        <v>343</v>
      </c>
      <c r="V582" s="73"/>
      <c r="W582" s="50">
        <v>3.47</v>
      </c>
      <c r="X582" s="49" t="s">
        <v>802</v>
      </c>
      <c r="Y582" s="49" t="s">
        <v>676</v>
      </c>
      <c r="Z582" s="49" t="s">
        <v>689</v>
      </c>
      <c r="AA582" s="51">
        <v>0.77849999999999997</v>
      </c>
      <c r="AB582" s="71">
        <v>50946</v>
      </c>
      <c r="AC582" s="52" t="s">
        <v>7916</v>
      </c>
      <c r="AD582" s="53" t="str">
        <f t="shared" si="416"/>
        <v>Link</v>
      </c>
      <c r="AE582" s="54">
        <v>2595</v>
      </c>
      <c r="AF582" s="55"/>
      <c r="AG582" s="55"/>
      <c r="AH582" s="56">
        <v>189705</v>
      </c>
      <c r="AI582" s="7"/>
      <c r="AJ582" s="7"/>
    </row>
    <row r="583" spans="1:36" ht="15" x14ac:dyDescent="0.2">
      <c r="A583" s="64" t="s">
        <v>7904</v>
      </c>
      <c r="B583" s="33" t="s">
        <v>158</v>
      </c>
      <c r="C583" s="7" t="s">
        <v>67</v>
      </c>
      <c r="D583" s="7" t="s">
        <v>7952</v>
      </c>
      <c r="E583" s="44">
        <v>5</v>
      </c>
      <c r="F583" s="7"/>
      <c r="G583" s="7"/>
      <c r="H583" s="2" t="s">
        <v>7953</v>
      </c>
      <c r="I583" s="7" t="s">
        <v>3235</v>
      </c>
      <c r="J583" s="7" t="s">
        <v>7955</v>
      </c>
      <c r="K583" s="7" t="s">
        <v>48</v>
      </c>
      <c r="L583" s="7" t="s">
        <v>7958</v>
      </c>
      <c r="M583" s="7" t="s">
        <v>7959</v>
      </c>
      <c r="N583" s="69" t="str">
        <f t="shared" ref="N583:N586" si="417">HYPERLINK("twitter.com/stagssoftball","@stagssoftball")</f>
        <v>@stagssoftball</v>
      </c>
      <c r="O583" s="69" t="str">
        <f t="shared" ref="O583:O586" si="418">HYPERLINK("https://fairfieldstags.com/sports/2013/12/1/209369279.aspx","Questionnaire")</f>
        <v>Questionnaire</v>
      </c>
      <c r="P583" s="48" t="s">
        <v>204</v>
      </c>
      <c r="Q583" s="47" t="s">
        <v>158</v>
      </c>
      <c r="R583" s="48" t="s">
        <v>204</v>
      </c>
      <c r="S583" s="48" t="s">
        <v>186</v>
      </c>
      <c r="T583" s="49" t="s">
        <v>63</v>
      </c>
      <c r="U583" s="48" t="s">
        <v>343</v>
      </c>
      <c r="V583" s="73"/>
      <c r="W583" s="50">
        <v>3.48</v>
      </c>
      <c r="X583" s="49" t="s">
        <v>7968</v>
      </c>
      <c r="Y583" s="49" t="s">
        <v>833</v>
      </c>
      <c r="Z583" s="49" t="s">
        <v>7969</v>
      </c>
      <c r="AA583" s="61">
        <v>0.61</v>
      </c>
      <c r="AB583" s="71">
        <v>62740</v>
      </c>
      <c r="AC583" s="62" t="s">
        <v>204</v>
      </c>
      <c r="AD583" s="53" t="str">
        <f t="shared" ref="AD583:AD586" si="419">HYPERLINK("https://www.fairfield.edu/undergraduate/academics/majors-and-minors/","Link")</f>
        <v>Link</v>
      </c>
      <c r="AE583" s="54">
        <v>4032</v>
      </c>
      <c r="AF583" s="55"/>
      <c r="AG583" s="55"/>
      <c r="AH583" s="56">
        <v>129242</v>
      </c>
      <c r="AI583" s="7"/>
      <c r="AJ583" s="7"/>
    </row>
    <row r="584" spans="1:36" ht="15" x14ac:dyDescent="0.2">
      <c r="A584" s="64" t="s">
        <v>7904</v>
      </c>
      <c r="B584" s="33" t="s">
        <v>158</v>
      </c>
      <c r="C584" s="7" t="s">
        <v>67</v>
      </c>
      <c r="D584" s="7" t="s">
        <v>7977</v>
      </c>
      <c r="E584" s="44">
        <v>5</v>
      </c>
      <c r="F584" s="7"/>
      <c r="G584" s="7"/>
      <c r="H584" s="2" t="s">
        <v>7953</v>
      </c>
      <c r="I584" s="7" t="s">
        <v>7978</v>
      </c>
      <c r="J584" s="7" t="s">
        <v>2574</v>
      </c>
      <c r="K584" s="7" t="s">
        <v>55</v>
      </c>
      <c r="L584" s="7" t="s">
        <v>7979</v>
      </c>
      <c r="M584" s="7" t="s">
        <v>7980</v>
      </c>
      <c r="N584" s="69" t="str">
        <f t="shared" si="417"/>
        <v>@stagssoftball</v>
      </c>
      <c r="O584" s="69" t="str">
        <f t="shared" si="418"/>
        <v>Questionnaire</v>
      </c>
      <c r="P584" s="48" t="s">
        <v>204</v>
      </c>
      <c r="Q584" s="47" t="s">
        <v>158</v>
      </c>
      <c r="R584" s="48" t="s">
        <v>204</v>
      </c>
      <c r="S584" s="48" t="s">
        <v>186</v>
      </c>
      <c r="T584" s="49" t="s">
        <v>63</v>
      </c>
      <c r="U584" s="48" t="s">
        <v>343</v>
      </c>
      <c r="V584" s="73"/>
      <c r="W584" s="50">
        <v>3.48</v>
      </c>
      <c r="X584" s="49" t="s">
        <v>7968</v>
      </c>
      <c r="Y584" s="49" t="s">
        <v>833</v>
      </c>
      <c r="Z584" s="49" t="s">
        <v>7969</v>
      </c>
      <c r="AA584" s="61">
        <v>0.61</v>
      </c>
      <c r="AB584" s="71">
        <v>62740</v>
      </c>
      <c r="AC584" s="62" t="s">
        <v>204</v>
      </c>
      <c r="AD584" s="53" t="str">
        <f t="shared" si="419"/>
        <v>Link</v>
      </c>
      <c r="AE584" s="54">
        <v>4032</v>
      </c>
      <c r="AF584" s="55"/>
      <c r="AG584" s="55"/>
      <c r="AH584" s="56">
        <v>129242</v>
      </c>
      <c r="AI584" s="7"/>
      <c r="AJ584" s="7"/>
    </row>
    <row r="585" spans="1:36" ht="15" x14ac:dyDescent="0.2">
      <c r="A585" s="64" t="s">
        <v>7904</v>
      </c>
      <c r="B585" s="33" t="s">
        <v>158</v>
      </c>
      <c r="C585" s="7" t="s">
        <v>67</v>
      </c>
      <c r="D585" s="7" t="s">
        <v>7989</v>
      </c>
      <c r="E585" s="44">
        <v>5</v>
      </c>
      <c r="F585" s="7"/>
      <c r="G585" s="7"/>
      <c r="H585" s="2" t="s">
        <v>7953</v>
      </c>
      <c r="I585" s="7" t="s">
        <v>1258</v>
      </c>
      <c r="J585" s="7" t="s">
        <v>3984</v>
      </c>
      <c r="K585" s="7" t="s">
        <v>55</v>
      </c>
      <c r="L585" s="7"/>
      <c r="M585" s="7"/>
      <c r="N585" s="69" t="str">
        <f t="shared" si="417"/>
        <v>@stagssoftball</v>
      </c>
      <c r="O585" s="69" t="str">
        <f t="shared" si="418"/>
        <v>Questionnaire</v>
      </c>
      <c r="P585" s="48" t="s">
        <v>204</v>
      </c>
      <c r="Q585" s="47" t="s">
        <v>158</v>
      </c>
      <c r="R585" s="48" t="s">
        <v>204</v>
      </c>
      <c r="S585" s="48" t="s">
        <v>186</v>
      </c>
      <c r="T585" s="49" t="s">
        <v>63</v>
      </c>
      <c r="U585" s="48" t="s">
        <v>343</v>
      </c>
      <c r="V585" s="73"/>
      <c r="W585" s="50">
        <v>3.48</v>
      </c>
      <c r="X585" s="49" t="s">
        <v>7968</v>
      </c>
      <c r="Y585" s="49" t="s">
        <v>833</v>
      </c>
      <c r="Z585" s="49" t="s">
        <v>7969</v>
      </c>
      <c r="AA585" s="61">
        <v>0.61</v>
      </c>
      <c r="AB585" s="71">
        <v>62740</v>
      </c>
      <c r="AC585" s="62" t="s">
        <v>204</v>
      </c>
      <c r="AD585" s="53" t="str">
        <f t="shared" si="419"/>
        <v>Link</v>
      </c>
      <c r="AE585" s="54">
        <v>4032</v>
      </c>
      <c r="AF585" s="55"/>
      <c r="AG585" s="55"/>
      <c r="AH585" s="56">
        <v>129242</v>
      </c>
      <c r="AI585" s="7"/>
      <c r="AJ585" s="7"/>
    </row>
    <row r="586" spans="1:36" ht="15" x14ac:dyDescent="0.2">
      <c r="A586" s="64" t="s">
        <v>7904</v>
      </c>
      <c r="B586" s="33" t="s">
        <v>158</v>
      </c>
      <c r="C586" s="7" t="s">
        <v>67</v>
      </c>
      <c r="D586" s="7" t="s">
        <v>7998</v>
      </c>
      <c r="E586" s="44">
        <v>5</v>
      </c>
      <c r="F586" s="7"/>
      <c r="G586" s="7"/>
      <c r="H586" s="2" t="s">
        <v>7953</v>
      </c>
      <c r="I586" s="7" t="s">
        <v>1092</v>
      </c>
      <c r="J586" s="7" t="s">
        <v>8000</v>
      </c>
      <c r="K586" s="7" t="s">
        <v>55</v>
      </c>
      <c r="L586" s="7"/>
      <c r="M586" s="7" t="s">
        <v>8004</v>
      </c>
      <c r="N586" s="45" t="str">
        <f t="shared" si="417"/>
        <v>@stagssoftball</v>
      </c>
      <c r="O586" s="45" t="str">
        <f t="shared" si="418"/>
        <v>Questionnaire</v>
      </c>
      <c r="P586" s="48" t="s">
        <v>204</v>
      </c>
      <c r="Q586" s="47" t="s">
        <v>158</v>
      </c>
      <c r="R586" s="48" t="s">
        <v>204</v>
      </c>
      <c r="S586" s="48" t="s">
        <v>186</v>
      </c>
      <c r="T586" s="49" t="s">
        <v>63</v>
      </c>
      <c r="U586" s="48" t="s">
        <v>343</v>
      </c>
      <c r="V586" s="73"/>
      <c r="W586" s="50">
        <v>3.48</v>
      </c>
      <c r="X586" s="49" t="s">
        <v>7968</v>
      </c>
      <c r="Y586" s="49" t="s">
        <v>833</v>
      </c>
      <c r="Z586" s="49" t="s">
        <v>7969</v>
      </c>
      <c r="AA586" s="61">
        <v>0.61</v>
      </c>
      <c r="AB586" s="71">
        <v>62740</v>
      </c>
      <c r="AC586" s="62" t="s">
        <v>204</v>
      </c>
      <c r="AD586" s="53" t="str">
        <f t="shared" si="419"/>
        <v>Link</v>
      </c>
      <c r="AE586" s="54">
        <v>4032</v>
      </c>
      <c r="AF586" s="55"/>
      <c r="AG586" s="55"/>
      <c r="AH586" s="56">
        <v>129242</v>
      </c>
      <c r="AI586" s="7"/>
      <c r="AJ586" s="7"/>
    </row>
    <row r="587" spans="1:36" ht="15" x14ac:dyDescent="0.2">
      <c r="A587" s="64" t="s">
        <v>7904</v>
      </c>
      <c r="B587" s="33" t="s">
        <v>1304</v>
      </c>
      <c r="C587" s="7" t="s">
        <v>67</v>
      </c>
      <c r="D587" s="7" t="s">
        <v>8011</v>
      </c>
      <c r="E587" s="44">
        <v>5</v>
      </c>
      <c r="F587" s="7"/>
      <c r="G587" s="7"/>
      <c r="H587" s="2" t="s">
        <v>8015</v>
      </c>
      <c r="I587" s="7" t="s">
        <v>234</v>
      </c>
      <c r="J587" s="7" t="s">
        <v>8016</v>
      </c>
      <c r="K587" s="7" t="s">
        <v>48</v>
      </c>
      <c r="L587" s="7" t="s">
        <v>8017</v>
      </c>
      <c r="M587" s="7" t="s">
        <v>8018</v>
      </c>
      <c r="N587" s="69" t="str">
        <f t="shared" ref="N587:N589" si="420">HYPERLINK("twitter.com/ionasoftball","@ionasoftball")</f>
        <v>@ionasoftball</v>
      </c>
      <c r="O587" s="69" t="str">
        <f t="shared" ref="O587:O589" si="421">HYPERLINK("https://icgaels.com/sports/2016/2/9/recruiting-home.aspx","Questionnaire")</f>
        <v>Questionnaire</v>
      </c>
      <c r="P587" s="48" t="s">
        <v>8025</v>
      </c>
      <c r="Q587" s="47" t="s">
        <v>1304</v>
      </c>
      <c r="R587" s="48" t="s">
        <v>8027</v>
      </c>
      <c r="S587" s="48" t="s">
        <v>238</v>
      </c>
      <c r="T587" s="49" t="s">
        <v>63</v>
      </c>
      <c r="U587" s="48" t="s">
        <v>343</v>
      </c>
      <c r="V587" s="73"/>
      <c r="W587" s="50">
        <v>3</v>
      </c>
      <c r="X587" s="49" t="s">
        <v>397</v>
      </c>
      <c r="Y587" s="49" t="s">
        <v>1144</v>
      </c>
      <c r="Z587" s="49" t="s">
        <v>1994</v>
      </c>
      <c r="AA587" s="61">
        <v>0.91</v>
      </c>
      <c r="AB587" s="71">
        <v>54334</v>
      </c>
      <c r="AC587" s="62" t="s">
        <v>8025</v>
      </c>
      <c r="AD587" s="53" t="str">
        <f t="shared" ref="AD587:AD589" si="422">HYPERLINK("https://www.iona.edu/academics/programs-courses/undergraduate-programs.aspx","Link")</f>
        <v>Link</v>
      </c>
      <c r="AE587" s="54">
        <v>3329</v>
      </c>
      <c r="AF587" s="55"/>
      <c r="AG587" s="55"/>
      <c r="AH587" s="56">
        <v>191931</v>
      </c>
      <c r="AI587" s="7"/>
      <c r="AJ587" s="7"/>
    </row>
    <row r="588" spans="1:36" ht="15" x14ac:dyDescent="0.2">
      <c r="A588" s="64" t="s">
        <v>7904</v>
      </c>
      <c r="B588" s="33" t="s">
        <v>1304</v>
      </c>
      <c r="C588" s="7" t="s">
        <v>67</v>
      </c>
      <c r="D588" s="7" t="s">
        <v>8039</v>
      </c>
      <c r="E588" s="44">
        <v>5</v>
      </c>
      <c r="F588" s="7"/>
      <c r="G588" s="7"/>
      <c r="H588" s="2" t="s">
        <v>8015</v>
      </c>
      <c r="I588" s="7" t="s">
        <v>8040</v>
      </c>
      <c r="J588" s="7" t="s">
        <v>8041</v>
      </c>
      <c r="K588" s="7" t="s">
        <v>55</v>
      </c>
      <c r="L588" s="7" t="s">
        <v>8042</v>
      </c>
      <c r="M588" s="7" t="s">
        <v>8043</v>
      </c>
      <c r="N588" s="45" t="str">
        <f t="shared" si="420"/>
        <v>@ionasoftball</v>
      </c>
      <c r="O588" s="45" t="str">
        <f t="shared" si="421"/>
        <v>Questionnaire</v>
      </c>
      <c r="P588" s="48" t="s">
        <v>8025</v>
      </c>
      <c r="Q588" s="47" t="s">
        <v>1304</v>
      </c>
      <c r="R588" s="48" t="s">
        <v>8027</v>
      </c>
      <c r="S588" s="48" t="s">
        <v>238</v>
      </c>
      <c r="T588" s="49" t="s">
        <v>63</v>
      </c>
      <c r="U588" s="48" t="s">
        <v>343</v>
      </c>
      <c r="V588" s="73"/>
      <c r="W588" s="50">
        <v>3</v>
      </c>
      <c r="X588" s="49" t="s">
        <v>397</v>
      </c>
      <c r="Y588" s="49" t="s">
        <v>1144</v>
      </c>
      <c r="Z588" s="49" t="s">
        <v>1994</v>
      </c>
      <c r="AA588" s="61">
        <v>0.91</v>
      </c>
      <c r="AB588" s="71">
        <v>54334</v>
      </c>
      <c r="AC588" s="62" t="s">
        <v>8025</v>
      </c>
      <c r="AD588" s="53" t="str">
        <f t="shared" si="422"/>
        <v>Link</v>
      </c>
      <c r="AE588" s="54">
        <v>3329</v>
      </c>
      <c r="AF588" s="55"/>
      <c r="AG588" s="55"/>
      <c r="AH588" s="56">
        <v>191931</v>
      </c>
      <c r="AI588" s="7"/>
      <c r="AJ588" s="7"/>
    </row>
    <row r="589" spans="1:36" ht="15" x14ac:dyDescent="0.2">
      <c r="A589" s="64" t="s">
        <v>7904</v>
      </c>
      <c r="B589" s="33" t="s">
        <v>1304</v>
      </c>
      <c r="C589" s="7" t="s">
        <v>67</v>
      </c>
      <c r="D589" s="7" t="s">
        <v>8051</v>
      </c>
      <c r="E589" s="44">
        <v>5</v>
      </c>
      <c r="F589" s="7"/>
      <c r="G589" s="7"/>
      <c r="H589" s="2" t="s">
        <v>8015</v>
      </c>
      <c r="I589" s="7" t="s">
        <v>222</v>
      </c>
      <c r="J589" s="7" t="s">
        <v>8054</v>
      </c>
      <c r="K589" s="7" t="s">
        <v>120</v>
      </c>
      <c r="L589" s="7" t="s">
        <v>8057</v>
      </c>
      <c r="M589" s="7" t="s">
        <v>8018</v>
      </c>
      <c r="N589" s="45" t="str">
        <f t="shared" si="420"/>
        <v>@ionasoftball</v>
      </c>
      <c r="O589" s="45" t="str">
        <f t="shared" si="421"/>
        <v>Questionnaire</v>
      </c>
      <c r="P589" s="48" t="s">
        <v>8025</v>
      </c>
      <c r="Q589" s="47" t="s">
        <v>1304</v>
      </c>
      <c r="R589" s="48" t="s">
        <v>8027</v>
      </c>
      <c r="S589" s="48" t="s">
        <v>238</v>
      </c>
      <c r="T589" s="49" t="s">
        <v>63</v>
      </c>
      <c r="U589" s="48" t="s">
        <v>343</v>
      </c>
      <c r="V589" s="73"/>
      <c r="W589" s="50">
        <v>3</v>
      </c>
      <c r="X589" s="49" t="s">
        <v>397</v>
      </c>
      <c r="Y589" s="49" t="s">
        <v>1144</v>
      </c>
      <c r="Z589" s="49" t="s">
        <v>1994</v>
      </c>
      <c r="AA589" s="61">
        <v>0.91</v>
      </c>
      <c r="AB589" s="71">
        <v>54334</v>
      </c>
      <c r="AC589" s="62" t="s">
        <v>8025</v>
      </c>
      <c r="AD589" s="53" t="str">
        <f t="shared" si="422"/>
        <v>Link</v>
      </c>
      <c r="AE589" s="54">
        <v>3329</v>
      </c>
      <c r="AF589" s="55"/>
      <c r="AG589" s="55"/>
      <c r="AH589" s="56">
        <v>191931</v>
      </c>
      <c r="AI589" s="7"/>
      <c r="AJ589" s="7"/>
    </row>
    <row r="590" spans="1:36" ht="15" x14ac:dyDescent="0.2">
      <c r="A590" s="64" t="s">
        <v>7904</v>
      </c>
      <c r="B590" s="33" t="s">
        <v>1304</v>
      </c>
      <c r="C590" s="7" t="s">
        <v>67</v>
      </c>
      <c r="D590" s="7" t="s">
        <v>8065</v>
      </c>
      <c r="E590" s="44">
        <v>5</v>
      </c>
      <c r="F590" s="7"/>
      <c r="G590" s="7"/>
      <c r="H590" s="2" t="s">
        <v>8068</v>
      </c>
      <c r="I590" s="7" t="s">
        <v>930</v>
      </c>
      <c r="J590" s="7" t="s">
        <v>8069</v>
      </c>
      <c r="K590" s="7" t="s">
        <v>48</v>
      </c>
      <c r="L590" s="7" t="s">
        <v>8070</v>
      </c>
      <c r="M590" s="7" t="s">
        <v>8071</v>
      </c>
      <c r="N590" s="45" t="str">
        <f t="shared" ref="N590:N592" si="423">HYPERLINK("twitter.com/JaspersSoftball","@JaspersSoftball")</f>
        <v>@JaspersSoftball</v>
      </c>
      <c r="O590" s="45" t="str">
        <f t="shared" ref="O590:O592" si="424">HYPERLINK("https://gojaspers.com/sports/2017/7/31/prospective-student-athlete-questionnaires.aspx","Questionnaire")</f>
        <v>Questionnaire</v>
      </c>
      <c r="P590" s="47" t="s">
        <v>8083</v>
      </c>
      <c r="Q590" s="47" t="s">
        <v>1304</v>
      </c>
      <c r="R590" s="48" t="s">
        <v>1897</v>
      </c>
      <c r="S590" s="48" t="s">
        <v>288</v>
      </c>
      <c r="T590" s="73" t="s">
        <v>63</v>
      </c>
      <c r="U590" s="48" t="s">
        <v>343</v>
      </c>
      <c r="V590" s="73"/>
      <c r="W590" s="50">
        <v>3.4</v>
      </c>
      <c r="X590" s="49" t="s">
        <v>675</v>
      </c>
      <c r="Y590" s="49" t="s">
        <v>1723</v>
      </c>
      <c r="Z590" s="49" t="s">
        <v>78</v>
      </c>
      <c r="AA590" s="61">
        <v>0.71</v>
      </c>
      <c r="AB590" s="71">
        <v>58214</v>
      </c>
      <c r="AC590" s="52" t="s">
        <v>8083</v>
      </c>
      <c r="AD590" s="53" t="str">
        <f t="shared" ref="AD590:AD592" si="425">HYPERLINK("https://manhattan.edu/academics/majors-and-minors/index.php#?category=All&amp;letter=All&amp;pageSize=10&amp;pageIndex=1","Link")</f>
        <v>Link</v>
      </c>
      <c r="AE590" s="54">
        <v>3637</v>
      </c>
      <c r="AF590" s="55"/>
      <c r="AG590" s="55"/>
      <c r="AH590" s="56">
        <v>192703</v>
      </c>
      <c r="AI590" s="7"/>
      <c r="AJ590" s="7"/>
    </row>
    <row r="591" spans="1:36" ht="15" x14ac:dyDescent="0.2">
      <c r="A591" s="64" t="s">
        <v>7904</v>
      </c>
      <c r="B591" s="33" t="s">
        <v>1304</v>
      </c>
      <c r="C591" s="7" t="s">
        <v>67</v>
      </c>
      <c r="D591" s="7" t="s">
        <v>8096</v>
      </c>
      <c r="E591" s="44">
        <v>5</v>
      </c>
      <c r="F591" s="7"/>
      <c r="G591" s="7"/>
      <c r="H591" s="2" t="s">
        <v>8068</v>
      </c>
      <c r="I591" s="7" t="s">
        <v>5029</v>
      </c>
      <c r="J591" s="7" t="s">
        <v>8098</v>
      </c>
      <c r="K591" s="7" t="s">
        <v>55</v>
      </c>
      <c r="L591" s="7" t="s">
        <v>8099</v>
      </c>
      <c r="M591" s="7" t="s">
        <v>8071</v>
      </c>
      <c r="N591" s="45" t="str">
        <f t="shared" si="423"/>
        <v>@JaspersSoftball</v>
      </c>
      <c r="O591" s="45" t="str">
        <f t="shared" si="424"/>
        <v>Questionnaire</v>
      </c>
      <c r="P591" s="47" t="s">
        <v>8083</v>
      </c>
      <c r="Q591" s="47" t="s">
        <v>1304</v>
      </c>
      <c r="R591" s="48" t="s">
        <v>1897</v>
      </c>
      <c r="S591" s="48" t="s">
        <v>288</v>
      </c>
      <c r="T591" s="73" t="s">
        <v>63</v>
      </c>
      <c r="U591" s="48" t="s">
        <v>343</v>
      </c>
      <c r="V591" s="73"/>
      <c r="W591" s="50">
        <v>3.4</v>
      </c>
      <c r="X591" s="49" t="s">
        <v>675</v>
      </c>
      <c r="Y591" s="49" t="s">
        <v>1723</v>
      </c>
      <c r="Z591" s="49" t="s">
        <v>78</v>
      </c>
      <c r="AA591" s="61">
        <v>0.71</v>
      </c>
      <c r="AB591" s="71">
        <v>58214</v>
      </c>
      <c r="AC591" s="52" t="s">
        <v>8083</v>
      </c>
      <c r="AD591" s="53" t="str">
        <f t="shared" si="425"/>
        <v>Link</v>
      </c>
      <c r="AE591" s="54">
        <v>3637</v>
      </c>
      <c r="AF591" s="55"/>
      <c r="AG591" s="55"/>
      <c r="AH591" s="56">
        <v>192703</v>
      </c>
      <c r="AI591" s="7"/>
      <c r="AJ591" s="7"/>
    </row>
    <row r="592" spans="1:36" ht="15" x14ac:dyDescent="0.2">
      <c r="A592" s="64" t="s">
        <v>7904</v>
      </c>
      <c r="B592" s="33" t="s">
        <v>1304</v>
      </c>
      <c r="C592" s="7" t="s">
        <v>67</v>
      </c>
      <c r="D592" s="7" t="s">
        <v>8110</v>
      </c>
      <c r="E592" s="44">
        <v>5</v>
      </c>
      <c r="F592" s="7"/>
      <c r="G592" s="7"/>
      <c r="H592" s="2" t="s">
        <v>8068</v>
      </c>
      <c r="I592" s="7" t="s">
        <v>1492</v>
      </c>
      <c r="J592" s="7" t="s">
        <v>8111</v>
      </c>
      <c r="K592" s="7" t="s">
        <v>55</v>
      </c>
      <c r="L592" s="7"/>
      <c r="M592" s="7" t="s">
        <v>8071</v>
      </c>
      <c r="N592" s="45" t="str">
        <f t="shared" si="423"/>
        <v>@JaspersSoftball</v>
      </c>
      <c r="O592" s="45" t="str">
        <f t="shared" si="424"/>
        <v>Questionnaire</v>
      </c>
      <c r="P592" s="47" t="s">
        <v>8083</v>
      </c>
      <c r="Q592" s="47" t="s">
        <v>1304</v>
      </c>
      <c r="R592" s="48" t="s">
        <v>1897</v>
      </c>
      <c r="S592" s="48" t="s">
        <v>288</v>
      </c>
      <c r="T592" s="73" t="s">
        <v>63</v>
      </c>
      <c r="U592" s="48" t="s">
        <v>343</v>
      </c>
      <c r="V592" s="73"/>
      <c r="W592" s="50">
        <v>3.4</v>
      </c>
      <c r="X592" s="49" t="s">
        <v>675</v>
      </c>
      <c r="Y592" s="49" t="s">
        <v>1723</v>
      </c>
      <c r="Z592" s="49" t="s">
        <v>78</v>
      </c>
      <c r="AA592" s="61">
        <v>0.71</v>
      </c>
      <c r="AB592" s="71">
        <v>58214</v>
      </c>
      <c r="AC592" s="52" t="s">
        <v>8083</v>
      </c>
      <c r="AD592" s="53" t="str">
        <f t="shared" si="425"/>
        <v>Link</v>
      </c>
      <c r="AE592" s="54">
        <v>3637</v>
      </c>
      <c r="AF592" s="55"/>
      <c r="AG592" s="55"/>
      <c r="AH592" s="56">
        <v>192703</v>
      </c>
      <c r="AI592" s="7"/>
      <c r="AJ592" s="7"/>
    </row>
    <row r="593" spans="1:36" ht="15" x14ac:dyDescent="0.2">
      <c r="A593" s="64" t="s">
        <v>7904</v>
      </c>
      <c r="B593" s="33" t="s">
        <v>1304</v>
      </c>
      <c r="C593" s="7" t="s">
        <v>67</v>
      </c>
      <c r="D593" s="7" t="s">
        <v>8122</v>
      </c>
      <c r="E593" s="44">
        <v>5</v>
      </c>
      <c r="F593" s="7"/>
      <c r="G593" s="7"/>
      <c r="H593" s="2" t="s">
        <v>8123</v>
      </c>
      <c r="I593" s="7" t="s">
        <v>1541</v>
      </c>
      <c r="J593" s="7" t="s">
        <v>8124</v>
      </c>
      <c r="K593" s="7" t="s">
        <v>48</v>
      </c>
      <c r="L593" s="7" t="s">
        <v>8125</v>
      </c>
      <c r="M593" s="7" t="s">
        <v>8127</v>
      </c>
      <c r="N593" s="69" t="str">
        <f t="shared" ref="N593:N594" si="426">HYPERLINK("twitter.com/maristsoftball","@maristsoftball")</f>
        <v>@maristsoftball</v>
      </c>
      <c r="O593" s="48" t="s">
        <v>22</v>
      </c>
      <c r="P593" s="48" t="s">
        <v>8133</v>
      </c>
      <c r="Q593" s="47" t="s">
        <v>1304</v>
      </c>
      <c r="R593" s="48" t="s">
        <v>8134</v>
      </c>
      <c r="S593" s="48" t="s">
        <v>468</v>
      </c>
      <c r="T593" s="49" t="s">
        <v>63</v>
      </c>
      <c r="U593" s="48" t="s">
        <v>75</v>
      </c>
      <c r="V593" s="73"/>
      <c r="W593" s="50">
        <v>3.3</v>
      </c>
      <c r="X593" s="49" t="s">
        <v>1319</v>
      </c>
      <c r="Y593" s="49" t="s">
        <v>86</v>
      </c>
      <c r="Z593" s="49" t="s">
        <v>1408</v>
      </c>
      <c r="AA593" s="61">
        <v>0.41</v>
      </c>
      <c r="AB593" s="71">
        <v>52760</v>
      </c>
      <c r="AC593" s="62" t="s">
        <v>8133</v>
      </c>
      <c r="AD593" s="53" t="str">
        <f t="shared" ref="AD593:AD594" si="427">HYPERLINK("https://www.marist.edu/academics/programs/","Link")</f>
        <v>Link</v>
      </c>
      <c r="AE593" s="54">
        <v>5616</v>
      </c>
      <c r="AF593" s="55"/>
      <c r="AG593" s="55"/>
      <c r="AH593" s="56">
        <v>192819</v>
      </c>
      <c r="AI593" s="7"/>
      <c r="AJ593" s="7"/>
    </row>
    <row r="594" spans="1:36" ht="15" x14ac:dyDescent="0.2">
      <c r="A594" s="64" t="s">
        <v>7904</v>
      </c>
      <c r="B594" s="33" t="s">
        <v>1304</v>
      </c>
      <c r="C594" s="7" t="s">
        <v>67</v>
      </c>
      <c r="D594" s="7" t="s">
        <v>8147</v>
      </c>
      <c r="E594" s="44">
        <v>5</v>
      </c>
      <c r="F594" s="7"/>
      <c r="G594" s="7"/>
      <c r="H594" s="2" t="s">
        <v>8123</v>
      </c>
      <c r="I594" s="7" t="s">
        <v>442</v>
      </c>
      <c r="J594" s="7" t="s">
        <v>8150</v>
      </c>
      <c r="K594" s="7" t="s">
        <v>55</v>
      </c>
      <c r="L594" s="7" t="s">
        <v>8151</v>
      </c>
      <c r="M594" s="7" t="s">
        <v>8127</v>
      </c>
      <c r="N594" s="69" t="str">
        <f t="shared" si="426"/>
        <v>@maristsoftball</v>
      </c>
      <c r="O594" s="48" t="s">
        <v>22</v>
      </c>
      <c r="P594" s="48" t="s">
        <v>8133</v>
      </c>
      <c r="Q594" s="47" t="s">
        <v>1304</v>
      </c>
      <c r="R594" s="48" t="s">
        <v>8134</v>
      </c>
      <c r="S594" s="48" t="s">
        <v>468</v>
      </c>
      <c r="T594" s="49" t="s">
        <v>63</v>
      </c>
      <c r="U594" s="48" t="s">
        <v>75</v>
      </c>
      <c r="V594" s="73"/>
      <c r="W594" s="50">
        <v>3.3</v>
      </c>
      <c r="X594" s="49" t="s">
        <v>1319</v>
      </c>
      <c r="Y594" s="49" t="s">
        <v>86</v>
      </c>
      <c r="Z594" s="49" t="s">
        <v>1408</v>
      </c>
      <c r="AA594" s="61">
        <v>0.41</v>
      </c>
      <c r="AB594" s="71">
        <v>52760</v>
      </c>
      <c r="AC594" s="62" t="s">
        <v>8133</v>
      </c>
      <c r="AD594" s="53" t="str">
        <f t="shared" si="427"/>
        <v>Link</v>
      </c>
      <c r="AE594" s="54">
        <v>5616</v>
      </c>
      <c r="AF594" s="55"/>
      <c r="AG594" s="55"/>
      <c r="AH594" s="56">
        <v>192819</v>
      </c>
      <c r="AI594" s="7"/>
      <c r="AJ594" s="7"/>
    </row>
    <row r="595" spans="1:36" ht="15" x14ac:dyDescent="0.2">
      <c r="A595" s="64" t="s">
        <v>7904</v>
      </c>
      <c r="B595" s="33" t="s">
        <v>3272</v>
      </c>
      <c r="C595" s="7" t="s">
        <v>67</v>
      </c>
      <c r="D595" s="7" t="s">
        <v>8154</v>
      </c>
      <c r="E595" s="44">
        <v>5</v>
      </c>
      <c r="F595" s="7"/>
      <c r="G595" s="7"/>
      <c r="H595" s="2" t="s">
        <v>8157</v>
      </c>
      <c r="I595" s="7" t="s">
        <v>1307</v>
      </c>
      <c r="J595" s="7" t="s">
        <v>8158</v>
      </c>
      <c r="K595" s="7" t="s">
        <v>48</v>
      </c>
      <c r="L595" s="7" t="s">
        <v>8160</v>
      </c>
      <c r="M595" s="7" t="s">
        <v>8161</v>
      </c>
      <c r="N595" s="69" t="str">
        <f t="shared" ref="N595:N597" si="428">HYPERLINK("twitter.com/monmouthsb","@monmouthsb")</f>
        <v>@monmouthsb</v>
      </c>
      <c r="O595" s="69" t="str">
        <f t="shared" ref="O595:O597" si="429">HYPERLINK("https://monmouthhawks.com/sb_output.aspx?form=12","Questionnaire")</f>
        <v>Questionnaire</v>
      </c>
      <c r="P595" s="47" t="s">
        <v>8172</v>
      </c>
      <c r="Q595" s="47" t="s">
        <v>3272</v>
      </c>
      <c r="R595" s="48" t="s">
        <v>8173</v>
      </c>
      <c r="S595" s="60" t="s">
        <v>205</v>
      </c>
      <c r="T595" s="49" t="s">
        <v>63</v>
      </c>
      <c r="U595" s="48" t="s">
        <v>75</v>
      </c>
      <c r="V595" s="73"/>
      <c r="W595" s="50">
        <v>3.33</v>
      </c>
      <c r="X595" s="49" t="s">
        <v>8175</v>
      </c>
      <c r="Y595" s="49" t="s">
        <v>522</v>
      </c>
      <c r="Z595" s="49" t="s">
        <v>1715</v>
      </c>
      <c r="AA595" s="61">
        <v>0.77</v>
      </c>
      <c r="AB595" s="71">
        <v>53110</v>
      </c>
      <c r="AC595" s="92" t="s">
        <v>8172</v>
      </c>
      <c r="AD595" s="53" t="str">
        <f t="shared" ref="AD595:AD597" si="430">HYPERLINK("https://www.monmouth.edu/university/undergraduate-programs.aspx","Link")</f>
        <v>Link</v>
      </c>
      <c r="AE595" s="54">
        <v>4707</v>
      </c>
      <c r="AF595" s="55"/>
      <c r="AG595" s="55"/>
      <c r="AH595" s="56">
        <v>185572</v>
      </c>
      <c r="AI595" s="7"/>
      <c r="AJ595" s="7"/>
    </row>
    <row r="596" spans="1:36" ht="15" x14ac:dyDescent="0.2">
      <c r="A596" s="64" t="s">
        <v>7904</v>
      </c>
      <c r="B596" s="33" t="s">
        <v>3272</v>
      </c>
      <c r="C596" s="7" t="s">
        <v>67</v>
      </c>
      <c r="D596" s="7" t="s">
        <v>8180</v>
      </c>
      <c r="E596" s="44">
        <v>5</v>
      </c>
      <c r="F596" s="7"/>
      <c r="G596" s="7"/>
      <c r="H596" s="2" t="s">
        <v>8157</v>
      </c>
      <c r="I596" s="7" t="s">
        <v>3173</v>
      </c>
      <c r="J596" s="7" t="s">
        <v>8181</v>
      </c>
      <c r="K596" s="7" t="s">
        <v>55</v>
      </c>
      <c r="L596" s="7" t="s">
        <v>8182</v>
      </c>
      <c r="M596" s="7" t="s">
        <v>8183</v>
      </c>
      <c r="N596" s="69" t="str">
        <f t="shared" si="428"/>
        <v>@monmouthsb</v>
      </c>
      <c r="O596" s="69" t="str">
        <f t="shared" si="429"/>
        <v>Questionnaire</v>
      </c>
      <c r="P596" s="47" t="s">
        <v>8172</v>
      </c>
      <c r="Q596" s="47" t="s">
        <v>3272</v>
      </c>
      <c r="R596" s="48" t="s">
        <v>8173</v>
      </c>
      <c r="S596" s="60" t="s">
        <v>205</v>
      </c>
      <c r="T596" s="49" t="s">
        <v>63</v>
      </c>
      <c r="U596" s="48" t="s">
        <v>75</v>
      </c>
      <c r="V596" s="73"/>
      <c r="W596" s="50">
        <v>3.33</v>
      </c>
      <c r="X596" s="49" t="s">
        <v>8175</v>
      </c>
      <c r="Y596" s="49" t="s">
        <v>522</v>
      </c>
      <c r="Z596" s="49" t="s">
        <v>1715</v>
      </c>
      <c r="AA596" s="61">
        <v>0.77</v>
      </c>
      <c r="AB596" s="71">
        <v>53110</v>
      </c>
      <c r="AC596" s="92" t="s">
        <v>8172</v>
      </c>
      <c r="AD596" s="53" t="str">
        <f t="shared" si="430"/>
        <v>Link</v>
      </c>
      <c r="AE596" s="54">
        <v>4707</v>
      </c>
      <c r="AF596" s="55"/>
      <c r="AG596" s="55"/>
      <c r="AH596" s="56">
        <v>185572</v>
      </c>
      <c r="AI596" s="7"/>
      <c r="AJ596" s="7"/>
    </row>
    <row r="597" spans="1:36" ht="15" x14ac:dyDescent="0.2">
      <c r="A597" s="64" t="s">
        <v>7904</v>
      </c>
      <c r="B597" s="33" t="s">
        <v>3272</v>
      </c>
      <c r="C597" s="7" t="s">
        <v>67</v>
      </c>
      <c r="D597" s="7" t="s">
        <v>8189</v>
      </c>
      <c r="E597" s="44">
        <v>5</v>
      </c>
      <c r="F597" s="7"/>
      <c r="G597" s="7" t="s">
        <v>126</v>
      </c>
      <c r="H597" s="2" t="s">
        <v>8157</v>
      </c>
      <c r="I597" s="7" t="s">
        <v>8190</v>
      </c>
      <c r="J597" s="7"/>
      <c r="K597" s="7"/>
      <c r="L597" s="7"/>
      <c r="M597" s="7"/>
      <c r="N597" s="69" t="str">
        <f t="shared" si="428"/>
        <v>@monmouthsb</v>
      </c>
      <c r="O597" s="69" t="str">
        <f t="shared" si="429"/>
        <v>Questionnaire</v>
      </c>
      <c r="P597" s="47" t="s">
        <v>8172</v>
      </c>
      <c r="Q597" s="47" t="s">
        <v>3272</v>
      </c>
      <c r="R597" s="48" t="s">
        <v>8173</v>
      </c>
      <c r="S597" s="60" t="s">
        <v>205</v>
      </c>
      <c r="T597" s="49" t="s">
        <v>63</v>
      </c>
      <c r="U597" s="48" t="s">
        <v>75</v>
      </c>
      <c r="V597" s="73"/>
      <c r="W597" s="50">
        <v>3.33</v>
      </c>
      <c r="X597" s="49" t="s">
        <v>8175</v>
      </c>
      <c r="Y597" s="49" t="s">
        <v>522</v>
      </c>
      <c r="Z597" s="49" t="s">
        <v>1715</v>
      </c>
      <c r="AA597" s="61">
        <v>0.77</v>
      </c>
      <c r="AB597" s="71">
        <v>53110</v>
      </c>
      <c r="AC597" s="92" t="s">
        <v>8172</v>
      </c>
      <c r="AD597" s="53" t="str">
        <f t="shared" si="430"/>
        <v>Link</v>
      </c>
      <c r="AE597" s="54">
        <v>4707</v>
      </c>
      <c r="AF597" s="55"/>
      <c r="AG597" s="55"/>
      <c r="AH597" s="56">
        <v>185572</v>
      </c>
      <c r="AI597" s="7"/>
      <c r="AJ597" s="7"/>
    </row>
    <row r="598" spans="1:36" ht="15" x14ac:dyDescent="0.2">
      <c r="A598" s="64" t="s">
        <v>7904</v>
      </c>
      <c r="B598" s="33" t="s">
        <v>1304</v>
      </c>
      <c r="C598" s="7" t="s">
        <v>67</v>
      </c>
      <c r="D598" s="7" t="s">
        <v>8199</v>
      </c>
      <c r="E598" s="44">
        <v>5</v>
      </c>
      <c r="F598" s="7"/>
      <c r="G598" s="7"/>
      <c r="H598" s="2" t="s">
        <v>8200</v>
      </c>
      <c r="I598" s="7" t="s">
        <v>2157</v>
      </c>
      <c r="J598" s="7" t="s">
        <v>8202</v>
      </c>
      <c r="K598" s="7" t="s">
        <v>48</v>
      </c>
      <c r="L598" s="7" t="s">
        <v>8204</v>
      </c>
      <c r="M598" s="7" t="s">
        <v>8206</v>
      </c>
      <c r="N598" s="45" t="str">
        <f t="shared" ref="N598:N602" si="431">HYPERLINK("twitter.com/niagarasb","@niagarasb")</f>
        <v>@niagarasb</v>
      </c>
      <c r="O598" s="45" t="str">
        <f t="shared" ref="O598:O602" si="432">HYPERLINK("https://purpleeagles.com/sb_output.aspx?form=3","Questionnaire")</f>
        <v>Questionnaire</v>
      </c>
      <c r="P598" s="48" t="s">
        <v>8212</v>
      </c>
      <c r="Q598" s="47" t="s">
        <v>1304</v>
      </c>
      <c r="R598" s="48" t="s">
        <v>8200</v>
      </c>
      <c r="S598" s="60" t="s">
        <v>205</v>
      </c>
      <c r="T598" s="49" t="s">
        <v>63</v>
      </c>
      <c r="U598" s="48" t="s">
        <v>343</v>
      </c>
      <c r="V598" s="73"/>
      <c r="W598" s="50">
        <v>3.4</v>
      </c>
      <c r="X598" s="49" t="s">
        <v>521</v>
      </c>
      <c r="Y598" s="49" t="s">
        <v>522</v>
      </c>
      <c r="Z598" s="49" t="s">
        <v>1715</v>
      </c>
      <c r="AA598" s="61">
        <v>0.83</v>
      </c>
      <c r="AB598" s="71">
        <v>46150</v>
      </c>
      <c r="AC598" s="62" t="s">
        <v>8212</v>
      </c>
      <c r="AD598" s="53" t="str">
        <f t="shared" ref="AD598:AD602" si="433">HYPERLINK("https://www.niagara.edu/coas-academic-programs/","Link")</f>
        <v>Link</v>
      </c>
      <c r="AE598" s="54">
        <v>3136</v>
      </c>
      <c r="AF598" s="55"/>
      <c r="AG598" s="55"/>
      <c r="AH598" s="56">
        <v>193973</v>
      </c>
      <c r="AI598" s="7"/>
      <c r="AJ598" s="7"/>
    </row>
    <row r="599" spans="1:36" ht="15" x14ac:dyDescent="0.2">
      <c r="A599" s="64" t="s">
        <v>7904</v>
      </c>
      <c r="B599" s="33" t="s">
        <v>1304</v>
      </c>
      <c r="C599" s="7" t="s">
        <v>67</v>
      </c>
      <c r="D599" s="7" t="s">
        <v>8220</v>
      </c>
      <c r="E599" s="44">
        <v>5</v>
      </c>
      <c r="F599" s="7"/>
      <c r="G599" s="7"/>
      <c r="H599" s="2" t="s">
        <v>8200</v>
      </c>
      <c r="I599" s="7" t="s">
        <v>8221</v>
      </c>
      <c r="J599" s="7" t="s">
        <v>3632</v>
      </c>
      <c r="K599" s="7" t="s">
        <v>55</v>
      </c>
      <c r="L599" s="7" t="s">
        <v>8222</v>
      </c>
      <c r="M599" s="7" t="s">
        <v>8206</v>
      </c>
      <c r="N599" s="45" t="str">
        <f t="shared" si="431"/>
        <v>@niagarasb</v>
      </c>
      <c r="O599" s="45" t="str">
        <f t="shared" si="432"/>
        <v>Questionnaire</v>
      </c>
      <c r="P599" s="48" t="s">
        <v>8212</v>
      </c>
      <c r="Q599" s="47" t="s">
        <v>1304</v>
      </c>
      <c r="R599" s="48" t="s">
        <v>8200</v>
      </c>
      <c r="S599" s="60" t="s">
        <v>205</v>
      </c>
      <c r="T599" s="49" t="s">
        <v>63</v>
      </c>
      <c r="U599" s="48" t="s">
        <v>343</v>
      </c>
      <c r="V599" s="73"/>
      <c r="W599" s="50">
        <v>3.4</v>
      </c>
      <c r="X599" s="49" t="s">
        <v>521</v>
      </c>
      <c r="Y599" s="49" t="s">
        <v>522</v>
      </c>
      <c r="Z599" s="49" t="s">
        <v>1715</v>
      </c>
      <c r="AA599" s="61">
        <v>0.83</v>
      </c>
      <c r="AB599" s="71">
        <v>46150</v>
      </c>
      <c r="AC599" s="62" t="s">
        <v>8212</v>
      </c>
      <c r="AD599" s="53" t="str">
        <f t="shared" si="433"/>
        <v>Link</v>
      </c>
      <c r="AE599" s="54">
        <v>3136</v>
      </c>
      <c r="AF599" s="55"/>
      <c r="AG599" s="55"/>
      <c r="AH599" s="56">
        <v>193973</v>
      </c>
      <c r="AI599" s="7"/>
      <c r="AJ599" s="7"/>
    </row>
    <row r="600" spans="1:36" ht="15" x14ac:dyDescent="0.2">
      <c r="A600" s="64" t="s">
        <v>7904</v>
      </c>
      <c r="B600" s="33" t="s">
        <v>1304</v>
      </c>
      <c r="C600" s="7" t="s">
        <v>67</v>
      </c>
      <c r="D600" s="7" t="s">
        <v>8226</v>
      </c>
      <c r="E600" s="44">
        <v>5</v>
      </c>
      <c r="F600" s="7"/>
      <c r="G600" s="7"/>
      <c r="H600" s="2" t="s">
        <v>8200</v>
      </c>
      <c r="I600" s="7" t="s">
        <v>94</v>
      </c>
      <c r="J600" s="7" t="s">
        <v>1553</v>
      </c>
      <c r="K600" s="7" t="s">
        <v>55</v>
      </c>
      <c r="L600" s="7"/>
      <c r="M600" s="7"/>
      <c r="N600" s="45" t="str">
        <f t="shared" si="431"/>
        <v>@niagarasb</v>
      </c>
      <c r="O600" s="45" t="str">
        <f t="shared" si="432"/>
        <v>Questionnaire</v>
      </c>
      <c r="P600" s="48" t="s">
        <v>8212</v>
      </c>
      <c r="Q600" s="47" t="s">
        <v>1304</v>
      </c>
      <c r="R600" s="48" t="s">
        <v>8200</v>
      </c>
      <c r="S600" s="60" t="s">
        <v>205</v>
      </c>
      <c r="T600" s="49" t="s">
        <v>63</v>
      </c>
      <c r="U600" s="48" t="s">
        <v>343</v>
      </c>
      <c r="V600" s="73"/>
      <c r="W600" s="50">
        <v>3.4</v>
      </c>
      <c r="X600" s="49" t="s">
        <v>521</v>
      </c>
      <c r="Y600" s="49" t="s">
        <v>522</v>
      </c>
      <c r="Z600" s="49" t="s">
        <v>1715</v>
      </c>
      <c r="AA600" s="61">
        <v>0.83</v>
      </c>
      <c r="AB600" s="71">
        <v>46150</v>
      </c>
      <c r="AC600" s="62" t="s">
        <v>8212</v>
      </c>
      <c r="AD600" s="53" t="str">
        <f t="shared" si="433"/>
        <v>Link</v>
      </c>
      <c r="AE600" s="54">
        <v>3136</v>
      </c>
      <c r="AF600" s="55"/>
      <c r="AG600" s="55"/>
      <c r="AH600" s="56">
        <v>193973</v>
      </c>
      <c r="AI600" s="7"/>
      <c r="AJ600" s="7"/>
    </row>
    <row r="601" spans="1:36" ht="15" x14ac:dyDescent="0.2">
      <c r="A601" s="64" t="s">
        <v>7904</v>
      </c>
      <c r="B601" s="33" t="s">
        <v>1304</v>
      </c>
      <c r="C601" s="7" t="s">
        <v>67</v>
      </c>
      <c r="D601" s="7" t="s">
        <v>8232</v>
      </c>
      <c r="E601" s="44">
        <v>5</v>
      </c>
      <c r="F601" s="7"/>
      <c r="G601" s="7"/>
      <c r="H601" s="2" t="s">
        <v>8200</v>
      </c>
      <c r="I601" s="7" t="s">
        <v>1258</v>
      </c>
      <c r="J601" s="7" t="s">
        <v>8236</v>
      </c>
      <c r="K601" s="7" t="s">
        <v>139</v>
      </c>
      <c r="L601" s="7"/>
      <c r="M601" s="7"/>
      <c r="N601" s="45" t="str">
        <f t="shared" si="431"/>
        <v>@niagarasb</v>
      </c>
      <c r="O601" s="45" t="str">
        <f t="shared" si="432"/>
        <v>Questionnaire</v>
      </c>
      <c r="P601" s="48" t="s">
        <v>8212</v>
      </c>
      <c r="Q601" s="47" t="s">
        <v>1304</v>
      </c>
      <c r="R601" s="48" t="s">
        <v>8200</v>
      </c>
      <c r="S601" s="60" t="s">
        <v>205</v>
      </c>
      <c r="T601" s="49" t="s">
        <v>63</v>
      </c>
      <c r="U601" s="48" t="s">
        <v>343</v>
      </c>
      <c r="V601" s="73"/>
      <c r="W601" s="50">
        <v>3.4</v>
      </c>
      <c r="X601" s="49" t="s">
        <v>521</v>
      </c>
      <c r="Y601" s="49" t="s">
        <v>522</v>
      </c>
      <c r="Z601" s="49" t="s">
        <v>1715</v>
      </c>
      <c r="AA601" s="61">
        <v>0.83</v>
      </c>
      <c r="AB601" s="71">
        <v>46150</v>
      </c>
      <c r="AC601" s="62" t="s">
        <v>8212</v>
      </c>
      <c r="AD601" s="53" t="str">
        <f t="shared" si="433"/>
        <v>Link</v>
      </c>
      <c r="AE601" s="54">
        <v>3136</v>
      </c>
      <c r="AF601" s="55"/>
      <c r="AG601" s="55"/>
      <c r="AH601" s="56">
        <v>193973</v>
      </c>
      <c r="AI601" s="7"/>
      <c r="AJ601" s="7"/>
    </row>
    <row r="602" spans="1:36" ht="15" x14ac:dyDescent="0.2">
      <c r="A602" s="64" t="s">
        <v>7904</v>
      </c>
      <c r="B602" s="33" t="s">
        <v>1304</v>
      </c>
      <c r="C602" s="7" t="s">
        <v>67</v>
      </c>
      <c r="D602" s="7" t="s">
        <v>8243</v>
      </c>
      <c r="E602" s="44">
        <v>5</v>
      </c>
      <c r="F602" s="7"/>
      <c r="G602" s="7"/>
      <c r="H602" s="2" t="s">
        <v>8200</v>
      </c>
      <c r="I602" s="7" t="s">
        <v>501</v>
      </c>
      <c r="J602" s="7" t="s">
        <v>8202</v>
      </c>
      <c r="K602" s="7" t="s">
        <v>139</v>
      </c>
      <c r="L602" s="7"/>
      <c r="M602" s="7"/>
      <c r="N602" s="45" t="str">
        <f t="shared" si="431"/>
        <v>@niagarasb</v>
      </c>
      <c r="O602" s="45" t="str">
        <f t="shared" si="432"/>
        <v>Questionnaire</v>
      </c>
      <c r="P602" s="48" t="s">
        <v>8212</v>
      </c>
      <c r="Q602" s="47" t="s">
        <v>1304</v>
      </c>
      <c r="R602" s="48" t="s">
        <v>8200</v>
      </c>
      <c r="S602" s="60" t="s">
        <v>205</v>
      </c>
      <c r="T602" s="49" t="s">
        <v>63</v>
      </c>
      <c r="U602" s="48" t="s">
        <v>343</v>
      </c>
      <c r="V602" s="73"/>
      <c r="W602" s="50">
        <v>3.4</v>
      </c>
      <c r="X602" s="49" t="s">
        <v>521</v>
      </c>
      <c r="Y602" s="49" t="s">
        <v>522</v>
      </c>
      <c r="Z602" s="49" t="s">
        <v>1715</v>
      </c>
      <c r="AA602" s="61">
        <v>0.83</v>
      </c>
      <c r="AB602" s="71">
        <v>46150</v>
      </c>
      <c r="AC602" s="62" t="s">
        <v>8212</v>
      </c>
      <c r="AD602" s="53" t="str">
        <f t="shared" si="433"/>
        <v>Link</v>
      </c>
      <c r="AE602" s="54">
        <v>3136</v>
      </c>
      <c r="AF602" s="55"/>
      <c r="AG602" s="55"/>
      <c r="AH602" s="56">
        <v>193973</v>
      </c>
      <c r="AI602" s="7"/>
      <c r="AJ602" s="7"/>
    </row>
    <row r="603" spans="1:36" ht="15" x14ac:dyDescent="0.2">
      <c r="A603" s="64" t="s">
        <v>7904</v>
      </c>
      <c r="B603" s="33" t="s">
        <v>158</v>
      </c>
      <c r="C603" s="7" t="s">
        <v>67</v>
      </c>
      <c r="D603" s="7" t="s">
        <v>8253</v>
      </c>
      <c r="E603" s="44">
        <v>5</v>
      </c>
      <c r="F603" s="7"/>
      <c r="G603" s="7"/>
      <c r="H603" s="2" t="s">
        <v>8254</v>
      </c>
      <c r="I603" s="7" t="s">
        <v>6082</v>
      </c>
      <c r="J603" s="7" t="s">
        <v>8258</v>
      </c>
      <c r="K603" s="7" t="s">
        <v>48</v>
      </c>
      <c r="L603" s="7" t="s">
        <v>8263</v>
      </c>
      <c r="M603" s="7" t="s">
        <v>8265</v>
      </c>
      <c r="N603" s="69" t="str">
        <f t="shared" ref="N603:N604" si="434">HYPERLINK("twitter.com/qu_softball","@qu_softball")</f>
        <v>@qu_softball</v>
      </c>
      <c r="O603" s="45" t="str">
        <f t="shared" ref="O603:O604" si="435">HYPERLINK("https://gobobcats.com/sb_output.aspx?form=3","Questionnaire")</f>
        <v>Questionnaire</v>
      </c>
      <c r="P603" s="48" t="s">
        <v>8273</v>
      </c>
      <c r="Q603" s="47" t="s">
        <v>158</v>
      </c>
      <c r="R603" s="48" t="s">
        <v>8275</v>
      </c>
      <c r="S603" s="48" t="s">
        <v>186</v>
      </c>
      <c r="T603" s="49" t="s">
        <v>63</v>
      </c>
      <c r="U603" s="48" t="s">
        <v>75</v>
      </c>
      <c r="V603" s="73"/>
      <c r="W603" s="50">
        <v>3.4</v>
      </c>
      <c r="X603" s="49" t="s">
        <v>675</v>
      </c>
      <c r="Y603" s="49" t="s">
        <v>676</v>
      </c>
      <c r="Z603" s="49" t="s">
        <v>320</v>
      </c>
      <c r="AA603" s="61">
        <v>0.76</v>
      </c>
      <c r="AB603" s="71">
        <v>61910</v>
      </c>
      <c r="AC603" s="62" t="s">
        <v>8273</v>
      </c>
      <c r="AD603" s="53" t="str">
        <f t="shared" ref="AD603:AD604" si="436">HYPERLINK("https://www.qu.edu/academics/program-listing.html","Link")</f>
        <v>Link</v>
      </c>
      <c r="AE603" s="54">
        <v>7099</v>
      </c>
      <c r="AF603" s="55"/>
      <c r="AG603" s="55"/>
      <c r="AH603" s="56">
        <v>130226</v>
      </c>
      <c r="AI603" s="7"/>
      <c r="AJ603" s="7"/>
    </row>
    <row r="604" spans="1:36" ht="15" x14ac:dyDescent="0.2">
      <c r="A604" s="64" t="s">
        <v>7904</v>
      </c>
      <c r="B604" s="33" t="s">
        <v>158</v>
      </c>
      <c r="C604" s="7" t="s">
        <v>67</v>
      </c>
      <c r="D604" s="7" t="s">
        <v>8280</v>
      </c>
      <c r="E604" s="44">
        <v>5</v>
      </c>
      <c r="F604" s="7"/>
      <c r="G604" s="7"/>
      <c r="H604" s="2" t="s">
        <v>8254</v>
      </c>
      <c r="I604" s="7" t="s">
        <v>878</v>
      </c>
      <c r="J604" s="7" t="s">
        <v>2031</v>
      </c>
      <c r="K604" s="7" t="s">
        <v>55</v>
      </c>
      <c r="L604" s="7" t="s">
        <v>8285</v>
      </c>
      <c r="M604" s="7" t="s">
        <v>8286</v>
      </c>
      <c r="N604" s="45" t="str">
        <f t="shared" si="434"/>
        <v>@qu_softball</v>
      </c>
      <c r="O604" s="45" t="str">
        <f t="shared" si="435"/>
        <v>Questionnaire</v>
      </c>
      <c r="P604" s="48" t="s">
        <v>8273</v>
      </c>
      <c r="Q604" s="47" t="s">
        <v>158</v>
      </c>
      <c r="R604" s="48" t="s">
        <v>8275</v>
      </c>
      <c r="S604" s="48" t="s">
        <v>186</v>
      </c>
      <c r="T604" s="49" t="s">
        <v>63</v>
      </c>
      <c r="U604" s="48" t="s">
        <v>75</v>
      </c>
      <c r="V604" s="73"/>
      <c r="W604" s="50">
        <v>3.4</v>
      </c>
      <c r="X604" s="49" t="s">
        <v>675</v>
      </c>
      <c r="Y604" s="49" t="s">
        <v>676</v>
      </c>
      <c r="Z604" s="49" t="s">
        <v>320</v>
      </c>
      <c r="AA604" s="61">
        <v>0.76</v>
      </c>
      <c r="AB604" s="71">
        <v>61910</v>
      </c>
      <c r="AC604" s="62" t="s">
        <v>8273</v>
      </c>
      <c r="AD604" s="53" t="str">
        <f t="shared" si="436"/>
        <v>Link</v>
      </c>
      <c r="AE604" s="54">
        <v>7099</v>
      </c>
      <c r="AF604" s="55"/>
      <c r="AG604" s="55"/>
      <c r="AH604" s="56">
        <v>130226</v>
      </c>
      <c r="AI604" s="7"/>
      <c r="AJ604" s="7"/>
    </row>
    <row r="605" spans="1:36" ht="15" x14ac:dyDescent="0.2">
      <c r="A605" s="64" t="s">
        <v>7904</v>
      </c>
      <c r="B605" s="33" t="s">
        <v>3272</v>
      </c>
      <c r="C605" s="7" t="s">
        <v>67</v>
      </c>
      <c r="D605" s="7" t="s">
        <v>8293</v>
      </c>
      <c r="E605" s="44">
        <v>5</v>
      </c>
      <c r="F605" s="7"/>
      <c r="G605" s="7"/>
      <c r="H605" s="2" t="s">
        <v>8294</v>
      </c>
      <c r="I605" s="7" t="s">
        <v>8295</v>
      </c>
      <c r="J605" s="7" t="s">
        <v>661</v>
      </c>
      <c r="K605" s="7" t="s">
        <v>48</v>
      </c>
      <c r="L605" s="7" t="s">
        <v>8298</v>
      </c>
      <c r="M605" s="7" t="s">
        <v>8300</v>
      </c>
      <c r="N605" s="45" t="str">
        <f t="shared" ref="N605:N607" si="437">HYPERLINK("twitter.com/softballrider","@softballrider")</f>
        <v>@softballrider</v>
      </c>
      <c r="O605" s="45" t="str">
        <f t="shared" ref="O605:O607" si="438">HYPERLINK("https://gobroncs.com/sb_output.aspx?form=13","Questionnaire")</f>
        <v>Questionnaire</v>
      </c>
      <c r="P605" s="48" t="s">
        <v>8308</v>
      </c>
      <c r="Q605" s="47" t="s">
        <v>3272</v>
      </c>
      <c r="R605" s="48" t="s">
        <v>8309</v>
      </c>
      <c r="S605" s="60" t="s">
        <v>205</v>
      </c>
      <c r="T605" s="49" t="s">
        <v>63</v>
      </c>
      <c r="U605" s="48" t="s">
        <v>75</v>
      </c>
      <c r="V605" s="73"/>
      <c r="W605" s="50">
        <v>3.28</v>
      </c>
      <c r="X605" s="49" t="s">
        <v>8310</v>
      </c>
      <c r="Y605" s="49" t="s">
        <v>521</v>
      </c>
      <c r="Z605" s="49" t="s">
        <v>125</v>
      </c>
      <c r="AA605" s="61">
        <v>0.72</v>
      </c>
      <c r="AB605" s="71">
        <v>57740</v>
      </c>
      <c r="AC605" s="62" t="s">
        <v>8308</v>
      </c>
      <c r="AD605" s="53" t="str">
        <f t="shared" ref="AD605:AD607" si="439">HYPERLINK("https://www.rider.edu/academics/majors-minors-programs","Link")</f>
        <v>Link</v>
      </c>
      <c r="AE605" s="54">
        <v>4085</v>
      </c>
      <c r="AF605" s="55"/>
      <c r="AG605" s="55"/>
      <c r="AH605" s="56">
        <v>186283</v>
      </c>
      <c r="AI605" s="7"/>
      <c r="AJ605" s="7"/>
    </row>
    <row r="606" spans="1:36" ht="15" x14ac:dyDescent="0.2">
      <c r="A606" s="64" t="s">
        <v>7904</v>
      </c>
      <c r="B606" s="33" t="s">
        <v>3272</v>
      </c>
      <c r="C606" s="7" t="s">
        <v>67</v>
      </c>
      <c r="D606" s="7" t="s">
        <v>8318</v>
      </c>
      <c r="E606" s="44">
        <v>5</v>
      </c>
      <c r="F606" s="7"/>
      <c r="G606" s="7"/>
      <c r="H606" s="2" t="s">
        <v>8294</v>
      </c>
      <c r="I606" s="7" t="s">
        <v>8319</v>
      </c>
      <c r="J606" s="7" t="s">
        <v>8320</v>
      </c>
      <c r="K606" s="7" t="s">
        <v>55</v>
      </c>
      <c r="L606" s="7" t="s">
        <v>8321</v>
      </c>
      <c r="M606" s="7"/>
      <c r="N606" s="45" t="str">
        <f t="shared" si="437"/>
        <v>@softballrider</v>
      </c>
      <c r="O606" s="45" t="str">
        <f t="shared" si="438"/>
        <v>Questionnaire</v>
      </c>
      <c r="P606" s="48" t="s">
        <v>8308</v>
      </c>
      <c r="Q606" s="47" t="s">
        <v>3272</v>
      </c>
      <c r="R606" s="48" t="s">
        <v>8309</v>
      </c>
      <c r="S606" s="60" t="s">
        <v>205</v>
      </c>
      <c r="T606" s="49" t="s">
        <v>63</v>
      </c>
      <c r="U606" s="48" t="s">
        <v>75</v>
      </c>
      <c r="V606" s="73"/>
      <c r="W606" s="50">
        <v>3.28</v>
      </c>
      <c r="X606" s="49" t="s">
        <v>8310</v>
      </c>
      <c r="Y606" s="49" t="s">
        <v>521</v>
      </c>
      <c r="Z606" s="49" t="s">
        <v>125</v>
      </c>
      <c r="AA606" s="61">
        <v>0.72</v>
      </c>
      <c r="AB606" s="71">
        <v>57740</v>
      </c>
      <c r="AC606" s="62" t="s">
        <v>8308</v>
      </c>
      <c r="AD606" s="53" t="str">
        <f t="shared" si="439"/>
        <v>Link</v>
      </c>
      <c r="AE606" s="54">
        <v>4085</v>
      </c>
      <c r="AF606" s="55"/>
      <c r="AG606" s="55"/>
      <c r="AH606" s="56">
        <v>186283</v>
      </c>
      <c r="AI606" s="7"/>
      <c r="AJ606" s="7"/>
    </row>
    <row r="607" spans="1:36" ht="15" x14ac:dyDescent="0.2">
      <c r="A607" s="64" t="s">
        <v>7904</v>
      </c>
      <c r="B607" s="33" t="s">
        <v>3272</v>
      </c>
      <c r="C607" s="7" t="s">
        <v>67</v>
      </c>
      <c r="D607" s="7" t="s">
        <v>8331</v>
      </c>
      <c r="E607" s="44">
        <v>5</v>
      </c>
      <c r="F607" s="7"/>
      <c r="G607" s="7"/>
      <c r="H607" s="2" t="s">
        <v>8294</v>
      </c>
      <c r="I607" s="7" t="s">
        <v>2599</v>
      </c>
      <c r="J607" s="7" t="s">
        <v>661</v>
      </c>
      <c r="K607" s="7" t="s">
        <v>139</v>
      </c>
      <c r="L607" s="7" t="s">
        <v>8332</v>
      </c>
      <c r="M607" s="7"/>
      <c r="N607" s="45" t="str">
        <f t="shared" si="437"/>
        <v>@softballrider</v>
      </c>
      <c r="O607" s="45" t="str">
        <f t="shared" si="438"/>
        <v>Questionnaire</v>
      </c>
      <c r="P607" s="48" t="s">
        <v>8308</v>
      </c>
      <c r="Q607" s="47" t="s">
        <v>3272</v>
      </c>
      <c r="R607" s="48" t="s">
        <v>8309</v>
      </c>
      <c r="S607" s="60" t="s">
        <v>205</v>
      </c>
      <c r="T607" s="49" t="s">
        <v>63</v>
      </c>
      <c r="U607" s="48" t="s">
        <v>75</v>
      </c>
      <c r="V607" s="73"/>
      <c r="W607" s="50">
        <v>3.28</v>
      </c>
      <c r="X607" s="49" t="s">
        <v>8310</v>
      </c>
      <c r="Y607" s="49" t="s">
        <v>521</v>
      </c>
      <c r="Z607" s="49" t="s">
        <v>125</v>
      </c>
      <c r="AA607" s="61">
        <v>0.72</v>
      </c>
      <c r="AB607" s="71">
        <v>57740</v>
      </c>
      <c r="AC607" s="62" t="s">
        <v>8308</v>
      </c>
      <c r="AD607" s="53" t="str">
        <f t="shared" si="439"/>
        <v>Link</v>
      </c>
      <c r="AE607" s="54">
        <v>4085</v>
      </c>
      <c r="AF607" s="55"/>
      <c r="AG607" s="55"/>
      <c r="AH607" s="56">
        <v>186283</v>
      </c>
      <c r="AI607" s="7"/>
      <c r="AJ607" s="7"/>
    </row>
    <row r="608" spans="1:36" ht="15" x14ac:dyDescent="0.2">
      <c r="A608" s="64" t="s">
        <v>7904</v>
      </c>
      <c r="B608" s="33" t="s">
        <v>1304</v>
      </c>
      <c r="C608" s="7" t="s">
        <v>67</v>
      </c>
      <c r="D608" s="7" t="s">
        <v>8339</v>
      </c>
      <c r="E608" s="44">
        <v>5</v>
      </c>
      <c r="F608" s="7"/>
      <c r="G608" s="7"/>
      <c r="H608" s="2" t="s">
        <v>8341</v>
      </c>
      <c r="I608" s="7" t="s">
        <v>2806</v>
      </c>
      <c r="J608" s="7" t="s">
        <v>8344</v>
      </c>
      <c r="K608" s="7" t="s">
        <v>48</v>
      </c>
      <c r="L608" s="7" t="s">
        <v>8345</v>
      </c>
      <c r="M608" s="7" t="s">
        <v>8346</v>
      </c>
      <c r="N608" s="45" t="str">
        <f t="shared" ref="N608:N610" si="440">HYPERLINK("twitter.com/siena_softball","@siena_softball")</f>
        <v>@siena_softball</v>
      </c>
      <c r="O608" s="45" t="str">
        <f t="shared" ref="O608:O610" si="441">HYPERLINK("https://questionnaires.armssoftware.com/b8d06208b62d","Questionnaire")</f>
        <v>Questionnaire</v>
      </c>
      <c r="P608" s="48" t="s">
        <v>8353</v>
      </c>
      <c r="Q608" s="47" t="s">
        <v>1304</v>
      </c>
      <c r="R608" s="48" t="s">
        <v>1501</v>
      </c>
      <c r="S608" s="48" t="s">
        <v>238</v>
      </c>
      <c r="T608" s="73" t="s">
        <v>63</v>
      </c>
      <c r="U608" s="48" t="s">
        <v>343</v>
      </c>
      <c r="V608" s="73"/>
      <c r="W608" s="50">
        <v>3.52</v>
      </c>
      <c r="X608" s="49" t="s">
        <v>802</v>
      </c>
      <c r="Y608" s="49" t="s">
        <v>76</v>
      </c>
      <c r="Z608" s="49" t="s">
        <v>689</v>
      </c>
      <c r="AA608" s="61">
        <v>0.73</v>
      </c>
      <c r="AB608" s="71">
        <v>52236</v>
      </c>
      <c r="AC608" s="62" t="s">
        <v>8353</v>
      </c>
      <c r="AD608" s="53" t="str">
        <f t="shared" ref="AD608:AD610" si="442">HYPERLINK("https://www.siena.edu/academics/academics-at-siena/majors-minors-certificates/","Link")</f>
        <v>Link</v>
      </c>
      <c r="AE608" s="54">
        <v>3178</v>
      </c>
      <c r="AF608" s="55"/>
      <c r="AG608" s="54">
        <v>134</v>
      </c>
      <c r="AH608" s="56">
        <v>195474</v>
      </c>
      <c r="AI608" s="7"/>
      <c r="AJ608" s="7"/>
    </row>
    <row r="609" spans="1:36" ht="15" x14ac:dyDescent="0.2">
      <c r="A609" s="64" t="s">
        <v>7904</v>
      </c>
      <c r="B609" s="33" t="s">
        <v>1304</v>
      </c>
      <c r="C609" s="7" t="s">
        <v>67</v>
      </c>
      <c r="D609" s="7" t="s">
        <v>8366</v>
      </c>
      <c r="E609" s="44">
        <v>5</v>
      </c>
      <c r="F609" s="7"/>
      <c r="G609" s="7"/>
      <c r="H609" s="2" t="s">
        <v>8341</v>
      </c>
      <c r="I609" s="7" t="s">
        <v>111</v>
      </c>
      <c r="J609" s="7" t="s">
        <v>8368</v>
      </c>
      <c r="K609" s="7" t="s">
        <v>55</v>
      </c>
      <c r="L609" s="7" t="s">
        <v>8369</v>
      </c>
      <c r="M609" s="7" t="s">
        <v>8370</v>
      </c>
      <c r="N609" s="45" t="str">
        <f t="shared" si="440"/>
        <v>@siena_softball</v>
      </c>
      <c r="O609" s="45" t="str">
        <f t="shared" si="441"/>
        <v>Questionnaire</v>
      </c>
      <c r="P609" s="48" t="s">
        <v>8353</v>
      </c>
      <c r="Q609" s="47" t="s">
        <v>1304</v>
      </c>
      <c r="R609" s="48" t="s">
        <v>1501</v>
      </c>
      <c r="S609" s="48" t="s">
        <v>238</v>
      </c>
      <c r="T609" s="73" t="s">
        <v>63</v>
      </c>
      <c r="U609" s="48" t="s">
        <v>343</v>
      </c>
      <c r="V609" s="73"/>
      <c r="W609" s="50">
        <v>3.52</v>
      </c>
      <c r="X609" s="49" t="s">
        <v>802</v>
      </c>
      <c r="Y609" s="49" t="s">
        <v>76</v>
      </c>
      <c r="Z609" s="49" t="s">
        <v>689</v>
      </c>
      <c r="AA609" s="61">
        <v>0.73</v>
      </c>
      <c r="AB609" s="71">
        <v>52236</v>
      </c>
      <c r="AC609" s="62" t="s">
        <v>8353</v>
      </c>
      <c r="AD609" s="53" t="str">
        <f t="shared" si="442"/>
        <v>Link</v>
      </c>
      <c r="AE609" s="54">
        <v>3178</v>
      </c>
      <c r="AF609" s="55"/>
      <c r="AG609" s="54">
        <v>134</v>
      </c>
      <c r="AH609" s="56">
        <v>195474</v>
      </c>
      <c r="AI609" s="7"/>
      <c r="AJ609" s="7"/>
    </row>
    <row r="610" spans="1:36" ht="15" x14ac:dyDescent="0.2">
      <c r="A610" s="64" t="s">
        <v>7904</v>
      </c>
      <c r="B610" s="33" t="s">
        <v>1304</v>
      </c>
      <c r="C610" s="7" t="s">
        <v>67</v>
      </c>
      <c r="D610" s="7" t="s">
        <v>8377</v>
      </c>
      <c r="E610" s="44">
        <v>5</v>
      </c>
      <c r="F610" s="7"/>
      <c r="G610" s="7"/>
      <c r="H610" s="2" t="s">
        <v>8341</v>
      </c>
      <c r="I610" s="7" t="s">
        <v>7385</v>
      </c>
      <c r="J610" s="7" t="s">
        <v>8379</v>
      </c>
      <c r="K610" s="7" t="s">
        <v>139</v>
      </c>
      <c r="L610" s="7" t="s">
        <v>8381</v>
      </c>
      <c r="M610" s="7" t="s">
        <v>8370</v>
      </c>
      <c r="N610" s="45" t="str">
        <f t="shared" si="440"/>
        <v>@siena_softball</v>
      </c>
      <c r="O610" s="45" t="str">
        <f t="shared" si="441"/>
        <v>Questionnaire</v>
      </c>
      <c r="P610" s="48" t="s">
        <v>8353</v>
      </c>
      <c r="Q610" s="47" t="s">
        <v>1304</v>
      </c>
      <c r="R610" s="48" t="s">
        <v>1501</v>
      </c>
      <c r="S610" s="48" t="s">
        <v>238</v>
      </c>
      <c r="T610" s="73" t="s">
        <v>63</v>
      </c>
      <c r="U610" s="48" t="s">
        <v>343</v>
      </c>
      <c r="V610" s="73"/>
      <c r="W610" s="50">
        <v>3.52</v>
      </c>
      <c r="X610" s="49" t="s">
        <v>802</v>
      </c>
      <c r="Y610" s="49" t="s">
        <v>76</v>
      </c>
      <c r="Z610" s="49" t="s">
        <v>689</v>
      </c>
      <c r="AA610" s="61">
        <v>0.73</v>
      </c>
      <c r="AB610" s="71">
        <v>52236</v>
      </c>
      <c r="AC610" s="62" t="s">
        <v>8353</v>
      </c>
      <c r="AD610" s="53" t="str">
        <f t="shared" si="442"/>
        <v>Link</v>
      </c>
      <c r="AE610" s="54">
        <v>3178</v>
      </c>
      <c r="AF610" s="55"/>
      <c r="AG610" s="54">
        <v>134</v>
      </c>
      <c r="AH610" s="56">
        <v>195474</v>
      </c>
      <c r="AI610" s="7"/>
      <c r="AJ610" s="7"/>
    </row>
    <row r="611" spans="1:36" ht="15" x14ac:dyDescent="0.2">
      <c r="A611" s="64" t="s">
        <v>7904</v>
      </c>
      <c r="B611" s="33" t="s">
        <v>3272</v>
      </c>
      <c r="C611" s="7" t="s">
        <v>67</v>
      </c>
      <c r="D611" s="7" t="s">
        <v>8390</v>
      </c>
      <c r="E611" s="44">
        <v>5</v>
      </c>
      <c r="F611" s="7"/>
      <c r="G611" s="7"/>
      <c r="H611" s="2" t="s">
        <v>8394</v>
      </c>
      <c r="I611" s="7" t="s">
        <v>1492</v>
      </c>
      <c r="J611" s="7" t="s">
        <v>8396</v>
      </c>
      <c r="K611" s="7" t="s">
        <v>48</v>
      </c>
      <c r="L611" s="7" t="s">
        <v>8397</v>
      </c>
      <c r="M611" s="7" t="s">
        <v>8398</v>
      </c>
      <c r="N611" s="45" t="str">
        <f t="shared" ref="N611:N613" si="443">HYPERLINK("twitter.com/peacocksoftball","@peacocksoftball")</f>
        <v>@peacocksoftball</v>
      </c>
      <c r="O611" s="45" t="str">
        <f t="shared" ref="O611:O613" si="444">HYPERLINK("https://saintpeterspeacocks.com/sb_output.aspx?form=3","Questionnaire")</f>
        <v>Questionnaire</v>
      </c>
      <c r="P611" s="48" t="s">
        <v>8402</v>
      </c>
      <c r="Q611" s="60" t="s">
        <v>3272</v>
      </c>
      <c r="R611" s="48" t="s">
        <v>8235</v>
      </c>
      <c r="S611" s="48" t="s">
        <v>62</v>
      </c>
      <c r="T611" s="49" t="s">
        <v>63</v>
      </c>
      <c r="U611" s="48" t="s">
        <v>343</v>
      </c>
      <c r="V611" s="73"/>
      <c r="W611" s="50">
        <v>3.26</v>
      </c>
      <c r="X611" s="49" t="s">
        <v>2709</v>
      </c>
      <c r="Y611" s="49" t="s">
        <v>1785</v>
      </c>
      <c r="Z611" s="49" t="s">
        <v>5269</v>
      </c>
      <c r="AA611" s="61">
        <v>0.74</v>
      </c>
      <c r="AB611" s="71">
        <v>52448</v>
      </c>
      <c r="AC611" s="62" t="s">
        <v>8402</v>
      </c>
      <c r="AD611" s="53" t="str">
        <f t="shared" ref="AD611:AD613" si="445">HYPERLINK("https://www.saintpeters.edu/academics/areas-of-study/","Link")</f>
        <v>Link</v>
      </c>
      <c r="AE611" s="54">
        <v>2672</v>
      </c>
      <c r="AF611" s="55"/>
      <c r="AG611" s="55"/>
      <c r="AH611" s="56">
        <v>186432</v>
      </c>
      <c r="AI611" s="7"/>
      <c r="AJ611" s="7"/>
    </row>
    <row r="612" spans="1:36" ht="15" x14ac:dyDescent="0.2">
      <c r="A612" s="64" t="s">
        <v>7904</v>
      </c>
      <c r="B612" s="33" t="s">
        <v>3272</v>
      </c>
      <c r="C612" s="7" t="s">
        <v>67</v>
      </c>
      <c r="D612" s="7" t="s">
        <v>8411</v>
      </c>
      <c r="E612" s="44">
        <v>5</v>
      </c>
      <c r="F612" s="7"/>
      <c r="G612" s="7"/>
      <c r="H612" s="2" t="s">
        <v>8394</v>
      </c>
      <c r="I612" s="7" t="s">
        <v>8413</v>
      </c>
      <c r="J612" s="7" t="s">
        <v>8414</v>
      </c>
      <c r="K612" s="7" t="s">
        <v>55</v>
      </c>
      <c r="L612" s="7" t="s">
        <v>8415</v>
      </c>
      <c r="M612" s="7"/>
      <c r="N612" s="45" t="str">
        <f t="shared" si="443"/>
        <v>@peacocksoftball</v>
      </c>
      <c r="O612" s="45" t="str">
        <f t="shared" si="444"/>
        <v>Questionnaire</v>
      </c>
      <c r="P612" s="48" t="s">
        <v>8402</v>
      </c>
      <c r="Q612" s="60" t="s">
        <v>3272</v>
      </c>
      <c r="R612" s="48" t="s">
        <v>8235</v>
      </c>
      <c r="S612" s="48" t="s">
        <v>62</v>
      </c>
      <c r="T612" s="49" t="s">
        <v>63</v>
      </c>
      <c r="U612" s="48" t="s">
        <v>343</v>
      </c>
      <c r="V612" s="73"/>
      <c r="W612" s="50">
        <v>3.26</v>
      </c>
      <c r="X612" s="49" t="s">
        <v>2709</v>
      </c>
      <c r="Y612" s="49" t="s">
        <v>1785</v>
      </c>
      <c r="Z612" s="49" t="s">
        <v>5269</v>
      </c>
      <c r="AA612" s="61">
        <v>0.74</v>
      </c>
      <c r="AB612" s="71">
        <v>52448</v>
      </c>
      <c r="AC612" s="62" t="s">
        <v>8402</v>
      </c>
      <c r="AD612" s="53" t="str">
        <f t="shared" si="445"/>
        <v>Link</v>
      </c>
      <c r="AE612" s="54">
        <v>2672</v>
      </c>
      <c r="AF612" s="55"/>
      <c r="AG612" s="55"/>
      <c r="AH612" s="56">
        <v>186432</v>
      </c>
      <c r="AI612" s="7"/>
      <c r="AJ612" s="7"/>
    </row>
    <row r="613" spans="1:36" ht="15" x14ac:dyDescent="0.2">
      <c r="A613" s="64" t="s">
        <v>7904</v>
      </c>
      <c r="B613" s="33" t="s">
        <v>3272</v>
      </c>
      <c r="C613" s="7" t="s">
        <v>67</v>
      </c>
      <c r="D613" s="7" t="s">
        <v>8422</v>
      </c>
      <c r="E613" s="44">
        <v>5</v>
      </c>
      <c r="F613" s="7"/>
      <c r="G613" s="7"/>
      <c r="H613" s="2" t="s">
        <v>8394</v>
      </c>
      <c r="I613" s="7" t="s">
        <v>2402</v>
      </c>
      <c r="J613" s="7" t="s">
        <v>734</v>
      </c>
      <c r="K613" s="7" t="s">
        <v>55</v>
      </c>
      <c r="L613" s="7" t="s">
        <v>8423</v>
      </c>
      <c r="M613" s="7"/>
      <c r="N613" s="45" t="str">
        <f t="shared" si="443"/>
        <v>@peacocksoftball</v>
      </c>
      <c r="O613" s="45" t="str">
        <f t="shared" si="444"/>
        <v>Questionnaire</v>
      </c>
      <c r="P613" s="48" t="s">
        <v>8402</v>
      </c>
      <c r="Q613" s="60" t="s">
        <v>3272</v>
      </c>
      <c r="R613" s="48" t="s">
        <v>8235</v>
      </c>
      <c r="S613" s="48" t="s">
        <v>62</v>
      </c>
      <c r="T613" s="49" t="s">
        <v>63</v>
      </c>
      <c r="U613" s="48" t="s">
        <v>343</v>
      </c>
      <c r="V613" s="73"/>
      <c r="W613" s="50">
        <v>3.26</v>
      </c>
      <c r="X613" s="49" t="s">
        <v>2709</v>
      </c>
      <c r="Y613" s="49" t="s">
        <v>1785</v>
      </c>
      <c r="Z613" s="49" t="s">
        <v>5269</v>
      </c>
      <c r="AA613" s="61">
        <v>0.74</v>
      </c>
      <c r="AB613" s="71">
        <v>52448</v>
      </c>
      <c r="AC613" s="62" t="s">
        <v>8402</v>
      </c>
      <c r="AD613" s="53" t="str">
        <f t="shared" si="445"/>
        <v>Link</v>
      </c>
      <c r="AE613" s="54">
        <v>2672</v>
      </c>
      <c r="AF613" s="55"/>
      <c r="AG613" s="55"/>
      <c r="AH613" s="56">
        <v>186432</v>
      </c>
      <c r="AI613" s="7"/>
      <c r="AJ613" s="7"/>
    </row>
    <row r="614" spans="1:36" ht="15" x14ac:dyDescent="0.2">
      <c r="A614" s="43" t="s">
        <v>8429</v>
      </c>
      <c r="B614" s="33" t="s">
        <v>66</v>
      </c>
      <c r="C614" s="7" t="s">
        <v>67</v>
      </c>
      <c r="D614" s="7" t="s">
        <v>8431</v>
      </c>
      <c r="E614" s="44">
        <v>5</v>
      </c>
      <c r="F614" s="7"/>
      <c r="G614" s="7"/>
      <c r="H614" s="2" t="s">
        <v>8433</v>
      </c>
      <c r="I614" s="7" t="s">
        <v>161</v>
      </c>
      <c r="J614" s="7" t="s">
        <v>8434</v>
      </c>
      <c r="K614" s="7" t="s">
        <v>48</v>
      </c>
      <c r="L614" s="7" t="s">
        <v>8436</v>
      </c>
      <c r="M614" s="7" t="s">
        <v>8437</v>
      </c>
      <c r="N614" s="45" t="s">
        <v>8438</v>
      </c>
      <c r="O614" s="45" t="str">
        <f t="shared" ref="O614:O617" si="446">HYPERLINK("https://bcuathletics.com/sb_output.aspx?form=3","Questionnaire")</f>
        <v>Questionnaire</v>
      </c>
      <c r="P614" s="47" t="s">
        <v>8444</v>
      </c>
      <c r="Q614" s="47" t="s">
        <v>66</v>
      </c>
      <c r="R614" s="48" t="s">
        <v>2978</v>
      </c>
      <c r="S614" s="48" t="s">
        <v>186</v>
      </c>
      <c r="T614" s="49" t="s">
        <v>63</v>
      </c>
      <c r="U614" s="48" t="s">
        <v>65</v>
      </c>
      <c r="V614" s="73" t="s">
        <v>212</v>
      </c>
      <c r="W614" s="50">
        <v>2.96</v>
      </c>
      <c r="X614" s="49" t="s">
        <v>8449</v>
      </c>
      <c r="Y614" s="49" t="s">
        <v>8449</v>
      </c>
      <c r="Z614" s="49" t="s">
        <v>8450</v>
      </c>
      <c r="AA614" s="51">
        <v>0.63700000000000001</v>
      </c>
      <c r="AB614" s="71">
        <v>28820</v>
      </c>
      <c r="AC614" s="52" t="s">
        <v>8444</v>
      </c>
      <c r="AD614" s="53" t="str">
        <f t="shared" ref="AD614:AD617" si="447">HYPERLINK("http://www.cookman.edu/academics/degree_prog.html","Link")</f>
        <v>Link</v>
      </c>
      <c r="AE614" s="54">
        <v>3796</v>
      </c>
      <c r="AF614" s="55"/>
      <c r="AG614" s="55"/>
      <c r="AH614" s="56">
        <v>132602</v>
      </c>
      <c r="AI614" s="7"/>
      <c r="AJ614" s="7"/>
    </row>
    <row r="615" spans="1:36" ht="15" x14ac:dyDescent="0.2">
      <c r="A615" s="43" t="s">
        <v>8429</v>
      </c>
      <c r="B615" s="33" t="s">
        <v>66</v>
      </c>
      <c r="C615" s="7" t="s">
        <v>67</v>
      </c>
      <c r="D615" s="7" t="s">
        <v>8457</v>
      </c>
      <c r="E615" s="44">
        <v>5</v>
      </c>
      <c r="F615" s="7"/>
      <c r="G615" s="7"/>
      <c r="H615" s="2" t="s">
        <v>8433</v>
      </c>
      <c r="I615" s="7" t="s">
        <v>6634</v>
      </c>
      <c r="J615" s="7" t="s">
        <v>8460</v>
      </c>
      <c r="K615" s="7" t="s">
        <v>55</v>
      </c>
      <c r="L615" s="7" t="s">
        <v>8464</v>
      </c>
      <c r="M615" s="7"/>
      <c r="N615" s="45" t="str">
        <f t="shared" ref="N615:N617" si="448">HYPERLINK("twitter.com/bcusoftball","@bcusoftball")</f>
        <v>@bcusoftball</v>
      </c>
      <c r="O615" s="45" t="str">
        <f t="shared" si="446"/>
        <v>Questionnaire</v>
      </c>
      <c r="P615" s="47" t="s">
        <v>8444</v>
      </c>
      <c r="Q615" s="47" t="s">
        <v>66</v>
      </c>
      <c r="R615" s="48" t="s">
        <v>2978</v>
      </c>
      <c r="S615" s="48" t="s">
        <v>186</v>
      </c>
      <c r="T615" s="49" t="s">
        <v>63</v>
      </c>
      <c r="U615" s="48" t="s">
        <v>65</v>
      </c>
      <c r="V615" s="73" t="s">
        <v>212</v>
      </c>
      <c r="W615" s="50">
        <v>2.96</v>
      </c>
      <c r="X615" s="49" t="s">
        <v>8449</v>
      </c>
      <c r="Y615" s="49" t="s">
        <v>8449</v>
      </c>
      <c r="Z615" s="49" t="s">
        <v>8450</v>
      </c>
      <c r="AA615" s="51">
        <v>0.63700000000000001</v>
      </c>
      <c r="AB615" s="71">
        <v>28820</v>
      </c>
      <c r="AC615" s="52" t="s">
        <v>8444</v>
      </c>
      <c r="AD615" s="53" t="str">
        <f t="shared" si="447"/>
        <v>Link</v>
      </c>
      <c r="AE615" s="54">
        <v>3796</v>
      </c>
      <c r="AF615" s="55"/>
      <c r="AG615" s="55"/>
      <c r="AH615" s="56">
        <v>132602</v>
      </c>
      <c r="AI615" s="7"/>
      <c r="AJ615" s="7"/>
    </row>
    <row r="616" spans="1:36" ht="15" x14ac:dyDescent="0.2">
      <c r="A616" s="43" t="s">
        <v>8429</v>
      </c>
      <c r="B616" s="33" t="s">
        <v>66</v>
      </c>
      <c r="C616" s="7" t="s">
        <v>67</v>
      </c>
      <c r="D616" s="7" t="s">
        <v>8475</v>
      </c>
      <c r="E616" s="44">
        <v>5</v>
      </c>
      <c r="F616" s="7"/>
      <c r="G616" s="7"/>
      <c r="H616" s="2" t="s">
        <v>8433</v>
      </c>
      <c r="I616" s="7" t="s">
        <v>8476</v>
      </c>
      <c r="J616" s="7" t="s">
        <v>8477</v>
      </c>
      <c r="K616" s="7" t="s">
        <v>154</v>
      </c>
      <c r="L616" s="7" t="s">
        <v>8479</v>
      </c>
      <c r="M616" s="7" t="s">
        <v>8480</v>
      </c>
      <c r="N616" s="45" t="str">
        <f t="shared" si="448"/>
        <v>@bcusoftball</v>
      </c>
      <c r="O616" s="45" t="str">
        <f t="shared" si="446"/>
        <v>Questionnaire</v>
      </c>
      <c r="P616" s="47" t="s">
        <v>8444</v>
      </c>
      <c r="Q616" s="47" t="s">
        <v>66</v>
      </c>
      <c r="R616" s="48" t="s">
        <v>2978</v>
      </c>
      <c r="S616" s="48" t="s">
        <v>186</v>
      </c>
      <c r="T616" s="49" t="s">
        <v>63</v>
      </c>
      <c r="U616" s="48" t="s">
        <v>65</v>
      </c>
      <c r="V616" s="73" t="s">
        <v>212</v>
      </c>
      <c r="W616" s="50">
        <v>2.96</v>
      </c>
      <c r="X616" s="49" t="s">
        <v>8449</v>
      </c>
      <c r="Y616" s="49" t="s">
        <v>8449</v>
      </c>
      <c r="Z616" s="49" t="s">
        <v>8450</v>
      </c>
      <c r="AA616" s="51">
        <v>0.63700000000000001</v>
      </c>
      <c r="AB616" s="71">
        <v>28820</v>
      </c>
      <c r="AC616" s="52" t="s">
        <v>8444</v>
      </c>
      <c r="AD616" s="53" t="str">
        <f t="shared" si="447"/>
        <v>Link</v>
      </c>
      <c r="AE616" s="54">
        <v>3796</v>
      </c>
      <c r="AF616" s="55"/>
      <c r="AG616" s="55"/>
      <c r="AH616" s="56">
        <v>132602</v>
      </c>
      <c r="AI616" s="7"/>
      <c r="AJ616" s="7"/>
    </row>
    <row r="617" spans="1:36" ht="15" x14ac:dyDescent="0.2">
      <c r="A617" s="43" t="s">
        <v>8429</v>
      </c>
      <c r="B617" s="33" t="s">
        <v>66</v>
      </c>
      <c r="C617" s="7" t="s">
        <v>67</v>
      </c>
      <c r="D617" s="7" t="s">
        <v>8487</v>
      </c>
      <c r="E617" s="44">
        <v>5</v>
      </c>
      <c r="F617" s="7"/>
      <c r="G617" s="7"/>
      <c r="H617" s="2" t="s">
        <v>8433</v>
      </c>
      <c r="I617" s="7" t="s">
        <v>8491</v>
      </c>
      <c r="J617" s="7" t="s">
        <v>3632</v>
      </c>
      <c r="K617" s="7" t="s">
        <v>55</v>
      </c>
      <c r="L617" s="7" t="s">
        <v>8492</v>
      </c>
      <c r="M617" s="7"/>
      <c r="N617" s="45" t="str">
        <f t="shared" si="448"/>
        <v>@bcusoftball</v>
      </c>
      <c r="O617" s="45" t="str">
        <f t="shared" si="446"/>
        <v>Questionnaire</v>
      </c>
      <c r="P617" s="47" t="s">
        <v>8444</v>
      </c>
      <c r="Q617" s="47" t="s">
        <v>66</v>
      </c>
      <c r="R617" s="48" t="s">
        <v>2978</v>
      </c>
      <c r="S617" s="48" t="s">
        <v>186</v>
      </c>
      <c r="T617" s="49" t="s">
        <v>63</v>
      </c>
      <c r="U617" s="48" t="s">
        <v>65</v>
      </c>
      <c r="V617" s="73" t="s">
        <v>212</v>
      </c>
      <c r="W617" s="50">
        <v>2.96</v>
      </c>
      <c r="X617" s="49" t="s">
        <v>8449</v>
      </c>
      <c r="Y617" s="49" t="s">
        <v>8449</v>
      </c>
      <c r="Z617" s="49" t="s">
        <v>8450</v>
      </c>
      <c r="AA617" s="51">
        <v>0.63700000000000001</v>
      </c>
      <c r="AB617" s="71">
        <v>28820</v>
      </c>
      <c r="AC617" s="52" t="s">
        <v>8444</v>
      </c>
      <c r="AD617" s="53" t="str">
        <f t="shared" si="447"/>
        <v>Link</v>
      </c>
      <c r="AE617" s="54">
        <v>3796</v>
      </c>
      <c r="AF617" s="55"/>
      <c r="AG617" s="55"/>
      <c r="AH617" s="56">
        <v>132602</v>
      </c>
      <c r="AI617" s="7"/>
      <c r="AJ617" s="7"/>
    </row>
    <row r="618" spans="1:36" ht="15" x14ac:dyDescent="0.2">
      <c r="A618" s="43" t="s">
        <v>8429</v>
      </c>
      <c r="B618" s="33" t="s">
        <v>1668</v>
      </c>
      <c r="C618" s="7" t="s">
        <v>67</v>
      </c>
      <c r="D618" s="7" t="s">
        <v>8500</v>
      </c>
      <c r="E618" s="44">
        <v>5</v>
      </c>
      <c r="F618" s="7"/>
      <c r="G618" s="7"/>
      <c r="H618" s="2" t="s">
        <v>8501</v>
      </c>
      <c r="I618" s="7" t="s">
        <v>981</v>
      </c>
      <c r="J618" s="7" t="s">
        <v>5667</v>
      </c>
      <c r="K618" s="7" t="s">
        <v>48</v>
      </c>
      <c r="L618" s="7" t="s">
        <v>8502</v>
      </c>
      <c r="M618" s="7" t="s">
        <v>8503</v>
      </c>
      <c r="N618" s="45" t="str">
        <f>HYPERLINK("twitter.com/coppin_softball","@coppin_softball")</f>
        <v>@coppin_softball</v>
      </c>
      <c r="O618" s="45" t="str">
        <f>HYPERLINK("https://coppinstatesports.com/sb_output.aspx?form=3","Questionnaire")</f>
        <v>Questionnaire</v>
      </c>
      <c r="P618" s="47" t="s">
        <v>8515</v>
      </c>
      <c r="Q618" s="48" t="s">
        <v>1668</v>
      </c>
      <c r="R618" s="48" t="s">
        <v>1681</v>
      </c>
      <c r="S618" s="48" t="s">
        <v>354</v>
      </c>
      <c r="T618" s="73" t="s">
        <v>74</v>
      </c>
      <c r="U618" s="48" t="s">
        <v>75</v>
      </c>
      <c r="V618" s="73" t="s">
        <v>212</v>
      </c>
      <c r="W618" s="61">
        <v>2.62</v>
      </c>
      <c r="X618" s="49" t="s">
        <v>8516</v>
      </c>
      <c r="Y618" s="49" t="s">
        <v>5140</v>
      </c>
      <c r="Z618" s="49" t="s">
        <v>8450</v>
      </c>
      <c r="AA618" s="61">
        <v>0.4</v>
      </c>
      <c r="AB618" s="71">
        <v>21376</v>
      </c>
      <c r="AC618" s="52" t="s">
        <v>8515</v>
      </c>
      <c r="AD618" s="53" t="str">
        <f>HYPERLINK("https://www.coppin.edu/academics/undergraduateprograms","Link")</f>
        <v>Link</v>
      </c>
      <c r="AE618" s="54">
        <v>2507</v>
      </c>
      <c r="AF618" s="55"/>
      <c r="AG618" s="55"/>
      <c r="AH618" s="56">
        <v>162283</v>
      </c>
      <c r="AI618" s="7"/>
      <c r="AJ618" s="7"/>
    </row>
    <row r="619" spans="1:36" ht="15" x14ac:dyDescent="0.2">
      <c r="A619" s="43" t="s">
        <v>8429</v>
      </c>
      <c r="B619" s="33" t="s">
        <v>1189</v>
      </c>
      <c r="C619" s="7" t="s">
        <v>67</v>
      </c>
      <c r="D619" s="7" t="s">
        <v>8524</v>
      </c>
      <c r="E619" s="44">
        <v>5</v>
      </c>
      <c r="F619" s="7"/>
      <c r="G619" s="7"/>
      <c r="H619" s="2" t="s">
        <v>8525</v>
      </c>
      <c r="I619" s="7" t="s">
        <v>94</v>
      </c>
      <c r="J619" s="7" t="s">
        <v>8527</v>
      </c>
      <c r="K619" s="7" t="s">
        <v>48</v>
      </c>
      <c r="L619" s="7" t="s">
        <v>8529</v>
      </c>
      <c r="M619" s="7"/>
      <c r="N619" s="45" t="str">
        <f t="shared" ref="N619:N620" si="449">HYPERLINK("twitter.com/DelStSB","@DelStSB")</f>
        <v>@DelStSB</v>
      </c>
      <c r="O619" s="45" t="str">
        <f t="shared" ref="O619:O620" si="450">HYPERLINK("http://www.dsuhornets.com/quest/Questionaire.dbml?&amp;QID=2192","Questionnaire")</f>
        <v>Questionnaire</v>
      </c>
      <c r="P619" s="48" t="s">
        <v>8536</v>
      </c>
      <c r="Q619" s="47" t="s">
        <v>1189</v>
      </c>
      <c r="R619" s="48" t="s">
        <v>1190</v>
      </c>
      <c r="S619" s="48" t="s">
        <v>468</v>
      </c>
      <c r="T619" s="49" t="s">
        <v>74</v>
      </c>
      <c r="U619" s="48" t="s">
        <v>75</v>
      </c>
      <c r="V619" s="73" t="s">
        <v>212</v>
      </c>
      <c r="W619" s="50">
        <v>3.11</v>
      </c>
      <c r="X619" s="49" t="s">
        <v>8537</v>
      </c>
      <c r="Y619" s="49" t="s">
        <v>8538</v>
      </c>
      <c r="Z619" s="49" t="s">
        <v>3230</v>
      </c>
      <c r="AA619" s="61">
        <v>0.41</v>
      </c>
      <c r="AB619" s="48" t="s">
        <v>8539</v>
      </c>
      <c r="AC619" s="62" t="s">
        <v>8536</v>
      </c>
      <c r="AD619" s="53" t="str">
        <f t="shared" ref="AD619:AD620" si="451">HYPERLINK("https://www.desu.edu/academics/majors-programs","Link")</f>
        <v>Link</v>
      </c>
      <c r="AE619" s="54">
        <v>3993</v>
      </c>
      <c r="AF619" s="55"/>
      <c r="AG619" s="55"/>
      <c r="AH619" s="56">
        <v>130934</v>
      </c>
      <c r="AI619" s="7"/>
      <c r="AJ619" s="7"/>
    </row>
    <row r="620" spans="1:36" ht="15" x14ac:dyDescent="0.2">
      <c r="A620" s="43" t="s">
        <v>8429</v>
      </c>
      <c r="B620" s="33" t="s">
        <v>1189</v>
      </c>
      <c r="C620" s="7" t="s">
        <v>67</v>
      </c>
      <c r="D620" s="7" t="s">
        <v>8547</v>
      </c>
      <c r="E620" s="44">
        <v>5</v>
      </c>
      <c r="F620" s="7"/>
      <c r="G620" s="7"/>
      <c r="H620" s="2" t="s">
        <v>8525</v>
      </c>
      <c r="I620" s="7" t="s">
        <v>8549</v>
      </c>
      <c r="J620" s="7" t="s">
        <v>8550</v>
      </c>
      <c r="K620" s="7" t="s">
        <v>55</v>
      </c>
      <c r="L620" s="7"/>
      <c r="M620" s="7" t="s">
        <v>8552</v>
      </c>
      <c r="N620" s="45" t="str">
        <f t="shared" si="449"/>
        <v>@DelStSB</v>
      </c>
      <c r="O620" s="45" t="str">
        <f t="shared" si="450"/>
        <v>Questionnaire</v>
      </c>
      <c r="P620" s="48" t="s">
        <v>8536</v>
      </c>
      <c r="Q620" s="47" t="s">
        <v>1189</v>
      </c>
      <c r="R620" s="48" t="s">
        <v>1190</v>
      </c>
      <c r="S620" s="48" t="s">
        <v>468</v>
      </c>
      <c r="T620" s="49" t="s">
        <v>74</v>
      </c>
      <c r="U620" s="48" t="s">
        <v>75</v>
      </c>
      <c r="V620" s="73" t="s">
        <v>212</v>
      </c>
      <c r="W620" s="50">
        <v>3.11</v>
      </c>
      <c r="X620" s="49" t="s">
        <v>8537</v>
      </c>
      <c r="Y620" s="49" t="s">
        <v>8538</v>
      </c>
      <c r="Z620" s="49" t="s">
        <v>3230</v>
      </c>
      <c r="AA620" s="61">
        <v>0.41</v>
      </c>
      <c r="AB620" s="48" t="s">
        <v>8539</v>
      </c>
      <c r="AC620" s="62" t="s">
        <v>8536</v>
      </c>
      <c r="AD620" s="53" t="str">
        <f t="shared" si="451"/>
        <v>Link</v>
      </c>
      <c r="AE620" s="54">
        <v>3993</v>
      </c>
      <c r="AF620" s="55"/>
      <c r="AG620" s="55"/>
      <c r="AH620" s="56">
        <v>130934</v>
      </c>
      <c r="AI620" s="7"/>
      <c r="AJ620" s="7"/>
    </row>
    <row r="621" spans="1:36" ht="15" x14ac:dyDescent="0.2">
      <c r="A621" s="43" t="s">
        <v>8429</v>
      </c>
      <c r="B621" s="33" t="s">
        <v>66</v>
      </c>
      <c r="C621" s="7" t="s">
        <v>67</v>
      </c>
      <c r="D621" s="7" t="s">
        <v>8560</v>
      </c>
      <c r="E621" s="44">
        <v>5</v>
      </c>
      <c r="F621" s="7"/>
      <c r="G621" s="7"/>
      <c r="H621" s="2" t="s">
        <v>8561</v>
      </c>
      <c r="I621" s="7" t="s">
        <v>8562</v>
      </c>
      <c r="J621" s="7" t="s">
        <v>8564</v>
      </c>
      <c r="K621" s="7" t="s">
        <v>48</v>
      </c>
      <c r="L621" s="7" t="s">
        <v>8565</v>
      </c>
      <c r="M621" s="7" t="s">
        <v>8566</v>
      </c>
      <c r="N621" s="45" t="str">
        <f t="shared" ref="N621:N624" si="452">HYPERLINK("twitter.com/famusoftball","@famusoftball")</f>
        <v>@famusoftball</v>
      </c>
      <c r="O621" s="45" t="str">
        <f t="shared" ref="O621:O624" si="453">HYPERLINK("http://www.famuathletics.com/quest/Questionaire.dbml?&amp;QID=147320&amp;DB_OEM_ID=25300","Questionnaire")</f>
        <v>Questionnaire</v>
      </c>
      <c r="P621" s="47" t="s">
        <v>8572</v>
      </c>
      <c r="Q621" s="47" t="s">
        <v>66</v>
      </c>
      <c r="R621" s="48" t="s">
        <v>828</v>
      </c>
      <c r="S621" s="48" t="s">
        <v>62</v>
      </c>
      <c r="T621" s="49" t="s">
        <v>74</v>
      </c>
      <c r="U621" s="48" t="s">
        <v>75</v>
      </c>
      <c r="V621" s="73" t="s">
        <v>212</v>
      </c>
      <c r="W621" s="50">
        <v>3.47</v>
      </c>
      <c r="X621" s="49" t="s">
        <v>8175</v>
      </c>
      <c r="Y621" s="49" t="s">
        <v>2257</v>
      </c>
      <c r="Z621" s="49" t="s">
        <v>125</v>
      </c>
      <c r="AA621" s="61">
        <v>0.31</v>
      </c>
      <c r="AB621" s="48" t="s">
        <v>8573</v>
      </c>
      <c r="AC621" s="52" t="s">
        <v>8572</v>
      </c>
      <c r="AD621" s="53" t="str">
        <f t="shared" ref="AD621:AD624" si="454">HYPERLINK("http://www.famu.edu/index.cfm?academics&amp;UndergraduatePrograms","Link")</f>
        <v>Link</v>
      </c>
      <c r="AE621" s="54">
        <v>7769</v>
      </c>
      <c r="AF621" s="54">
        <v>207</v>
      </c>
      <c r="AG621" s="55"/>
      <c r="AH621" s="56">
        <v>133650</v>
      </c>
      <c r="AI621" s="7"/>
      <c r="AJ621" s="7"/>
    </row>
    <row r="622" spans="1:36" ht="15" x14ac:dyDescent="0.2">
      <c r="A622" s="43" t="s">
        <v>8429</v>
      </c>
      <c r="B622" s="33" t="s">
        <v>66</v>
      </c>
      <c r="C622" s="7" t="s">
        <v>67</v>
      </c>
      <c r="D622" s="7" t="s">
        <v>8580</v>
      </c>
      <c r="E622" s="44">
        <v>5</v>
      </c>
      <c r="F622" s="7"/>
      <c r="G622" s="7"/>
      <c r="H622" s="2" t="s">
        <v>8561</v>
      </c>
      <c r="I622" s="7" t="s">
        <v>2816</v>
      </c>
      <c r="J622" s="7" t="s">
        <v>8582</v>
      </c>
      <c r="K622" s="7" t="s">
        <v>55</v>
      </c>
      <c r="L622" s="7" t="s">
        <v>8583</v>
      </c>
      <c r="M622" s="7"/>
      <c r="N622" s="45" t="str">
        <f t="shared" si="452"/>
        <v>@famusoftball</v>
      </c>
      <c r="O622" s="45" t="str">
        <f t="shared" si="453"/>
        <v>Questionnaire</v>
      </c>
      <c r="P622" s="47" t="s">
        <v>8572</v>
      </c>
      <c r="Q622" s="47" t="s">
        <v>66</v>
      </c>
      <c r="R622" s="48" t="s">
        <v>828</v>
      </c>
      <c r="S622" s="48" t="s">
        <v>62</v>
      </c>
      <c r="T622" s="49" t="s">
        <v>74</v>
      </c>
      <c r="U622" s="48" t="s">
        <v>75</v>
      </c>
      <c r="V622" s="73" t="s">
        <v>212</v>
      </c>
      <c r="W622" s="50">
        <v>3.47</v>
      </c>
      <c r="X622" s="49" t="s">
        <v>8175</v>
      </c>
      <c r="Y622" s="49" t="s">
        <v>2257</v>
      </c>
      <c r="Z622" s="49" t="s">
        <v>125</v>
      </c>
      <c r="AA622" s="61">
        <v>0.31</v>
      </c>
      <c r="AB622" s="48" t="s">
        <v>8573</v>
      </c>
      <c r="AC622" s="52" t="s">
        <v>8572</v>
      </c>
      <c r="AD622" s="53" t="str">
        <f t="shared" si="454"/>
        <v>Link</v>
      </c>
      <c r="AE622" s="54">
        <v>7769</v>
      </c>
      <c r="AF622" s="54">
        <v>207</v>
      </c>
      <c r="AG622" s="55"/>
      <c r="AH622" s="56">
        <v>133650</v>
      </c>
      <c r="AI622" s="7"/>
      <c r="AJ622" s="7"/>
    </row>
    <row r="623" spans="1:36" ht="15" x14ac:dyDescent="0.2">
      <c r="A623" s="43" t="s">
        <v>8429</v>
      </c>
      <c r="B623" s="33" t="s">
        <v>66</v>
      </c>
      <c r="C623" s="7" t="s">
        <v>67</v>
      </c>
      <c r="D623" s="7" t="s">
        <v>8580</v>
      </c>
      <c r="E623" s="44">
        <v>5</v>
      </c>
      <c r="F623" s="7"/>
      <c r="G623" s="7"/>
      <c r="H623" s="2" t="s">
        <v>8561</v>
      </c>
      <c r="I623" s="7" t="s">
        <v>8591</v>
      </c>
      <c r="J623" s="7" t="s">
        <v>8592</v>
      </c>
      <c r="K623" s="7" t="s">
        <v>55</v>
      </c>
      <c r="L623" s="7" t="s">
        <v>8594</v>
      </c>
      <c r="M623" s="7" t="s">
        <v>8595</v>
      </c>
      <c r="N623" s="45" t="str">
        <f t="shared" si="452"/>
        <v>@famusoftball</v>
      </c>
      <c r="O623" s="45" t="str">
        <f t="shared" si="453"/>
        <v>Questionnaire</v>
      </c>
      <c r="P623" s="47" t="s">
        <v>8572</v>
      </c>
      <c r="Q623" s="47" t="s">
        <v>66</v>
      </c>
      <c r="R623" s="48" t="s">
        <v>828</v>
      </c>
      <c r="S623" s="48" t="s">
        <v>62</v>
      </c>
      <c r="T623" s="49" t="s">
        <v>74</v>
      </c>
      <c r="U623" s="48" t="s">
        <v>75</v>
      </c>
      <c r="V623" s="73" t="s">
        <v>212</v>
      </c>
      <c r="W623" s="50">
        <v>3.47</v>
      </c>
      <c r="X623" s="49" t="s">
        <v>8175</v>
      </c>
      <c r="Y623" s="49" t="s">
        <v>2257</v>
      </c>
      <c r="Z623" s="49" t="s">
        <v>125</v>
      </c>
      <c r="AA623" s="61">
        <v>0.31</v>
      </c>
      <c r="AB623" s="48" t="s">
        <v>8573</v>
      </c>
      <c r="AC623" s="52" t="s">
        <v>8572</v>
      </c>
      <c r="AD623" s="53" t="str">
        <f t="shared" si="454"/>
        <v>Link</v>
      </c>
      <c r="AE623" s="54">
        <v>7769</v>
      </c>
      <c r="AF623" s="54">
        <v>207</v>
      </c>
      <c r="AG623" s="55"/>
      <c r="AH623" s="56">
        <v>133650</v>
      </c>
      <c r="AI623" s="7"/>
      <c r="AJ623" s="7"/>
    </row>
    <row r="624" spans="1:36" ht="15" x14ac:dyDescent="0.2">
      <c r="A624" s="43" t="s">
        <v>8429</v>
      </c>
      <c r="B624" s="33" t="s">
        <v>66</v>
      </c>
      <c r="C624" s="7" t="s">
        <v>67</v>
      </c>
      <c r="D624" s="7" t="s">
        <v>8608</v>
      </c>
      <c r="E624" s="44">
        <v>5</v>
      </c>
      <c r="F624" s="7"/>
      <c r="G624" s="7"/>
      <c r="H624" s="2" t="s">
        <v>8561</v>
      </c>
      <c r="I624" s="7" t="s">
        <v>201</v>
      </c>
      <c r="J624" s="7" t="s">
        <v>2536</v>
      </c>
      <c r="K624" s="7" t="s">
        <v>120</v>
      </c>
      <c r="L624" s="7" t="s">
        <v>8609</v>
      </c>
      <c r="M624" s="7" t="s">
        <v>8610</v>
      </c>
      <c r="N624" s="69" t="str">
        <f t="shared" si="452"/>
        <v>@famusoftball</v>
      </c>
      <c r="O624" s="69" t="str">
        <f t="shared" si="453"/>
        <v>Questionnaire</v>
      </c>
      <c r="P624" s="47" t="s">
        <v>8572</v>
      </c>
      <c r="Q624" s="47" t="s">
        <v>66</v>
      </c>
      <c r="R624" s="48" t="s">
        <v>828</v>
      </c>
      <c r="S624" s="48" t="s">
        <v>62</v>
      </c>
      <c r="T624" s="49" t="s">
        <v>74</v>
      </c>
      <c r="U624" s="48" t="s">
        <v>75</v>
      </c>
      <c r="V624" s="73" t="s">
        <v>212</v>
      </c>
      <c r="W624" s="50">
        <v>3.47</v>
      </c>
      <c r="X624" s="49" t="s">
        <v>8175</v>
      </c>
      <c r="Y624" s="49" t="s">
        <v>2257</v>
      </c>
      <c r="Z624" s="49" t="s">
        <v>125</v>
      </c>
      <c r="AA624" s="61">
        <v>0.31</v>
      </c>
      <c r="AB624" s="48" t="s">
        <v>8573</v>
      </c>
      <c r="AC624" s="52" t="s">
        <v>8572</v>
      </c>
      <c r="AD624" s="53" t="str">
        <f t="shared" si="454"/>
        <v>Link</v>
      </c>
      <c r="AE624" s="54">
        <v>7769</v>
      </c>
      <c r="AF624" s="54">
        <v>207</v>
      </c>
      <c r="AG624" s="55"/>
      <c r="AH624" s="56">
        <v>133650</v>
      </c>
      <c r="AI624" s="7"/>
      <c r="AJ624" s="7"/>
    </row>
    <row r="625" spans="1:36" ht="13" x14ac:dyDescent="0.15">
      <c r="A625" s="88" t="s">
        <v>8429</v>
      </c>
      <c r="B625" s="2" t="s">
        <v>1361</v>
      </c>
      <c r="C625" s="7" t="s">
        <v>67</v>
      </c>
      <c r="D625" s="7" t="s">
        <v>8616</v>
      </c>
      <c r="E625" s="44">
        <v>5</v>
      </c>
      <c r="F625" s="7"/>
      <c r="G625" s="7"/>
      <c r="H625" s="2" t="s">
        <v>8618</v>
      </c>
      <c r="I625" s="7" t="s">
        <v>8620</v>
      </c>
      <c r="J625" s="7" t="s">
        <v>8621</v>
      </c>
      <c r="K625" s="7" t="s">
        <v>48</v>
      </c>
      <c r="L625" s="7" t="s">
        <v>8625</v>
      </c>
      <c r="M625" s="7" t="s">
        <v>8626</v>
      </c>
      <c r="N625" s="69" t="str">
        <f t="shared" ref="N625:N627" si="455">HYPERLINK("twitter.com/Hampton_SB","@Hampton_SB")</f>
        <v>@Hampton_SB</v>
      </c>
      <c r="O625" s="69" t="str">
        <f t="shared" ref="O625:O627" si="456">HYPERLINK("https://hamptonpirates.com/sb_output.aspx?form=8&amp;path=softball","Questionnaire")</f>
        <v>Questionnaire</v>
      </c>
      <c r="P625" s="48" t="s">
        <v>3224</v>
      </c>
      <c r="Q625" s="60" t="s">
        <v>1361</v>
      </c>
      <c r="R625" s="48" t="s">
        <v>3224</v>
      </c>
      <c r="S625" s="48" t="s">
        <v>238</v>
      </c>
      <c r="T625" s="4" t="s">
        <v>63</v>
      </c>
      <c r="U625" s="5" t="s">
        <v>75</v>
      </c>
      <c r="V625" s="5" t="s">
        <v>212</v>
      </c>
      <c r="W625" s="91">
        <v>3.22</v>
      </c>
      <c r="X625" s="4" t="s">
        <v>2878</v>
      </c>
      <c r="Y625" s="4" t="s">
        <v>253</v>
      </c>
      <c r="Z625" s="4" t="s">
        <v>125</v>
      </c>
      <c r="AA625" s="65">
        <v>0.65</v>
      </c>
      <c r="AB625" s="39">
        <v>38826</v>
      </c>
      <c r="AC625" s="76" t="s">
        <v>3224</v>
      </c>
      <c r="AD625" s="67" t="str">
        <f t="shared" ref="AD625:AD628" si="457">HYPERLINK("http://www.hamptonu.edu/academics/departments.cfm","Link")</f>
        <v>Link</v>
      </c>
      <c r="AE625" s="42">
        <v>3836</v>
      </c>
      <c r="AF625" s="55"/>
      <c r="AG625" s="55"/>
      <c r="AH625" s="56">
        <v>232265</v>
      </c>
      <c r="AI625" s="7"/>
      <c r="AJ625" s="7"/>
    </row>
    <row r="626" spans="1:36" ht="13" x14ac:dyDescent="0.15">
      <c r="A626" s="88" t="s">
        <v>8429</v>
      </c>
      <c r="B626" s="2" t="s">
        <v>1361</v>
      </c>
      <c r="C626" s="7" t="s">
        <v>67</v>
      </c>
      <c r="D626" s="7" t="s">
        <v>8641</v>
      </c>
      <c r="E626" s="44">
        <v>5</v>
      </c>
      <c r="F626" s="7"/>
      <c r="G626" s="7"/>
      <c r="H626" s="2" t="s">
        <v>8618</v>
      </c>
      <c r="I626" s="7" t="s">
        <v>4233</v>
      </c>
      <c r="J626" s="7" t="s">
        <v>8621</v>
      </c>
      <c r="K626" s="7" t="s">
        <v>55</v>
      </c>
      <c r="L626" s="7" t="s">
        <v>8642</v>
      </c>
      <c r="M626" s="7" t="s">
        <v>8643</v>
      </c>
      <c r="N626" s="69" t="str">
        <f t="shared" si="455"/>
        <v>@Hampton_SB</v>
      </c>
      <c r="O626" s="69" t="str">
        <f t="shared" si="456"/>
        <v>Questionnaire</v>
      </c>
      <c r="P626" s="48" t="s">
        <v>3224</v>
      </c>
      <c r="Q626" s="60" t="s">
        <v>1361</v>
      </c>
      <c r="R626" s="48" t="s">
        <v>3224</v>
      </c>
      <c r="S626" s="48" t="s">
        <v>238</v>
      </c>
      <c r="T626" s="4" t="s">
        <v>63</v>
      </c>
      <c r="U626" s="5" t="s">
        <v>75</v>
      </c>
      <c r="V626" s="5" t="s">
        <v>212</v>
      </c>
      <c r="W626" s="91">
        <v>3.22</v>
      </c>
      <c r="X626" s="4" t="s">
        <v>2878</v>
      </c>
      <c r="Y626" s="4" t="s">
        <v>253</v>
      </c>
      <c r="Z626" s="4" t="s">
        <v>125</v>
      </c>
      <c r="AA626" s="65">
        <v>0.65</v>
      </c>
      <c r="AB626" s="39">
        <v>38826</v>
      </c>
      <c r="AC626" s="76" t="s">
        <v>3224</v>
      </c>
      <c r="AD626" s="67" t="str">
        <f t="shared" si="457"/>
        <v>Link</v>
      </c>
      <c r="AE626" s="42">
        <v>3836</v>
      </c>
      <c r="AF626" s="55"/>
      <c r="AG626" s="55"/>
      <c r="AH626" s="56">
        <v>232265</v>
      </c>
      <c r="AI626" s="7"/>
      <c r="AJ626" s="7"/>
    </row>
    <row r="627" spans="1:36" ht="13" x14ac:dyDescent="0.15">
      <c r="A627" s="88" t="s">
        <v>8429</v>
      </c>
      <c r="B627" s="2" t="s">
        <v>1361</v>
      </c>
      <c r="C627" s="7" t="s">
        <v>67</v>
      </c>
      <c r="D627" s="7" t="s">
        <v>8653</v>
      </c>
      <c r="E627" s="44">
        <v>5</v>
      </c>
      <c r="F627" s="7"/>
      <c r="G627" s="7"/>
      <c r="H627" s="2" t="s">
        <v>8618</v>
      </c>
      <c r="I627" s="7" t="s">
        <v>3315</v>
      </c>
      <c r="J627" s="7" t="s">
        <v>3355</v>
      </c>
      <c r="K627" s="7" t="s">
        <v>55</v>
      </c>
      <c r="L627" s="7" t="s">
        <v>8654</v>
      </c>
      <c r="M627" s="7" t="s">
        <v>8643</v>
      </c>
      <c r="N627" s="69" t="str">
        <f t="shared" si="455"/>
        <v>@Hampton_SB</v>
      </c>
      <c r="O627" s="69" t="str">
        <f t="shared" si="456"/>
        <v>Questionnaire</v>
      </c>
      <c r="P627" s="48" t="s">
        <v>3224</v>
      </c>
      <c r="Q627" s="60" t="s">
        <v>1361</v>
      </c>
      <c r="R627" s="48" t="s">
        <v>3224</v>
      </c>
      <c r="S627" s="48" t="s">
        <v>238</v>
      </c>
      <c r="T627" s="4" t="s">
        <v>63</v>
      </c>
      <c r="U627" s="5" t="s">
        <v>75</v>
      </c>
      <c r="V627" s="5" t="s">
        <v>212</v>
      </c>
      <c r="W627" s="91">
        <v>3.22</v>
      </c>
      <c r="X627" s="4" t="s">
        <v>2878</v>
      </c>
      <c r="Y627" s="4" t="s">
        <v>253</v>
      </c>
      <c r="Z627" s="4" t="s">
        <v>125</v>
      </c>
      <c r="AA627" s="65">
        <v>0.65</v>
      </c>
      <c r="AB627" s="39">
        <v>38826</v>
      </c>
      <c r="AC627" s="76" t="s">
        <v>3224</v>
      </c>
      <c r="AD627" s="67" t="str">
        <f t="shared" si="457"/>
        <v>Link</v>
      </c>
      <c r="AE627" s="42">
        <v>3836</v>
      </c>
      <c r="AF627" s="55"/>
      <c r="AG627" s="55"/>
      <c r="AH627" s="56">
        <v>232265</v>
      </c>
      <c r="AI627" s="7"/>
      <c r="AJ627" s="7"/>
    </row>
    <row r="628" spans="1:36" ht="13" x14ac:dyDescent="0.15">
      <c r="A628" s="88" t="s">
        <v>8429</v>
      </c>
      <c r="B628" s="2" t="s">
        <v>1361</v>
      </c>
      <c r="C628" s="7" t="s">
        <v>67</v>
      </c>
      <c r="D628" s="7" t="s">
        <v>8661</v>
      </c>
      <c r="E628" s="44">
        <v>5</v>
      </c>
      <c r="F628" s="7"/>
      <c r="G628" s="7"/>
      <c r="H628" s="2" t="s">
        <v>8618</v>
      </c>
      <c r="I628" s="7" t="s">
        <v>1124</v>
      </c>
      <c r="J628" s="7" t="s">
        <v>3206</v>
      </c>
      <c r="K628" s="7" t="s">
        <v>55</v>
      </c>
      <c r="L628" s="7" t="s">
        <v>8662</v>
      </c>
      <c r="M628" s="7"/>
      <c r="N628" s="7"/>
      <c r="O628" s="7"/>
      <c r="P628" s="48" t="s">
        <v>3224</v>
      </c>
      <c r="Q628" s="60" t="s">
        <v>1361</v>
      </c>
      <c r="R628" s="48" t="s">
        <v>3224</v>
      </c>
      <c r="S628" s="48" t="s">
        <v>238</v>
      </c>
      <c r="T628" s="4" t="s">
        <v>63</v>
      </c>
      <c r="U628" s="5" t="s">
        <v>75</v>
      </c>
      <c r="V628" s="5" t="s">
        <v>212</v>
      </c>
      <c r="W628" s="65">
        <v>3.22</v>
      </c>
      <c r="X628" s="4" t="s">
        <v>2878</v>
      </c>
      <c r="Y628" s="4" t="s">
        <v>253</v>
      </c>
      <c r="Z628" s="4" t="s">
        <v>125</v>
      </c>
      <c r="AA628" s="65">
        <v>0.65</v>
      </c>
      <c r="AB628" s="39">
        <v>38826</v>
      </c>
      <c r="AC628" s="76" t="s">
        <v>3224</v>
      </c>
      <c r="AD628" s="67" t="str">
        <f t="shared" si="457"/>
        <v>Link</v>
      </c>
      <c r="AE628" s="42">
        <v>3836</v>
      </c>
      <c r="AF628" s="55"/>
      <c r="AG628" s="55"/>
      <c r="AH628" s="56">
        <v>232265</v>
      </c>
      <c r="AI628" s="85"/>
      <c r="AJ628" s="85"/>
    </row>
    <row r="629" spans="1:36" ht="13" x14ac:dyDescent="0.15">
      <c r="A629" s="88" t="s">
        <v>8429</v>
      </c>
      <c r="B629" s="2" t="s">
        <v>1223</v>
      </c>
      <c r="C629" s="7" t="s">
        <v>67</v>
      </c>
      <c r="D629" s="7" t="s">
        <v>8672</v>
      </c>
      <c r="E629" s="44">
        <v>5</v>
      </c>
      <c r="F629" s="7"/>
      <c r="G629" s="7"/>
      <c r="H629" s="2" t="s">
        <v>8673</v>
      </c>
      <c r="I629" s="7" t="s">
        <v>1717</v>
      </c>
      <c r="J629" s="7" t="s">
        <v>8674</v>
      </c>
      <c r="K629" s="7" t="s">
        <v>48</v>
      </c>
      <c r="L629" s="7" t="s">
        <v>8676</v>
      </c>
      <c r="M629" s="7" t="s">
        <v>8679</v>
      </c>
      <c r="N629" s="45" t="str">
        <f t="shared" ref="N629:N630" si="458">HYPERLINK("twitter.com/hubisonsoftball","@hubisonsoftball")</f>
        <v>@hubisonsoftball</v>
      </c>
      <c r="O629" s="45" t="str">
        <f t="shared" ref="O629:O630" si="459">HYPERLINK("https://hubison.com/sb_output.aspx?form=7&amp;path=football","Questionnaire")</f>
        <v>Questionnaire</v>
      </c>
      <c r="P629" s="48" t="s">
        <v>8689</v>
      </c>
      <c r="Q629" s="60" t="s">
        <v>1223</v>
      </c>
      <c r="R629" s="48" t="s">
        <v>1996</v>
      </c>
      <c r="S629" s="4" t="s">
        <v>354</v>
      </c>
      <c r="T629" s="5" t="s">
        <v>63</v>
      </c>
      <c r="U629" s="4" t="s">
        <v>75</v>
      </c>
      <c r="V629" s="5" t="s">
        <v>212</v>
      </c>
      <c r="W629" s="91">
        <v>3.33</v>
      </c>
      <c r="X629" s="4" t="s">
        <v>1230</v>
      </c>
      <c r="Y629" s="4" t="s">
        <v>1230</v>
      </c>
      <c r="Z629" s="4" t="s">
        <v>689</v>
      </c>
      <c r="AA629" s="65">
        <v>0.3</v>
      </c>
      <c r="AB629" s="39">
        <v>41488</v>
      </c>
      <c r="AC629" s="76" t="s">
        <v>8689</v>
      </c>
      <c r="AD629" s="67" t="str">
        <f t="shared" ref="AD629:AD630" si="460">HYPERLINK("https://www.howard.edu/enrollment/apply/instructions-grad-schoolcodes.htm","Link")</f>
        <v>Link</v>
      </c>
      <c r="AE629" s="42">
        <v>5899</v>
      </c>
      <c r="AF629" s="42">
        <v>110</v>
      </c>
      <c r="AG629" s="55"/>
      <c r="AH629" s="56">
        <v>131520</v>
      </c>
      <c r="AI629" s="7"/>
      <c r="AJ629" s="7"/>
    </row>
    <row r="630" spans="1:36" ht="13" x14ac:dyDescent="0.15">
      <c r="A630" s="88" t="s">
        <v>8429</v>
      </c>
      <c r="B630" s="2" t="s">
        <v>1223</v>
      </c>
      <c r="C630" s="7" t="s">
        <v>67</v>
      </c>
      <c r="D630" s="7" t="s">
        <v>8696</v>
      </c>
      <c r="E630" s="44">
        <v>5</v>
      </c>
      <c r="F630" s="7"/>
      <c r="G630" s="7"/>
      <c r="H630" s="2" t="s">
        <v>8673</v>
      </c>
      <c r="I630" s="7" t="s">
        <v>8697</v>
      </c>
      <c r="J630" s="7" t="s">
        <v>773</v>
      </c>
      <c r="K630" s="7" t="s">
        <v>55</v>
      </c>
      <c r="L630" s="7"/>
      <c r="M630" s="7" t="s">
        <v>8679</v>
      </c>
      <c r="N630" s="45" t="str">
        <f t="shared" si="458"/>
        <v>@hubisonsoftball</v>
      </c>
      <c r="O630" s="45" t="str">
        <f t="shared" si="459"/>
        <v>Questionnaire</v>
      </c>
      <c r="P630" s="48" t="s">
        <v>8689</v>
      </c>
      <c r="Q630" s="60" t="s">
        <v>1223</v>
      </c>
      <c r="R630" s="48" t="s">
        <v>1996</v>
      </c>
      <c r="S630" s="4" t="s">
        <v>354</v>
      </c>
      <c r="T630" s="5" t="s">
        <v>63</v>
      </c>
      <c r="U630" s="4" t="s">
        <v>75</v>
      </c>
      <c r="V630" s="5" t="s">
        <v>212</v>
      </c>
      <c r="W630" s="91">
        <v>3.33</v>
      </c>
      <c r="X630" s="4" t="s">
        <v>1230</v>
      </c>
      <c r="Y630" s="4" t="s">
        <v>1230</v>
      </c>
      <c r="Z630" s="4" t="s">
        <v>689</v>
      </c>
      <c r="AA630" s="65">
        <v>0.3</v>
      </c>
      <c r="AB630" s="39">
        <v>41488</v>
      </c>
      <c r="AC630" s="76" t="s">
        <v>8689</v>
      </c>
      <c r="AD630" s="67" t="str">
        <f t="shared" si="460"/>
        <v>Link</v>
      </c>
      <c r="AE630" s="42">
        <v>5899</v>
      </c>
      <c r="AF630" s="42">
        <v>110</v>
      </c>
      <c r="AG630" s="55"/>
      <c r="AH630" s="56">
        <v>131520</v>
      </c>
      <c r="AI630" s="7"/>
      <c r="AJ630" s="7"/>
    </row>
    <row r="631" spans="1:36" ht="15" x14ac:dyDescent="0.2">
      <c r="A631" s="43" t="s">
        <v>8429</v>
      </c>
      <c r="B631" s="33" t="s">
        <v>1668</v>
      </c>
      <c r="C631" s="7" t="s">
        <v>67</v>
      </c>
      <c r="D631" s="7" t="s">
        <v>8708</v>
      </c>
      <c r="E631" s="44">
        <v>5</v>
      </c>
      <c r="F631" s="7"/>
      <c r="G631" s="7"/>
      <c r="H631" s="2" t="s">
        <v>8711</v>
      </c>
      <c r="I631" s="7" t="s">
        <v>8712</v>
      </c>
      <c r="J631" s="7" t="s">
        <v>5125</v>
      </c>
      <c r="K631" s="7" t="s">
        <v>48</v>
      </c>
      <c r="L631" s="7" t="s">
        <v>8713</v>
      </c>
      <c r="M631" s="7"/>
      <c r="N631" s="69" t="str">
        <f t="shared" ref="N631:N632" si="461">HYPERLINK("twitter.com/eshawkssb","@eshawkssb")</f>
        <v>@eshawkssb</v>
      </c>
      <c r="O631" s="48" t="s">
        <v>22</v>
      </c>
      <c r="P631" s="47" t="s">
        <v>8717</v>
      </c>
      <c r="Q631" s="47" t="s">
        <v>1668</v>
      </c>
      <c r="R631" s="48" t="s">
        <v>8719</v>
      </c>
      <c r="S631" s="60" t="s">
        <v>205</v>
      </c>
      <c r="T631" s="49" t="s">
        <v>74</v>
      </c>
      <c r="U631" s="48" t="s">
        <v>75</v>
      </c>
      <c r="V631" s="73" t="s">
        <v>212</v>
      </c>
      <c r="W631" s="50">
        <v>2.8</v>
      </c>
      <c r="X631" s="49" t="s">
        <v>3614</v>
      </c>
      <c r="Y631" s="49" t="s">
        <v>3782</v>
      </c>
      <c r="Z631" s="49" t="s">
        <v>3544</v>
      </c>
      <c r="AA631" s="61">
        <v>0.38</v>
      </c>
      <c r="AB631" s="48" t="s">
        <v>8721</v>
      </c>
      <c r="AC631" s="52" t="s">
        <v>8717</v>
      </c>
      <c r="AD631" s="53" t="str">
        <f t="shared" ref="AD631:AD632" si="462">HYPERLINK("https://www.umes.edu/Academic/Pages/Undergraduate-Degree-Programs/","Link")</f>
        <v>Link</v>
      </c>
      <c r="AE631" s="54">
        <v>3277</v>
      </c>
      <c r="AF631" s="55"/>
      <c r="AG631" s="55"/>
      <c r="AH631" s="56">
        <v>163338</v>
      </c>
      <c r="AI631" s="7"/>
      <c r="AJ631" s="7"/>
    </row>
    <row r="632" spans="1:36" ht="15" x14ac:dyDescent="0.2">
      <c r="A632" s="43" t="s">
        <v>8429</v>
      </c>
      <c r="B632" s="33" t="s">
        <v>1668</v>
      </c>
      <c r="C632" s="7" t="s">
        <v>67</v>
      </c>
      <c r="D632" s="7" t="s">
        <v>8726</v>
      </c>
      <c r="E632" s="44">
        <v>5</v>
      </c>
      <c r="F632" s="7"/>
      <c r="G632" s="7"/>
      <c r="H632" s="2" t="s">
        <v>8711</v>
      </c>
      <c r="I632" s="7" t="s">
        <v>8727</v>
      </c>
      <c r="J632" s="7" t="s">
        <v>5273</v>
      </c>
      <c r="K632" s="7" t="s">
        <v>139</v>
      </c>
      <c r="L632" s="7"/>
      <c r="M632" s="7"/>
      <c r="N632" s="69" t="str">
        <f t="shared" si="461"/>
        <v>@eshawkssb</v>
      </c>
      <c r="O632" s="48" t="s">
        <v>22</v>
      </c>
      <c r="P632" s="47" t="s">
        <v>8717</v>
      </c>
      <c r="Q632" s="47" t="s">
        <v>1668</v>
      </c>
      <c r="R632" s="48" t="s">
        <v>8719</v>
      </c>
      <c r="S632" s="60" t="s">
        <v>205</v>
      </c>
      <c r="T632" s="49" t="s">
        <v>74</v>
      </c>
      <c r="U632" s="48" t="s">
        <v>75</v>
      </c>
      <c r="V632" s="73" t="s">
        <v>212</v>
      </c>
      <c r="W632" s="50">
        <v>2.8</v>
      </c>
      <c r="X632" s="49" t="s">
        <v>3614</v>
      </c>
      <c r="Y632" s="49" t="s">
        <v>3782</v>
      </c>
      <c r="Z632" s="49" t="s">
        <v>3544</v>
      </c>
      <c r="AA632" s="61">
        <v>0.38</v>
      </c>
      <c r="AB632" s="48" t="s">
        <v>8721</v>
      </c>
      <c r="AC632" s="52" t="s">
        <v>8717</v>
      </c>
      <c r="AD632" s="53" t="str">
        <f t="shared" si="462"/>
        <v>Link</v>
      </c>
      <c r="AE632" s="54">
        <v>3277</v>
      </c>
      <c r="AF632" s="55"/>
      <c r="AG632" s="55"/>
      <c r="AH632" s="56">
        <v>163338</v>
      </c>
      <c r="AI632" s="7"/>
      <c r="AJ632" s="7"/>
    </row>
    <row r="633" spans="1:36" ht="13" x14ac:dyDescent="0.15">
      <c r="A633" s="88" t="s">
        <v>8429</v>
      </c>
      <c r="B633" s="2" t="s">
        <v>1668</v>
      </c>
      <c r="C633" s="7" t="s">
        <v>67</v>
      </c>
      <c r="D633" s="7" t="s">
        <v>8737</v>
      </c>
      <c r="E633" s="44">
        <v>5</v>
      </c>
      <c r="F633" s="7"/>
      <c r="G633" s="7"/>
      <c r="H633" s="2" t="s">
        <v>8738</v>
      </c>
      <c r="I633" s="2" t="s">
        <v>2157</v>
      </c>
      <c r="J633" s="2" t="s">
        <v>8739</v>
      </c>
      <c r="K633" s="7" t="s">
        <v>48</v>
      </c>
      <c r="L633" s="2" t="s">
        <v>8740</v>
      </c>
      <c r="M633" s="2" t="s">
        <v>8741</v>
      </c>
      <c r="N633" s="69" t="str">
        <f t="shared" ref="N633:N635" si="463">HYPERLINK("twitter.com/morganstatesb","@morganstatesb")</f>
        <v>@morganstatesb</v>
      </c>
      <c r="O633" s="69" t="str">
        <f t="shared" ref="O633:O635" si="464">HYPERLINK("https://morganstatebears.com/sb_output.aspx?form=3&amp;path=foot","Questionnaire")</f>
        <v>Questionnaire</v>
      </c>
      <c r="P633" s="60" t="s">
        <v>8753</v>
      </c>
      <c r="Q633" s="60" t="s">
        <v>1668</v>
      </c>
      <c r="R633" s="48" t="s">
        <v>1681</v>
      </c>
      <c r="S633" s="4" t="s">
        <v>354</v>
      </c>
      <c r="T633" s="4" t="s">
        <v>74</v>
      </c>
      <c r="U633" s="4" t="s">
        <v>75</v>
      </c>
      <c r="V633" s="5" t="s">
        <v>212</v>
      </c>
      <c r="W633" s="91">
        <v>3</v>
      </c>
      <c r="X633" s="4" t="s">
        <v>3892</v>
      </c>
      <c r="Y633" s="4" t="s">
        <v>8538</v>
      </c>
      <c r="Z633" s="4" t="s">
        <v>1400</v>
      </c>
      <c r="AA633" s="65">
        <v>0.6</v>
      </c>
      <c r="AB633" s="48" t="s">
        <v>8755</v>
      </c>
      <c r="AC633" s="66" t="s">
        <v>8753</v>
      </c>
      <c r="AD633" s="67" t="str">
        <f t="shared" ref="AD633:AD635" si="465">HYPERLINK("http://www.morgan.edu/academics/academic_programs.html","Link")</f>
        <v>Link</v>
      </c>
      <c r="AE633" s="42">
        <v>6362</v>
      </c>
      <c r="AF633" s="55"/>
      <c r="AG633" s="55"/>
      <c r="AH633" s="56">
        <v>163453</v>
      </c>
      <c r="AI633" s="7"/>
      <c r="AJ633" s="7"/>
    </row>
    <row r="634" spans="1:36" ht="13" x14ac:dyDescent="0.15">
      <c r="A634" s="88" t="s">
        <v>8429</v>
      </c>
      <c r="B634" s="2" t="s">
        <v>1668</v>
      </c>
      <c r="C634" s="7" t="s">
        <v>67</v>
      </c>
      <c r="D634" s="7" t="s">
        <v>8763</v>
      </c>
      <c r="E634" s="44">
        <v>5</v>
      </c>
      <c r="F634" s="7"/>
      <c r="G634" s="7"/>
      <c r="H634" s="2" t="s">
        <v>8738</v>
      </c>
      <c r="I634" s="2" t="s">
        <v>8765</v>
      </c>
      <c r="J634" s="2" t="s">
        <v>8767</v>
      </c>
      <c r="K634" s="2" t="s">
        <v>55</v>
      </c>
      <c r="L634" s="2" t="s">
        <v>8768</v>
      </c>
      <c r="M634" s="2" t="s">
        <v>8741</v>
      </c>
      <c r="N634" s="45" t="str">
        <f t="shared" si="463"/>
        <v>@morganstatesb</v>
      </c>
      <c r="O634" s="45" t="str">
        <f t="shared" si="464"/>
        <v>Questionnaire</v>
      </c>
      <c r="P634" s="60" t="s">
        <v>8753</v>
      </c>
      <c r="Q634" s="60" t="s">
        <v>1668</v>
      </c>
      <c r="R634" s="48" t="s">
        <v>1681</v>
      </c>
      <c r="S634" s="4" t="s">
        <v>354</v>
      </c>
      <c r="T634" s="4" t="s">
        <v>74</v>
      </c>
      <c r="U634" s="4" t="s">
        <v>75</v>
      </c>
      <c r="V634" s="5" t="s">
        <v>212</v>
      </c>
      <c r="W634" s="91">
        <v>3</v>
      </c>
      <c r="X634" s="4" t="s">
        <v>3892</v>
      </c>
      <c r="Y634" s="4" t="s">
        <v>8538</v>
      </c>
      <c r="Z634" s="4" t="s">
        <v>1400</v>
      </c>
      <c r="AA634" s="65">
        <v>0.6</v>
      </c>
      <c r="AB634" s="48" t="s">
        <v>8755</v>
      </c>
      <c r="AC634" s="66" t="s">
        <v>8753</v>
      </c>
      <c r="AD634" s="67" t="str">
        <f t="shared" si="465"/>
        <v>Link</v>
      </c>
      <c r="AE634" s="42">
        <v>6362</v>
      </c>
      <c r="AF634" s="55"/>
      <c r="AG634" s="55"/>
      <c r="AH634" s="56">
        <v>163453</v>
      </c>
      <c r="AI634" s="7"/>
      <c r="AJ634" s="7"/>
    </row>
    <row r="635" spans="1:36" ht="13" x14ac:dyDescent="0.15">
      <c r="A635" s="88" t="s">
        <v>8429</v>
      </c>
      <c r="B635" s="2" t="s">
        <v>1668</v>
      </c>
      <c r="C635" s="7" t="s">
        <v>67</v>
      </c>
      <c r="D635" s="7" t="s">
        <v>8776</v>
      </c>
      <c r="E635" s="44">
        <v>5</v>
      </c>
      <c r="F635" s="7"/>
      <c r="G635" s="7"/>
      <c r="H635" s="2" t="s">
        <v>8738</v>
      </c>
      <c r="I635" s="2" t="s">
        <v>481</v>
      </c>
      <c r="J635" s="2" t="s">
        <v>8777</v>
      </c>
      <c r="K635" s="2" t="s">
        <v>55</v>
      </c>
      <c r="L635" s="2"/>
      <c r="M635" s="2"/>
      <c r="N635" s="45" t="str">
        <f t="shared" si="463"/>
        <v>@morganstatesb</v>
      </c>
      <c r="O635" s="45" t="str">
        <f t="shared" si="464"/>
        <v>Questionnaire</v>
      </c>
      <c r="P635" s="60" t="s">
        <v>8753</v>
      </c>
      <c r="Q635" s="60" t="s">
        <v>1668</v>
      </c>
      <c r="R635" s="48" t="s">
        <v>1681</v>
      </c>
      <c r="S635" s="4" t="s">
        <v>354</v>
      </c>
      <c r="T635" s="4" t="s">
        <v>74</v>
      </c>
      <c r="U635" s="4" t="s">
        <v>75</v>
      </c>
      <c r="V635" s="5" t="s">
        <v>212</v>
      </c>
      <c r="W635" s="91">
        <v>3</v>
      </c>
      <c r="X635" s="4" t="s">
        <v>3892</v>
      </c>
      <c r="Y635" s="4" t="s">
        <v>8538</v>
      </c>
      <c r="Z635" s="4" t="s">
        <v>1400</v>
      </c>
      <c r="AA635" s="65">
        <v>0.6</v>
      </c>
      <c r="AB635" s="48" t="s">
        <v>8755</v>
      </c>
      <c r="AC635" s="66" t="s">
        <v>8753</v>
      </c>
      <c r="AD635" s="67" t="str">
        <f t="shared" si="465"/>
        <v>Link</v>
      </c>
      <c r="AE635" s="42">
        <v>6362</v>
      </c>
      <c r="AF635" s="55"/>
      <c r="AG635" s="55"/>
      <c r="AH635" s="56">
        <v>163453</v>
      </c>
      <c r="AI635" s="7"/>
      <c r="AJ635" s="7"/>
    </row>
    <row r="636" spans="1:36" ht="15" x14ac:dyDescent="0.2">
      <c r="A636" s="43" t="s">
        <v>8429</v>
      </c>
      <c r="B636" s="33" t="s">
        <v>1361</v>
      </c>
      <c r="C636" s="7" t="s">
        <v>67</v>
      </c>
      <c r="D636" s="7" t="s">
        <v>8783</v>
      </c>
      <c r="E636" s="44">
        <v>5</v>
      </c>
      <c r="F636" s="7"/>
      <c r="G636" s="7"/>
      <c r="H636" s="2" t="s">
        <v>8785</v>
      </c>
      <c r="I636" s="7" t="s">
        <v>2816</v>
      </c>
      <c r="J636" s="7" t="s">
        <v>8787</v>
      </c>
      <c r="K636" s="7" t="s">
        <v>48</v>
      </c>
      <c r="L636" s="7" t="s">
        <v>8788</v>
      </c>
      <c r="M636" s="2" t="s">
        <v>8789</v>
      </c>
      <c r="N636" s="45" t="str">
        <f t="shared" ref="N636:N638" si="466">HYPERLINK("twitter.com/NSUSoftball","@NSUSoftball")</f>
        <v>@NSUSoftball</v>
      </c>
      <c r="O636" s="45" t="str">
        <f t="shared" ref="O636:O638" si="467">HYPERLINK("https://nsuspartans.com/sb_output.aspx?form=3","Questionnaire")</f>
        <v>Questionnaire</v>
      </c>
      <c r="P636" s="48" t="s">
        <v>8797</v>
      </c>
      <c r="Q636" s="47" t="s">
        <v>1361</v>
      </c>
      <c r="R636" s="48" t="s">
        <v>8798</v>
      </c>
      <c r="S636" s="48" t="s">
        <v>62</v>
      </c>
      <c r="T636" s="49" t="s">
        <v>74</v>
      </c>
      <c r="U636" s="48" t="s">
        <v>75</v>
      </c>
      <c r="V636" s="73" t="s">
        <v>212</v>
      </c>
      <c r="W636" s="50">
        <v>2.9</v>
      </c>
      <c r="X636" s="49" t="s">
        <v>8800</v>
      </c>
      <c r="Y636" s="49" t="s">
        <v>8801</v>
      </c>
      <c r="Z636" s="49" t="s">
        <v>1400</v>
      </c>
      <c r="AA636" s="61">
        <v>0.85</v>
      </c>
      <c r="AB636" s="48" t="s">
        <v>8804</v>
      </c>
      <c r="AC636" s="62" t="s">
        <v>8797</v>
      </c>
      <c r="AD636" s="53" t="str">
        <f t="shared" ref="AD636:AD638" si="468">HYPERLINK("https://www.nsu.edu/provost/colleges-and-schools","Link")</f>
        <v>Link</v>
      </c>
      <c r="AE636" s="54">
        <v>4739</v>
      </c>
      <c r="AF636" s="55"/>
      <c r="AG636" s="55"/>
      <c r="AH636" s="56">
        <v>232937</v>
      </c>
      <c r="AI636" s="7"/>
      <c r="AJ636" s="7"/>
    </row>
    <row r="637" spans="1:36" ht="15" x14ac:dyDescent="0.2">
      <c r="A637" s="43" t="s">
        <v>8429</v>
      </c>
      <c r="B637" s="33" t="s">
        <v>1361</v>
      </c>
      <c r="C637" s="7" t="s">
        <v>67</v>
      </c>
      <c r="D637" s="7" t="s">
        <v>8808</v>
      </c>
      <c r="E637" s="44">
        <v>5</v>
      </c>
      <c r="F637" s="7"/>
      <c r="G637" s="7"/>
      <c r="H637" s="2" t="s">
        <v>8785</v>
      </c>
      <c r="I637" s="7" t="s">
        <v>1163</v>
      </c>
      <c r="J637" s="7" t="s">
        <v>8809</v>
      </c>
      <c r="K637" s="7" t="s">
        <v>55</v>
      </c>
      <c r="L637" s="7" t="s">
        <v>8810</v>
      </c>
      <c r="M637" s="7" t="s">
        <v>8811</v>
      </c>
      <c r="N637" s="45" t="str">
        <f t="shared" si="466"/>
        <v>@NSUSoftball</v>
      </c>
      <c r="O637" s="45" t="str">
        <f t="shared" si="467"/>
        <v>Questionnaire</v>
      </c>
      <c r="P637" s="48" t="s">
        <v>8797</v>
      </c>
      <c r="Q637" s="47" t="s">
        <v>1361</v>
      </c>
      <c r="R637" s="48" t="s">
        <v>8798</v>
      </c>
      <c r="S637" s="48" t="s">
        <v>62</v>
      </c>
      <c r="T637" s="49" t="s">
        <v>74</v>
      </c>
      <c r="U637" s="48" t="s">
        <v>75</v>
      </c>
      <c r="V637" s="73" t="s">
        <v>212</v>
      </c>
      <c r="W637" s="50">
        <v>2.9</v>
      </c>
      <c r="X637" s="49" t="s">
        <v>8800</v>
      </c>
      <c r="Y637" s="49" t="s">
        <v>8801</v>
      </c>
      <c r="Z637" s="49" t="s">
        <v>1400</v>
      </c>
      <c r="AA637" s="61">
        <v>0.85</v>
      </c>
      <c r="AB637" s="48" t="s">
        <v>8804</v>
      </c>
      <c r="AC637" s="62" t="s">
        <v>8797</v>
      </c>
      <c r="AD637" s="53" t="str">
        <f t="shared" si="468"/>
        <v>Link</v>
      </c>
      <c r="AE637" s="54">
        <v>4739</v>
      </c>
      <c r="AF637" s="55"/>
      <c r="AG637" s="55"/>
      <c r="AH637" s="56">
        <v>232937</v>
      </c>
      <c r="AI637" s="7"/>
      <c r="AJ637" s="7"/>
    </row>
    <row r="638" spans="1:36" ht="15" x14ac:dyDescent="0.2">
      <c r="A638" s="43" t="s">
        <v>8429</v>
      </c>
      <c r="B638" s="33" t="s">
        <v>1361</v>
      </c>
      <c r="C638" s="7" t="s">
        <v>67</v>
      </c>
      <c r="D638" s="7" t="s">
        <v>8820</v>
      </c>
      <c r="E638" s="44">
        <v>5</v>
      </c>
      <c r="F638" s="7"/>
      <c r="G638" s="7"/>
      <c r="H638" s="2" t="s">
        <v>8785</v>
      </c>
      <c r="I638" s="7" t="s">
        <v>754</v>
      </c>
      <c r="J638" s="7" t="s">
        <v>263</v>
      </c>
      <c r="K638" s="7" t="s">
        <v>55</v>
      </c>
      <c r="L638" s="7" t="s">
        <v>8826</v>
      </c>
      <c r="M638" s="7" t="s">
        <v>8811</v>
      </c>
      <c r="N638" s="45" t="str">
        <f t="shared" si="466"/>
        <v>@NSUSoftball</v>
      </c>
      <c r="O638" s="45" t="str">
        <f t="shared" si="467"/>
        <v>Questionnaire</v>
      </c>
      <c r="P638" s="48" t="s">
        <v>8797</v>
      </c>
      <c r="Q638" s="47" t="s">
        <v>1361</v>
      </c>
      <c r="R638" s="48" t="s">
        <v>8798</v>
      </c>
      <c r="S638" s="48" t="s">
        <v>62</v>
      </c>
      <c r="T638" s="49" t="s">
        <v>74</v>
      </c>
      <c r="U638" s="48" t="s">
        <v>75</v>
      </c>
      <c r="V638" s="73" t="s">
        <v>212</v>
      </c>
      <c r="W638" s="50">
        <v>2.9</v>
      </c>
      <c r="X638" s="49" t="s">
        <v>8800</v>
      </c>
      <c r="Y638" s="49" t="s">
        <v>8801</v>
      </c>
      <c r="Z638" s="49" t="s">
        <v>1400</v>
      </c>
      <c r="AA638" s="61">
        <v>0.85</v>
      </c>
      <c r="AB638" s="48" t="s">
        <v>8804</v>
      </c>
      <c r="AC638" s="62" t="s">
        <v>8797</v>
      </c>
      <c r="AD638" s="53" t="str">
        <f t="shared" si="468"/>
        <v>Link</v>
      </c>
      <c r="AE638" s="54">
        <v>4739</v>
      </c>
      <c r="AF638" s="55"/>
      <c r="AG638" s="55"/>
      <c r="AH638" s="56">
        <v>232937</v>
      </c>
      <c r="AI638" s="7"/>
      <c r="AJ638" s="7"/>
    </row>
    <row r="639" spans="1:36" ht="15" x14ac:dyDescent="0.2">
      <c r="A639" s="43" t="s">
        <v>8429</v>
      </c>
      <c r="B639" s="33" t="s">
        <v>219</v>
      </c>
      <c r="C639" s="7" t="s">
        <v>67</v>
      </c>
      <c r="D639" s="7" t="s">
        <v>8840</v>
      </c>
      <c r="E639" s="44">
        <v>5</v>
      </c>
      <c r="F639" s="7"/>
      <c r="G639" s="7"/>
      <c r="H639" s="2" t="s">
        <v>8841</v>
      </c>
      <c r="I639" s="7" t="s">
        <v>1574</v>
      </c>
      <c r="J639" s="7" t="s">
        <v>8842</v>
      </c>
      <c r="K639" s="7" t="s">
        <v>48</v>
      </c>
      <c r="L639" s="7" t="s">
        <v>8843</v>
      </c>
      <c r="M639" s="7"/>
      <c r="N639" s="48"/>
      <c r="O639" s="69" t="str">
        <f t="shared" ref="O639:O642" si="469">HYPERLINK("http://www.ncataggies.com/ViewArticle.dbml?DB_OEM_ID=24500&amp;ATCLID=204938445","Questionnaire")</f>
        <v>Questionnaire</v>
      </c>
      <c r="P639" s="48" t="s">
        <v>8851</v>
      </c>
      <c r="Q639" s="47" t="s">
        <v>219</v>
      </c>
      <c r="R639" s="48" t="s">
        <v>8854</v>
      </c>
      <c r="S639" s="48" t="s">
        <v>62</v>
      </c>
      <c r="T639" s="49" t="s">
        <v>74</v>
      </c>
      <c r="U639" s="48" t="s">
        <v>75</v>
      </c>
      <c r="V639" s="73" t="s">
        <v>212</v>
      </c>
      <c r="W639" s="50">
        <v>2.48</v>
      </c>
      <c r="X639" s="49" t="s">
        <v>448</v>
      </c>
      <c r="Y639" s="49" t="s">
        <v>2878</v>
      </c>
      <c r="Z639" s="49" t="s">
        <v>2307</v>
      </c>
      <c r="AA639" s="61">
        <v>0.54</v>
      </c>
      <c r="AB639" s="48" t="s">
        <v>8856</v>
      </c>
      <c r="AC639" s="62" t="s">
        <v>8851</v>
      </c>
      <c r="AD639" s="53" t="str">
        <f t="shared" ref="AD639:AD642" si="470">HYPERLINK("http://www.ncat.edu/academics/majors-minors/index.html","Link")</f>
        <v>Link</v>
      </c>
      <c r="AE639" s="54">
        <v>9668</v>
      </c>
      <c r="AF639" s="55"/>
      <c r="AG639" s="55"/>
      <c r="AH639" s="56">
        <v>199102</v>
      </c>
      <c r="AI639" s="7"/>
      <c r="AJ639" s="7"/>
    </row>
    <row r="640" spans="1:36" ht="15" x14ac:dyDescent="0.2">
      <c r="A640" s="43" t="s">
        <v>8429</v>
      </c>
      <c r="B640" s="33" t="s">
        <v>219</v>
      </c>
      <c r="C640" s="7" t="s">
        <v>67</v>
      </c>
      <c r="D640" s="7" t="s">
        <v>8859</v>
      </c>
      <c r="E640" s="44">
        <v>5</v>
      </c>
      <c r="F640" s="7"/>
      <c r="G640" s="7"/>
      <c r="H640" s="2" t="s">
        <v>8841</v>
      </c>
      <c r="I640" s="7" t="s">
        <v>8860</v>
      </c>
      <c r="J640" s="7" t="s">
        <v>3060</v>
      </c>
      <c r="K640" s="7" t="s">
        <v>55</v>
      </c>
      <c r="L640" s="7" t="s">
        <v>8861</v>
      </c>
      <c r="M640" s="7"/>
      <c r="N640" s="48"/>
      <c r="O640" s="69" t="str">
        <f t="shared" si="469"/>
        <v>Questionnaire</v>
      </c>
      <c r="P640" s="48" t="s">
        <v>8851</v>
      </c>
      <c r="Q640" s="47" t="s">
        <v>219</v>
      </c>
      <c r="R640" s="48" t="s">
        <v>8854</v>
      </c>
      <c r="S640" s="48" t="s">
        <v>62</v>
      </c>
      <c r="T640" s="49" t="s">
        <v>74</v>
      </c>
      <c r="U640" s="48" t="s">
        <v>75</v>
      </c>
      <c r="V640" s="73" t="s">
        <v>212</v>
      </c>
      <c r="W640" s="50">
        <v>2.48</v>
      </c>
      <c r="X640" s="49" t="s">
        <v>448</v>
      </c>
      <c r="Y640" s="49" t="s">
        <v>2878</v>
      </c>
      <c r="Z640" s="49" t="s">
        <v>2307</v>
      </c>
      <c r="AA640" s="61">
        <v>0.54</v>
      </c>
      <c r="AB640" s="48" t="s">
        <v>8856</v>
      </c>
      <c r="AC640" s="62" t="s">
        <v>8851</v>
      </c>
      <c r="AD640" s="53" t="str">
        <f t="shared" si="470"/>
        <v>Link</v>
      </c>
      <c r="AE640" s="54">
        <v>9668</v>
      </c>
      <c r="AF640" s="55"/>
      <c r="AG640" s="55"/>
      <c r="AH640" s="56">
        <v>199102</v>
      </c>
      <c r="AI640" s="7"/>
      <c r="AJ640" s="7"/>
    </row>
    <row r="641" spans="1:36" ht="15" x14ac:dyDescent="0.2">
      <c r="A641" s="43" t="s">
        <v>8429</v>
      </c>
      <c r="B641" s="33" t="s">
        <v>219</v>
      </c>
      <c r="C641" s="7" t="s">
        <v>67</v>
      </c>
      <c r="D641" s="7" t="s">
        <v>8864</v>
      </c>
      <c r="E641" s="44">
        <v>5</v>
      </c>
      <c r="F641" s="7" t="s">
        <v>116</v>
      </c>
      <c r="G641" s="7"/>
      <c r="H641" s="2" t="s">
        <v>8841</v>
      </c>
      <c r="I641" s="7" t="s">
        <v>8866</v>
      </c>
      <c r="J641" s="7" t="s">
        <v>8868</v>
      </c>
      <c r="K641" s="7" t="s">
        <v>120</v>
      </c>
      <c r="L641" s="7" t="s">
        <v>8869</v>
      </c>
      <c r="M641" s="7"/>
      <c r="N641" s="48"/>
      <c r="O641" s="69" t="str">
        <f t="shared" si="469"/>
        <v>Questionnaire</v>
      </c>
      <c r="P641" s="48" t="s">
        <v>8851</v>
      </c>
      <c r="Q641" s="47" t="s">
        <v>219</v>
      </c>
      <c r="R641" s="48" t="s">
        <v>8854</v>
      </c>
      <c r="S641" s="48" t="s">
        <v>62</v>
      </c>
      <c r="T641" s="49" t="s">
        <v>74</v>
      </c>
      <c r="U641" s="48" t="s">
        <v>75</v>
      </c>
      <c r="V641" s="73" t="s">
        <v>212</v>
      </c>
      <c r="W641" s="50">
        <v>2.48</v>
      </c>
      <c r="X641" s="49" t="s">
        <v>448</v>
      </c>
      <c r="Y641" s="49" t="s">
        <v>2878</v>
      </c>
      <c r="Z641" s="49" t="s">
        <v>2307</v>
      </c>
      <c r="AA641" s="61">
        <v>0.54</v>
      </c>
      <c r="AB641" s="48" t="s">
        <v>8856</v>
      </c>
      <c r="AC641" s="62" t="s">
        <v>8851</v>
      </c>
      <c r="AD641" s="53" t="str">
        <f t="shared" si="470"/>
        <v>Link</v>
      </c>
      <c r="AE641" s="54">
        <v>9668</v>
      </c>
      <c r="AF641" s="55"/>
      <c r="AG641" s="55"/>
      <c r="AH641" s="56">
        <v>199102</v>
      </c>
      <c r="AI641" s="7"/>
      <c r="AJ641" s="7"/>
    </row>
    <row r="642" spans="1:36" ht="15" x14ac:dyDescent="0.2">
      <c r="A642" s="43" t="s">
        <v>8429</v>
      </c>
      <c r="B642" s="33" t="s">
        <v>219</v>
      </c>
      <c r="C642" s="7" t="s">
        <v>67</v>
      </c>
      <c r="D642" s="7" t="s">
        <v>8875</v>
      </c>
      <c r="E642" s="44">
        <v>5</v>
      </c>
      <c r="F642" s="7" t="s">
        <v>116</v>
      </c>
      <c r="G642" s="7"/>
      <c r="H642" s="2" t="s">
        <v>8841</v>
      </c>
      <c r="I642" s="7" t="s">
        <v>981</v>
      </c>
      <c r="J642" s="7" t="s">
        <v>323</v>
      </c>
      <c r="K642" s="7" t="s">
        <v>139</v>
      </c>
      <c r="L642" s="7"/>
      <c r="M642" s="7"/>
      <c r="N642" s="48"/>
      <c r="O642" s="69" t="str">
        <f t="shared" si="469"/>
        <v>Questionnaire</v>
      </c>
      <c r="P642" s="48" t="s">
        <v>8851</v>
      </c>
      <c r="Q642" s="47" t="s">
        <v>219</v>
      </c>
      <c r="R642" s="48" t="s">
        <v>8854</v>
      </c>
      <c r="S642" s="48" t="s">
        <v>62</v>
      </c>
      <c r="T642" s="49" t="s">
        <v>74</v>
      </c>
      <c r="U642" s="48" t="s">
        <v>75</v>
      </c>
      <c r="V642" s="73" t="s">
        <v>212</v>
      </c>
      <c r="W642" s="50">
        <v>2.48</v>
      </c>
      <c r="X642" s="49" t="s">
        <v>448</v>
      </c>
      <c r="Y642" s="49" t="s">
        <v>2878</v>
      </c>
      <c r="Z642" s="49" t="s">
        <v>2307</v>
      </c>
      <c r="AA642" s="61">
        <v>0.54</v>
      </c>
      <c r="AB642" s="48" t="s">
        <v>8856</v>
      </c>
      <c r="AC642" s="62" t="s">
        <v>8851</v>
      </c>
      <c r="AD642" s="53" t="str">
        <f t="shared" si="470"/>
        <v>Link</v>
      </c>
      <c r="AE642" s="54">
        <v>9668</v>
      </c>
      <c r="AF642" s="55"/>
      <c r="AG642" s="55"/>
      <c r="AH642" s="56">
        <v>199102</v>
      </c>
      <c r="AI642" s="7"/>
      <c r="AJ642" s="7"/>
    </row>
    <row r="643" spans="1:36" ht="15" x14ac:dyDescent="0.2">
      <c r="A643" s="43" t="s">
        <v>8429</v>
      </c>
      <c r="B643" s="33" t="s">
        <v>219</v>
      </c>
      <c r="C643" s="7" t="s">
        <v>67</v>
      </c>
      <c r="D643" s="7" t="s">
        <v>8884</v>
      </c>
      <c r="E643" s="44">
        <v>5</v>
      </c>
      <c r="F643" s="7"/>
      <c r="G643" s="7"/>
      <c r="H643" s="2" t="s">
        <v>8886</v>
      </c>
      <c r="I643" s="7" t="s">
        <v>8887</v>
      </c>
      <c r="J643" s="7" t="s">
        <v>263</v>
      </c>
      <c r="K643" s="7" t="s">
        <v>48</v>
      </c>
      <c r="L643" s="7" t="s">
        <v>8888</v>
      </c>
      <c r="M643" s="7" t="s">
        <v>8889</v>
      </c>
      <c r="N643" s="69" t="str">
        <f t="shared" ref="N643:N646" si="471">HYPERLINK("twitter.com/nccusoftball","@nccusoftball")</f>
        <v>@nccusoftball</v>
      </c>
      <c r="O643" s="69" t="str">
        <f t="shared" ref="O643:O646" si="472">HYPERLINK("https://nccueaglepride.com/sb_output.aspx?form=3","Questionnaire")</f>
        <v>Questionnaire</v>
      </c>
      <c r="P643" s="48" t="s">
        <v>8893</v>
      </c>
      <c r="Q643" s="47" t="s">
        <v>219</v>
      </c>
      <c r="R643" s="48" t="s">
        <v>759</v>
      </c>
      <c r="S643" s="48" t="s">
        <v>62</v>
      </c>
      <c r="T643" s="49" t="s">
        <v>74</v>
      </c>
      <c r="U643" s="48" t="s">
        <v>75</v>
      </c>
      <c r="V643" s="73" t="s">
        <v>212</v>
      </c>
      <c r="W643" s="50">
        <v>3.2</v>
      </c>
      <c r="X643" s="49" t="s">
        <v>7925</v>
      </c>
      <c r="Y643" s="49" t="s">
        <v>8894</v>
      </c>
      <c r="Z643" s="49" t="s">
        <v>8256</v>
      </c>
      <c r="AA643" s="61">
        <v>0.67</v>
      </c>
      <c r="AB643" s="48" t="s">
        <v>8895</v>
      </c>
      <c r="AC643" s="62" t="s">
        <v>8893</v>
      </c>
      <c r="AD643" s="53" t="str">
        <f t="shared" ref="AD643:AD646" si="473">HYPERLINK("http://www.nccu.edu/curriculum/degrees.cfm","Link")</f>
        <v>Link</v>
      </c>
      <c r="AE643" s="54">
        <v>6283</v>
      </c>
      <c r="AF643" s="55"/>
      <c r="AG643" s="55"/>
      <c r="AH643" s="56">
        <v>199157</v>
      </c>
      <c r="AI643" s="7"/>
      <c r="AJ643" s="7"/>
    </row>
    <row r="644" spans="1:36" ht="15" x14ac:dyDescent="0.2">
      <c r="A644" s="43" t="s">
        <v>8429</v>
      </c>
      <c r="B644" s="33" t="s">
        <v>219</v>
      </c>
      <c r="C644" s="7" t="s">
        <v>67</v>
      </c>
      <c r="D644" s="7" t="s">
        <v>8897</v>
      </c>
      <c r="E644" s="44">
        <v>5</v>
      </c>
      <c r="F644" s="7"/>
      <c r="G644" s="7"/>
      <c r="H644" s="2" t="s">
        <v>8886</v>
      </c>
      <c r="I644" s="7" t="s">
        <v>5029</v>
      </c>
      <c r="J644" s="7" t="s">
        <v>8898</v>
      </c>
      <c r="K644" s="7" t="s">
        <v>55</v>
      </c>
      <c r="L644" s="7" t="s">
        <v>8900</v>
      </c>
      <c r="M644" s="7" t="s">
        <v>8889</v>
      </c>
      <c r="N644" s="69" t="str">
        <f t="shared" si="471"/>
        <v>@nccusoftball</v>
      </c>
      <c r="O644" s="69" t="str">
        <f t="shared" si="472"/>
        <v>Questionnaire</v>
      </c>
      <c r="P644" s="48" t="s">
        <v>8893</v>
      </c>
      <c r="Q644" s="47" t="s">
        <v>219</v>
      </c>
      <c r="R644" s="48" t="s">
        <v>759</v>
      </c>
      <c r="S644" s="48" t="s">
        <v>62</v>
      </c>
      <c r="T644" s="49" t="s">
        <v>74</v>
      </c>
      <c r="U644" s="48" t="s">
        <v>75</v>
      </c>
      <c r="V644" s="73" t="s">
        <v>212</v>
      </c>
      <c r="W644" s="50">
        <v>3.2</v>
      </c>
      <c r="X644" s="49" t="s">
        <v>7925</v>
      </c>
      <c r="Y644" s="49" t="s">
        <v>8894</v>
      </c>
      <c r="Z644" s="49" t="s">
        <v>8256</v>
      </c>
      <c r="AA644" s="61">
        <v>0.67</v>
      </c>
      <c r="AB644" s="48" t="s">
        <v>8895</v>
      </c>
      <c r="AC644" s="62" t="s">
        <v>8893</v>
      </c>
      <c r="AD644" s="53" t="str">
        <f t="shared" si="473"/>
        <v>Link</v>
      </c>
      <c r="AE644" s="54">
        <v>6283</v>
      </c>
      <c r="AF644" s="55"/>
      <c r="AG644" s="55"/>
      <c r="AH644" s="56">
        <v>199157</v>
      </c>
      <c r="AI644" s="7"/>
      <c r="AJ644" s="7"/>
    </row>
    <row r="645" spans="1:36" ht="15" x14ac:dyDescent="0.2">
      <c r="A645" s="43" t="s">
        <v>8429</v>
      </c>
      <c r="B645" s="33" t="s">
        <v>219</v>
      </c>
      <c r="C645" s="7" t="s">
        <v>67</v>
      </c>
      <c r="D645" s="7" t="s">
        <v>8905</v>
      </c>
      <c r="E645" s="44">
        <v>5</v>
      </c>
      <c r="F645" s="7"/>
      <c r="G645" s="7"/>
      <c r="H645" s="2" t="s">
        <v>8886</v>
      </c>
      <c r="I645" s="7" t="s">
        <v>8906</v>
      </c>
      <c r="J645" s="7" t="s">
        <v>3077</v>
      </c>
      <c r="K645" s="7" t="s">
        <v>139</v>
      </c>
      <c r="L645" s="7"/>
      <c r="M645" s="7"/>
      <c r="N645" s="69" t="str">
        <f t="shared" si="471"/>
        <v>@nccusoftball</v>
      </c>
      <c r="O645" s="69" t="str">
        <f t="shared" si="472"/>
        <v>Questionnaire</v>
      </c>
      <c r="P645" s="48" t="s">
        <v>8893</v>
      </c>
      <c r="Q645" s="47" t="s">
        <v>219</v>
      </c>
      <c r="R645" s="48" t="s">
        <v>759</v>
      </c>
      <c r="S645" s="48" t="s">
        <v>62</v>
      </c>
      <c r="T645" s="49" t="s">
        <v>74</v>
      </c>
      <c r="U645" s="48" t="s">
        <v>75</v>
      </c>
      <c r="V645" s="73" t="s">
        <v>212</v>
      </c>
      <c r="W645" s="50">
        <v>3.2</v>
      </c>
      <c r="X645" s="49" t="s">
        <v>7925</v>
      </c>
      <c r="Y645" s="49" t="s">
        <v>8894</v>
      </c>
      <c r="Z645" s="49" t="s">
        <v>8256</v>
      </c>
      <c r="AA645" s="61">
        <v>0.67</v>
      </c>
      <c r="AB645" s="48" t="s">
        <v>8895</v>
      </c>
      <c r="AC645" s="62" t="s">
        <v>8893</v>
      </c>
      <c r="AD645" s="53" t="str">
        <f t="shared" si="473"/>
        <v>Link</v>
      </c>
      <c r="AE645" s="54">
        <v>6283</v>
      </c>
      <c r="AF645" s="55"/>
      <c r="AG645" s="55"/>
      <c r="AH645" s="56">
        <v>199157</v>
      </c>
      <c r="AI645" s="7"/>
      <c r="AJ645" s="7"/>
    </row>
    <row r="646" spans="1:36" ht="15" x14ac:dyDescent="0.2">
      <c r="A646" s="43" t="s">
        <v>8429</v>
      </c>
      <c r="B646" s="33" t="s">
        <v>219</v>
      </c>
      <c r="C646" s="7" t="s">
        <v>67</v>
      </c>
      <c r="D646" s="7" t="s">
        <v>8915</v>
      </c>
      <c r="E646" s="44">
        <v>5</v>
      </c>
      <c r="F646" s="7"/>
      <c r="G646" s="7"/>
      <c r="H646" s="2" t="s">
        <v>8886</v>
      </c>
      <c r="I646" s="7" t="s">
        <v>4049</v>
      </c>
      <c r="J646" s="7" t="s">
        <v>1810</v>
      </c>
      <c r="K646" s="7" t="s">
        <v>120</v>
      </c>
      <c r="L646" s="7" t="s">
        <v>8917</v>
      </c>
      <c r="M646" s="7"/>
      <c r="N646" s="69" t="str">
        <f t="shared" si="471"/>
        <v>@nccusoftball</v>
      </c>
      <c r="O646" s="69" t="str">
        <f t="shared" si="472"/>
        <v>Questionnaire</v>
      </c>
      <c r="P646" s="48" t="s">
        <v>8893</v>
      </c>
      <c r="Q646" s="47" t="s">
        <v>219</v>
      </c>
      <c r="R646" s="48" t="s">
        <v>759</v>
      </c>
      <c r="S646" s="48" t="s">
        <v>62</v>
      </c>
      <c r="T646" s="49" t="s">
        <v>74</v>
      </c>
      <c r="U646" s="48" t="s">
        <v>75</v>
      </c>
      <c r="V646" s="73" t="s">
        <v>212</v>
      </c>
      <c r="W646" s="50">
        <v>3.2</v>
      </c>
      <c r="X646" s="49" t="s">
        <v>7925</v>
      </c>
      <c r="Y646" s="49" t="s">
        <v>8894</v>
      </c>
      <c r="Z646" s="49" t="s">
        <v>8256</v>
      </c>
      <c r="AA646" s="61">
        <v>0.67</v>
      </c>
      <c r="AB646" s="48" t="s">
        <v>8895</v>
      </c>
      <c r="AC646" s="62" t="s">
        <v>8893</v>
      </c>
      <c r="AD646" s="53" t="str">
        <f t="shared" si="473"/>
        <v>Link</v>
      </c>
      <c r="AE646" s="54">
        <v>6283</v>
      </c>
      <c r="AF646" s="55"/>
      <c r="AG646" s="55"/>
      <c r="AH646" s="56">
        <v>199157</v>
      </c>
      <c r="AI646" s="7"/>
      <c r="AJ646" s="7"/>
    </row>
    <row r="647" spans="1:36" ht="15" x14ac:dyDescent="0.2">
      <c r="A647" s="43" t="s">
        <v>8429</v>
      </c>
      <c r="B647" s="33" t="s">
        <v>871</v>
      </c>
      <c r="C647" s="7" t="s">
        <v>67</v>
      </c>
      <c r="D647" s="7" t="s">
        <v>8923</v>
      </c>
      <c r="E647" s="44">
        <v>5</v>
      </c>
      <c r="F647" s="7"/>
      <c r="G647" s="7"/>
      <c r="H647" s="2" t="s">
        <v>8924</v>
      </c>
      <c r="I647" s="7" t="s">
        <v>659</v>
      </c>
      <c r="J647" s="7" t="s">
        <v>8926</v>
      </c>
      <c r="K647" s="7" t="s">
        <v>48</v>
      </c>
      <c r="L647" s="7" t="s">
        <v>8929</v>
      </c>
      <c r="M647" s="7" t="s">
        <v>8931</v>
      </c>
      <c r="N647" s="7"/>
      <c r="O647" s="69" t="str">
        <f t="shared" ref="O647:O648" si="474">HYPERLINK("https://ssuathletics.com/sb_output.aspx?form=12","Questionnaire")</f>
        <v>Questionnaire</v>
      </c>
      <c r="P647" s="47" t="s">
        <v>8937</v>
      </c>
      <c r="Q647" s="60" t="s">
        <v>871</v>
      </c>
      <c r="R647" s="48" t="s">
        <v>8939</v>
      </c>
      <c r="S647" s="48" t="s">
        <v>238</v>
      </c>
      <c r="T647" s="49" t="s">
        <v>74</v>
      </c>
      <c r="U647" s="48" t="s">
        <v>75</v>
      </c>
      <c r="V647" s="73" t="s">
        <v>212</v>
      </c>
      <c r="W647" s="50">
        <v>2.77</v>
      </c>
      <c r="X647" s="49" t="s">
        <v>8941</v>
      </c>
      <c r="Y647" s="49" t="s">
        <v>1846</v>
      </c>
      <c r="Z647" s="49" t="s">
        <v>8942</v>
      </c>
      <c r="AA647" s="61">
        <v>0.51</v>
      </c>
      <c r="AB647" s="48" t="s">
        <v>8943</v>
      </c>
      <c r="AC647" s="52" t="s">
        <v>8937</v>
      </c>
      <c r="AD647" s="53" t="str">
        <f t="shared" ref="AD647:AD648" si="475">HYPERLINK("https://www.savannahstate.edu/cost/majors.shtml","Link")</f>
        <v>Link</v>
      </c>
      <c r="AE647" s="54">
        <v>4772</v>
      </c>
      <c r="AF647" s="55"/>
      <c r="AG647" s="55"/>
      <c r="AH647" s="56">
        <v>140960</v>
      </c>
      <c r="AI647" s="7"/>
      <c r="AJ647" s="7"/>
    </row>
    <row r="648" spans="1:36" ht="15" x14ac:dyDescent="0.2">
      <c r="A648" s="43" t="s">
        <v>8429</v>
      </c>
      <c r="B648" s="33" t="s">
        <v>871</v>
      </c>
      <c r="C648" s="7" t="s">
        <v>67</v>
      </c>
      <c r="D648" s="7" t="s">
        <v>8948</v>
      </c>
      <c r="E648" s="44">
        <v>5</v>
      </c>
      <c r="F648" s="7"/>
      <c r="G648" s="7"/>
      <c r="H648" s="2" t="s">
        <v>8924</v>
      </c>
      <c r="I648" s="7" t="s">
        <v>8949</v>
      </c>
      <c r="J648" s="7" t="s">
        <v>2919</v>
      </c>
      <c r="K648" s="7" t="s">
        <v>55</v>
      </c>
      <c r="L648" s="7"/>
      <c r="M648" s="7"/>
      <c r="N648" s="7"/>
      <c r="O648" s="69" t="str">
        <f t="shared" si="474"/>
        <v>Questionnaire</v>
      </c>
      <c r="P648" s="47" t="s">
        <v>8937</v>
      </c>
      <c r="Q648" s="60" t="s">
        <v>871</v>
      </c>
      <c r="R648" s="48" t="s">
        <v>8939</v>
      </c>
      <c r="S648" s="48" t="s">
        <v>238</v>
      </c>
      <c r="T648" s="49" t="s">
        <v>74</v>
      </c>
      <c r="U648" s="48" t="s">
        <v>75</v>
      </c>
      <c r="V648" s="73" t="s">
        <v>212</v>
      </c>
      <c r="W648" s="50">
        <v>2.77</v>
      </c>
      <c r="X648" s="49" t="s">
        <v>8941</v>
      </c>
      <c r="Y648" s="49" t="s">
        <v>1846</v>
      </c>
      <c r="Z648" s="49" t="s">
        <v>8942</v>
      </c>
      <c r="AA648" s="61">
        <v>0.51</v>
      </c>
      <c r="AB648" s="48" t="s">
        <v>8943</v>
      </c>
      <c r="AC648" s="52" t="s">
        <v>8937</v>
      </c>
      <c r="AD648" s="53" t="str">
        <f t="shared" si="475"/>
        <v>Link</v>
      </c>
      <c r="AE648" s="54">
        <v>4772</v>
      </c>
      <c r="AF648" s="55"/>
      <c r="AG648" s="55"/>
      <c r="AH648" s="56">
        <v>140960</v>
      </c>
      <c r="AI648" s="7"/>
      <c r="AJ648" s="7"/>
    </row>
    <row r="649" spans="1:36" ht="13" x14ac:dyDescent="0.15">
      <c r="A649" s="88" t="s">
        <v>8429</v>
      </c>
      <c r="B649" s="2" t="s">
        <v>653</v>
      </c>
      <c r="C649" s="7" t="s">
        <v>67</v>
      </c>
      <c r="D649" s="7" t="s">
        <v>8957</v>
      </c>
      <c r="E649" s="44">
        <v>5</v>
      </c>
      <c r="F649" s="7"/>
      <c r="G649" s="7"/>
      <c r="H649" s="2" t="s">
        <v>8958</v>
      </c>
      <c r="I649" s="7" t="s">
        <v>421</v>
      </c>
      <c r="J649" s="7" t="s">
        <v>421</v>
      </c>
      <c r="K649" s="7" t="s">
        <v>48</v>
      </c>
      <c r="L649" s="7"/>
      <c r="M649" s="7"/>
      <c r="N649" s="7"/>
      <c r="O649" s="69" t="str">
        <f t="shared" ref="O649:O652" si="476">HYPERLINK("https://college.jumpforward.com/questionnaire.aspx?iid=1591&amp;sportid=31","Questionnaire")</f>
        <v>Questionnaire</v>
      </c>
      <c r="P649" s="60" t="s">
        <v>8962</v>
      </c>
      <c r="Q649" s="60" t="s">
        <v>653</v>
      </c>
      <c r="R649" s="48" t="s">
        <v>7379</v>
      </c>
      <c r="S649" s="48" t="s">
        <v>172</v>
      </c>
      <c r="T649" s="5" t="s">
        <v>74</v>
      </c>
      <c r="U649" s="4" t="s">
        <v>75</v>
      </c>
      <c r="V649" s="5" t="s">
        <v>212</v>
      </c>
      <c r="W649" s="91">
        <v>2.85</v>
      </c>
      <c r="X649" s="4" t="s">
        <v>8963</v>
      </c>
      <c r="Y649" s="4" t="s">
        <v>8964</v>
      </c>
      <c r="Z649" s="4" t="s">
        <v>3929</v>
      </c>
      <c r="AA649" s="65">
        <v>0.86</v>
      </c>
      <c r="AB649" s="48" t="s">
        <v>8966</v>
      </c>
      <c r="AC649" s="66" t="s">
        <v>8962</v>
      </c>
      <c r="AD649" s="67" t="str">
        <f t="shared" ref="AD649:AD652" si="477">HYPERLINK("http://www.scsu.edu/admissions/registrarsoffice/degreeprograms.aspx","Link")</f>
        <v>Link</v>
      </c>
      <c r="AE649" s="42">
        <v>2529</v>
      </c>
      <c r="AF649" s="55"/>
      <c r="AG649" s="55"/>
      <c r="AH649" s="56">
        <v>218733</v>
      </c>
      <c r="AI649" s="7"/>
      <c r="AJ649" s="7"/>
    </row>
    <row r="650" spans="1:36" ht="13" x14ac:dyDescent="0.15">
      <c r="A650" s="88" t="s">
        <v>8429</v>
      </c>
      <c r="B650" s="2" t="s">
        <v>653</v>
      </c>
      <c r="C650" s="7" t="s">
        <v>67</v>
      </c>
      <c r="D650" s="7" t="s">
        <v>8972</v>
      </c>
      <c r="E650" s="44">
        <v>5</v>
      </c>
      <c r="F650" s="7"/>
      <c r="G650" s="7"/>
      <c r="H650" s="2" t="s">
        <v>8958</v>
      </c>
      <c r="I650" s="7" t="s">
        <v>8974</v>
      </c>
      <c r="J650" s="7" t="s">
        <v>6937</v>
      </c>
      <c r="K650" s="7" t="s">
        <v>48</v>
      </c>
      <c r="L650" s="7" t="s">
        <v>8975</v>
      </c>
      <c r="M650" s="7" t="s">
        <v>8976</v>
      </c>
      <c r="N650" s="7"/>
      <c r="O650" s="69" t="str">
        <f t="shared" si="476"/>
        <v>Questionnaire</v>
      </c>
      <c r="P650" s="60" t="s">
        <v>8962</v>
      </c>
      <c r="Q650" s="60" t="s">
        <v>653</v>
      </c>
      <c r="R650" s="48" t="s">
        <v>7379</v>
      </c>
      <c r="S650" s="48" t="s">
        <v>172</v>
      </c>
      <c r="T650" s="5" t="s">
        <v>74</v>
      </c>
      <c r="U650" s="4" t="s">
        <v>75</v>
      </c>
      <c r="V650" s="5" t="s">
        <v>212</v>
      </c>
      <c r="W650" s="65">
        <v>2.85</v>
      </c>
      <c r="X650" s="4" t="s">
        <v>8963</v>
      </c>
      <c r="Y650" s="4" t="s">
        <v>8964</v>
      </c>
      <c r="Z650" s="4" t="s">
        <v>3929</v>
      </c>
      <c r="AA650" s="65">
        <v>0.86</v>
      </c>
      <c r="AB650" s="48" t="s">
        <v>8966</v>
      </c>
      <c r="AC650" s="66" t="s">
        <v>8962</v>
      </c>
      <c r="AD650" s="67" t="str">
        <f t="shared" si="477"/>
        <v>Link</v>
      </c>
      <c r="AE650" s="42">
        <v>2529</v>
      </c>
      <c r="AF650" s="55"/>
      <c r="AG650" s="55"/>
      <c r="AH650" s="56">
        <v>218733</v>
      </c>
      <c r="AI650" s="85"/>
      <c r="AJ650" s="85"/>
    </row>
    <row r="651" spans="1:36" ht="13" x14ac:dyDescent="0.15">
      <c r="A651" s="88" t="s">
        <v>8429</v>
      </c>
      <c r="B651" s="2" t="s">
        <v>653</v>
      </c>
      <c r="C651" s="7" t="s">
        <v>67</v>
      </c>
      <c r="D651" s="7" t="s">
        <v>8979</v>
      </c>
      <c r="E651" s="44">
        <v>5</v>
      </c>
      <c r="F651" s="7"/>
      <c r="G651" s="7"/>
      <c r="H651" s="2" t="s">
        <v>8958</v>
      </c>
      <c r="I651" s="7" t="s">
        <v>421</v>
      </c>
      <c r="J651" s="7"/>
      <c r="K651" s="7" t="s">
        <v>55</v>
      </c>
      <c r="L651" s="7"/>
      <c r="M651" s="7"/>
      <c r="N651" s="7"/>
      <c r="O651" s="69" t="str">
        <f t="shared" si="476"/>
        <v>Questionnaire</v>
      </c>
      <c r="P651" s="60" t="s">
        <v>8962</v>
      </c>
      <c r="Q651" s="60" t="s">
        <v>653</v>
      </c>
      <c r="R651" s="48" t="s">
        <v>7379</v>
      </c>
      <c r="S651" s="48" t="s">
        <v>172</v>
      </c>
      <c r="T651" s="5" t="s">
        <v>74</v>
      </c>
      <c r="U651" s="4" t="s">
        <v>75</v>
      </c>
      <c r="V651" s="5" t="s">
        <v>212</v>
      </c>
      <c r="W651" s="65">
        <v>2.85</v>
      </c>
      <c r="X651" s="4" t="s">
        <v>8963</v>
      </c>
      <c r="Y651" s="4" t="s">
        <v>8964</v>
      </c>
      <c r="Z651" s="4" t="s">
        <v>3929</v>
      </c>
      <c r="AA651" s="65">
        <v>0.86</v>
      </c>
      <c r="AB651" s="48" t="s">
        <v>8966</v>
      </c>
      <c r="AC651" s="66" t="s">
        <v>8962</v>
      </c>
      <c r="AD651" s="67" t="str">
        <f t="shared" si="477"/>
        <v>Link</v>
      </c>
      <c r="AE651" s="42">
        <v>2529</v>
      </c>
      <c r="AF651" s="55"/>
      <c r="AG651" s="55"/>
      <c r="AH651" s="56">
        <v>218733</v>
      </c>
      <c r="AI651" s="85"/>
      <c r="AJ651" s="85"/>
    </row>
    <row r="652" spans="1:36" ht="13" x14ac:dyDescent="0.15">
      <c r="A652" s="88" t="s">
        <v>8429</v>
      </c>
      <c r="B652" s="2" t="s">
        <v>653</v>
      </c>
      <c r="C652" s="7" t="s">
        <v>67</v>
      </c>
      <c r="D652" s="7" t="s">
        <v>8984</v>
      </c>
      <c r="E652" s="44">
        <v>5</v>
      </c>
      <c r="F652" s="7" t="s">
        <v>116</v>
      </c>
      <c r="G652" s="7"/>
      <c r="H652" s="2" t="s">
        <v>8958</v>
      </c>
      <c r="I652" s="7" t="s">
        <v>222</v>
      </c>
      <c r="J652" s="7" t="s">
        <v>4329</v>
      </c>
      <c r="K652" s="7" t="s">
        <v>55</v>
      </c>
      <c r="L652" s="7"/>
      <c r="M652" s="7"/>
      <c r="N652" s="7"/>
      <c r="O652" s="69" t="str">
        <f t="shared" si="476"/>
        <v>Questionnaire</v>
      </c>
      <c r="P652" s="60" t="s">
        <v>8962</v>
      </c>
      <c r="Q652" s="60" t="s">
        <v>653</v>
      </c>
      <c r="R652" s="48" t="s">
        <v>7379</v>
      </c>
      <c r="S652" s="48" t="s">
        <v>172</v>
      </c>
      <c r="T652" s="5" t="s">
        <v>74</v>
      </c>
      <c r="U652" s="4" t="s">
        <v>75</v>
      </c>
      <c r="V652" s="5" t="s">
        <v>212</v>
      </c>
      <c r="W652" s="65">
        <v>2.85</v>
      </c>
      <c r="X652" s="4" t="s">
        <v>8963</v>
      </c>
      <c r="Y652" s="4" t="s">
        <v>8964</v>
      </c>
      <c r="Z652" s="4" t="s">
        <v>3929</v>
      </c>
      <c r="AA652" s="65">
        <v>0.86</v>
      </c>
      <c r="AB652" s="48" t="s">
        <v>8966</v>
      </c>
      <c r="AC652" s="66" t="s">
        <v>8962</v>
      </c>
      <c r="AD652" s="67" t="str">
        <f t="shared" si="477"/>
        <v>Link</v>
      </c>
      <c r="AE652" s="42">
        <v>2529</v>
      </c>
      <c r="AF652" s="55"/>
      <c r="AG652" s="55"/>
      <c r="AH652" s="56">
        <v>218733</v>
      </c>
      <c r="AI652" s="85"/>
      <c r="AJ652" s="85"/>
    </row>
    <row r="653" spans="1:36" ht="15" x14ac:dyDescent="0.2">
      <c r="A653" s="43" t="s">
        <v>8993</v>
      </c>
      <c r="B653" s="33" t="s">
        <v>1721</v>
      </c>
      <c r="C653" s="7" t="s">
        <v>67</v>
      </c>
      <c r="D653" s="7" t="s">
        <v>8994</v>
      </c>
      <c r="E653" s="44">
        <v>5</v>
      </c>
      <c r="F653" s="7"/>
      <c r="G653" s="7"/>
      <c r="H653" s="2" t="s">
        <v>8995</v>
      </c>
      <c r="I653" s="7" t="s">
        <v>206</v>
      </c>
      <c r="J653" s="7" t="s">
        <v>7417</v>
      </c>
      <c r="K653" s="7" t="s">
        <v>48</v>
      </c>
      <c r="L653" s="7" t="s">
        <v>8996</v>
      </c>
      <c r="M653" s="7" t="s">
        <v>8997</v>
      </c>
      <c r="N653" s="45" t="s">
        <v>8998</v>
      </c>
      <c r="O653" s="45" t="str">
        <f t="shared" ref="O653:O655" si="478">HYPERLINK("https://bradleybraves.com/sb_output.aspx?form=8","Questionnaire")</f>
        <v>Questionnaire</v>
      </c>
      <c r="P653" s="47" t="s">
        <v>8727</v>
      </c>
      <c r="Q653" s="47" t="s">
        <v>1721</v>
      </c>
      <c r="R653" s="48" t="s">
        <v>9001</v>
      </c>
      <c r="S653" s="48" t="s">
        <v>238</v>
      </c>
      <c r="T653" s="73" t="s">
        <v>63</v>
      </c>
      <c r="U653" s="48" t="s">
        <v>75</v>
      </c>
      <c r="V653" s="73"/>
      <c r="W653" s="50">
        <v>3.65</v>
      </c>
      <c r="X653" s="49" t="s">
        <v>2511</v>
      </c>
      <c r="Y653" s="49" t="s">
        <v>2511</v>
      </c>
      <c r="Z653" s="49" t="s">
        <v>689</v>
      </c>
      <c r="AA653" s="51">
        <v>0.69810000000000005</v>
      </c>
      <c r="AB653" s="71">
        <v>45570</v>
      </c>
      <c r="AC653" s="52" t="s">
        <v>8727</v>
      </c>
      <c r="AD653" s="53" t="str">
        <f t="shared" ref="AD653:AD655" si="479">HYPERLINK("https://www.bradley.edu/admissions/freshman/majors/","Link")</f>
        <v>Link</v>
      </c>
      <c r="AE653" s="54">
        <v>4473</v>
      </c>
      <c r="AF653" s="55"/>
      <c r="AG653" s="55"/>
      <c r="AH653" s="56">
        <v>143358</v>
      </c>
      <c r="AI653" s="7"/>
      <c r="AJ653" s="7"/>
    </row>
    <row r="654" spans="1:36" ht="15" x14ac:dyDescent="0.2">
      <c r="A654" s="43" t="s">
        <v>8993</v>
      </c>
      <c r="B654" s="33" t="s">
        <v>1721</v>
      </c>
      <c r="C654" s="7" t="s">
        <v>67</v>
      </c>
      <c r="D654" s="7" t="s">
        <v>9003</v>
      </c>
      <c r="E654" s="44">
        <v>5</v>
      </c>
      <c r="F654" s="7"/>
      <c r="G654" s="7"/>
      <c r="H654" s="2" t="s">
        <v>8995</v>
      </c>
      <c r="I654" s="7" t="s">
        <v>537</v>
      </c>
      <c r="J654" s="7" t="s">
        <v>9005</v>
      </c>
      <c r="K654" s="7" t="s">
        <v>55</v>
      </c>
      <c r="L654" s="7" t="s">
        <v>9007</v>
      </c>
      <c r="M654" s="7" t="s">
        <v>9009</v>
      </c>
      <c r="N654" s="69" t="str">
        <f t="shared" ref="N654:N655" si="480">HYPERLINK("twitter.com/bradleysoftball","@bradleysoftball")</f>
        <v>@bradleysoftball</v>
      </c>
      <c r="O654" s="45" t="str">
        <f t="shared" si="478"/>
        <v>Questionnaire</v>
      </c>
      <c r="P654" s="47" t="s">
        <v>8727</v>
      </c>
      <c r="Q654" s="47" t="s">
        <v>1721</v>
      </c>
      <c r="R654" s="48" t="s">
        <v>9001</v>
      </c>
      <c r="S654" s="48" t="s">
        <v>238</v>
      </c>
      <c r="T654" s="73" t="s">
        <v>63</v>
      </c>
      <c r="U654" s="48" t="s">
        <v>75</v>
      </c>
      <c r="V654" s="73"/>
      <c r="W654" s="50">
        <v>3.65</v>
      </c>
      <c r="X654" s="49" t="s">
        <v>2511</v>
      </c>
      <c r="Y654" s="49" t="s">
        <v>2511</v>
      </c>
      <c r="Z654" s="49" t="s">
        <v>689</v>
      </c>
      <c r="AA654" s="51">
        <v>0.69810000000000005</v>
      </c>
      <c r="AB654" s="71">
        <v>45570</v>
      </c>
      <c r="AC654" s="52" t="s">
        <v>8727</v>
      </c>
      <c r="AD654" s="53" t="str">
        <f t="shared" si="479"/>
        <v>Link</v>
      </c>
      <c r="AE654" s="54">
        <v>4473</v>
      </c>
      <c r="AF654" s="55"/>
      <c r="AG654" s="55"/>
      <c r="AH654" s="56">
        <v>143358</v>
      </c>
      <c r="AI654" s="7"/>
      <c r="AJ654" s="7"/>
    </row>
    <row r="655" spans="1:36" ht="15" x14ac:dyDescent="0.2">
      <c r="A655" s="43" t="s">
        <v>8993</v>
      </c>
      <c r="B655" s="33" t="s">
        <v>1721</v>
      </c>
      <c r="C655" s="7" t="s">
        <v>67</v>
      </c>
      <c r="D655" s="7" t="s">
        <v>9021</v>
      </c>
      <c r="E655" s="44">
        <v>5</v>
      </c>
      <c r="F655" s="7"/>
      <c r="G655" s="7"/>
      <c r="H655" s="2" t="s">
        <v>8995</v>
      </c>
      <c r="I655" s="7" t="s">
        <v>9024</v>
      </c>
      <c r="J655" s="7" t="s">
        <v>9025</v>
      </c>
      <c r="K655" s="7" t="s">
        <v>55</v>
      </c>
      <c r="L655" s="7" t="s">
        <v>9026</v>
      </c>
      <c r="M655" s="7" t="s">
        <v>9027</v>
      </c>
      <c r="N655" s="69" t="str">
        <f t="shared" si="480"/>
        <v>@bradleysoftball</v>
      </c>
      <c r="O655" s="69" t="str">
        <f t="shared" si="478"/>
        <v>Questionnaire</v>
      </c>
      <c r="P655" s="47" t="s">
        <v>8727</v>
      </c>
      <c r="Q655" s="47" t="s">
        <v>1721</v>
      </c>
      <c r="R655" s="48" t="s">
        <v>9001</v>
      </c>
      <c r="S655" s="48" t="s">
        <v>238</v>
      </c>
      <c r="T655" s="73" t="s">
        <v>63</v>
      </c>
      <c r="U655" s="48" t="s">
        <v>75</v>
      </c>
      <c r="V655" s="73"/>
      <c r="W655" s="50">
        <v>3.65</v>
      </c>
      <c r="X655" s="49" t="s">
        <v>2511</v>
      </c>
      <c r="Y655" s="49" t="s">
        <v>2511</v>
      </c>
      <c r="Z655" s="49" t="s">
        <v>689</v>
      </c>
      <c r="AA655" s="51">
        <v>0.69810000000000005</v>
      </c>
      <c r="AB655" s="71">
        <v>45570</v>
      </c>
      <c r="AC655" s="52" t="s">
        <v>8727</v>
      </c>
      <c r="AD655" s="53" t="str">
        <f t="shared" si="479"/>
        <v>Link</v>
      </c>
      <c r="AE655" s="54">
        <v>4473</v>
      </c>
      <c r="AF655" s="55"/>
      <c r="AG655" s="55"/>
      <c r="AH655" s="56">
        <v>143358</v>
      </c>
      <c r="AI655" s="7"/>
      <c r="AJ655" s="7"/>
    </row>
    <row r="656" spans="1:36" ht="15" x14ac:dyDescent="0.2">
      <c r="A656" s="43" t="s">
        <v>8993</v>
      </c>
      <c r="B656" s="2" t="s">
        <v>2663</v>
      </c>
      <c r="C656" s="7" t="s">
        <v>67</v>
      </c>
      <c r="D656" s="7" t="s">
        <v>9037</v>
      </c>
      <c r="E656" s="44">
        <v>5</v>
      </c>
      <c r="F656" s="7"/>
      <c r="G656" s="7"/>
      <c r="H656" s="2" t="s">
        <v>9038</v>
      </c>
      <c r="I656" s="7" t="s">
        <v>2739</v>
      </c>
      <c r="J656" s="7" t="s">
        <v>9039</v>
      </c>
      <c r="K656" s="7" t="s">
        <v>48</v>
      </c>
      <c r="L656" s="7" t="s">
        <v>9040</v>
      </c>
      <c r="M656" s="7" t="s">
        <v>9041</v>
      </c>
      <c r="N656" s="69" t="str">
        <f t="shared" ref="N656:N658" si="481">HYPERLINK("twitter.com/drakesoftball","@drakesoftball")</f>
        <v>@drakesoftball</v>
      </c>
      <c r="O656" s="48" t="s">
        <v>22</v>
      </c>
      <c r="P656" s="48" t="s">
        <v>9043</v>
      </c>
      <c r="Q656" s="60" t="s">
        <v>2663</v>
      </c>
      <c r="R656" s="48" t="s">
        <v>9045</v>
      </c>
      <c r="S656" s="4" t="s">
        <v>62</v>
      </c>
      <c r="T656" s="4" t="s">
        <v>63</v>
      </c>
      <c r="U656" s="5" t="s">
        <v>75</v>
      </c>
      <c r="V656" s="73"/>
      <c r="W656" s="91">
        <v>3.67</v>
      </c>
      <c r="X656" s="4" t="s">
        <v>3063</v>
      </c>
      <c r="Y656" s="4" t="s">
        <v>9047</v>
      </c>
      <c r="Z656" s="4" t="s">
        <v>412</v>
      </c>
      <c r="AA656" s="65">
        <v>0.69</v>
      </c>
      <c r="AB656" s="39">
        <v>49856</v>
      </c>
      <c r="AC656" s="76" t="s">
        <v>9043</v>
      </c>
      <c r="AD656" s="67" t="str">
        <f t="shared" ref="AD656:AD658" si="482">HYPERLINK("http://www.drake.edu/artsci/majors/majors/","Link")</f>
        <v>Link</v>
      </c>
      <c r="AE656" s="42">
        <v>3267</v>
      </c>
      <c r="AF656" s="55"/>
      <c r="AG656" s="55"/>
      <c r="AH656" s="56">
        <v>153269</v>
      </c>
      <c r="AI656" s="7"/>
      <c r="AJ656" s="7"/>
    </row>
    <row r="657" spans="1:36" ht="15" x14ac:dyDescent="0.2">
      <c r="A657" s="43" t="s">
        <v>8993</v>
      </c>
      <c r="B657" s="2" t="s">
        <v>2663</v>
      </c>
      <c r="C657" s="7" t="s">
        <v>67</v>
      </c>
      <c r="D657" s="7" t="s">
        <v>9048</v>
      </c>
      <c r="E657" s="44">
        <v>5</v>
      </c>
      <c r="F657" s="7"/>
      <c r="G657" s="7"/>
      <c r="H657" s="2" t="s">
        <v>9038</v>
      </c>
      <c r="I657" s="7" t="s">
        <v>948</v>
      </c>
      <c r="J657" s="7" t="s">
        <v>9051</v>
      </c>
      <c r="K657" s="7" t="s">
        <v>55</v>
      </c>
      <c r="L657" s="7"/>
      <c r="M657" s="7"/>
      <c r="N657" s="69" t="str">
        <f t="shared" si="481"/>
        <v>@drakesoftball</v>
      </c>
      <c r="O657" s="48" t="s">
        <v>22</v>
      </c>
      <c r="P657" s="48" t="s">
        <v>9043</v>
      </c>
      <c r="Q657" s="60" t="s">
        <v>2663</v>
      </c>
      <c r="R657" s="48" t="s">
        <v>9045</v>
      </c>
      <c r="S657" s="4" t="s">
        <v>62</v>
      </c>
      <c r="T657" s="4" t="s">
        <v>63</v>
      </c>
      <c r="U657" s="5" t="s">
        <v>75</v>
      </c>
      <c r="V657" s="73"/>
      <c r="W657" s="91">
        <v>3.67</v>
      </c>
      <c r="X657" s="4" t="s">
        <v>3063</v>
      </c>
      <c r="Y657" s="4" t="s">
        <v>9047</v>
      </c>
      <c r="Z657" s="4" t="s">
        <v>412</v>
      </c>
      <c r="AA657" s="65">
        <v>0.69</v>
      </c>
      <c r="AB657" s="39">
        <v>49856</v>
      </c>
      <c r="AC657" s="76" t="s">
        <v>9043</v>
      </c>
      <c r="AD657" s="67" t="str">
        <f t="shared" si="482"/>
        <v>Link</v>
      </c>
      <c r="AE657" s="42">
        <v>3267</v>
      </c>
      <c r="AF657" s="55"/>
      <c r="AG657" s="55"/>
      <c r="AH657" s="56">
        <v>153269</v>
      </c>
      <c r="AI657" s="7"/>
      <c r="AJ657" s="7"/>
    </row>
    <row r="658" spans="1:36" ht="15" x14ac:dyDescent="0.2">
      <c r="A658" s="43" t="s">
        <v>8993</v>
      </c>
      <c r="B658" s="2" t="s">
        <v>2663</v>
      </c>
      <c r="C658" s="7" t="s">
        <v>67</v>
      </c>
      <c r="D658" s="7" t="s">
        <v>9053</v>
      </c>
      <c r="E658" s="44">
        <v>5</v>
      </c>
      <c r="F658" s="7"/>
      <c r="G658" s="7"/>
      <c r="H658" s="2" t="s">
        <v>9038</v>
      </c>
      <c r="I658" s="7" t="s">
        <v>4000</v>
      </c>
      <c r="J658" s="7" t="s">
        <v>1968</v>
      </c>
      <c r="K658" s="7" t="s">
        <v>55</v>
      </c>
      <c r="L658" s="7" t="s">
        <v>9059</v>
      </c>
      <c r="M658" s="7" t="s">
        <v>9060</v>
      </c>
      <c r="N658" s="69" t="str">
        <f t="shared" si="481"/>
        <v>@drakesoftball</v>
      </c>
      <c r="O658" s="48" t="s">
        <v>22</v>
      </c>
      <c r="P658" s="48" t="s">
        <v>9043</v>
      </c>
      <c r="Q658" s="60" t="s">
        <v>2663</v>
      </c>
      <c r="R658" s="48" t="s">
        <v>9045</v>
      </c>
      <c r="S658" s="4" t="s">
        <v>62</v>
      </c>
      <c r="T658" s="4" t="s">
        <v>63</v>
      </c>
      <c r="U658" s="5" t="s">
        <v>75</v>
      </c>
      <c r="V658" s="73"/>
      <c r="W658" s="91">
        <v>3.67</v>
      </c>
      <c r="X658" s="4" t="s">
        <v>3063</v>
      </c>
      <c r="Y658" s="4" t="s">
        <v>9047</v>
      </c>
      <c r="Z658" s="4" t="s">
        <v>412</v>
      </c>
      <c r="AA658" s="65">
        <v>0.69</v>
      </c>
      <c r="AB658" s="39">
        <v>49856</v>
      </c>
      <c r="AC658" s="76" t="s">
        <v>9043</v>
      </c>
      <c r="AD658" s="67" t="str">
        <f t="shared" si="482"/>
        <v>Link</v>
      </c>
      <c r="AE658" s="42">
        <v>3267</v>
      </c>
      <c r="AF658" s="55"/>
      <c r="AG658" s="55"/>
      <c r="AH658" s="56">
        <v>153269</v>
      </c>
      <c r="AI658" s="7"/>
      <c r="AJ658" s="7"/>
    </row>
    <row r="659" spans="1:36" ht="15" x14ac:dyDescent="0.2">
      <c r="A659" s="43" t="s">
        <v>8993</v>
      </c>
      <c r="B659" s="33" t="s">
        <v>1151</v>
      </c>
      <c r="C659" s="7" t="s">
        <v>67</v>
      </c>
      <c r="D659" s="7" t="s">
        <v>9065</v>
      </c>
      <c r="E659" s="44">
        <v>5</v>
      </c>
      <c r="F659" s="7"/>
      <c r="G659" s="7"/>
      <c r="H659" s="2" t="s">
        <v>9066</v>
      </c>
      <c r="I659" s="7" t="s">
        <v>9069</v>
      </c>
      <c r="J659" s="7" t="s">
        <v>9071</v>
      </c>
      <c r="K659" s="7" t="s">
        <v>48</v>
      </c>
      <c r="L659" s="7" t="s">
        <v>9072</v>
      </c>
      <c r="M659" s="7" t="s">
        <v>9073</v>
      </c>
      <c r="N659" s="69" t="str">
        <f t="shared" ref="N659:N661" si="483">HYPERLINK("twitter.com/UEAthletics_SB","@UEAthletics_SB")</f>
        <v>@UEAthletics_SB</v>
      </c>
      <c r="O659" s="69" t="str">
        <f t="shared" ref="O659:O661" si="484">HYPERLINK("https://www.evansville.edu/athletics/student-athlete-questionnaire.cfm","Questionnaire")</f>
        <v>Questionnaire</v>
      </c>
      <c r="P659" s="47" t="s">
        <v>4688</v>
      </c>
      <c r="Q659" s="47" t="s">
        <v>1151</v>
      </c>
      <c r="R659" s="48" t="s">
        <v>4688</v>
      </c>
      <c r="S659" s="48" t="s">
        <v>238</v>
      </c>
      <c r="T659" s="49" t="s">
        <v>63</v>
      </c>
      <c r="U659" s="48" t="s">
        <v>65</v>
      </c>
      <c r="V659" s="73"/>
      <c r="W659" s="50">
        <v>3.65</v>
      </c>
      <c r="X659" s="49" t="s">
        <v>676</v>
      </c>
      <c r="Y659" s="49" t="s">
        <v>956</v>
      </c>
      <c r="Z659" s="49" t="s">
        <v>2734</v>
      </c>
      <c r="AA659" s="61">
        <v>0.71</v>
      </c>
      <c r="AB659" s="71">
        <v>48970</v>
      </c>
      <c r="AC659" s="52" t="s">
        <v>4688</v>
      </c>
      <c r="AD659" s="53" t="str">
        <f t="shared" ref="AD659:AD661" si="485">HYPERLINK("https://www.evansville.edu/majors/","Link")</f>
        <v>Link</v>
      </c>
      <c r="AE659" s="54">
        <v>2248</v>
      </c>
      <c r="AF659" s="55"/>
      <c r="AG659" s="55"/>
      <c r="AH659" s="56">
        <v>150534</v>
      </c>
      <c r="AI659" s="7"/>
      <c r="AJ659" s="7"/>
    </row>
    <row r="660" spans="1:36" ht="15" x14ac:dyDescent="0.2">
      <c r="A660" s="43" t="s">
        <v>8993</v>
      </c>
      <c r="B660" s="33" t="s">
        <v>1151</v>
      </c>
      <c r="C660" s="7" t="s">
        <v>67</v>
      </c>
      <c r="D660" s="7" t="s">
        <v>9084</v>
      </c>
      <c r="E660" s="44">
        <v>5</v>
      </c>
      <c r="F660" s="7"/>
      <c r="G660" s="7"/>
      <c r="H660" s="2" t="s">
        <v>9066</v>
      </c>
      <c r="I660" s="7" t="s">
        <v>1132</v>
      </c>
      <c r="J660" s="7" t="s">
        <v>9085</v>
      </c>
      <c r="K660" s="7" t="s">
        <v>55</v>
      </c>
      <c r="L660" s="7" t="s">
        <v>9086</v>
      </c>
      <c r="M660" s="7" t="s">
        <v>9087</v>
      </c>
      <c r="N660" s="45" t="str">
        <f t="shared" si="483"/>
        <v>@UEAthletics_SB</v>
      </c>
      <c r="O660" s="45" t="str">
        <f t="shared" si="484"/>
        <v>Questionnaire</v>
      </c>
      <c r="P660" s="47" t="s">
        <v>4688</v>
      </c>
      <c r="Q660" s="47" t="s">
        <v>1151</v>
      </c>
      <c r="R660" s="48" t="s">
        <v>4688</v>
      </c>
      <c r="S660" s="48" t="s">
        <v>238</v>
      </c>
      <c r="T660" s="49" t="s">
        <v>63</v>
      </c>
      <c r="U660" s="48" t="s">
        <v>65</v>
      </c>
      <c r="V660" s="73"/>
      <c r="W660" s="50">
        <v>3.65</v>
      </c>
      <c r="X660" s="49" t="s">
        <v>676</v>
      </c>
      <c r="Y660" s="49" t="s">
        <v>956</v>
      </c>
      <c r="Z660" s="49" t="s">
        <v>2734</v>
      </c>
      <c r="AA660" s="61">
        <v>0.71</v>
      </c>
      <c r="AB660" s="71">
        <v>48970</v>
      </c>
      <c r="AC660" s="52" t="s">
        <v>4688</v>
      </c>
      <c r="AD660" s="53" t="str">
        <f t="shared" si="485"/>
        <v>Link</v>
      </c>
      <c r="AE660" s="54">
        <v>2248</v>
      </c>
      <c r="AF660" s="55"/>
      <c r="AG660" s="55"/>
      <c r="AH660" s="56">
        <v>150534</v>
      </c>
      <c r="AI660" s="7"/>
      <c r="AJ660" s="7"/>
    </row>
    <row r="661" spans="1:36" ht="15" x14ac:dyDescent="0.2">
      <c r="A661" s="43" t="s">
        <v>8993</v>
      </c>
      <c r="B661" s="33" t="s">
        <v>1151</v>
      </c>
      <c r="C661" s="7" t="s">
        <v>67</v>
      </c>
      <c r="D661" s="7" t="s">
        <v>9090</v>
      </c>
      <c r="E661" s="44">
        <v>5</v>
      </c>
      <c r="F661" s="7"/>
      <c r="G661" s="7"/>
      <c r="H661" s="2" t="s">
        <v>9066</v>
      </c>
      <c r="I661" s="7" t="s">
        <v>2795</v>
      </c>
      <c r="J661" s="7" t="s">
        <v>9091</v>
      </c>
      <c r="K661" s="7" t="s">
        <v>55</v>
      </c>
      <c r="L661" s="7" t="s">
        <v>9093</v>
      </c>
      <c r="M661" s="7" t="s">
        <v>9095</v>
      </c>
      <c r="N661" s="45" t="str">
        <f t="shared" si="483"/>
        <v>@UEAthletics_SB</v>
      </c>
      <c r="O661" s="45" t="str">
        <f t="shared" si="484"/>
        <v>Questionnaire</v>
      </c>
      <c r="P661" s="47" t="s">
        <v>4688</v>
      </c>
      <c r="Q661" s="47" t="s">
        <v>1151</v>
      </c>
      <c r="R661" s="48" t="s">
        <v>4688</v>
      </c>
      <c r="S661" s="48" t="s">
        <v>238</v>
      </c>
      <c r="T661" s="49" t="s">
        <v>63</v>
      </c>
      <c r="U661" s="48" t="s">
        <v>65</v>
      </c>
      <c r="V661" s="73"/>
      <c r="W661" s="50">
        <v>3.65</v>
      </c>
      <c r="X661" s="49" t="s">
        <v>676</v>
      </c>
      <c r="Y661" s="49" t="s">
        <v>956</v>
      </c>
      <c r="Z661" s="49" t="s">
        <v>2734</v>
      </c>
      <c r="AA661" s="61">
        <v>0.71</v>
      </c>
      <c r="AB661" s="71">
        <v>48970</v>
      </c>
      <c r="AC661" s="52" t="s">
        <v>4688</v>
      </c>
      <c r="AD661" s="53" t="str">
        <f t="shared" si="485"/>
        <v>Link</v>
      </c>
      <c r="AE661" s="54">
        <v>2248</v>
      </c>
      <c r="AF661" s="55"/>
      <c r="AG661" s="55"/>
      <c r="AH661" s="56">
        <v>150534</v>
      </c>
      <c r="AI661" s="7"/>
      <c r="AJ661" s="7"/>
    </row>
    <row r="662" spans="1:36" ht="15" x14ac:dyDescent="0.2">
      <c r="A662" s="43" t="s">
        <v>8993</v>
      </c>
      <c r="B662" s="33" t="s">
        <v>1721</v>
      </c>
      <c r="C662" s="7" t="s">
        <v>67</v>
      </c>
      <c r="D662" s="7" t="s">
        <v>9106</v>
      </c>
      <c r="E662" s="44">
        <v>5</v>
      </c>
      <c r="F662" s="7"/>
      <c r="G662" s="7"/>
      <c r="H662" s="2" t="s">
        <v>9107</v>
      </c>
      <c r="I662" s="7" t="s">
        <v>9108</v>
      </c>
      <c r="J662" s="7" t="s">
        <v>9109</v>
      </c>
      <c r="K662" s="7" t="s">
        <v>48</v>
      </c>
      <c r="L662" s="7" t="s">
        <v>9111</v>
      </c>
      <c r="M662" s="7" t="s">
        <v>9112</v>
      </c>
      <c r="N662" s="45" t="str">
        <f>HYPERLINK("twitter.com/RedbirdsSB","@RedbirdsSB")</f>
        <v>@RedbirdsSB</v>
      </c>
      <c r="O662" s="45" t="str">
        <f t="shared" ref="O662:O665" si="486">HYPERLINK("https://goredbirds.com/sports/2014/6/18/GEN_0618142422.aspx","Questionnaire")</f>
        <v>Questionnaire</v>
      </c>
      <c r="P662" s="47" t="s">
        <v>9118</v>
      </c>
      <c r="Q662" s="47" t="s">
        <v>1721</v>
      </c>
      <c r="R662" s="48" t="s">
        <v>9119</v>
      </c>
      <c r="S662" s="48" t="s">
        <v>186</v>
      </c>
      <c r="T662" s="49" t="s">
        <v>74</v>
      </c>
      <c r="U662" s="48" t="s">
        <v>75</v>
      </c>
      <c r="V662" s="73"/>
      <c r="W662" s="50">
        <v>3.36</v>
      </c>
      <c r="X662" s="49" t="s">
        <v>214</v>
      </c>
      <c r="Y662" s="49" t="s">
        <v>214</v>
      </c>
      <c r="Z662" s="49" t="s">
        <v>1650</v>
      </c>
      <c r="AA662" s="61">
        <v>0.89</v>
      </c>
      <c r="AB662" s="48" t="s">
        <v>9120</v>
      </c>
      <c r="AC662" s="52" t="s">
        <v>9118</v>
      </c>
      <c r="AD662" s="53" t="str">
        <f t="shared" ref="AD662:AD665" si="487">HYPERLINK("https://illinoisstate.edu/academics/","Link")</f>
        <v>Link</v>
      </c>
      <c r="AE662" s="54">
        <v>18643</v>
      </c>
      <c r="AF662" s="54">
        <v>159</v>
      </c>
      <c r="AG662" s="55"/>
      <c r="AH662" s="56">
        <v>145813</v>
      </c>
      <c r="AI662" s="7"/>
      <c r="AJ662" s="7"/>
    </row>
    <row r="663" spans="1:36" ht="15" x14ac:dyDescent="0.2">
      <c r="A663" s="43" t="s">
        <v>8993</v>
      </c>
      <c r="B663" s="33" t="s">
        <v>1721</v>
      </c>
      <c r="C663" s="7" t="s">
        <v>67</v>
      </c>
      <c r="D663" s="7" t="s">
        <v>9127</v>
      </c>
      <c r="E663" s="44">
        <v>5</v>
      </c>
      <c r="F663" s="7"/>
      <c r="G663" s="7"/>
      <c r="H663" s="2" t="s">
        <v>9107</v>
      </c>
      <c r="I663" s="7" t="s">
        <v>948</v>
      </c>
      <c r="J663" s="7" t="s">
        <v>9130</v>
      </c>
      <c r="K663" s="7" t="s">
        <v>55</v>
      </c>
      <c r="L663" s="7" t="s">
        <v>9131</v>
      </c>
      <c r="M663" s="7" t="s">
        <v>9132</v>
      </c>
      <c r="N663" s="45" t="str">
        <f>HYPERLINK("twitter.com/Coach_Kramos","@Coach_Kramos")</f>
        <v>@Coach_Kramos</v>
      </c>
      <c r="O663" s="45" t="str">
        <f t="shared" si="486"/>
        <v>Questionnaire</v>
      </c>
      <c r="P663" s="47" t="s">
        <v>9118</v>
      </c>
      <c r="Q663" s="47" t="s">
        <v>1721</v>
      </c>
      <c r="R663" s="48" t="s">
        <v>9119</v>
      </c>
      <c r="S663" s="48" t="s">
        <v>186</v>
      </c>
      <c r="T663" s="49" t="s">
        <v>74</v>
      </c>
      <c r="U663" s="48" t="s">
        <v>75</v>
      </c>
      <c r="V663" s="73"/>
      <c r="W663" s="50">
        <v>3.36</v>
      </c>
      <c r="X663" s="49" t="s">
        <v>214</v>
      </c>
      <c r="Y663" s="49" t="s">
        <v>214</v>
      </c>
      <c r="Z663" s="49" t="s">
        <v>1650</v>
      </c>
      <c r="AA663" s="61">
        <v>0.89</v>
      </c>
      <c r="AB663" s="48" t="s">
        <v>9120</v>
      </c>
      <c r="AC663" s="52" t="s">
        <v>9118</v>
      </c>
      <c r="AD663" s="53" t="str">
        <f t="shared" si="487"/>
        <v>Link</v>
      </c>
      <c r="AE663" s="54">
        <v>18643</v>
      </c>
      <c r="AF663" s="54">
        <v>159</v>
      </c>
      <c r="AG663" s="55"/>
      <c r="AH663" s="56">
        <v>145813</v>
      </c>
      <c r="AI663" s="7"/>
      <c r="AJ663" s="7"/>
    </row>
    <row r="664" spans="1:36" ht="15" x14ac:dyDescent="0.2">
      <c r="A664" s="43" t="s">
        <v>8993</v>
      </c>
      <c r="B664" s="33" t="s">
        <v>1721</v>
      </c>
      <c r="C664" s="7" t="s">
        <v>67</v>
      </c>
      <c r="D664" s="7" t="s">
        <v>9140</v>
      </c>
      <c r="E664" s="44">
        <v>5</v>
      </c>
      <c r="F664" s="7"/>
      <c r="G664" s="7"/>
      <c r="H664" s="2" t="s">
        <v>9107</v>
      </c>
      <c r="I664" s="7" t="s">
        <v>754</v>
      </c>
      <c r="J664" s="7" t="s">
        <v>9142</v>
      </c>
      <c r="K664" s="7" t="s">
        <v>55</v>
      </c>
      <c r="L664" s="7" t="s">
        <v>9144</v>
      </c>
      <c r="M664" s="7" t="s">
        <v>9145</v>
      </c>
      <c r="N664" s="69" t="str">
        <f t="shared" ref="N664:N665" si="488">HYPERLINK("twitter.com/RedbirdsSB","@RedbirdsSB")</f>
        <v>@RedbirdsSB</v>
      </c>
      <c r="O664" s="69" t="str">
        <f t="shared" si="486"/>
        <v>Questionnaire</v>
      </c>
      <c r="P664" s="47" t="s">
        <v>9118</v>
      </c>
      <c r="Q664" s="47" t="s">
        <v>1721</v>
      </c>
      <c r="R664" s="48" t="s">
        <v>9119</v>
      </c>
      <c r="S664" s="48" t="s">
        <v>186</v>
      </c>
      <c r="T664" s="49" t="s">
        <v>74</v>
      </c>
      <c r="U664" s="48" t="s">
        <v>75</v>
      </c>
      <c r="V664" s="73"/>
      <c r="W664" s="50">
        <v>3.36</v>
      </c>
      <c r="X664" s="49" t="s">
        <v>214</v>
      </c>
      <c r="Y664" s="49" t="s">
        <v>214</v>
      </c>
      <c r="Z664" s="49" t="s">
        <v>1650</v>
      </c>
      <c r="AA664" s="61">
        <v>0.89</v>
      </c>
      <c r="AB664" s="48" t="s">
        <v>9120</v>
      </c>
      <c r="AC664" s="52" t="s">
        <v>9118</v>
      </c>
      <c r="AD664" s="53" t="str">
        <f t="shared" si="487"/>
        <v>Link</v>
      </c>
      <c r="AE664" s="54">
        <v>18643</v>
      </c>
      <c r="AF664" s="54">
        <v>159</v>
      </c>
      <c r="AG664" s="55"/>
      <c r="AH664" s="56">
        <v>145813</v>
      </c>
      <c r="AI664" s="7"/>
      <c r="AJ664" s="7"/>
    </row>
    <row r="665" spans="1:36" ht="15" x14ac:dyDescent="0.2">
      <c r="A665" s="43" t="s">
        <v>8993</v>
      </c>
      <c r="B665" s="33" t="s">
        <v>1721</v>
      </c>
      <c r="C665" s="7" t="s">
        <v>67</v>
      </c>
      <c r="D665" s="7" t="s">
        <v>9149</v>
      </c>
      <c r="E665" s="44">
        <v>5</v>
      </c>
      <c r="F665" s="7" t="s">
        <v>116</v>
      </c>
      <c r="G665" s="7"/>
      <c r="H665" s="2" t="s">
        <v>9107</v>
      </c>
      <c r="I665" s="7" t="s">
        <v>4328</v>
      </c>
      <c r="J665" s="7" t="s">
        <v>9150</v>
      </c>
      <c r="K665" s="7" t="s">
        <v>139</v>
      </c>
      <c r="L665" s="7"/>
      <c r="M665" s="7"/>
      <c r="N665" s="69" t="str">
        <f t="shared" si="488"/>
        <v>@RedbirdsSB</v>
      </c>
      <c r="O665" s="69" t="str">
        <f t="shared" si="486"/>
        <v>Questionnaire</v>
      </c>
      <c r="P665" s="47" t="s">
        <v>9118</v>
      </c>
      <c r="Q665" s="47" t="s">
        <v>1721</v>
      </c>
      <c r="R665" s="48" t="s">
        <v>9119</v>
      </c>
      <c r="S665" s="48" t="s">
        <v>186</v>
      </c>
      <c r="T665" s="49" t="s">
        <v>74</v>
      </c>
      <c r="U665" s="48" t="s">
        <v>75</v>
      </c>
      <c r="V665" s="73"/>
      <c r="W665" s="50">
        <v>3.36</v>
      </c>
      <c r="X665" s="49" t="s">
        <v>214</v>
      </c>
      <c r="Y665" s="49" t="s">
        <v>214</v>
      </c>
      <c r="Z665" s="49" t="s">
        <v>1650</v>
      </c>
      <c r="AA665" s="61">
        <v>0.89</v>
      </c>
      <c r="AB665" s="48" t="s">
        <v>9120</v>
      </c>
      <c r="AC665" s="52" t="s">
        <v>9118</v>
      </c>
      <c r="AD665" s="53" t="str">
        <f t="shared" si="487"/>
        <v>Link</v>
      </c>
      <c r="AE665" s="54">
        <v>18643</v>
      </c>
      <c r="AF665" s="54">
        <v>159</v>
      </c>
      <c r="AG665" s="55"/>
      <c r="AH665" s="56">
        <v>145813</v>
      </c>
      <c r="AI665" s="7"/>
      <c r="AJ665" s="7"/>
    </row>
    <row r="666" spans="1:36" ht="15" x14ac:dyDescent="0.2">
      <c r="A666" s="43" t="s">
        <v>8993</v>
      </c>
      <c r="B666" s="33" t="s">
        <v>1151</v>
      </c>
      <c r="C666" s="7" t="s">
        <v>67</v>
      </c>
      <c r="D666" s="7" t="s">
        <v>9153</v>
      </c>
      <c r="E666" s="44">
        <v>5</v>
      </c>
      <c r="F666" s="7"/>
      <c r="G666" s="7"/>
      <c r="H666" s="2" t="s">
        <v>9154</v>
      </c>
      <c r="I666" s="7" t="s">
        <v>754</v>
      </c>
      <c r="J666" s="7" t="s">
        <v>9156</v>
      </c>
      <c r="K666" s="7" t="s">
        <v>48</v>
      </c>
      <c r="L666" s="7" t="s">
        <v>9159</v>
      </c>
      <c r="M666" s="7" t="s">
        <v>9160</v>
      </c>
      <c r="N666" s="69" t="str">
        <f t="shared" ref="N666:N668" si="489">HYPERLINK("twitter.com/IndStSoftball","@IndStSoftball")</f>
        <v>@IndStSoftball</v>
      </c>
      <c r="O666" s="69" t="str">
        <f t="shared" ref="O666:O668" si="490">HYPERLINK("https://gosycamores.com/sports/2015/7/30/205500745.aspx","Questionnaire")</f>
        <v>Questionnaire</v>
      </c>
      <c r="P666" s="47" t="s">
        <v>9161</v>
      </c>
      <c r="Q666" s="47" t="s">
        <v>1151</v>
      </c>
      <c r="R666" s="48" t="s">
        <v>2802</v>
      </c>
      <c r="S666" s="48" t="s">
        <v>186</v>
      </c>
      <c r="T666" s="49" t="s">
        <v>74</v>
      </c>
      <c r="U666" s="48" t="s">
        <v>75</v>
      </c>
      <c r="V666" s="73"/>
      <c r="W666" s="50">
        <v>3.07</v>
      </c>
      <c r="X666" s="49" t="s">
        <v>1947</v>
      </c>
      <c r="Y666" s="49" t="s">
        <v>8238</v>
      </c>
      <c r="Z666" s="49" t="s">
        <v>3952</v>
      </c>
      <c r="AA666" s="61">
        <v>0.86</v>
      </c>
      <c r="AB666" s="48" t="s">
        <v>9164</v>
      </c>
      <c r="AC666" s="52" t="s">
        <v>9161</v>
      </c>
      <c r="AD666" s="53" t="str">
        <f t="shared" ref="AD666:AD668" si="491">HYPERLINK("http://www.indstate.edu/academics","Link")</f>
        <v>Link</v>
      </c>
      <c r="AE666" s="54">
        <v>11202</v>
      </c>
      <c r="AF666" s="55"/>
      <c r="AG666" s="55"/>
      <c r="AH666" s="56">
        <v>151324</v>
      </c>
      <c r="AI666" s="7"/>
      <c r="AJ666" s="7"/>
    </row>
    <row r="667" spans="1:36" ht="15" x14ac:dyDescent="0.2">
      <c r="A667" s="43" t="s">
        <v>8993</v>
      </c>
      <c r="B667" s="33" t="s">
        <v>1151</v>
      </c>
      <c r="C667" s="7" t="s">
        <v>67</v>
      </c>
      <c r="D667" s="7" t="s">
        <v>9169</v>
      </c>
      <c r="E667" s="44">
        <v>5</v>
      </c>
      <c r="F667" s="7"/>
      <c r="G667" s="7"/>
      <c r="H667" s="2" t="s">
        <v>9154</v>
      </c>
      <c r="I667" s="7" t="s">
        <v>338</v>
      </c>
      <c r="J667" s="7" t="s">
        <v>9170</v>
      </c>
      <c r="K667" s="7" t="s">
        <v>55</v>
      </c>
      <c r="L667" s="7" t="s">
        <v>9171</v>
      </c>
      <c r="M667" s="7" t="s">
        <v>9172</v>
      </c>
      <c r="N667" s="69" t="str">
        <f t="shared" si="489"/>
        <v>@IndStSoftball</v>
      </c>
      <c r="O667" s="69" t="str">
        <f t="shared" si="490"/>
        <v>Questionnaire</v>
      </c>
      <c r="P667" s="47" t="s">
        <v>9161</v>
      </c>
      <c r="Q667" s="47" t="s">
        <v>1151</v>
      </c>
      <c r="R667" s="48" t="s">
        <v>2802</v>
      </c>
      <c r="S667" s="48" t="s">
        <v>186</v>
      </c>
      <c r="T667" s="49" t="s">
        <v>74</v>
      </c>
      <c r="U667" s="48" t="s">
        <v>75</v>
      </c>
      <c r="V667" s="73"/>
      <c r="W667" s="50">
        <v>3.07</v>
      </c>
      <c r="X667" s="49" t="s">
        <v>1947</v>
      </c>
      <c r="Y667" s="49" t="s">
        <v>8238</v>
      </c>
      <c r="Z667" s="49" t="s">
        <v>3952</v>
      </c>
      <c r="AA667" s="61">
        <v>0.86</v>
      </c>
      <c r="AB667" s="48" t="s">
        <v>9164</v>
      </c>
      <c r="AC667" s="52" t="s">
        <v>9161</v>
      </c>
      <c r="AD667" s="53" t="str">
        <f t="shared" si="491"/>
        <v>Link</v>
      </c>
      <c r="AE667" s="54">
        <v>11202</v>
      </c>
      <c r="AF667" s="55"/>
      <c r="AG667" s="55"/>
      <c r="AH667" s="56">
        <v>151324</v>
      </c>
      <c r="AI667" s="7"/>
      <c r="AJ667" s="7"/>
    </row>
    <row r="668" spans="1:36" ht="15" x14ac:dyDescent="0.2">
      <c r="A668" s="43" t="s">
        <v>8993</v>
      </c>
      <c r="B668" s="33" t="s">
        <v>1151</v>
      </c>
      <c r="C668" s="7" t="s">
        <v>67</v>
      </c>
      <c r="D668" s="7" t="s">
        <v>9179</v>
      </c>
      <c r="E668" s="44">
        <v>5</v>
      </c>
      <c r="F668" s="7"/>
      <c r="G668" s="7"/>
      <c r="H668" s="2" t="s">
        <v>9154</v>
      </c>
      <c r="I668" s="7" t="s">
        <v>1717</v>
      </c>
      <c r="J668" s="7" t="s">
        <v>9182</v>
      </c>
      <c r="K668" s="7" t="s">
        <v>55</v>
      </c>
      <c r="L668" s="7" t="s">
        <v>9184</v>
      </c>
      <c r="M668" s="7" t="s">
        <v>9186</v>
      </c>
      <c r="N668" s="69" t="str">
        <f t="shared" si="489"/>
        <v>@IndStSoftball</v>
      </c>
      <c r="O668" s="69" t="str">
        <f t="shared" si="490"/>
        <v>Questionnaire</v>
      </c>
      <c r="P668" s="47" t="s">
        <v>9161</v>
      </c>
      <c r="Q668" s="47" t="s">
        <v>1151</v>
      </c>
      <c r="R668" s="48" t="s">
        <v>2802</v>
      </c>
      <c r="S668" s="48" t="s">
        <v>186</v>
      </c>
      <c r="T668" s="49" t="s">
        <v>74</v>
      </c>
      <c r="U668" s="48" t="s">
        <v>75</v>
      </c>
      <c r="V668" s="73"/>
      <c r="W668" s="50">
        <v>3.07</v>
      </c>
      <c r="X668" s="49" t="s">
        <v>1947</v>
      </c>
      <c r="Y668" s="49" t="s">
        <v>8238</v>
      </c>
      <c r="Z668" s="49" t="s">
        <v>3952</v>
      </c>
      <c r="AA668" s="61">
        <v>0.86</v>
      </c>
      <c r="AB668" s="48" t="s">
        <v>9164</v>
      </c>
      <c r="AC668" s="52" t="s">
        <v>9161</v>
      </c>
      <c r="AD668" s="53" t="str">
        <f t="shared" si="491"/>
        <v>Link</v>
      </c>
      <c r="AE668" s="54">
        <v>11202</v>
      </c>
      <c r="AF668" s="55"/>
      <c r="AG668" s="55"/>
      <c r="AH668" s="56">
        <v>151324</v>
      </c>
      <c r="AI668" s="7"/>
      <c r="AJ668" s="7"/>
    </row>
    <row r="669" spans="1:36" ht="13" x14ac:dyDescent="0.15">
      <c r="A669" s="64" t="s">
        <v>8993</v>
      </c>
      <c r="B669" s="2" t="s">
        <v>1721</v>
      </c>
      <c r="C669" s="7" t="s">
        <v>67</v>
      </c>
      <c r="D669" s="7" t="s">
        <v>9189</v>
      </c>
      <c r="E669" s="44">
        <v>5</v>
      </c>
      <c r="F669" s="7"/>
      <c r="G669" s="7"/>
      <c r="H669" s="2" t="s">
        <v>9190</v>
      </c>
      <c r="I669" s="7" t="s">
        <v>1298</v>
      </c>
      <c r="J669" s="7" t="s">
        <v>9191</v>
      </c>
      <c r="K669" s="7" t="s">
        <v>48</v>
      </c>
      <c r="L669" s="7" t="s">
        <v>9192</v>
      </c>
      <c r="M669" s="7" t="s">
        <v>9193</v>
      </c>
      <c r="N669" s="69" t="str">
        <f t="shared" ref="N669:N671" si="492">HYPERLINK("twitter.com/RamblersSB","@RamblersSB")</f>
        <v>@RamblersSB</v>
      </c>
      <c r="O669" s="69" t="str">
        <f t="shared" ref="O669:O671" si="493">HYPERLINK("https://college.jumpforward.com/questionnaire.aspx?iid=1587&amp;sportid=31","Questionnaire")</f>
        <v>Questionnaire</v>
      </c>
      <c r="P669" s="48" t="s">
        <v>9198</v>
      </c>
      <c r="Q669" s="60" t="s">
        <v>1721</v>
      </c>
      <c r="R669" s="48" t="s">
        <v>1877</v>
      </c>
      <c r="S669" s="48" t="s">
        <v>288</v>
      </c>
      <c r="T669" s="4" t="s">
        <v>63</v>
      </c>
      <c r="U669" s="6" t="s">
        <v>9199</v>
      </c>
      <c r="V669" s="73"/>
      <c r="W669" s="91">
        <v>3.65</v>
      </c>
      <c r="X669" s="49" t="s">
        <v>1229</v>
      </c>
      <c r="Y669" s="49" t="s">
        <v>1490</v>
      </c>
      <c r="Z669" s="49" t="s">
        <v>1408</v>
      </c>
      <c r="AA669" s="65">
        <v>0.73</v>
      </c>
      <c r="AB669" s="39">
        <v>58602</v>
      </c>
      <c r="AC669" s="84" t="s">
        <v>9198</v>
      </c>
      <c r="AD669" s="53" t="str">
        <f t="shared" ref="AD669:AD671" si="494">HYPERLINK("https://luc.edu/undergrad/academics/majors/","Link")</f>
        <v>Link</v>
      </c>
      <c r="AE669" s="42">
        <v>11129</v>
      </c>
      <c r="AF669" s="42">
        <v>103</v>
      </c>
      <c r="AG669" s="55"/>
      <c r="AH669" s="56">
        <v>146719</v>
      </c>
      <c r="AI669" s="7"/>
      <c r="AJ669" s="7"/>
    </row>
    <row r="670" spans="1:36" ht="13" x14ac:dyDescent="0.15">
      <c r="A670" s="64" t="s">
        <v>8993</v>
      </c>
      <c r="B670" s="2" t="s">
        <v>1721</v>
      </c>
      <c r="C670" s="7" t="s">
        <v>67</v>
      </c>
      <c r="D670" s="7" t="s">
        <v>9204</v>
      </c>
      <c r="E670" s="44">
        <v>5</v>
      </c>
      <c r="F670" s="7"/>
      <c r="G670" s="7"/>
      <c r="H670" s="2" t="s">
        <v>9190</v>
      </c>
      <c r="I670" s="7" t="s">
        <v>2829</v>
      </c>
      <c r="J670" s="7" t="s">
        <v>9205</v>
      </c>
      <c r="K670" s="7" t="s">
        <v>55</v>
      </c>
      <c r="L670" s="7" t="s">
        <v>9206</v>
      </c>
      <c r="M670" s="7" t="s">
        <v>9207</v>
      </c>
      <c r="N670" s="45" t="str">
        <f t="shared" si="492"/>
        <v>@RamblersSB</v>
      </c>
      <c r="O670" s="45" t="str">
        <f t="shared" si="493"/>
        <v>Questionnaire</v>
      </c>
      <c r="P670" s="48" t="s">
        <v>9198</v>
      </c>
      <c r="Q670" s="60" t="s">
        <v>1721</v>
      </c>
      <c r="R670" s="48" t="s">
        <v>1877</v>
      </c>
      <c r="S670" s="48" t="s">
        <v>288</v>
      </c>
      <c r="T670" s="4" t="s">
        <v>63</v>
      </c>
      <c r="U670" s="6" t="s">
        <v>9199</v>
      </c>
      <c r="V670" s="73"/>
      <c r="W670" s="91">
        <v>3.65</v>
      </c>
      <c r="X670" s="49" t="s">
        <v>1229</v>
      </c>
      <c r="Y670" s="49" t="s">
        <v>1490</v>
      </c>
      <c r="Z670" s="49" t="s">
        <v>1408</v>
      </c>
      <c r="AA670" s="65">
        <v>0.73</v>
      </c>
      <c r="AB670" s="39">
        <v>58602</v>
      </c>
      <c r="AC670" s="84" t="s">
        <v>9198</v>
      </c>
      <c r="AD670" s="53" t="str">
        <f t="shared" si="494"/>
        <v>Link</v>
      </c>
      <c r="AE670" s="42">
        <v>11129</v>
      </c>
      <c r="AF670" s="42">
        <v>103</v>
      </c>
      <c r="AG670" s="55"/>
      <c r="AH670" s="56">
        <v>146719</v>
      </c>
      <c r="AI670" s="7"/>
      <c r="AJ670" s="7"/>
    </row>
    <row r="671" spans="1:36" ht="13" x14ac:dyDescent="0.15">
      <c r="A671" s="64" t="s">
        <v>8993</v>
      </c>
      <c r="B671" s="2" t="s">
        <v>1721</v>
      </c>
      <c r="C671" s="7" t="s">
        <v>67</v>
      </c>
      <c r="D671" s="7" t="s">
        <v>9214</v>
      </c>
      <c r="E671" s="44">
        <v>5</v>
      </c>
      <c r="F671" s="7"/>
      <c r="G671" s="7"/>
      <c r="H671" s="2" t="s">
        <v>9190</v>
      </c>
      <c r="I671" s="7" t="s">
        <v>772</v>
      </c>
      <c r="J671" s="7" t="s">
        <v>1951</v>
      </c>
      <c r="K671" s="7" t="s">
        <v>55</v>
      </c>
      <c r="L671" s="7" t="s">
        <v>9215</v>
      </c>
      <c r="M671" s="7"/>
      <c r="N671" s="45" t="str">
        <f t="shared" si="492"/>
        <v>@RamblersSB</v>
      </c>
      <c r="O671" s="45" t="str">
        <f t="shared" si="493"/>
        <v>Questionnaire</v>
      </c>
      <c r="P671" s="48" t="s">
        <v>9198</v>
      </c>
      <c r="Q671" s="60" t="s">
        <v>1721</v>
      </c>
      <c r="R671" s="48" t="s">
        <v>1877</v>
      </c>
      <c r="S671" s="48" t="s">
        <v>288</v>
      </c>
      <c r="T671" s="4" t="s">
        <v>63</v>
      </c>
      <c r="U671" s="6" t="s">
        <v>9199</v>
      </c>
      <c r="V671" s="73"/>
      <c r="W671" s="91">
        <v>3.65</v>
      </c>
      <c r="X671" s="49" t="s">
        <v>1229</v>
      </c>
      <c r="Y671" s="49" t="s">
        <v>1490</v>
      </c>
      <c r="Z671" s="49" t="s">
        <v>1408</v>
      </c>
      <c r="AA671" s="65">
        <v>0.73</v>
      </c>
      <c r="AB671" s="39">
        <v>58602</v>
      </c>
      <c r="AC671" s="84" t="s">
        <v>9198</v>
      </c>
      <c r="AD671" s="53" t="str">
        <f t="shared" si="494"/>
        <v>Link</v>
      </c>
      <c r="AE671" s="42">
        <v>11129</v>
      </c>
      <c r="AF671" s="42">
        <v>103</v>
      </c>
      <c r="AG671" s="55"/>
      <c r="AH671" s="56">
        <v>146719</v>
      </c>
      <c r="AI671" s="7"/>
      <c r="AJ671" s="7"/>
    </row>
    <row r="672" spans="1:36" ht="15" x14ac:dyDescent="0.2">
      <c r="A672" s="43" t="s">
        <v>8993</v>
      </c>
      <c r="B672" s="33" t="s">
        <v>2246</v>
      </c>
      <c r="C672" s="7" t="s">
        <v>67</v>
      </c>
      <c r="D672" s="7" t="s">
        <v>9227</v>
      </c>
      <c r="E672" s="44">
        <v>5</v>
      </c>
      <c r="F672" s="7"/>
      <c r="G672" s="7"/>
      <c r="H672" s="2" t="s">
        <v>9228</v>
      </c>
      <c r="I672" s="7" t="s">
        <v>939</v>
      </c>
      <c r="J672" s="7" t="s">
        <v>9229</v>
      </c>
      <c r="K672" s="7" t="s">
        <v>48</v>
      </c>
      <c r="L672" s="7"/>
      <c r="M672" s="7" t="s">
        <v>9230</v>
      </c>
      <c r="N672" s="45" t="str">
        <f t="shared" ref="N672:N676" si="495">HYPERLINK("twitter.com/msusoftball","@msusoftball")</f>
        <v>@msusoftball</v>
      </c>
      <c r="O672" s="45" t="str">
        <f t="shared" ref="O672:O676" si="496">HYPERLINK("https://missouristatebears.com/sports/2016/7/21/ot-become-a-bear-html.aspx","Questionnaire")</f>
        <v>Questionnaire</v>
      </c>
      <c r="P672" s="48" t="s">
        <v>9232</v>
      </c>
      <c r="Q672" s="47" t="s">
        <v>2246</v>
      </c>
      <c r="R672" s="48" t="s">
        <v>4357</v>
      </c>
      <c r="S672" s="48" t="s">
        <v>62</v>
      </c>
      <c r="T672" s="73" t="s">
        <v>74</v>
      </c>
      <c r="U672" s="48" t="s">
        <v>75</v>
      </c>
      <c r="V672" s="73"/>
      <c r="W672" s="50">
        <v>3.63</v>
      </c>
      <c r="X672" s="49" t="s">
        <v>9233</v>
      </c>
      <c r="Y672" s="49" t="s">
        <v>9234</v>
      </c>
      <c r="Z672" s="49" t="s">
        <v>1650</v>
      </c>
      <c r="AA672" s="61">
        <v>0.84</v>
      </c>
      <c r="AB672" s="48" t="s">
        <v>9235</v>
      </c>
      <c r="AC672" s="62" t="s">
        <v>9232</v>
      </c>
      <c r="AD672" s="53" t="str">
        <f t="shared" ref="AD672:AD677" si="497">HYPERLINK("https://www.missouristate.edu/registrar/catalog/majorsminors.htm","Link")</f>
        <v>Link</v>
      </c>
      <c r="AE672" s="54">
        <v>20316</v>
      </c>
      <c r="AF672" s="55"/>
      <c r="AG672" s="55"/>
      <c r="AH672" s="56">
        <v>179566</v>
      </c>
      <c r="AI672" s="7"/>
      <c r="AJ672" s="7"/>
    </row>
    <row r="673" spans="1:36" ht="15" x14ac:dyDescent="0.2">
      <c r="A673" s="43" t="s">
        <v>8993</v>
      </c>
      <c r="B673" s="33" t="s">
        <v>2246</v>
      </c>
      <c r="C673" s="7" t="s">
        <v>67</v>
      </c>
      <c r="D673" s="7" t="s">
        <v>9236</v>
      </c>
      <c r="E673" s="44">
        <v>5</v>
      </c>
      <c r="F673" s="7"/>
      <c r="G673" s="7"/>
      <c r="H673" s="2" t="s">
        <v>9228</v>
      </c>
      <c r="I673" s="7" t="s">
        <v>4703</v>
      </c>
      <c r="J673" s="7" t="s">
        <v>4166</v>
      </c>
      <c r="K673" s="7" t="s">
        <v>55</v>
      </c>
      <c r="L673" s="7" t="s">
        <v>9238</v>
      </c>
      <c r="M673" s="7" t="s">
        <v>9239</v>
      </c>
      <c r="N673" s="45" t="str">
        <f t="shared" si="495"/>
        <v>@msusoftball</v>
      </c>
      <c r="O673" s="45" t="str">
        <f t="shared" si="496"/>
        <v>Questionnaire</v>
      </c>
      <c r="P673" s="48" t="s">
        <v>9232</v>
      </c>
      <c r="Q673" s="47" t="s">
        <v>2246</v>
      </c>
      <c r="R673" s="48" t="s">
        <v>4357</v>
      </c>
      <c r="S673" s="48" t="s">
        <v>62</v>
      </c>
      <c r="T673" s="73" t="s">
        <v>74</v>
      </c>
      <c r="U673" s="48" t="s">
        <v>75</v>
      </c>
      <c r="V673" s="73"/>
      <c r="W673" s="50">
        <v>3.63</v>
      </c>
      <c r="X673" s="49" t="s">
        <v>9233</v>
      </c>
      <c r="Y673" s="49" t="s">
        <v>9234</v>
      </c>
      <c r="Z673" s="49" t="s">
        <v>1650</v>
      </c>
      <c r="AA673" s="61">
        <v>0.84</v>
      </c>
      <c r="AB673" s="48" t="s">
        <v>9235</v>
      </c>
      <c r="AC673" s="62" t="s">
        <v>9232</v>
      </c>
      <c r="AD673" s="53" t="str">
        <f t="shared" si="497"/>
        <v>Link</v>
      </c>
      <c r="AE673" s="54">
        <v>20316</v>
      </c>
      <c r="AF673" s="55"/>
      <c r="AG673" s="55"/>
      <c r="AH673" s="56">
        <v>179566</v>
      </c>
      <c r="AI673" s="7"/>
      <c r="AJ673" s="7"/>
    </row>
    <row r="674" spans="1:36" ht="15" x14ac:dyDescent="0.2">
      <c r="A674" s="43" t="s">
        <v>8993</v>
      </c>
      <c r="B674" s="33" t="s">
        <v>2246</v>
      </c>
      <c r="C674" s="7" t="s">
        <v>67</v>
      </c>
      <c r="D674" s="7" t="s">
        <v>9246</v>
      </c>
      <c r="E674" s="44">
        <v>5</v>
      </c>
      <c r="F674" s="7"/>
      <c r="G674" s="7"/>
      <c r="H674" s="2" t="s">
        <v>9228</v>
      </c>
      <c r="I674" s="7" t="s">
        <v>772</v>
      </c>
      <c r="J674" s="7" t="s">
        <v>9248</v>
      </c>
      <c r="K674" s="7" t="s">
        <v>55</v>
      </c>
      <c r="L674" s="7" t="s">
        <v>9250</v>
      </c>
      <c r="M674" s="7" t="s">
        <v>9251</v>
      </c>
      <c r="N674" s="45" t="str">
        <f t="shared" si="495"/>
        <v>@msusoftball</v>
      </c>
      <c r="O674" s="45" t="str">
        <f t="shared" si="496"/>
        <v>Questionnaire</v>
      </c>
      <c r="P674" s="48" t="s">
        <v>9232</v>
      </c>
      <c r="Q674" s="47" t="s">
        <v>2246</v>
      </c>
      <c r="R674" s="48" t="s">
        <v>4357</v>
      </c>
      <c r="S674" s="48" t="s">
        <v>62</v>
      </c>
      <c r="T674" s="73" t="s">
        <v>74</v>
      </c>
      <c r="U674" s="48" t="s">
        <v>75</v>
      </c>
      <c r="V674" s="73"/>
      <c r="W674" s="50">
        <v>3.63</v>
      </c>
      <c r="X674" s="49" t="s">
        <v>9233</v>
      </c>
      <c r="Y674" s="49" t="s">
        <v>9234</v>
      </c>
      <c r="Z674" s="49" t="s">
        <v>1650</v>
      </c>
      <c r="AA674" s="61">
        <v>0.84</v>
      </c>
      <c r="AB674" s="48" t="s">
        <v>9235</v>
      </c>
      <c r="AC674" s="62" t="s">
        <v>9232</v>
      </c>
      <c r="AD674" s="53" t="str">
        <f t="shared" si="497"/>
        <v>Link</v>
      </c>
      <c r="AE674" s="54">
        <v>20316</v>
      </c>
      <c r="AF674" s="55"/>
      <c r="AG674" s="55"/>
      <c r="AH674" s="56">
        <v>179566</v>
      </c>
      <c r="AI674" s="7"/>
      <c r="AJ674" s="7"/>
    </row>
    <row r="675" spans="1:36" ht="15" x14ac:dyDescent="0.2">
      <c r="A675" s="43" t="s">
        <v>8993</v>
      </c>
      <c r="B675" s="33" t="s">
        <v>2246</v>
      </c>
      <c r="C675" s="7" t="s">
        <v>67</v>
      </c>
      <c r="D675" s="7" t="s">
        <v>9257</v>
      </c>
      <c r="E675" s="44">
        <v>5</v>
      </c>
      <c r="F675" s="7"/>
      <c r="G675" s="7"/>
      <c r="H675" s="2" t="s">
        <v>9228</v>
      </c>
      <c r="I675" s="7" t="s">
        <v>9258</v>
      </c>
      <c r="J675" s="7" t="s">
        <v>9259</v>
      </c>
      <c r="K675" s="7" t="s">
        <v>139</v>
      </c>
      <c r="L675" s="7" t="s">
        <v>9260</v>
      </c>
      <c r="M675" s="7" t="s">
        <v>9261</v>
      </c>
      <c r="N675" s="45" t="str">
        <f t="shared" si="495"/>
        <v>@msusoftball</v>
      </c>
      <c r="O675" s="45" t="str">
        <f t="shared" si="496"/>
        <v>Questionnaire</v>
      </c>
      <c r="P675" s="48" t="s">
        <v>9232</v>
      </c>
      <c r="Q675" s="47" t="s">
        <v>2246</v>
      </c>
      <c r="R675" s="48" t="s">
        <v>4357</v>
      </c>
      <c r="S675" s="48" t="s">
        <v>62</v>
      </c>
      <c r="T675" s="73" t="s">
        <v>74</v>
      </c>
      <c r="U675" s="48" t="s">
        <v>75</v>
      </c>
      <c r="V675" s="73"/>
      <c r="W675" s="50">
        <v>3.63</v>
      </c>
      <c r="X675" s="49" t="s">
        <v>9233</v>
      </c>
      <c r="Y675" s="49" t="s">
        <v>9234</v>
      </c>
      <c r="Z675" s="49" t="s">
        <v>1650</v>
      </c>
      <c r="AA675" s="61">
        <v>0.84</v>
      </c>
      <c r="AB675" s="48" t="s">
        <v>9235</v>
      </c>
      <c r="AC675" s="62" t="s">
        <v>9232</v>
      </c>
      <c r="AD675" s="53" t="str">
        <f t="shared" si="497"/>
        <v>Link</v>
      </c>
      <c r="AE675" s="54">
        <v>20316</v>
      </c>
      <c r="AF675" s="55"/>
      <c r="AG675" s="55"/>
      <c r="AH675" s="56">
        <v>179566</v>
      </c>
      <c r="AI675" s="7"/>
      <c r="AJ675" s="7"/>
    </row>
    <row r="676" spans="1:36" ht="15" x14ac:dyDescent="0.2">
      <c r="A676" s="43" t="s">
        <v>8993</v>
      </c>
      <c r="B676" s="33" t="s">
        <v>2246</v>
      </c>
      <c r="C676" s="7" t="s">
        <v>67</v>
      </c>
      <c r="D676" s="7" t="s">
        <v>9270</v>
      </c>
      <c r="E676" s="44">
        <v>5</v>
      </c>
      <c r="F676" s="7"/>
      <c r="G676" s="7"/>
      <c r="H676" s="2" t="s">
        <v>9228</v>
      </c>
      <c r="I676" s="7" t="s">
        <v>6526</v>
      </c>
      <c r="J676" s="7" t="s">
        <v>9271</v>
      </c>
      <c r="K676" s="7" t="s">
        <v>120</v>
      </c>
      <c r="L676" s="7" t="s">
        <v>9272</v>
      </c>
      <c r="M676" s="7" t="s">
        <v>9273</v>
      </c>
      <c r="N676" s="69" t="str">
        <f t="shared" si="495"/>
        <v>@msusoftball</v>
      </c>
      <c r="O676" s="69" t="str">
        <f t="shared" si="496"/>
        <v>Questionnaire</v>
      </c>
      <c r="P676" s="48" t="s">
        <v>9232</v>
      </c>
      <c r="Q676" s="47" t="s">
        <v>2246</v>
      </c>
      <c r="R676" s="48" t="s">
        <v>4357</v>
      </c>
      <c r="S676" s="48" t="s">
        <v>62</v>
      </c>
      <c r="T676" s="73" t="s">
        <v>74</v>
      </c>
      <c r="U676" s="48" t="s">
        <v>75</v>
      </c>
      <c r="V676" s="73"/>
      <c r="W676" s="50">
        <v>3.63</v>
      </c>
      <c r="X676" s="49" t="s">
        <v>9233</v>
      </c>
      <c r="Y676" s="49" t="s">
        <v>9234</v>
      </c>
      <c r="Z676" s="49" t="s">
        <v>1650</v>
      </c>
      <c r="AA676" s="61">
        <v>0.84</v>
      </c>
      <c r="AB676" s="48" t="s">
        <v>9235</v>
      </c>
      <c r="AC676" s="62" t="s">
        <v>9232</v>
      </c>
      <c r="AD676" s="53" t="str">
        <f t="shared" si="497"/>
        <v>Link</v>
      </c>
      <c r="AE676" s="54">
        <v>20316</v>
      </c>
      <c r="AF676" s="55"/>
      <c r="AG676" s="55"/>
      <c r="AH676" s="56">
        <v>179566</v>
      </c>
      <c r="AI676" s="7"/>
      <c r="AJ676" s="7"/>
    </row>
    <row r="677" spans="1:36" ht="15" x14ac:dyDescent="0.2">
      <c r="A677" s="43" t="s">
        <v>8993</v>
      </c>
      <c r="B677" s="33" t="s">
        <v>2246</v>
      </c>
      <c r="C677" s="7" t="s">
        <v>67</v>
      </c>
      <c r="D677" s="7" t="s">
        <v>9277</v>
      </c>
      <c r="E677" s="44">
        <v>5</v>
      </c>
      <c r="F677" s="7"/>
      <c r="G677" s="7"/>
      <c r="H677" s="2" t="s">
        <v>9228</v>
      </c>
      <c r="I677" s="7" t="s">
        <v>435</v>
      </c>
      <c r="J677" s="7" t="s">
        <v>9279</v>
      </c>
      <c r="K677" s="7" t="s">
        <v>154</v>
      </c>
      <c r="L677" s="7" t="s">
        <v>9282</v>
      </c>
      <c r="M677" s="7" t="s">
        <v>9273</v>
      </c>
      <c r="N677" s="7"/>
      <c r="O677" s="7"/>
      <c r="P677" s="48" t="s">
        <v>9232</v>
      </c>
      <c r="Q677" s="47" t="s">
        <v>2246</v>
      </c>
      <c r="R677" s="48" t="s">
        <v>4357</v>
      </c>
      <c r="S677" s="48" t="s">
        <v>62</v>
      </c>
      <c r="T677" s="73" t="s">
        <v>74</v>
      </c>
      <c r="U677" s="48" t="s">
        <v>75</v>
      </c>
      <c r="V677" s="73"/>
      <c r="W677" s="61">
        <v>3.63</v>
      </c>
      <c r="X677" s="49" t="s">
        <v>9233</v>
      </c>
      <c r="Y677" s="49" t="s">
        <v>9234</v>
      </c>
      <c r="Z677" s="49" t="s">
        <v>1650</v>
      </c>
      <c r="AA677" s="61">
        <v>0.84</v>
      </c>
      <c r="AB677" s="48" t="s">
        <v>9235</v>
      </c>
      <c r="AC677" s="62" t="s">
        <v>9232</v>
      </c>
      <c r="AD677" s="53" t="str">
        <f t="shared" si="497"/>
        <v>Link</v>
      </c>
      <c r="AE677" s="54">
        <v>20316</v>
      </c>
      <c r="AF677" s="55"/>
      <c r="AG677" s="55"/>
      <c r="AH677" s="56">
        <v>179566</v>
      </c>
      <c r="AI677" s="7"/>
      <c r="AJ677" s="7"/>
    </row>
    <row r="678" spans="1:36" ht="13" x14ac:dyDescent="0.15">
      <c r="A678" s="88" t="s">
        <v>8993</v>
      </c>
      <c r="B678" s="2" t="s">
        <v>2663</v>
      </c>
      <c r="C678" s="7" t="s">
        <v>67</v>
      </c>
      <c r="D678" s="7" t="s">
        <v>9292</v>
      </c>
      <c r="E678" s="44">
        <v>5</v>
      </c>
      <c r="F678" s="7"/>
      <c r="G678" s="7"/>
      <c r="H678" s="2" t="s">
        <v>9293</v>
      </c>
      <c r="I678" s="7" t="s">
        <v>2316</v>
      </c>
      <c r="J678" s="7" t="s">
        <v>718</v>
      </c>
      <c r="K678" s="7" t="s">
        <v>48</v>
      </c>
      <c r="L678" s="7" t="s">
        <v>9294</v>
      </c>
      <c r="M678" s="7" t="s">
        <v>9295</v>
      </c>
      <c r="N678" s="69" t="str">
        <f t="shared" ref="N678:N680" si="498">HYPERLINK("twitter.com/unisoftball","@unisoftball")</f>
        <v>@unisoftball</v>
      </c>
      <c r="O678" s="69" t="str">
        <f t="shared" ref="O678:O680" si="499">HYPERLINK("https://college.jumpforward.com/questionnaire.aspx?iid=537&amp;sportid=31","Questionnaire")</f>
        <v>Questionnaire</v>
      </c>
      <c r="P678" s="48" t="s">
        <v>9298</v>
      </c>
      <c r="Q678" s="60" t="s">
        <v>2663</v>
      </c>
      <c r="R678" s="48" t="s">
        <v>9301</v>
      </c>
      <c r="S678" s="4" t="s">
        <v>468</v>
      </c>
      <c r="T678" s="4" t="s">
        <v>74</v>
      </c>
      <c r="U678" s="4" t="s">
        <v>75</v>
      </c>
      <c r="V678" s="73"/>
      <c r="W678" s="91">
        <v>3.49</v>
      </c>
      <c r="X678" s="4" t="s">
        <v>9305</v>
      </c>
      <c r="Y678" s="4" t="s">
        <v>6713</v>
      </c>
      <c r="Z678" s="4" t="s">
        <v>1994</v>
      </c>
      <c r="AA678" s="65">
        <v>0.83</v>
      </c>
      <c r="AB678" s="48" t="s">
        <v>9307</v>
      </c>
      <c r="AC678" s="76" t="s">
        <v>9298</v>
      </c>
      <c r="AD678" s="67" t="str">
        <f t="shared" ref="AD678:AD680" si="500">HYPERLINK("https://majors.uni.edu/majors-a-z","Link")</f>
        <v>Link</v>
      </c>
      <c r="AE678" s="42">
        <v>10104</v>
      </c>
      <c r="AF678" s="55"/>
      <c r="AG678" s="55"/>
      <c r="AH678" s="56">
        <v>154095</v>
      </c>
      <c r="AI678" s="7"/>
      <c r="AJ678" s="7"/>
    </row>
    <row r="679" spans="1:36" ht="13" x14ac:dyDescent="0.15">
      <c r="A679" s="88" t="s">
        <v>8993</v>
      </c>
      <c r="B679" s="2" t="s">
        <v>2663</v>
      </c>
      <c r="C679" s="7" t="s">
        <v>67</v>
      </c>
      <c r="D679" s="7" t="s">
        <v>9313</v>
      </c>
      <c r="E679" s="44">
        <v>5</v>
      </c>
      <c r="F679" s="7"/>
      <c r="G679" s="7"/>
      <c r="H679" s="2" t="s">
        <v>9293</v>
      </c>
      <c r="I679" s="7" t="s">
        <v>2460</v>
      </c>
      <c r="J679" s="7" t="s">
        <v>9315</v>
      </c>
      <c r="K679" s="7" t="s">
        <v>55</v>
      </c>
      <c r="L679" s="7" t="s">
        <v>9317</v>
      </c>
      <c r="M679" s="7" t="s">
        <v>9318</v>
      </c>
      <c r="N679" s="69" t="str">
        <f t="shared" si="498"/>
        <v>@unisoftball</v>
      </c>
      <c r="O679" s="69" t="str">
        <f t="shared" si="499"/>
        <v>Questionnaire</v>
      </c>
      <c r="P679" s="48" t="s">
        <v>9298</v>
      </c>
      <c r="Q679" s="60" t="s">
        <v>2663</v>
      </c>
      <c r="R679" s="48" t="s">
        <v>9301</v>
      </c>
      <c r="S679" s="4" t="s">
        <v>468</v>
      </c>
      <c r="T679" s="4" t="s">
        <v>74</v>
      </c>
      <c r="U679" s="4" t="s">
        <v>75</v>
      </c>
      <c r="V679" s="73"/>
      <c r="W679" s="91">
        <v>3.49</v>
      </c>
      <c r="X679" s="4" t="s">
        <v>9305</v>
      </c>
      <c r="Y679" s="4" t="s">
        <v>6713</v>
      </c>
      <c r="Z679" s="4" t="s">
        <v>1994</v>
      </c>
      <c r="AA679" s="65">
        <v>0.83</v>
      </c>
      <c r="AB679" s="48" t="s">
        <v>9307</v>
      </c>
      <c r="AC679" s="76" t="s">
        <v>9298</v>
      </c>
      <c r="AD679" s="67" t="str">
        <f t="shared" si="500"/>
        <v>Link</v>
      </c>
      <c r="AE679" s="42">
        <v>10104</v>
      </c>
      <c r="AF679" s="55"/>
      <c r="AG679" s="55"/>
      <c r="AH679" s="56">
        <v>154095</v>
      </c>
      <c r="AI679" s="7"/>
      <c r="AJ679" s="7"/>
    </row>
    <row r="680" spans="1:36" ht="13" x14ac:dyDescent="0.15">
      <c r="A680" s="88" t="s">
        <v>8993</v>
      </c>
      <c r="B680" s="2" t="s">
        <v>2663</v>
      </c>
      <c r="C680" s="7" t="s">
        <v>67</v>
      </c>
      <c r="D680" s="7" t="s">
        <v>9325</v>
      </c>
      <c r="E680" s="44">
        <v>5</v>
      </c>
      <c r="F680" s="7"/>
      <c r="G680" s="7"/>
      <c r="H680" s="2" t="s">
        <v>9293</v>
      </c>
      <c r="I680" s="7" t="s">
        <v>8568</v>
      </c>
      <c r="J680" s="7" t="s">
        <v>577</v>
      </c>
      <c r="K680" s="7" t="s">
        <v>55</v>
      </c>
      <c r="L680" s="7" t="s">
        <v>9326</v>
      </c>
      <c r="M680" s="7" t="s">
        <v>9327</v>
      </c>
      <c r="N680" s="69" t="str">
        <f t="shared" si="498"/>
        <v>@unisoftball</v>
      </c>
      <c r="O680" s="69" t="str">
        <f t="shared" si="499"/>
        <v>Questionnaire</v>
      </c>
      <c r="P680" s="48" t="s">
        <v>9298</v>
      </c>
      <c r="Q680" s="60" t="s">
        <v>2663</v>
      </c>
      <c r="R680" s="48" t="s">
        <v>9301</v>
      </c>
      <c r="S680" s="4" t="s">
        <v>468</v>
      </c>
      <c r="T680" s="4" t="s">
        <v>74</v>
      </c>
      <c r="U680" s="4" t="s">
        <v>75</v>
      </c>
      <c r="V680" s="73"/>
      <c r="W680" s="91">
        <v>3.49</v>
      </c>
      <c r="X680" s="4" t="s">
        <v>9305</v>
      </c>
      <c r="Y680" s="4" t="s">
        <v>6713</v>
      </c>
      <c r="Z680" s="4" t="s">
        <v>1994</v>
      </c>
      <c r="AA680" s="65">
        <v>0.83</v>
      </c>
      <c r="AB680" s="48" t="s">
        <v>9307</v>
      </c>
      <c r="AC680" s="76" t="s">
        <v>9298</v>
      </c>
      <c r="AD680" s="67" t="str">
        <f t="shared" si="500"/>
        <v>Link</v>
      </c>
      <c r="AE680" s="42">
        <v>10104</v>
      </c>
      <c r="AF680" s="55"/>
      <c r="AG680" s="55"/>
      <c r="AH680" s="56">
        <v>154095</v>
      </c>
      <c r="AI680" s="7"/>
      <c r="AJ680" s="7"/>
    </row>
    <row r="681" spans="1:36" ht="15" x14ac:dyDescent="0.2">
      <c r="A681" s="43" t="s">
        <v>8993</v>
      </c>
      <c r="B681" s="33" t="s">
        <v>1721</v>
      </c>
      <c r="C681" s="7" t="s">
        <v>67</v>
      </c>
      <c r="D681" s="7" t="s">
        <v>9336</v>
      </c>
      <c r="E681" s="44">
        <v>5</v>
      </c>
      <c r="F681" s="7"/>
      <c r="G681" s="7"/>
      <c r="H681" s="2" t="s">
        <v>9337</v>
      </c>
      <c r="I681" s="7" t="s">
        <v>9338</v>
      </c>
      <c r="J681" s="7" t="s">
        <v>9339</v>
      </c>
      <c r="K681" s="7" t="s">
        <v>48</v>
      </c>
      <c r="L681" s="7" t="s">
        <v>9340</v>
      </c>
      <c r="M681" s="7" t="s">
        <v>9341</v>
      </c>
      <c r="N681" s="69" t="str">
        <f t="shared" ref="N681:N683" si="501">HYPERLINK("twitter.com/siu_softball","@siu_softball")</f>
        <v>@siu_softball</v>
      </c>
      <c r="O681" s="48" t="s">
        <v>22</v>
      </c>
      <c r="P681" s="47" t="s">
        <v>9351</v>
      </c>
      <c r="Q681" s="47" t="s">
        <v>1721</v>
      </c>
      <c r="R681" s="48" t="s">
        <v>9353</v>
      </c>
      <c r="S681" s="48" t="s">
        <v>468</v>
      </c>
      <c r="T681" s="73" t="s">
        <v>74</v>
      </c>
      <c r="U681" s="48" t="s">
        <v>75</v>
      </c>
      <c r="V681" s="73"/>
      <c r="W681" s="50">
        <v>3.12</v>
      </c>
      <c r="X681" s="49" t="s">
        <v>3520</v>
      </c>
      <c r="Y681" s="49" t="s">
        <v>396</v>
      </c>
      <c r="Z681" s="49" t="s">
        <v>746</v>
      </c>
      <c r="AA681" s="61">
        <v>0.77</v>
      </c>
      <c r="AB681" s="48" t="s">
        <v>9357</v>
      </c>
      <c r="AC681" s="52" t="s">
        <v>9351</v>
      </c>
      <c r="AD681" s="53" t="str">
        <f t="shared" ref="AD681:AD683" si="502">HYPERLINK("https://admissions.siu.edu/majors/","Link")</f>
        <v>Link</v>
      </c>
      <c r="AE681" s="54">
        <v>12182</v>
      </c>
      <c r="AF681" s="54">
        <v>216</v>
      </c>
      <c r="AG681" s="55"/>
      <c r="AH681" s="56">
        <v>149222</v>
      </c>
      <c r="AI681" s="7"/>
      <c r="AJ681" s="7"/>
    </row>
    <row r="682" spans="1:36" ht="15" x14ac:dyDescent="0.2">
      <c r="A682" s="43" t="s">
        <v>8993</v>
      </c>
      <c r="B682" s="33" t="s">
        <v>1721</v>
      </c>
      <c r="C682" s="7" t="s">
        <v>67</v>
      </c>
      <c r="D682" s="7" t="s">
        <v>9369</v>
      </c>
      <c r="E682" s="44">
        <v>5</v>
      </c>
      <c r="F682" s="7"/>
      <c r="G682" s="7"/>
      <c r="H682" s="2" t="s">
        <v>9337</v>
      </c>
      <c r="I682" s="7" t="s">
        <v>1092</v>
      </c>
      <c r="J682" s="7" t="s">
        <v>9370</v>
      </c>
      <c r="K682" s="7" t="s">
        <v>55</v>
      </c>
      <c r="L682" s="7" t="s">
        <v>9371</v>
      </c>
      <c r="M682" s="7" t="s">
        <v>9372</v>
      </c>
      <c r="N682" s="69" t="str">
        <f t="shared" si="501"/>
        <v>@siu_softball</v>
      </c>
      <c r="O682" s="48" t="s">
        <v>22</v>
      </c>
      <c r="P682" s="47" t="s">
        <v>9351</v>
      </c>
      <c r="Q682" s="47" t="s">
        <v>1721</v>
      </c>
      <c r="R682" s="48" t="s">
        <v>9353</v>
      </c>
      <c r="S682" s="48" t="s">
        <v>468</v>
      </c>
      <c r="T682" s="73" t="s">
        <v>74</v>
      </c>
      <c r="U682" s="48" t="s">
        <v>75</v>
      </c>
      <c r="V682" s="73"/>
      <c r="W682" s="50">
        <v>3.12</v>
      </c>
      <c r="X682" s="49" t="s">
        <v>3520</v>
      </c>
      <c r="Y682" s="49" t="s">
        <v>396</v>
      </c>
      <c r="Z682" s="49" t="s">
        <v>746</v>
      </c>
      <c r="AA682" s="61">
        <v>0.77</v>
      </c>
      <c r="AB682" s="48" t="s">
        <v>9357</v>
      </c>
      <c r="AC682" s="52" t="s">
        <v>9351</v>
      </c>
      <c r="AD682" s="53" t="str">
        <f t="shared" si="502"/>
        <v>Link</v>
      </c>
      <c r="AE682" s="54">
        <v>12182</v>
      </c>
      <c r="AF682" s="54">
        <v>216</v>
      </c>
      <c r="AG682" s="55"/>
      <c r="AH682" s="56">
        <v>149222</v>
      </c>
      <c r="AI682" s="7"/>
      <c r="AJ682" s="7"/>
    </row>
    <row r="683" spans="1:36" ht="15" x14ac:dyDescent="0.2">
      <c r="A683" s="43" t="s">
        <v>8993</v>
      </c>
      <c r="B683" s="33" t="s">
        <v>1721</v>
      </c>
      <c r="C683" s="7" t="s">
        <v>67</v>
      </c>
      <c r="D683" s="7" t="s">
        <v>9380</v>
      </c>
      <c r="E683" s="44">
        <v>5</v>
      </c>
      <c r="F683" s="7"/>
      <c r="G683" s="7"/>
      <c r="H683" s="2" t="s">
        <v>9337</v>
      </c>
      <c r="I683" s="7" t="s">
        <v>9381</v>
      </c>
      <c r="J683" s="7" t="s">
        <v>9382</v>
      </c>
      <c r="K683" s="7" t="s">
        <v>55</v>
      </c>
      <c r="L683" s="7" t="s">
        <v>9383</v>
      </c>
      <c r="M683" s="7" t="s">
        <v>9384</v>
      </c>
      <c r="N683" s="45" t="str">
        <f t="shared" si="501"/>
        <v>@siu_softball</v>
      </c>
      <c r="O683" s="48" t="s">
        <v>22</v>
      </c>
      <c r="P683" s="47" t="s">
        <v>9351</v>
      </c>
      <c r="Q683" s="47" t="s">
        <v>1721</v>
      </c>
      <c r="R683" s="48" t="s">
        <v>9353</v>
      </c>
      <c r="S683" s="48" t="s">
        <v>468</v>
      </c>
      <c r="T683" s="73" t="s">
        <v>74</v>
      </c>
      <c r="U683" s="48" t="s">
        <v>75</v>
      </c>
      <c r="V683" s="73"/>
      <c r="W683" s="50">
        <v>3.12</v>
      </c>
      <c r="X683" s="49" t="s">
        <v>3520</v>
      </c>
      <c r="Y683" s="49" t="s">
        <v>396</v>
      </c>
      <c r="Z683" s="49" t="s">
        <v>746</v>
      </c>
      <c r="AA683" s="61">
        <v>0.77</v>
      </c>
      <c r="AB683" s="48" t="s">
        <v>9357</v>
      </c>
      <c r="AC683" s="52" t="s">
        <v>9351</v>
      </c>
      <c r="AD683" s="53" t="str">
        <f t="shared" si="502"/>
        <v>Link</v>
      </c>
      <c r="AE683" s="54">
        <v>12182</v>
      </c>
      <c r="AF683" s="54">
        <v>216</v>
      </c>
      <c r="AG683" s="55"/>
      <c r="AH683" s="56">
        <v>149222</v>
      </c>
      <c r="AI683" s="7"/>
      <c r="AJ683" s="7"/>
    </row>
    <row r="684" spans="1:36" ht="15" x14ac:dyDescent="0.2">
      <c r="A684" s="32" t="s">
        <v>8993</v>
      </c>
      <c r="B684" s="33" t="s">
        <v>1151</v>
      </c>
      <c r="C684" s="35" t="s">
        <v>67</v>
      </c>
      <c r="D684" s="57"/>
      <c r="E684" s="83">
        <v>5</v>
      </c>
      <c r="F684" s="7"/>
      <c r="G684" s="57"/>
      <c r="H684" s="2" t="s">
        <v>9392</v>
      </c>
      <c r="I684" s="2" t="s">
        <v>1528</v>
      </c>
      <c r="J684" s="2" t="s">
        <v>9393</v>
      </c>
      <c r="K684" s="2" t="s">
        <v>48</v>
      </c>
      <c r="L684" s="2" t="s">
        <v>9394</v>
      </c>
      <c r="M684" s="2" t="s">
        <v>9395</v>
      </c>
      <c r="N684" s="7"/>
      <c r="O684" s="7"/>
      <c r="P684" s="48" t="s">
        <v>9396</v>
      </c>
      <c r="Q684" s="60" t="s">
        <v>1151</v>
      </c>
      <c r="R684" s="48" t="s">
        <v>9396</v>
      </c>
      <c r="S684" s="48" t="s">
        <v>468</v>
      </c>
      <c r="T684" s="49" t="s">
        <v>63</v>
      </c>
      <c r="U684" s="6" t="s">
        <v>9398</v>
      </c>
      <c r="V684" s="49"/>
      <c r="W684" s="37">
        <v>3.71</v>
      </c>
      <c r="X684" s="49" t="s">
        <v>344</v>
      </c>
      <c r="Y684" s="49" t="s">
        <v>676</v>
      </c>
      <c r="Z684" s="49" t="s">
        <v>2734</v>
      </c>
      <c r="AA684" s="65">
        <v>0.83</v>
      </c>
      <c r="AB684" s="39">
        <v>51190</v>
      </c>
      <c r="AC684" s="84" t="s">
        <v>9396</v>
      </c>
      <c r="AD684" s="53" t="str">
        <f t="shared" ref="AD684:AD688" si="503">HYPERLINK("https://www.valpo.edu/academics/academic-programs/","Link")</f>
        <v>Link</v>
      </c>
      <c r="AE684" s="42">
        <v>3273</v>
      </c>
      <c r="AF684" s="55"/>
      <c r="AG684" s="55"/>
      <c r="AH684" s="56">
        <v>152600</v>
      </c>
      <c r="AI684" s="56" t="s">
        <v>2459</v>
      </c>
      <c r="AJ684" s="56"/>
    </row>
    <row r="685" spans="1:36" ht="15" x14ac:dyDescent="0.2">
      <c r="A685" s="32" t="s">
        <v>8993</v>
      </c>
      <c r="B685" s="33" t="s">
        <v>1151</v>
      </c>
      <c r="C685" s="35" t="s">
        <v>67</v>
      </c>
      <c r="D685" s="57"/>
      <c r="E685" s="83">
        <v>5</v>
      </c>
      <c r="F685" s="7"/>
      <c r="G685" s="57"/>
      <c r="H685" s="2" t="s">
        <v>9392</v>
      </c>
      <c r="I685" s="2" t="s">
        <v>427</v>
      </c>
      <c r="J685" s="2" t="s">
        <v>9150</v>
      </c>
      <c r="K685" s="2" t="s">
        <v>55</v>
      </c>
      <c r="L685" s="2" t="s">
        <v>9405</v>
      </c>
      <c r="M685" s="2" t="s">
        <v>9407</v>
      </c>
      <c r="N685" s="7"/>
      <c r="O685" s="7"/>
      <c r="P685" s="48" t="s">
        <v>9396</v>
      </c>
      <c r="Q685" s="60" t="s">
        <v>1151</v>
      </c>
      <c r="R685" s="48" t="s">
        <v>9396</v>
      </c>
      <c r="S685" s="48" t="s">
        <v>468</v>
      </c>
      <c r="T685" s="49" t="s">
        <v>63</v>
      </c>
      <c r="U685" s="6" t="s">
        <v>9398</v>
      </c>
      <c r="V685" s="49"/>
      <c r="W685" s="37">
        <v>3.71</v>
      </c>
      <c r="X685" s="49" t="s">
        <v>344</v>
      </c>
      <c r="Y685" s="49" t="s">
        <v>676</v>
      </c>
      <c r="Z685" s="49" t="s">
        <v>2734</v>
      </c>
      <c r="AA685" s="65">
        <v>0.83</v>
      </c>
      <c r="AB685" s="39">
        <v>51190</v>
      </c>
      <c r="AC685" s="84" t="s">
        <v>9396</v>
      </c>
      <c r="AD685" s="53" t="str">
        <f t="shared" si="503"/>
        <v>Link</v>
      </c>
      <c r="AE685" s="42">
        <v>3273</v>
      </c>
      <c r="AF685" s="55"/>
      <c r="AG685" s="55"/>
      <c r="AH685" s="56">
        <v>152600</v>
      </c>
      <c r="AI685" s="56" t="s">
        <v>2459</v>
      </c>
      <c r="AJ685" s="56"/>
    </row>
    <row r="686" spans="1:36" ht="15" x14ac:dyDescent="0.2">
      <c r="A686" s="32" t="s">
        <v>8993</v>
      </c>
      <c r="B686" s="33" t="s">
        <v>1151</v>
      </c>
      <c r="C686" s="35" t="s">
        <v>67</v>
      </c>
      <c r="D686" s="57"/>
      <c r="E686" s="83">
        <v>5</v>
      </c>
      <c r="F686" s="7"/>
      <c r="G686" s="57"/>
      <c r="H686" s="2" t="s">
        <v>9392</v>
      </c>
      <c r="I686" s="2" t="s">
        <v>9415</v>
      </c>
      <c r="J686" s="2" t="s">
        <v>9416</v>
      </c>
      <c r="K686" s="2" t="s">
        <v>55</v>
      </c>
      <c r="L686" s="2" t="s">
        <v>9417</v>
      </c>
      <c r="M686" s="2" t="s">
        <v>9418</v>
      </c>
      <c r="N686" s="7"/>
      <c r="O686" s="7"/>
      <c r="P686" s="48" t="s">
        <v>9396</v>
      </c>
      <c r="Q686" s="60" t="s">
        <v>1151</v>
      </c>
      <c r="R686" s="48" t="s">
        <v>9396</v>
      </c>
      <c r="S686" s="48" t="s">
        <v>468</v>
      </c>
      <c r="T686" s="49" t="s">
        <v>63</v>
      </c>
      <c r="U686" s="6" t="s">
        <v>9398</v>
      </c>
      <c r="V686" s="49"/>
      <c r="W686" s="37">
        <v>3.71</v>
      </c>
      <c r="X686" s="49" t="s">
        <v>344</v>
      </c>
      <c r="Y686" s="49" t="s">
        <v>676</v>
      </c>
      <c r="Z686" s="49" t="s">
        <v>2734</v>
      </c>
      <c r="AA686" s="65">
        <v>0.83</v>
      </c>
      <c r="AB686" s="39">
        <v>51190</v>
      </c>
      <c r="AC686" s="84" t="s">
        <v>9396</v>
      </c>
      <c r="AD686" s="53" t="str">
        <f t="shared" si="503"/>
        <v>Link</v>
      </c>
      <c r="AE686" s="42">
        <v>3273</v>
      </c>
      <c r="AF686" s="55"/>
      <c r="AG686" s="55"/>
      <c r="AH686" s="56">
        <v>152600</v>
      </c>
      <c r="AI686" s="56" t="s">
        <v>2459</v>
      </c>
      <c r="AJ686" s="56"/>
    </row>
    <row r="687" spans="1:36" ht="15" x14ac:dyDescent="0.2">
      <c r="A687" s="32" t="s">
        <v>8993</v>
      </c>
      <c r="B687" s="33" t="s">
        <v>1151</v>
      </c>
      <c r="C687" s="35" t="s">
        <v>67</v>
      </c>
      <c r="D687" s="57"/>
      <c r="E687" s="83">
        <v>5</v>
      </c>
      <c r="F687" s="7"/>
      <c r="G687" s="57"/>
      <c r="H687" s="2" t="s">
        <v>9392</v>
      </c>
      <c r="I687" s="2" t="s">
        <v>9432</v>
      </c>
      <c r="J687" s="2" t="s">
        <v>9433</v>
      </c>
      <c r="K687" s="2" t="s">
        <v>120</v>
      </c>
      <c r="L687" s="2" t="s">
        <v>9434</v>
      </c>
      <c r="M687" s="2"/>
      <c r="N687" s="7"/>
      <c r="O687" s="7"/>
      <c r="P687" s="48" t="s">
        <v>9396</v>
      </c>
      <c r="Q687" s="60" t="s">
        <v>1151</v>
      </c>
      <c r="R687" s="48" t="s">
        <v>9396</v>
      </c>
      <c r="S687" s="48" t="s">
        <v>468</v>
      </c>
      <c r="T687" s="49" t="s">
        <v>63</v>
      </c>
      <c r="U687" s="6" t="s">
        <v>9398</v>
      </c>
      <c r="V687" s="49"/>
      <c r="W687" s="37">
        <v>3.71</v>
      </c>
      <c r="X687" s="49" t="s">
        <v>344</v>
      </c>
      <c r="Y687" s="49" t="s">
        <v>676</v>
      </c>
      <c r="Z687" s="49" t="s">
        <v>2734</v>
      </c>
      <c r="AA687" s="65">
        <v>0.83</v>
      </c>
      <c r="AB687" s="39">
        <v>51190</v>
      </c>
      <c r="AC687" s="84" t="s">
        <v>9396</v>
      </c>
      <c r="AD687" s="53" t="str">
        <f t="shared" si="503"/>
        <v>Link</v>
      </c>
      <c r="AE687" s="42">
        <v>3273</v>
      </c>
      <c r="AF687" s="55"/>
      <c r="AG687" s="55"/>
      <c r="AH687" s="56">
        <v>152600</v>
      </c>
      <c r="AI687" s="56" t="s">
        <v>2459</v>
      </c>
      <c r="AJ687" s="56"/>
    </row>
    <row r="688" spans="1:36" ht="15" x14ac:dyDescent="0.2">
      <c r="A688" s="32" t="s">
        <v>8993</v>
      </c>
      <c r="B688" s="33" t="s">
        <v>1151</v>
      </c>
      <c r="C688" s="35" t="s">
        <v>67</v>
      </c>
      <c r="D688" s="57"/>
      <c r="E688" s="83">
        <v>5</v>
      </c>
      <c r="F688" s="7"/>
      <c r="G688" s="57"/>
      <c r="H688" s="2" t="s">
        <v>9392</v>
      </c>
      <c r="I688" s="2" t="s">
        <v>9438</v>
      </c>
      <c r="J688" s="2" t="s">
        <v>9446</v>
      </c>
      <c r="K688" s="2" t="s">
        <v>139</v>
      </c>
      <c r="L688" s="2" t="s">
        <v>9447</v>
      </c>
      <c r="M688" s="2"/>
      <c r="N688" s="7"/>
      <c r="O688" s="7"/>
      <c r="P688" s="48" t="s">
        <v>9396</v>
      </c>
      <c r="Q688" s="60" t="s">
        <v>1151</v>
      </c>
      <c r="R688" s="48" t="s">
        <v>9396</v>
      </c>
      <c r="S688" s="48" t="s">
        <v>468</v>
      </c>
      <c r="T688" s="49" t="s">
        <v>63</v>
      </c>
      <c r="U688" s="6" t="s">
        <v>9398</v>
      </c>
      <c r="V688" s="49"/>
      <c r="W688" s="37">
        <v>3.71</v>
      </c>
      <c r="X688" s="49" t="s">
        <v>344</v>
      </c>
      <c r="Y688" s="49" t="s">
        <v>676</v>
      </c>
      <c r="Z688" s="49" t="s">
        <v>2734</v>
      </c>
      <c r="AA688" s="65">
        <v>0.83</v>
      </c>
      <c r="AB688" s="39">
        <v>51190</v>
      </c>
      <c r="AC688" s="84" t="s">
        <v>9396</v>
      </c>
      <c r="AD688" s="53" t="str">
        <f t="shared" si="503"/>
        <v>Link</v>
      </c>
      <c r="AE688" s="42">
        <v>3273</v>
      </c>
      <c r="AF688" s="55"/>
      <c r="AG688" s="55"/>
      <c r="AH688" s="56">
        <v>152600</v>
      </c>
      <c r="AI688" s="56" t="s">
        <v>2459</v>
      </c>
      <c r="AJ688" s="56"/>
    </row>
    <row r="689" spans="1:36" ht="15" x14ac:dyDescent="0.2">
      <c r="A689" s="43" t="s">
        <v>9449</v>
      </c>
      <c r="B689" s="33" t="s">
        <v>3457</v>
      </c>
      <c r="C689" s="7" t="s">
        <v>67</v>
      </c>
      <c r="D689" s="7" t="s">
        <v>9450</v>
      </c>
      <c r="E689" s="44">
        <v>5</v>
      </c>
      <c r="F689" s="7"/>
      <c r="G689" s="7"/>
      <c r="H689" s="2" t="s">
        <v>9451</v>
      </c>
      <c r="I689" s="7" t="s">
        <v>266</v>
      </c>
      <c r="J689" s="7" t="s">
        <v>9452</v>
      </c>
      <c r="K689" s="7" t="s">
        <v>48</v>
      </c>
      <c r="L689" s="7" t="s">
        <v>9453</v>
      </c>
      <c r="M689" s="7" t="s">
        <v>9454</v>
      </c>
      <c r="N689" s="69" t="str">
        <f t="shared" ref="N689:N691" si="504">HYPERLINK("twitter.com/broncosportssb","@broncosportssb")</f>
        <v>@broncosportssb</v>
      </c>
      <c r="O689" s="70" t="str">
        <f t="shared" ref="O689:O691" si="505">HYPERLINK("https://broncosports.com/sports/2018/5/18/sports-w-softbl-spec-rel-bosu-w-softbl-recruits-html.aspx","Questionnaire")</f>
        <v>Questionnaire</v>
      </c>
      <c r="P689" s="48" t="s">
        <v>9461</v>
      </c>
      <c r="Q689" s="47" t="s">
        <v>3457</v>
      </c>
      <c r="R689" s="48" t="s">
        <v>9462</v>
      </c>
      <c r="S689" s="48" t="s">
        <v>62</v>
      </c>
      <c r="T689" s="49" t="s">
        <v>74</v>
      </c>
      <c r="U689" s="7" t="s">
        <v>75</v>
      </c>
      <c r="V689" s="49"/>
      <c r="W689" s="50">
        <v>3.43</v>
      </c>
      <c r="X689" s="49" t="s">
        <v>276</v>
      </c>
      <c r="Y689" s="49" t="s">
        <v>9463</v>
      </c>
      <c r="Z689" s="49" t="s">
        <v>278</v>
      </c>
      <c r="AA689" s="51">
        <v>0.81720000000000004</v>
      </c>
      <c r="AB689" s="48" t="s">
        <v>9464</v>
      </c>
      <c r="AC689" s="52" t="s">
        <v>9461</v>
      </c>
      <c r="AD689" s="53" t="str">
        <f t="shared" ref="AD689:AD691" si="506">HYPERLINK("https://registrar.boisestate.edu/undergraduate/program-list/","Link")</f>
        <v>Link</v>
      </c>
      <c r="AE689" s="54">
        <v>20186</v>
      </c>
      <c r="AF689" s="55"/>
      <c r="AG689" s="85"/>
      <c r="AH689" s="56">
        <v>142115</v>
      </c>
      <c r="AI689" s="7"/>
      <c r="AJ689" s="7"/>
    </row>
    <row r="690" spans="1:36" ht="15" x14ac:dyDescent="0.2">
      <c r="A690" s="43" t="s">
        <v>9449</v>
      </c>
      <c r="B690" s="33" t="s">
        <v>3457</v>
      </c>
      <c r="C690" s="7" t="s">
        <v>67</v>
      </c>
      <c r="D690" s="7" t="s">
        <v>9471</v>
      </c>
      <c r="E690" s="44">
        <v>5</v>
      </c>
      <c r="F690" s="7"/>
      <c r="G690" s="7"/>
      <c r="H690" s="2" t="s">
        <v>9451</v>
      </c>
      <c r="I690" s="7" t="s">
        <v>1471</v>
      </c>
      <c r="J690" s="7" t="s">
        <v>2739</v>
      </c>
      <c r="K690" s="7" t="s">
        <v>55</v>
      </c>
      <c r="L690" s="7" t="s">
        <v>9472</v>
      </c>
      <c r="M690" s="7" t="s">
        <v>9473</v>
      </c>
      <c r="N690" s="69" t="str">
        <f t="shared" si="504"/>
        <v>@broncosportssb</v>
      </c>
      <c r="O690" s="70" t="str">
        <f t="shared" si="505"/>
        <v>Questionnaire</v>
      </c>
      <c r="P690" s="48" t="s">
        <v>9461</v>
      </c>
      <c r="Q690" s="47" t="s">
        <v>3457</v>
      </c>
      <c r="R690" s="48" t="s">
        <v>9462</v>
      </c>
      <c r="S690" s="48" t="s">
        <v>62</v>
      </c>
      <c r="T690" s="49" t="s">
        <v>74</v>
      </c>
      <c r="U690" s="7" t="s">
        <v>75</v>
      </c>
      <c r="V690" s="49"/>
      <c r="W690" s="50">
        <v>3.43</v>
      </c>
      <c r="X690" s="49" t="s">
        <v>276</v>
      </c>
      <c r="Y690" s="49" t="s">
        <v>9463</v>
      </c>
      <c r="Z690" s="49" t="s">
        <v>278</v>
      </c>
      <c r="AA690" s="51">
        <v>0.81720000000000004</v>
      </c>
      <c r="AB690" s="48" t="s">
        <v>9464</v>
      </c>
      <c r="AC690" s="52" t="s">
        <v>9461</v>
      </c>
      <c r="AD690" s="53" t="str">
        <f t="shared" si="506"/>
        <v>Link</v>
      </c>
      <c r="AE690" s="54">
        <v>20186</v>
      </c>
      <c r="AF690" s="55"/>
      <c r="AG690" s="85"/>
      <c r="AH690" s="56">
        <v>142115</v>
      </c>
      <c r="AI690" s="7"/>
      <c r="AJ690" s="7"/>
    </row>
    <row r="691" spans="1:36" ht="15" x14ac:dyDescent="0.2">
      <c r="A691" s="43" t="s">
        <v>9449</v>
      </c>
      <c r="B691" s="33" t="s">
        <v>3457</v>
      </c>
      <c r="C691" s="7" t="s">
        <v>67</v>
      </c>
      <c r="D691" s="7" t="s">
        <v>9479</v>
      </c>
      <c r="E691" s="44">
        <v>5</v>
      </c>
      <c r="F691" s="7"/>
      <c r="G691" s="7"/>
      <c r="H691" s="2" t="s">
        <v>9451</v>
      </c>
      <c r="I691" s="7" t="s">
        <v>3700</v>
      </c>
      <c r="J691" s="7" t="s">
        <v>9481</v>
      </c>
      <c r="K691" s="7" t="s">
        <v>55</v>
      </c>
      <c r="L691" s="7" t="s">
        <v>9482</v>
      </c>
      <c r="M691" s="7" t="s">
        <v>9473</v>
      </c>
      <c r="N691" s="69" t="str">
        <f t="shared" si="504"/>
        <v>@broncosportssb</v>
      </c>
      <c r="O691" s="70" t="str">
        <f t="shared" si="505"/>
        <v>Questionnaire</v>
      </c>
      <c r="P691" s="48" t="s">
        <v>9461</v>
      </c>
      <c r="Q691" s="47" t="s">
        <v>3457</v>
      </c>
      <c r="R691" s="48" t="s">
        <v>9462</v>
      </c>
      <c r="S691" s="48" t="s">
        <v>62</v>
      </c>
      <c r="T691" s="49" t="s">
        <v>74</v>
      </c>
      <c r="U691" s="7" t="s">
        <v>75</v>
      </c>
      <c r="V691" s="49"/>
      <c r="W691" s="50">
        <v>3.43</v>
      </c>
      <c r="X691" s="49" t="s">
        <v>276</v>
      </c>
      <c r="Y691" s="49" t="s">
        <v>9463</v>
      </c>
      <c r="Z691" s="49" t="s">
        <v>278</v>
      </c>
      <c r="AA691" s="51">
        <v>0.81720000000000004</v>
      </c>
      <c r="AB691" s="48" t="s">
        <v>9464</v>
      </c>
      <c r="AC691" s="52" t="s">
        <v>9461</v>
      </c>
      <c r="AD691" s="53" t="str">
        <f t="shared" si="506"/>
        <v>Link</v>
      </c>
      <c r="AE691" s="54">
        <v>20186</v>
      </c>
      <c r="AF691" s="55"/>
      <c r="AG691" s="85"/>
      <c r="AH691" s="56">
        <v>142115</v>
      </c>
      <c r="AI691" s="7"/>
      <c r="AJ691" s="7"/>
    </row>
    <row r="692" spans="1:36" ht="13" x14ac:dyDescent="0.15">
      <c r="A692" s="64" t="s">
        <v>9449</v>
      </c>
      <c r="B692" s="2" t="s">
        <v>2088</v>
      </c>
      <c r="C692" s="7" t="s">
        <v>67</v>
      </c>
      <c r="D692" s="7" t="s">
        <v>9488</v>
      </c>
      <c r="E692" s="44">
        <v>5</v>
      </c>
      <c r="F692" s="7"/>
      <c r="G692" s="7"/>
      <c r="H692" s="2" t="s">
        <v>9490</v>
      </c>
      <c r="I692" s="7" t="s">
        <v>1092</v>
      </c>
      <c r="J692" s="7" t="s">
        <v>4077</v>
      </c>
      <c r="K692" s="7" t="s">
        <v>48</v>
      </c>
      <c r="L692" s="7" t="s">
        <v>9494</v>
      </c>
      <c r="M692" s="7" t="s">
        <v>9495</v>
      </c>
      <c r="N692" s="69" t="s">
        <v>9496</v>
      </c>
      <c r="O692" s="70" t="str">
        <f t="shared" ref="O692:O695" si="507">HYPERLINK("https://csurams.com/sports/2017/6/9/ProspectiveStudent-Athletes.aspx","Questionnaire")</f>
        <v>Questionnaire</v>
      </c>
      <c r="P692" s="48" t="s">
        <v>9501</v>
      </c>
      <c r="Q692" s="47" t="s">
        <v>2088</v>
      </c>
      <c r="R692" s="48" t="s">
        <v>9503</v>
      </c>
      <c r="S692" s="48" t="s">
        <v>62</v>
      </c>
      <c r="T692" s="49" t="s">
        <v>74</v>
      </c>
      <c r="U692" s="48" t="s">
        <v>75</v>
      </c>
      <c r="V692" s="49"/>
      <c r="W692" s="50">
        <v>3.61</v>
      </c>
      <c r="X692" s="49" t="s">
        <v>1723</v>
      </c>
      <c r="Y692" s="49" t="s">
        <v>1490</v>
      </c>
      <c r="Z692" s="49" t="s">
        <v>78</v>
      </c>
      <c r="AA692" s="65">
        <v>0.78</v>
      </c>
      <c r="AB692" s="48" t="s">
        <v>9508</v>
      </c>
      <c r="AC692" s="66" t="s">
        <v>9501</v>
      </c>
      <c r="AD692" s="67" t="str">
        <f t="shared" ref="AD692:AD695" si="508">HYPERLINK("https://admissions.colostate.edu/academic-programs/","Link")</f>
        <v>Link</v>
      </c>
      <c r="AE692" s="54">
        <v>25177</v>
      </c>
      <c r="AF692" s="54">
        <v>124</v>
      </c>
      <c r="AG692" s="55"/>
      <c r="AH692" s="56">
        <v>126818</v>
      </c>
      <c r="AI692" s="7"/>
      <c r="AJ692" s="7"/>
    </row>
    <row r="693" spans="1:36" ht="13" x14ac:dyDescent="0.15">
      <c r="A693" s="64" t="s">
        <v>9449</v>
      </c>
      <c r="B693" s="2" t="s">
        <v>2088</v>
      </c>
      <c r="C693" s="7" t="s">
        <v>67</v>
      </c>
      <c r="D693" s="7" t="s">
        <v>9511</v>
      </c>
      <c r="E693" s="44">
        <v>5</v>
      </c>
      <c r="F693" s="7"/>
      <c r="G693" s="7"/>
      <c r="H693" s="2" t="s">
        <v>9490</v>
      </c>
      <c r="I693" s="7" t="s">
        <v>9513</v>
      </c>
      <c r="J693" s="7" t="s">
        <v>9514</v>
      </c>
      <c r="K693" s="7" t="s">
        <v>55</v>
      </c>
      <c r="L693" s="7" t="s">
        <v>9515</v>
      </c>
      <c r="M693" s="7"/>
      <c r="N693" s="69" t="str">
        <f>HYPERLINK("twitter.com/CSUSoftball","@CSUSoftball")</f>
        <v>@CSUSoftball</v>
      </c>
      <c r="O693" s="70" t="str">
        <f t="shared" si="507"/>
        <v>Questionnaire</v>
      </c>
      <c r="P693" s="48" t="s">
        <v>9501</v>
      </c>
      <c r="Q693" s="47" t="s">
        <v>2088</v>
      </c>
      <c r="R693" s="48" t="s">
        <v>9503</v>
      </c>
      <c r="S693" s="48" t="s">
        <v>62</v>
      </c>
      <c r="T693" s="49" t="s">
        <v>74</v>
      </c>
      <c r="U693" s="48" t="s">
        <v>75</v>
      </c>
      <c r="V693" s="49"/>
      <c r="W693" s="50">
        <v>3.61</v>
      </c>
      <c r="X693" s="49" t="s">
        <v>1723</v>
      </c>
      <c r="Y693" s="49" t="s">
        <v>1490</v>
      </c>
      <c r="Z693" s="49" t="s">
        <v>78</v>
      </c>
      <c r="AA693" s="65">
        <v>0.78</v>
      </c>
      <c r="AB693" s="48" t="s">
        <v>9508</v>
      </c>
      <c r="AC693" s="66" t="s">
        <v>9501</v>
      </c>
      <c r="AD693" s="67" t="str">
        <f t="shared" si="508"/>
        <v>Link</v>
      </c>
      <c r="AE693" s="54">
        <v>25177</v>
      </c>
      <c r="AF693" s="54">
        <v>124</v>
      </c>
      <c r="AG693" s="55"/>
      <c r="AH693" s="56">
        <v>126818</v>
      </c>
      <c r="AI693" s="7"/>
      <c r="AJ693" s="7"/>
    </row>
    <row r="694" spans="1:36" ht="13" x14ac:dyDescent="0.15">
      <c r="A694" s="64" t="s">
        <v>9449</v>
      </c>
      <c r="B694" s="2" t="s">
        <v>2088</v>
      </c>
      <c r="C694" s="7" t="s">
        <v>67</v>
      </c>
      <c r="D694" s="7" t="s">
        <v>9521</v>
      </c>
      <c r="E694" s="44">
        <v>5</v>
      </c>
      <c r="F694" s="7"/>
      <c r="G694" s="7"/>
      <c r="H694" s="2" t="s">
        <v>9490</v>
      </c>
      <c r="I694" s="7" t="s">
        <v>577</v>
      </c>
      <c r="J694" s="7" t="s">
        <v>9522</v>
      </c>
      <c r="K694" s="7" t="s">
        <v>55</v>
      </c>
      <c r="L694" s="7" t="s">
        <v>9523</v>
      </c>
      <c r="M694" s="7"/>
      <c r="N694" s="69" t="s">
        <v>9524</v>
      </c>
      <c r="O694" s="70" t="str">
        <f t="shared" si="507"/>
        <v>Questionnaire</v>
      </c>
      <c r="P694" s="48" t="s">
        <v>9501</v>
      </c>
      <c r="Q694" s="47" t="s">
        <v>2088</v>
      </c>
      <c r="R694" s="48" t="s">
        <v>9503</v>
      </c>
      <c r="S694" s="48" t="s">
        <v>62</v>
      </c>
      <c r="T694" s="49" t="s">
        <v>74</v>
      </c>
      <c r="U694" s="48" t="s">
        <v>75</v>
      </c>
      <c r="V694" s="49"/>
      <c r="W694" s="50">
        <v>3.61</v>
      </c>
      <c r="X694" s="49" t="s">
        <v>1723</v>
      </c>
      <c r="Y694" s="49" t="s">
        <v>1490</v>
      </c>
      <c r="Z694" s="49" t="s">
        <v>78</v>
      </c>
      <c r="AA694" s="65">
        <v>0.78</v>
      </c>
      <c r="AB694" s="48" t="s">
        <v>9508</v>
      </c>
      <c r="AC694" s="66" t="s">
        <v>9501</v>
      </c>
      <c r="AD694" s="67" t="str">
        <f t="shared" si="508"/>
        <v>Link</v>
      </c>
      <c r="AE694" s="54">
        <v>25177</v>
      </c>
      <c r="AF694" s="54">
        <v>124</v>
      </c>
      <c r="AG694" s="55"/>
      <c r="AH694" s="56">
        <v>126818</v>
      </c>
      <c r="AI694" s="7"/>
      <c r="AJ694" s="7"/>
    </row>
    <row r="695" spans="1:36" ht="13" x14ac:dyDescent="0.15">
      <c r="A695" s="64" t="s">
        <v>9449</v>
      </c>
      <c r="B695" s="2" t="s">
        <v>2088</v>
      </c>
      <c r="C695" s="7" t="s">
        <v>67</v>
      </c>
      <c r="D695" s="7" t="s">
        <v>9535</v>
      </c>
      <c r="E695" s="44">
        <v>5</v>
      </c>
      <c r="F695" s="7"/>
      <c r="G695" s="7"/>
      <c r="H695" s="2" t="s">
        <v>9490</v>
      </c>
      <c r="I695" s="7" t="s">
        <v>8259</v>
      </c>
      <c r="J695" s="7" t="s">
        <v>9536</v>
      </c>
      <c r="K695" s="7" t="s">
        <v>139</v>
      </c>
      <c r="L695" s="7"/>
      <c r="M695" s="7"/>
      <c r="N695" s="69" t="str">
        <f>HYPERLINK("twitter.com/CSUSoftball","@CSUSoftball")</f>
        <v>@CSUSoftball</v>
      </c>
      <c r="O695" s="70" t="str">
        <f t="shared" si="507"/>
        <v>Questionnaire</v>
      </c>
      <c r="P695" s="48" t="s">
        <v>9501</v>
      </c>
      <c r="Q695" s="47" t="s">
        <v>2088</v>
      </c>
      <c r="R695" s="48" t="s">
        <v>9503</v>
      </c>
      <c r="S695" s="48" t="s">
        <v>62</v>
      </c>
      <c r="T695" s="49" t="s">
        <v>74</v>
      </c>
      <c r="U695" s="48" t="s">
        <v>75</v>
      </c>
      <c r="V695" s="49"/>
      <c r="W695" s="50">
        <v>3.61</v>
      </c>
      <c r="X695" s="49" t="s">
        <v>1723</v>
      </c>
      <c r="Y695" s="49" t="s">
        <v>1490</v>
      </c>
      <c r="Z695" s="49" t="s">
        <v>78</v>
      </c>
      <c r="AA695" s="65">
        <v>0.78</v>
      </c>
      <c r="AB695" s="48" t="s">
        <v>9508</v>
      </c>
      <c r="AC695" s="66" t="s">
        <v>9501</v>
      </c>
      <c r="AD695" s="67" t="str">
        <f t="shared" si="508"/>
        <v>Link</v>
      </c>
      <c r="AE695" s="54">
        <v>25177</v>
      </c>
      <c r="AF695" s="54">
        <v>124</v>
      </c>
      <c r="AG695" s="55"/>
      <c r="AH695" s="56">
        <v>126818</v>
      </c>
      <c r="AI695" s="7"/>
      <c r="AJ695" s="7"/>
    </row>
    <row r="696" spans="1:36" ht="15" x14ac:dyDescent="0.2">
      <c r="A696" s="43" t="s">
        <v>9449</v>
      </c>
      <c r="B696" s="33" t="s">
        <v>312</v>
      </c>
      <c r="C696" s="7" t="s">
        <v>67</v>
      </c>
      <c r="D696" s="7" t="s">
        <v>9549</v>
      </c>
      <c r="E696" s="44">
        <v>5</v>
      </c>
      <c r="F696" s="7"/>
      <c r="G696" s="7"/>
      <c r="H696" s="2" t="s">
        <v>9551</v>
      </c>
      <c r="I696" s="7" t="s">
        <v>4762</v>
      </c>
      <c r="J696" s="7" t="s">
        <v>599</v>
      </c>
      <c r="K696" s="7" t="s">
        <v>48</v>
      </c>
      <c r="L696" s="7" t="s">
        <v>9553</v>
      </c>
      <c r="M696" s="7" t="s">
        <v>9554</v>
      </c>
      <c r="N696" s="69" t="str">
        <f t="shared" ref="N696:N699" si="509">HYPERLINK("twitter.com/FresnoStateSB","@FresnoStateSB")</f>
        <v>@FresnoStateSB</v>
      </c>
      <c r="O696" s="70" t="str">
        <f t="shared" ref="O696:O699" si="510">HYPERLINK("https://questionnaires.armssoftware.com/742333448b1e","Questionnaire")</f>
        <v>Questionnaire</v>
      </c>
      <c r="P696" s="48" t="s">
        <v>9565</v>
      </c>
      <c r="Q696" s="47" t="s">
        <v>312</v>
      </c>
      <c r="R696" s="48" t="s">
        <v>1768</v>
      </c>
      <c r="S696" s="48" t="s">
        <v>354</v>
      </c>
      <c r="T696" s="49" t="s">
        <v>74</v>
      </c>
      <c r="U696" s="7" t="s">
        <v>75</v>
      </c>
      <c r="V696" s="49"/>
      <c r="W696" s="50">
        <v>3.07</v>
      </c>
      <c r="X696" s="49" t="s">
        <v>3892</v>
      </c>
      <c r="Y696" s="49" t="s">
        <v>1947</v>
      </c>
      <c r="Z696" s="49" t="s">
        <v>3952</v>
      </c>
      <c r="AA696" s="61">
        <v>0.54</v>
      </c>
      <c r="AB696" s="48" t="s">
        <v>9566</v>
      </c>
      <c r="AC696" s="52" t="s">
        <v>9565</v>
      </c>
      <c r="AD696" s="53" t="str">
        <f t="shared" ref="AD696:AD699" si="511">HYPERLINK("https://www.fresnostate.edu/academics/degrees-programs/","Link")</f>
        <v>Link</v>
      </c>
      <c r="AE696" s="54">
        <v>21530</v>
      </c>
      <c r="AF696" s="54">
        <v>223</v>
      </c>
      <c r="AG696" s="85"/>
      <c r="AH696" s="56">
        <v>110556</v>
      </c>
      <c r="AI696" s="7"/>
      <c r="AJ696" s="7"/>
    </row>
    <row r="697" spans="1:36" ht="15" x14ac:dyDescent="0.2">
      <c r="A697" s="43" t="s">
        <v>9449</v>
      </c>
      <c r="B697" s="33" t="s">
        <v>312</v>
      </c>
      <c r="C697" s="7" t="s">
        <v>67</v>
      </c>
      <c r="D697" s="7" t="s">
        <v>9571</v>
      </c>
      <c r="E697" s="44">
        <v>5</v>
      </c>
      <c r="F697" s="7"/>
      <c r="G697" s="7"/>
      <c r="H697" s="2" t="s">
        <v>9551</v>
      </c>
      <c r="I697" s="7" t="s">
        <v>9572</v>
      </c>
      <c r="J697" s="7" t="s">
        <v>6218</v>
      </c>
      <c r="K697" s="7" t="s">
        <v>55</v>
      </c>
      <c r="L697" s="7" t="s">
        <v>9573</v>
      </c>
      <c r="M697" s="7" t="s">
        <v>9574</v>
      </c>
      <c r="N697" s="69" t="str">
        <f t="shared" si="509"/>
        <v>@FresnoStateSB</v>
      </c>
      <c r="O697" s="70" t="str">
        <f t="shared" si="510"/>
        <v>Questionnaire</v>
      </c>
      <c r="P697" s="48" t="s">
        <v>9565</v>
      </c>
      <c r="Q697" s="47" t="s">
        <v>312</v>
      </c>
      <c r="R697" s="48" t="s">
        <v>1768</v>
      </c>
      <c r="S697" s="48" t="s">
        <v>354</v>
      </c>
      <c r="T697" s="49" t="s">
        <v>74</v>
      </c>
      <c r="U697" s="7" t="s">
        <v>75</v>
      </c>
      <c r="V697" s="49"/>
      <c r="W697" s="50">
        <v>3.07</v>
      </c>
      <c r="X697" s="49" t="s">
        <v>3892</v>
      </c>
      <c r="Y697" s="49" t="s">
        <v>1947</v>
      </c>
      <c r="Z697" s="49" t="s">
        <v>3952</v>
      </c>
      <c r="AA697" s="61">
        <v>0.54</v>
      </c>
      <c r="AB697" s="48" t="s">
        <v>9566</v>
      </c>
      <c r="AC697" s="52" t="s">
        <v>9565</v>
      </c>
      <c r="AD697" s="53" t="str">
        <f t="shared" si="511"/>
        <v>Link</v>
      </c>
      <c r="AE697" s="54">
        <v>21530</v>
      </c>
      <c r="AF697" s="54">
        <v>223</v>
      </c>
      <c r="AG697" s="85"/>
      <c r="AH697" s="56">
        <v>110556</v>
      </c>
      <c r="AI697" s="7"/>
      <c r="AJ697" s="7"/>
    </row>
    <row r="698" spans="1:36" ht="15" x14ac:dyDescent="0.2">
      <c r="A698" s="43" t="s">
        <v>9449</v>
      </c>
      <c r="B698" s="33" t="s">
        <v>312</v>
      </c>
      <c r="C698" s="7" t="s">
        <v>67</v>
      </c>
      <c r="D698" s="7" t="s">
        <v>9586</v>
      </c>
      <c r="E698" s="44">
        <v>5</v>
      </c>
      <c r="F698" s="7"/>
      <c r="G698" s="7"/>
      <c r="H698" s="2" t="s">
        <v>9551</v>
      </c>
      <c r="I698" s="7" t="s">
        <v>644</v>
      </c>
      <c r="J698" s="7" t="s">
        <v>1809</v>
      </c>
      <c r="K698" s="7" t="s">
        <v>55</v>
      </c>
      <c r="L698" s="7" t="s">
        <v>9588</v>
      </c>
      <c r="M698" s="7"/>
      <c r="N698" s="69" t="str">
        <f t="shared" si="509"/>
        <v>@FresnoStateSB</v>
      </c>
      <c r="O698" s="70" t="str">
        <f t="shared" si="510"/>
        <v>Questionnaire</v>
      </c>
      <c r="P698" s="48" t="s">
        <v>9565</v>
      </c>
      <c r="Q698" s="47" t="s">
        <v>312</v>
      </c>
      <c r="R698" s="48" t="s">
        <v>1768</v>
      </c>
      <c r="S698" s="48" t="s">
        <v>354</v>
      </c>
      <c r="T698" s="49" t="s">
        <v>74</v>
      </c>
      <c r="U698" s="7" t="s">
        <v>75</v>
      </c>
      <c r="V698" s="49"/>
      <c r="W698" s="61">
        <v>3.07</v>
      </c>
      <c r="X698" s="49" t="s">
        <v>3892</v>
      </c>
      <c r="Y698" s="49" t="s">
        <v>1947</v>
      </c>
      <c r="Z698" s="49" t="s">
        <v>3952</v>
      </c>
      <c r="AA698" s="61">
        <v>0.54</v>
      </c>
      <c r="AB698" s="48" t="s">
        <v>9566</v>
      </c>
      <c r="AC698" s="52" t="s">
        <v>9565</v>
      </c>
      <c r="AD698" s="53" t="str">
        <f t="shared" si="511"/>
        <v>Link</v>
      </c>
      <c r="AE698" s="54">
        <v>21530</v>
      </c>
      <c r="AF698" s="54">
        <v>223</v>
      </c>
      <c r="AG698" s="85"/>
      <c r="AH698" s="56">
        <v>110556</v>
      </c>
      <c r="AI698" s="7"/>
      <c r="AJ698" s="7"/>
    </row>
    <row r="699" spans="1:36" ht="15" x14ac:dyDescent="0.2">
      <c r="A699" s="43" t="s">
        <v>9449</v>
      </c>
      <c r="B699" s="33" t="s">
        <v>312</v>
      </c>
      <c r="C699" s="7" t="s">
        <v>67</v>
      </c>
      <c r="D699" s="7" t="s">
        <v>9595</v>
      </c>
      <c r="E699" s="44">
        <v>5</v>
      </c>
      <c r="F699" s="7"/>
      <c r="G699" s="7"/>
      <c r="H699" s="2" t="s">
        <v>9551</v>
      </c>
      <c r="I699" s="7" t="s">
        <v>9598</v>
      </c>
      <c r="J699" s="7" t="s">
        <v>9599</v>
      </c>
      <c r="K699" s="7" t="s">
        <v>139</v>
      </c>
      <c r="L699" s="7"/>
      <c r="M699" s="7"/>
      <c r="N699" s="69" t="str">
        <f t="shared" si="509"/>
        <v>@FresnoStateSB</v>
      </c>
      <c r="O699" s="70" t="str">
        <f t="shared" si="510"/>
        <v>Questionnaire</v>
      </c>
      <c r="P699" s="48" t="s">
        <v>9565</v>
      </c>
      <c r="Q699" s="47" t="s">
        <v>312</v>
      </c>
      <c r="R699" s="48" t="s">
        <v>1768</v>
      </c>
      <c r="S699" s="48" t="s">
        <v>354</v>
      </c>
      <c r="T699" s="49" t="s">
        <v>74</v>
      </c>
      <c r="U699" s="7" t="s">
        <v>75</v>
      </c>
      <c r="V699" s="49"/>
      <c r="W699" s="50">
        <v>3.07</v>
      </c>
      <c r="X699" s="49" t="s">
        <v>3892</v>
      </c>
      <c r="Y699" s="49" t="s">
        <v>1947</v>
      </c>
      <c r="Z699" s="49" t="s">
        <v>3952</v>
      </c>
      <c r="AA699" s="61">
        <v>0.54</v>
      </c>
      <c r="AB699" s="48" t="s">
        <v>9566</v>
      </c>
      <c r="AC699" s="52" t="s">
        <v>9565</v>
      </c>
      <c r="AD699" s="53" t="str">
        <f t="shared" si="511"/>
        <v>Link</v>
      </c>
      <c r="AE699" s="54">
        <v>21530</v>
      </c>
      <c r="AF699" s="54">
        <v>223</v>
      </c>
      <c r="AG699" s="85"/>
      <c r="AH699" s="56">
        <v>110556</v>
      </c>
      <c r="AI699" s="7"/>
      <c r="AJ699" s="7"/>
    </row>
    <row r="700" spans="1:36" ht="15" x14ac:dyDescent="0.2">
      <c r="A700" s="43" t="s">
        <v>9449</v>
      </c>
      <c r="B700" s="33" t="s">
        <v>9603</v>
      </c>
      <c r="C700" s="7" t="s">
        <v>67</v>
      </c>
      <c r="D700" s="7" t="s">
        <v>9605</v>
      </c>
      <c r="E700" s="44">
        <v>5</v>
      </c>
      <c r="F700" s="7"/>
      <c r="G700" s="7"/>
      <c r="H700" s="2" t="s">
        <v>9607</v>
      </c>
      <c r="I700" s="7" t="s">
        <v>9609</v>
      </c>
      <c r="J700" s="7" t="s">
        <v>5988</v>
      </c>
      <c r="K700" s="7" t="s">
        <v>48</v>
      </c>
      <c r="L700" s="7" t="s">
        <v>9612</v>
      </c>
      <c r="M700" s="7" t="s">
        <v>9614</v>
      </c>
      <c r="N700" s="69" t="str">
        <f t="shared" ref="N700:N702" si="512">HYPERLINK("twitter.com/unlvsoftball","@unlvsoftball")</f>
        <v>@unlvsoftball</v>
      </c>
      <c r="O700" s="70" t="str">
        <f t="shared" ref="O700:O702" si="513">HYPERLINK("https://questionnaires.armssoftware.com/3fb1b67e1c74","Questionnaire")</f>
        <v>Questionnaire</v>
      </c>
      <c r="P700" s="48" t="s">
        <v>9621</v>
      </c>
      <c r="Q700" s="47" t="s">
        <v>9603</v>
      </c>
      <c r="R700" s="48" t="s">
        <v>7248</v>
      </c>
      <c r="S700" s="48" t="s">
        <v>354</v>
      </c>
      <c r="T700" s="49" t="s">
        <v>74</v>
      </c>
      <c r="U700" s="7" t="s">
        <v>75</v>
      </c>
      <c r="V700" s="49"/>
      <c r="W700" s="50">
        <v>3.31</v>
      </c>
      <c r="X700" s="49" t="s">
        <v>356</v>
      </c>
      <c r="Y700" s="49" t="s">
        <v>1029</v>
      </c>
      <c r="Z700" s="49" t="s">
        <v>125</v>
      </c>
      <c r="AA700" s="61">
        <v>0.83</v>
      </c>
      <c r="AB700" s="48" t="s">
        <v>9624</v>
      </c>
      <c r="AC700" s="52" t="s">
        <v>9621</v>
      </c>
      <c r="AD700" s="53" t="str">
        <f t="shared" ref="AD700:AD702" si="514">HYPERLINK("https://www.unlv.edu/academics/degrees","Link")</f>
        <v>Link</v>
      </c>
      <c r="AE700" s="54">
        <v>24714</v>
      </c>
      <c r="AF700" s="55"/>
      <c r="AG700" s="85"/>
      <c r="AH700" s="56">
        <v>182281</v>
      </c>
      <c r="AI700" s="7"/>
      <c r="AJ700" s="7"/>
    </row>
    <row r="701" spans="1:36" ht="15" x14ac:dyDescent="0.2">
      <c r="A701" s="43" t="s">
        <v>9449</v>
      </c>
      <c r="B701" s="33" t="s">
        <v>9603</v>
      </c>
      <c r="C701" s="7" t="s">
        <v>67</v>
      </c>
      <c r="D701" s="7" t="s">
        <v>9627</v>
      </c>
      <c r="E701" s="44">
        <v>5</v>
      </c>
      <c r="F701" s="7"/>
      <c r="G701" s="7"/>
      <c r="H701" s="2" t="s">
        <v>9607</v>
      </c>
      <c r="I701" s="7" t="s">
        <v>369</v>
      </c>
      <c r="J701" s="7" t="s">
        <v>9633</v>
      </c>
      <c r="K701" s="7" t="s">
        <v>55</v>
      </c>
      <c r="L701" s="7" t="s">
        <v>9635</v>
      </c>
      <c r="M701" s="7" t="s">
        <v>9636</v>
      </c>
      <c r="N701" s="69" t="str">
        <f t="shared" si="512"/>
        <v>@unlvsoftball</v>
      </c>
      <c r="O701" s="70" t="str">
        <f t="shared" si="513"/>
        <v>Questionnaire</v>
      </c>
      <c r="P701" s="48" t="s">
        <v>9621</v>
      </c>
      <c r="Q701" s="47" t="s">
        <v>9603</v>
      </c>
      <c r="R701" s="48" t="s">
        <v>7248</v>
      </c>
      <c r="S701" s="48" t="s">
        <v>354</v>
      </c>
      <c r="T701" s="49" t="s">
        <v>74</v>
      </c>
      <c r="U701" s="7" t="s">
        <v>75</v>
      </c>
      <c r="V701" s="49"/>
      <c r="W701" s="50">
        <v>3.31</v>
      </c>
      <c r="X701" s="49" t="s">
        <v>356</v>
      </c>
      <c r="Y701" s="49" t="s">
        <v>1029</v>
      </c>
      <c r="Z701" s="49" t="s">
        <v>125</v>
      </c>
      <c r="AA701" s="61">
        <v>0.83</v>
      </c>
      <c r="AB701" s="48" t="s">
        <v>9624</v>
      </c>
      <c r="AC701" s="52" t="s">
        <v>9621</v>
      </c>
      <c r="AD701" s="53" t="str">
        <f t="shared" si="514"/>
        <v>Link</v>
      </c>
      <c r="AE701" s="54">
        <v>24714</v>
      </c>
      <c r="AF701" s="55"/>
      <c r="AG701" s="85"/>
      <c r="AH701" s="56">
        <v>182281</v>
      </c>
      <c r="AI701" s="7"/>
      <c r="AJ701" s="7"/>
    </row>
    <row r="702" spans="1:36" ht="15" x14ac:dyDescent="0.2">
      <c r="A702" s="43" t="s">
        <v>9449</v>
      </c>
      <c r="B702" s="33" t="s">
        <v>9603</v>
      </c>
      <c r="C702" s="7" t="s">
        <v>67</v>
      </c>
      <c r="D702" s="7" t="s">
        <v>9641</v>
      </c>
      <c r="E702" s="44">
        <v>5</v>
      </c>
      <c r="F702" s="7"/>
      <c r="G702" s="7"/>
      <c r="H702" s="2" t="s">
        <v>9607</v>
      </c>
      <c r="I702" s="7" t="s">
        <v>143</v>
      </c>
      <c r="J702" s="7" t="s">
        <v>9644</v>
      </c>
      <c r="K702" s="7" t="s">
        <v>919</v>
      </c>
      <c r="L702" s="7" t="s">
        <v>9645</v>
      </c>
      <c r="M702" s="7" t="s">
        <v>9646</v>
      </c>
      <c r="N702" s="69" t="str">
        <f t="shared" si="512"/>
        <v>@unlvsoftball</v>
      </c>
      <c r="O702" s="70" t="str">
        <f t="shared" si="513"/>
        <v>Questionnaire</v>
      </c>
      <c r="P702" s="48" t="s">
        <v>9621</v>
      </c>
      <c r="Q702" s="47" t="s">
        <v>9603</v>
      </c>
      <c r="R702" s="48" t="s">
        <v>7248</v>
      </c>
      <c r="S702" s="48" t="s">
        <v>354</v>
      </c>
      <c r="T702" s="49" t="s">
        <v>74</v>
      </c>
      <c r="U702" s="7" t="s">
        <v>75</v>
      </c>
      <c r="V702" s="49"/>
      <c r="W702" s="50">
        <v>3.31</v>
      </c>
      <c r="X702" s="49" t="s">
        <v>356</v>
      </c>
      <c r="Y702" s="49" t="s">
        <v>1029</v>
      </c>
      <c r="Z702" s="49" t="s">
        <v>125</v>
      </c>
      <c r="AA702" s="61">
        <v>0.83</v>
      </c>
      <c r="AB702" s="48" t="s">
        <v>9624</v>
      </c>
      <c r="AC702" s="52" t="s">
        <v>9621</v>
      </c>
      <c r="AD702" s="53" t="str">
        <f t="shared" si="514"/>
        <v>Link</v>
      </c>
      <c r="AE702" s="54">
        <v>24714</v>
      </c>
      <c r="AF702" s="55"/>
      <c r="AG702" s="85"/>
      <c r="AH702" s="56">
        <v>182281</v>
      </c>
      <c r="AI702" s="7"/>
      <c r="AJ702" s="7"/>
    </row>
    <row r="703" spans="1:36" ht="15" x14ac:dyDescent="0.2">
      <c r="A703" s="43" t="s">
        <v>9449</v>
      </c>
      <c r="B703" s="33" t="s">
        <v>9603</v>
      </c>
      <c r="C703" s="7" t="s">
        <v>67</v>
      </c>
      <c r="D703" s="7" t="s">
        <v>9652</v>
      </c>
      <c r="E703" s="44">
        <v>5</v>
      </c>
      <c r="F703" s="7"/>
      <c r="G703" s="7"/>
      <c r="H703" s="2" t="s">
        <v>9653</v>
      </c>
      <c r="I703" s="7" t="s">
        <v>501</v>
      </c>
      <c r="J703" s="7" t="s">
        <v>1124</v>
      </c>
      <c r="K703" s="7" t="s">
        <v>48</v>
      </c>
      <c r="L703" s="7" t="s">
        <v>9656</v>
      </c>
      <c r="M703" s="7" t="s">
        <v>9657</v>
      </c>
      <c r="N703" s="7"/>
      <c r="O703" s="7"/>
      <c r="P703" s="48" t="s">
        <v>9658</v>
      </c>
      <c r="Q703" s="47" t="s">
        <v>9603</v>
      </c>
      <c r="R703" s="48" t="s">
        <v>7167</v>
      </c>
      <c r="S703" s="48" t="s">
        <v>62</v>
      </c>
      <c r="T703" s="49" t="s">
        <v>74</v>
      </c>
      <c r="U703" s="7" t="s">
        <v>75</v>
      </c>
      <c r="V703" s="49"/>
      <c r="W703" s="50">
        <v>3.38</v>
      </c>
      <c r="X703" s="49" t="s">
        <v>802</v>
      </c>
      <c r="Y703" s="49" t="s">
        <v>2853</v>
      </c>
      <c r="Z703" s="49" t="s">
        <v>1650</v>
      </c>
      <c r="AA703" s="61">
        <v>0.83</v>
      </c>
      <c r="AB703" s="48" t="s">
        <v>9659</v>
      </c>
      <c r="AC703" s="92" t="s">
        <v>9658</v>
      </c>
      <c r="AD703" s="53" t="str">
        <f t="shared" ref="AD703:AD706" si="515">HYPERLINK("https://www.unr.edu/degrees/search","Link")</f>
        <v>Link</v>
      </c>
      <c r="AE703" s="54">
        <v>18191</v>
      </c>
      <c r="AF703" s="54">
        <v>202</v>
      </c>
      <c r="AG703" s="85"/>
      <c r="AH703" s="56">
        <v>182290</v>
      </c>
      <c r="AI703" s="7"/>
      <c r="AJ703" s="7"/>
    </row>
    <row r="704" spans="1:36" ht="15" x14ac:dyDescent="0.2">
      <c r="A704" s="43" t="s">
        <v>9449</v>
      </c>
      <c r="B704" s="33" t="s">
        <v>9603</v>
      </c>
      <c r="C704" s="7" t="s">
        <v>67</v>
      </c>
      <c r="D704" s="7" t="s">
        <v>9663</v>
      </c>
      <c r="E704" s="44">
        <v>5</v>
      </c>
      <c r="F704" s="7"/>
      <c r="G704" s="7"/>
      <c r="H704" s="2" t="s">
        <v>9653</v>
      </c>
      <c r="I704" s="7" t="s">
        <v>9665</v>
      </c>
      <c r="J704" s="7" t="s">
        <v>9666</v>
      </c>
      <c r="K704" s="7" t="s">
        <v>55</v>
      </c>
      <c r="L704" s="7" t="s">
        <v>9667</v>
      </c>
      <c r="M704" s="7" t="s">
        <v>9668</v>
      </c>
      <c r="N704" s="7"/>
      <c r="O704" s="7"/>
      <c r="P704" s="48" t="s">
        <v>9658</v>
      </c>
      <c r="Q704" s="47" t="s">
        <v>9603</v>
      </c>
      <c r="R704" s="48" t="s">
        <v>7167</v>
      </c>
      <c r="S704" s="48" t="s">
        <v>62</v>
      </c>
      <c r="T704" s="49" t="s">
        <v>74</v>
      </c>
      <c r="U704" s="7" t="s">
        <v>75</v>
      </c>
      <c r="V704" s="49"/>
      <c r="W704" s="50">
        <v>3.38</v>
      </c>
      <c r="X704" s="49" t="s">
        <v>802</v>
      </c>
      <c r="Y704" s="49" t="s">
        <v>2853</v>
      </c>
      <c r="Z704" s="49" t="s">
        <v>1650</v>
      </c>
      <c r="AA704" s="61">
        <v>0.83</v>
      </c>
      <c r="AB704" s="48" t="s">
        <v>9659</v>
      </c>
      <c r="AC704" s="92" t="s">
        <v>9658</v>
      </c>
      <c r="AD704" s="53" t="str">
        <f t="shared" si="515"/>
        <v>Link</v>
      </c>
      <c r="AE704" s="54">
        <v>18191</v>
      </c>
      <c r="AF704" s="54">
        <v>202</v>
      </c>
      <c r="AG704" s="85"/>
      <c r="AH704" s="56">
        <v>182290</v>
      </c>
      <c r="AI704" s="7"/>
      <c r="AJ704" s="7"/>
    </row>
    <row r="705" spans="1:36" ht="15" x14ac:dyDescent="0.2">
      <c r="A705" s="43" t="s">
        <v>9449</v>
      </c>
      <c r="B705" s="33" t="s">
        <v>9603</v>
      </c>
      <c r="C705" s="7" t="s">
        <v>67</v>
      </c>
      <c r="D705" s="7" t="s">
        <v>9674</v>
      </c>
      <c r="E705" s="44">
        <v>5</v>
      </c>
      <c r="F705" s="7"/>
      <c r="G705" s="7"/>
      <c r="H705" s="2" t="s">
        <v>9653</v>
      </c>
      <c r="I705" s="7" t="s">
        <v>9678</v>
      </c>
      <c r="J705" s="7" t="s">
        <v>9679</v>
      </c>
      <c r="K705" s="7" t="s">
        <v>55</v>
      </c>
      <c r="L705" s="7" t="s">
        <v>9681</v>
      </c>
      <c r="M705" s="7"/>
      <c r="N705" s="7"/>
      <c r="O705" s="7"/>
      <c r="P705" s="48" t="s">
        <v>9658</v>
      </c>
      <c r="Q705" s="47" t="s">
        <v>9603</v>
      </c>
      <c r="R705" s="48" t="s">
        <v>7167</v>
      </c>
      <c r="S705" s="48" t="s">
        <v>62</v>
      </c>
      <c r="T705" s="49" t="s">
        <v>74</v>
      </c>
      <c r="U705" s="7" t="s">
        <v>75</v>
      </c>
      <c r="V705" s="49"/>
      <c r="W705" s="50">
        <v>3.38</v>
      </c>
      <c r="X705" s="49" t="s">
        <v>802</v>
      </c>
      <c r="Y705" s="49" t="s">
        <v>2853</v>
      </c>
      <c r="Z705" s="49" t="s">
        <v>1650</v>
      </c>
      <c r="AA705" s="61">
        <v>0.83</v>
      </c>
      <c r="AB705" s="48" t="s">
        <v>9659</v>
      </c>
      <c r="AC705" s="92" t="s">
        <v>9658</v>
      </c>
      <c r="AD705" s="53" t="str">
        <f t="shared" si="515"/>
        <v>Link</v>
      </c>
      <c r="AE705" s="54">
        <v>18191</v>
      </c>
      <c r="AF705" s="54">
        <v>202</v>
      </c>
      <c r="AG705" s="85"/>
      <c r="AH705" s="56">
        <v>182290</v>
      </c>
      <c r="AI705" s="7"/>
      <c r="AJ705" s="7"/>
    </row>
    <row r="706" spans="1:36" ht="15" x14ac:dyDescent="0.2">
      <c r="A706" s="43" t="s">
        <v>9449</v>
      </c>
      <c r="B706" s="33" t="s">
        <v>9603</v>
      </c>
      <c r="C706" s="7" t="s">
        <v>67</v>
      </c>
      <c r="D706" s="7" t="s">
        <v>9686</v>
      </c>
      <c r="E706" s="44">
        <v>5</v>
      </c>
      <c r="F706" s="7"/>
      <c r="G706" s="7"/>
      <c r="H706" s="2" t="s">
        <v>9653</v>
      </c>
      <c r="I706" s="7" t="s">
        <v>7130</v>
      </c>
      <c r="J706" s="7" t="s">
        <v>9687</v>
      </c>
      <c r="K706" s="7" t="s">
        <v>139</v>
      </c>
      <c r="L706" s="7"/>
      <c r="M706" s="7"/>
      <c r="N706" s="7"/>
      <c r="O706" s="7"/>
      <c r="P706" s="48" t="s">
        <v>9658</v>
      </c>
      <c r="Q706" s="47" t="s">
        <v>9603</v>
      </c>
      <c r="R706" s="48" t="s">
        <v>7167</v>
      </c>
      <c r="S706" s="48" t="s">
        <v>62</v>
      </c>
      <c r="T706" s="49" t="s">
        <v>74</v>
      </c>
      <c r="U706" s="7" t="s">
        <v>75</v>
      </c>
      <c r="V706" s="49"/>
      <c r="W706" s="50">
        <v>3.38</v>
      </c>
      <c r="X706" s="49" t="s">
        <v>802</v>
      </c>
      <c r="Y706" s="49" t="s">
        <v>2853</v>
      </c>
      <c r="Z706" s="49" t="s">
        <v>1650</v>
      </c>
      <c r="AA706" s="61">
        <v>0.83</v>
      </c>
      <c r="AB706" s="48" t="s">
        <v>9659</v>
      </c>
      <c r="AC706" s="92" t="s">
        <v>9658</v>
      </c>
      <c r="AD706" s="53" t="str">
        <f t="shared" si="515"/>
        <v>Link</v>
      </c>
      <c r="AE706" s="54">
        <v>18191</v>
      </c>
      <c r="AF706" s="54">
        <v>202</v>
      </c>
      <c r="AG706" s="85"/>
      <c r="AH706" s="56">
        <v>182290</v>
      </c>
      <c r="AI706" s="7"/>
      <c r="AJ706" s="7"/>
    </row>
    <row r="707" spans="1:36" ht="15" x14ac:dyDescent="0.2">
      <c r="A707" s="43" t="s">
        <v>9449</v>
      </c>
      <c r="B707" s="33" t="s">
        <v>7198</v>
      </c>
      <c r="C707" s="7" t="s">
        <v>67</v>
      </c>
      <c r="D707" s="7" t="s">
        <v>9692</v>
      </c>
      <c r="E707" s="44">
        <v>5</v>
      </c>
      <c r="F707" s="7"/>
      <c r="G707" s="7"/>
      <c r="H707" s="2" t="s">
        <v>9694</v>
      </c>
      <c r="I707" s="7" t="s">
        <v>6072</v>
      </c>
      <c r="J707" s="7" t="s">
        <v>9696</v>
      </c>
      <c r="K707" s="7" t="s">
        <v>48</v>
      </c>
      <c r="L707" s="7" t="s">
        <v>9697</v>
      </c>
      <c r="M707" s="7"/>
      <c r="N707" s="69" t="str">
        <f t="shared" ref="N707:N709" si="516">HYPERLINK("twitter.com/unmlobosb","@unmlobosb")</f>
        <v>@unmlobosb</v>
      </c>
      <c r="O707" s="74" t="str">
        <f t="shared" ref="O707:O709" si="517">HYPERLINK("https://questionnaires.armssoftware.com/e82b87a57fa8","Questionnaire")</f>
        <v>Questionnaire</v>
      </c>
      <c r="P707" s="48" t="s">
        <v>7182</v>
      </c>
      <c r="Q707" s="47" t="s">
        <v>7198</v>
      </c>
      <c r="R707" s="48" t="s">
        <v>9701</v>
      </c>
      <c r="S707" s="48" t="s">
        <v>354</v>
      </c>
      <c r="T707" s="49" t="s">
        <v>74</v>
      </c>
      <c r="U707" s="7" t="s">
        <v>75</v>
      </c>
      <c r="V707" s="49"/>
      <c r="W707" s="50">
        <v>3.38</v>
      </c>
      <c r="X707" s="49" t="s">
        <v>2310</v>
      </c>
      <c r="Y707" s="49" t="s">
        <v>1649</v>
      </c>
      <c r="Z707" s="49" t="s">
        <v>746</v>
      </c>
      <c r="AA707" s="61">
        <v>0.57999999999999996</v>
      </c>
      <c r="AB707" s="48" t="s">
        <v>9704</v>
      </c>
      <c r="AC707" s="62" t="s">
        <v>7182</v>
      </c>
      <c r="AD707" s="53" t="str">
        <f t="shared" ref="AD707:AD710" si="518">HYPERLINK("http://www.career.unm.edu/students-alumni/majors--careers.html","Link")</f>
        <v>Link</v>
      </c>
      <c r="AE707" s="54">
        <v>21023</v>
      </c>
      <c r="AF707" s="54">
        <v>192</v>
      </c>
      <c r="AG707" s="85"/>
      <c r="AH707" s="56">
        <v>187985</v>
      </c>
      <c r="AI707" s="7"/>
      <c r="AJ707" s="7"/>
    </row>
    <row r="708" spans="1:36" ht="15" x14ac:dyDescent="0.2">
      <c r="A708" s="43" t="s">
        <v>9449</v>
      </c>
      <c r="B708" s="33" t="s">
        <v>7198</v>
      </c>
      <c r="C708" s="7" t="s">
        <v>67</v>
      </c>
      <c r="D708" s="7" t="s">
        <v>9714</v>
      </c>
      <c r="E708" s="44">
        <v>5</v>
      </c>
      <c r="F708" s="7"/>
      <c r="G708" s="7"/>
      <c r="H708" s="2" t="s">
        <v>9694</v>
      </c>
      <c r="I708" s="7" t="s">
        <v>7130</v>
      </c>
      <c r="J708" s="7" t="s">
        <v>9715</v>
      </c>
      <c r="K708" s="7" t="s">
        <v>55</v>
      </c>
      <c r="L708" s="7" t="s">
        <v>9716</v>
      </c>
      <c r="M708" s="7"/>
      <c r="N708" s="45" t="str">
        <f t="shared" si="516"/>
        <v>@unmlobosb</v>
      </c>
      <c r="O708" s="74" t="str">
        <f t="shared" si="517"/>
        <v>Questionnaire</v>
      </c>
      <c r="P708" s="48" t="s">
        <v>7182</v>
      </c>
      <c r="Q708" s="47" t="s">
        <v>7198</v>
      </c>
      <c r="R708" s="48" t="s">
        <v>9701</v>
      </c>
      <c r="S708" s="48" t="s">
        <v>354</v>
      </c>
      <c r="T708" s="49" t="s">
        <v>74</v>
      </c>
      <c r="U708" s="7" t="s">
        <v>75</v>
      </c>
      <c r="V708" s="49"/>
      <c r="W708" s="50">
        <v>3.38</v>
      </c>
      <c r="X708" s="49" t="s">
        <v>2310</v>
      </c>
      <c r="Y708" s="49" t="s">
        <v>1649</v>
      </c>
      <c r="Z708" s="49" t="s">
        <v>746</v>
      </c>
      <c r="AA708" s="61">
        <v>0.57999999999999996</v>
      </c>
      <c r="AB708" s="48" t="s">
        <v>9704</v>
      </c>
      <c r="AC708" s="62" t="s">
        <v>7182</v>
      </c>
      <c r="AD708" s="53" t="str">
        <f t="shared" si="518"/>
        <v>Link</v>
      </c>
      <c r="AE708" s="54">
        <v>21023</v>
      </c>
      <c r="AF708" s="54">
        <v>192</v>
      </c>
      <c r="AG708" s="85"/>
      <c r="AH708" s="56">
        <v>187985</v>
      </c>
      <c r="AI708" s="7"/>
      <c r="AJ708" s="7"/>
    </row>
    <row r="709" spans="1:36" ht="15" x14ac:dyDescent="0.2">
      <c r="A709" s="43" t="s">
        <v>9449</v>
      </c>
      <c r="B709" s="33" t="s">
        <v>7198</v>
      </c>
      <c r="C709" s="7" t="s">
        <v>67</v>
      </c>
      <c r="D709" s="7" t="s">
        <v>9725</v>
      </c>
      <c r="E709" s="44">
        <v>5</v>
      </c>
      <c r="F709" s="7"/>
      <c r="G709" s="7"/>
      <c r="H709" s="2" t="s">
        <v>9694</v>
      </c>
      <c r="I709" s="7" t="s">
        <v>9726</v>
      </c>
      <c r="J709" s="7" t="s">
        <v>1792</v>
      </c>
      <c r="K709" s="7" t="s">
        <v>55</v>
      </c>
      <c r="L709" s="7" t="s">
        <v>9727</v>
      </c>
      <c r="M709" s="7" t="s">
        <v>9728</v>
      </c>
      <c r="N709" s="45" t="str">
        <f t="shared" si="516"/>
        <v>@unmlobosb</v>
      </c>
      <c r="O709" s="74" t="str">
        <f t="shared" si="517"/>
        <v>Questionnaire</v>
      </c>
      <c r="P709" s="48" t="s">
        <v>7182</v>
      </c>
      <c r="Q709" s="47" t="s">
        <v>7198</v>
      </c>
      <c r="R709" s="48" t="s">
        <v>9701</v>
      </c>
      <c r="S709" s="48" t="s">
        <v>354</v>
      </c>
      <c r="T709" s="49" t="s">
        <v>74</v>
      </c>
      <c r="U709" s="7" t="s">
        <v>75</v>
      </c>
      <c r="V709" s="49"/>
      <c r="W709" s="61">
        <v>3.38</v>
      </c>
      <c r="X709" s="49" t="s">
        <v>2310</v>
      </c>
      <c r="Y709" s="49" t="s">
        <v>1649</v>
      </c>
      <c r="Z709" s="49" t="s">
        <v>746</v>
      </c>
      <c r="AA709" s="61">
        <v>0.57999999999999996</v>
      </c>
      <c r="AB709" s="48" t="s">
        <v>9704</v>
      </c>
      <c r="AC709" s="62" t="s">
        <v>7182</v>
      </c>
      <c r="AD709" s="53" t="str">
        <f t="shared" si="518"/>
        <v>Link</v>
      </c>
      <c r="AE709" s="54">
        <v>21023</v>
      </c>
      <c r="AF709" s="54">
        <v>192</v>
      </c>
      <c r="AG709" s="85"/>
      <c r="AH709" s="56">
        <v>187985</v>
      </c>
      <c r="AI709" s="7"/>
      <c r="AJ709" s="7"/>
    </row>
    <row r="710" spans="1:36" ht="15" x14ac:dyDescent="0.2">
      <c r="A710" s="43" t="s">
        <v>9449</v>
      </c>
      <c r="B710" s="33" t="s">
        <v>7198</v>
      </c>
      <c r="C710" s="7" t="s">
        <v>67</v>
      </c>
      <c r="D710" s="7" t="s">
        <v>9731</v>
      </c>
      <c r="E710" s="44">
        <v>5</v>
      </c>
      <c r="F710" s="7"/>
      <c r="G710" s="7"/>
      <c r="H710" s="2" t="s">
        <v>9694</v>
      </c>
      <c r="I710" s="7" t="s">
        <v>9726</v>
      </c>
      <c r="J710" s="7" t="s">
        <v>1792</v>
      </c>
      <c r="K710" s="7" t="s">
        <v>55</v>
      </c>
      <c r="L710" s="7" t="s">
        <v>9727</v>
      </c>
      <c r="M710" s="7" t="s">
        <v>9734</v>
      </c>
      <c r="N710" s="7"/>
      <c r="O710" s="7"/>
      <c r="P710" s="48" t="s">
        <v>7182</v>
      </c>
      <c r="Q710" s="47" t="s">
        <v>7198</v>
      </c>
      <c r="R710" s="48" t="s">
        <v>9701</v>
      </c>
      <c r="S710" s="48" t="s">
        <v>354</v>
      </c>
      <c r="T710" s="49" t="s">
        <v>74</v>
      </c>
      <c r="U710" s="48" t="s">
        <v>75</v>
      </c>
      <c r="V710" s="49"/>
      <c r="W710" s="61">
        <v>3.38</v>
      </c>
      <c r="X710" s="49" t="s">
        <v>2310</v>
      </c>
      <c r="Y710" s="49" t="s">
        <v>1649</v>
      </c>
      <c r="Z710" s="49" t="s">
        <v>746</v>
      </c>
      <c r="AA710" s="61">
        <v>0.57999999999999996</v>
      </c>
      <c r="AB710" s="48" t="s">
        <v>9704</v>
      </c>
      <c r="AC710" s="62" t="s">
        <v>7182</v>
      </c>
      <c r="AD710" s="53" t="str">
        <f t="shared" si="518"/>
        <v>Link</v>
      </c>
      <c r="AE710" s="54">
        <v>21023</v>
      </c>
      <c r="AF710" s="54">
        <v>192</v>
      </c>
      <c r="AG710" s="85"/>
      <c r="AH710" s="56">
        <v>187985</v>
      </c>
      <c r="AI710" s="85"/>
      <c r="AJ710" s="85"/>
    </row>
    <row r="711" spans="1:36" ht="15" x14ac:dyDescent="0.2">
      <c r="A711" s="43" t="s">
        <v>9449</v>
      </c>
      <c r="B711" s="33" t="s">
        <v>312</v>
      </c>
      <c r="C711" s="7" t="s">
        <v>67</v>
      </c>
      <c r="D711" s="7" t="s">
        <v>9736</v>
      </c>
      <c r="E711" s="44">
        <v>5</v>
      </c>
      <c r="F711" s="7"/>
      <c r="G711" s="7"/>
      <c r="H711" s="2" t="s">
        <v>9737</v>
      </c>
      <c r="I711" s="7" t="s">
        <v>1827</v>
      </c>
      <c r="J711" s="7" t="s">
        <v>9738</v>
      </c>
      <c r="K711" s="7" t="s">
        <v>48</v>
      </c>
      <c r="L711" s="7" t="s">
        <v>9739</v>
      </c>
      <c r="M711" s="7" t="s">
        <v>9740</v>
      </c>
      <c r="N711" s="45" t="str">
        <f t="shared" ref="N711:N714" si="519">HYPERLINK("twitter.com/aztecsoftball","@aztecsoftball")</f>
        <v>@aztecsoftball</v>
      </c>
      <c r="O711" s="7" t="s">
        <v>22</v>
      </c>
      <c r="P711" s="48" t="s">
        <v>9743</v>
      </c>
      <c r="Q711" s="47" t="s">
        <v>312</v>
      </c>
      <c r="R711" s="48" t="s">
        <v>1547</v>
      </c>
      <c r="S711" s="48" t="s">
        <v>288</v>
      </c>
      <c r="T711" s="49" t="s">
        <v>74</v>
      </c>
      <c r="U711" s="7" t="s">
        <v>75</v>
      </c>
      <c r="V711" s="49"/>
      <c r="W711" s="50">
        <v>3.69</v>
      </c>
      <c r="X711" s="49" t="s">
        <v>676</v>
      </c>
      <c r="Y711" s="49" t="s">
        <v>1723</v>
      </c>
      <c r="Z711" s="49" t="s">
        <v>78</v>
      </c>
      <c r="AA711" s="61">
        <v>0.35</v>
      </c>
      <c r="AB711" s="48" t="s">
        <v>9745</v>
      </c>
      <c r="AC711" s="52" t="s">
        <v>9743</v>
      </c>
      <c r="AD711" s="53" t="str">
        <f t="shared" ref="AD711:AD714" si="520">HYPERLINK("http://arweb.sdsu.edu/es/admissions/majors.html","Link")</f>
        <v>Link</v>
      </c>
      <c r="AE711" s="54">
        <v>29860</v>
      </c>
      <c r="AF711" s="54">
        <v>140</v>
      </c>
      <c r="AG711" s="85"/>
      <c r="AH711" s="56">
        <v>122409</v>
      </c>
      <c r="AI711" s="7"/>
      <c r="AJ711" s="7"/>
    </row>
    <row r="712" spans="1:36" ht="15" x14ac:dyDescent="0.2">
      <c r="A712" s="43" t="s">
        <v>9449</v>
      </c>
      <c r="B712" s="33" t="s">
        <v>312</v>
      </c>
      <c r="C712" s="7" t="s">
        <v>67</v>
      </c>
      <c r="D712" s="7" t="s">
        <v>9751</v>
      </c>
      <c r="E712" s="44">
        <v>5</v>
      </c>
      <c r="F712" s="7"/>
      <c r="G712" s="7"/>
      <c r="H712" s="2" t="s">
        <v>9737</v>
      </c>
      <c r="I712" s="7" t="s">
        <v>3088</v>
      </c>
      <c r="J712" s="7" t="s">
        <v>9753</v>
      </c>
      <c r="K712" s="7" t="s">
        <v>55</v>
      </c>
      <c r="L712" s="7" t="s">
        <v>9754</v>
      </c>
      <c r="M712" s="7" t="s">
        <v>9755</v>
      </c>
      <c r="N712" s="45" t="str">
        <f t="shared" si="519"/>
        <v>@aztecsoftball</v>
      </c>
      <c r="O712" s="7" t="s">
        <v>22</v>
      </c>
      <c r="P712" s="48" t="s">
        <v>9743</v>
      </c>
      <c r="Q712" s="47" t="s">
        <v>312</v>
      </c>
      <c r="R712" s="48" t="s">
        <v>1547</v>
      </c>
      <c r="S712" s="48" t="s">
        <v>288</v>
      </c>
      <c r="T712" s="49" t="s">
        <v>74</v>
      </c>
      <c r="U712" s="7" t="s">
        <v>75</v>
      </c>
      <c r="V712" s="49"/>
      <c r="W712" s="50">
        <v>3.69</v>
      </c>
      <c r="X712" s="49" t="s">
        <v>676</v>
      </c>
      <c r="Y712" s="49" t="s">
        <v>1723</v>
      </c>
      <c r="Z712" s="49" t="s">
        <v>78</v>
      </c>
      <c r="AA712" s="61">
        <v>0.35</v>
      </c>
      <c r="AB712" s="48" t="s">
        <v>9745</v>
      </c>
      <c r="AC712" s="52" t="s">
        <v>9743</v>
      </c>
      <c r="AD712" s="53" t="str">
        <f t="shared" si="520"/>
        <v>Link</v>
      </c>
      <c r="AE712" s="54">
        <v>29860</v>
      </c>
      <c r="AF712" s="54">
        <v>140</v>
      </c>
      <c r="AG712" s="85"/>
      <c r="AH712" s="56">
        <v>122409</v>
      </c>
      <c r="AI712" s="7"/>
      <c r="AJ712" s="7"/>
    </row>
    <row r="713" spans="1:36" ht="15" x14ac:dyDescent="0.2">
      <c r="A713" s="43" t="s">
        <v>9449</v>
      </c>
      <c r="B713" s="33" t="s">
        <v>312</v>
      </c>
      <c r="C713" s="7" t="s">
        <v>67</v>
      </c>
      <c r="D713" s="7" t="s">
        <v>9762</v>
      </c>
      <c r="E713" s="44">
        <v>5</v>
      </c>
      <c r="F713" s="7"/>
      <c r="G713" s="7"/>
      <c r="H713" s="2" t="s">
        <v>9737</v>
      </c>
      <c r="I713" s="7" t="s">
        <v>4644</v>
      </c>
      <c r="J713" s="7" t="s">
        <v>9764</v>
      </c>
      <c r="K713" s="7" t="s">
        <v>55</v>
      </c>
      <c r="L713" s="7" t="s">
        <v>9739</v>
      </c>
      <c r="M713" s="7" t="s">
        <v>9766</v>
      </c>
      <c r="N713" s="45" t="str">
        <f t="shared" si="519"/>
        <v>@aztecsoftball</v>
      </c>
      <c r="O713" s="7" t="s">
        <v>22</v>
      </c>
      <c r="P713" s="48" t="s">
        <v>9743</v>
      </c>
      <c r="Q713" s="47" t="s">
        <v>312</v>
      </c>
      <c r="R713" s="48" t="s">
        <v>1547</v>
      </c>
      <c r="S713" s="48" t="s">
        <v>288</v>
      </c>
      <c r="T713" s="49" t="s">
        <v>74</v>
      </c>
      <c r="U713" s="7" t="s">
        <v>75</v>
      </c>
      <c r="V713" s="49"/>
      <c r="W713" s="50">
        <v>3.69</v>
      </c>
      <c r="X713" s="49" t="s">
        <v>676</v>
      </c>
      <c r="Y713" s="49" t="s">
        <v>1723</v>
      </c>
      <c r="Z713" s="49" t="s">
        <v>78</v>
      </c>
      <c r="AA713" s="61">
        <v>0.35</v>
      </c>
      <c r="AB713" s="48" t="s">
        <v>9745</v>
      </c>
      <c r="AC713" s="52" t="s">
        <v>9743</v>
      </c>
      <c r="AD713" s="53" t="str">
        <f t="shared" si="520"/>
        <v>Link</v>
      </c>
      <c r="AE713" s="54">
        <v>29860</v>
      </c>
      <c r="AF713" s="54">
        <v>140</v>
      </c>
      <c r="AG713" s="85"/>
      <c r="AH713" s="56">
        <v>122409</v>
      </c>
      <c r="AI713" s="7"/>
      <c r="AJ713" s="7"/>
    </row>
    <row r="714" spans="1:36" ht="15" x14ac:dyDescent="0.2">
      <c r="A714" s="43" t="s">
        <v>9449</v>
      </c>
      <c r="B714" s="33" t="s">
        <v>312</v>
      </c>
      <c r="C714" s="7" t="s">
        <v>67</v>
      </c>
      <c r="D714" s="7" t="s">
        <v>9775</v>
      </c>
      <c r="E714" s="44">
        <v>5</v>
      </c>
      <c r="F714" s="7"/>
      <c r="G714" s="7"/>
      <c r="H714" s="2" t="s">
        <v>9737</v>
      </c>
      <c r="I714" s="7" t="s">
        <v>9776</v>
      </c>
      <c r="J714" s="7" t="s">
        <v>7518</v>
      </c>
      <c r="K714" s="7" t="s">
        <v>139</v>
      </c>
      <c r="L714" s="7"/>
      <c r="M714" s="7"/>
      <c r="N714" s="69" t="str">
        <f t="shared" si="519"/>
        <v>@aztecsoftball</v>
      </c>
      <c r="O714" s="7" t="s">
        <v>22</v>
      </c>
      <c r="P714" s="48" t="s">
        <v>9743</v>
      </c>
      <c r="Q714" s="47" t="s">
        <v>312</v>
      </c>
      <c r="R714" s="48" t="s">
        <v>1547</v>
      </c>
      <c r="S714" s="48" t="s">
        <v>288</v>
      </c>
      <c r="T714" s="49" t="s">
        <v>74</v>
      </c>
      <c r="U714" s="7" t="s">
        <v>75</v>
      </c>
      <c r="V714" s="49"/>
      <c r="W714" s="50">
        <v>3.69</v>
      </c>
      <c r="X714" s="49" t="s">
        <v>676</v>
      </c>
      <c r="Y714" s="49" t="s">
        <v>1723</v>
      </c>
      <c r="Z714" s="49" t="s">
        <v>78</v>
      </c>
      <c r="AA714" s="61">
        <v>0.35</v>
      </c>
      <c r="AB714" s="48" t="s">
        <v>9745</v>
      </c>
      <c r="AC714" s="52" t="s">
        <v>9743</v>
      </c>
      <c r="AD714" s="53" t="str">
        <f t="shared" si="520"/>
        <v>Link</v>
      </c>
      <c r="AE714" s="54">
        <v>29860</v>
      </c>
      <c r="AF714" s="54">
        <v>140</v>
      </c>
      <c r="AG714" s="85"/>
      <c r="AH714" s="56">
        <v>122409</v>
      </c>
      <c r="AI714" s="7"/>
      <c r="AJ714" s="7"/>
    </row>
    <row r="715" spans="1:36" ht="15" x14ac:dyDescent="0.2">
      <c r="A715" s="43" t="s">
        <v>9449</v>
      </c>
      <c r="B715" s="33" t="s">
        <v>312</v>
      </c>
      <c r="C715" s="7" t="s">
        <v>67</v>
      </c>
      <c r="D715" s="7" t="s">
        <v>9783</v>
      </c>
      <c r="E715" s="44">
        <v>5</v>
      </c>
      <c r="F715" s="7"/>
      <c r="G715" s="7"/>
      <c r="H715" s="2" t="s">
        <v>9784</v>
      </c>
      <c r="I715" s="7" t="s">
        <v>2054</v>
      </c>
      <c r="J715" s="7" t="s">
        <v>323</v>
      </c>
      <c r="K715" s="7" t="s">
        <v>48</v>
      </c>
      <c r="L715" s="7" t="s">
        <v>9789</v>
      </c>
      <c r="M715" s="7" t="s">
        <v>9791</v>
      </c>
      <c r="N715" s="45" t="str">
        <f t="shared" ref="N715:N718" si="521">HYPERLINK("twitter.com/sanjosestatesb","@sanjosestatesb")</f>
        <v>@sanjosestatesb</v>
      </c>
      <c r="O715" s="74" t="str">
        <f t="shared" ref="O715:O718" si="522">HYPERLINK("https://sjsuspartans.com/news/2001/6/28/Prospective_Student_Athlete_Questionnaire.aspx","Questionnaire")</f>
        <v>Questionnaire</v>
      </c>
      <c r="P715" s="48" t="s">
        <v>9805</v>
      </c>
      <c r="Q715" s="47" t="s">
        <v>312</v>
      </c>
      <c r="R715" s="48" t="s">
        <v>9806</v>
      </c>
      <c r="S715" s="48" t="s">
        <v>288</v>
      </c>
      <c r="T715" s="49" t="s">
        <v>74</v>
      </c>
      <c r="U715" s="7" t="s">
        <v>75</v>
      </c>
      <c r="V715" s="49"/>
      <c r="W715" s="50">
        <v>3.4</v>
      </c>
      <c r="X715" s="49" t="s">
        <v>356</v>
      </c>
      <c r="Y715" s="49" t="s">
        <v>1648</v>
      </c>
      <c r="Z715" s="49" t="s">
        <v>1994</v>
      </c>
      <c r="AA715" s="61">
        <v>0.53</v>
      </c>
      <c r="AB715" s="48" t="s">
        <v>9807</v>
      </c>
      <c r="AC715" s="62" t="s">
        <v>9805</v>
      </c>
      <c r="AD715" s="53" t="str">
        <f t="shared" ref="AD715:AD718" si="523">HYPERLINK("http://info.sjsu.edu/web-dbgen/catalog/degrees/all-degrees.html","Link")</f>
        <v>Link</v>
      </c>
      <c r="AE715" s="54">
        <v>26432</v>
      </c>
      <c r="AF715" s="55"/>
      <c r="AG715" s="85"/>
      <c r="AH715" s="56">
        <v>122755</v>
      </c>
      <c r="AI715" s="7"/>
      <c r="AJ715" s="7"/>
    </row>
    <row r="716" spans="1:36" ht="15" x14ac:dyDescent="0.2">
      <c r="A716" s="43" t="s">
        <v>9449</v>
      </c>
      <c r="B716" s="33" t="s">
        <v>312</v>
      </c>
      <c r="C716" s="7" t="s">
        <v>67</v>
      </c>
      <c r="D716" s="7" t="s">
        <v>9810</v>
      </c>
      <c r="E716" s="44">
        <v>5</v>
      </c>
      <c r="F716" s="7"/>
      <c r="G716" s="7"/>
      <c r="H716" s="2" t="s">
        <v>9784</v>
      </c>
      <c r="I716" s="7" t="s">
        <v>481</v>
      </c>
      <c r="J716" s="7" t="s">
        <v>9811</v>
      </c>
      <c r="K716" s="7" t="s">
        <v>154</v>
      </c>
      <c r="L716" s="7" t="s">
        <v>9813</v>
      </c>
      <c r="M716" s="7"/>
      <c r="N716" s="45" t="str">
        <f t="shared" si="521"/>
        <v>@sanjosestatesb</v>
      </c>
      <c r="O716" s="74" t="str">
        <f t="shared" si="522"/>
        <v>Questionnaire</v>
      </c>
      <c r="P716" s="48" t="s">
        <v>9805</v>
      </c>
      <c r="Q716" s="47" t="s">
        <v>312</v>
      </c>
      <c r="R716" s="48" t="s">
        <v>9806</v>
      </c>
      <c r="S716" s="48" t="s">
        <v>288</v>
      </c>
      <c r="T716" s="49" t="s">
        <v>74</v>
      </c>
      <c r="U716" s="7" t="s">
        <v>75</v>
      </c>
      <c r="V716" s="49"/>
      <c r="W716" s="50">
        <v>3.4</v>
      </c>
      <c r="X716" s="49" t="s">
        <v>356</v>
      </c>
      <c r="Y716" s="49" t="s">
        <v>1648</v>
      </c>
      <c r="Z716" s="49" t="s">
        <v>1994</v>
      </c>
      <c r="AA716" s="61">
        <v>0.53</v>
      </c>
      <c r="AB716" s="48" t="s">
        <v>9807</v>
      </c>
      <c r="AC716" s="62" t="s">
        <v>9805</v>
      </c>
      <c r="AD716" s="53" t="str">
        <f t="shared" si="523"/>
        <v>Link</v>
      </c>
      <c r="AE716" s="54">
        <v>26432</v>
      </c>
      <c r="AF716" s="55"/>
      <c r="AG716" s="85"/>
      <c r="AH716" s="56">
        <v>122755</v>
      </c>
      <c r="AI716" s="7"/>
      <c r="AJ716" s="7"/>
    </row>
    <row r="717" spans="1:36" ht="15" x14ac:dyDescent="0.2">
      <c r="A717" s="43" t="s">
        <v>9449</v>
      </c>
      <c r="B717" s="33" t="s">
        <v>312</v>
      </c>
      <c r="C717" s="7" t="s">
        <v>67</v>
      </c>
      <c r="D717" s="7" t="s">
        <v>9822</v>
      </c>
      <c r="E717" s="44">
        <v>5</v>
      </c>
      <c r="F717" s="7"/>
      <c r="G717" s="7"/>
      <c r="H717" s="2" t="s">
        <v>9784</v>
      </c>
      <c r="I717" s="7" t="s">
        <v>9823</v>
      </c>
      <c r="J717" s="7" t="s">
        <v>323</v>
      </c>
      <c r="K717" s="7" t="s">
        <v>55</v>
      </c>
      <c r="L717" s="7" t="s">
        <v>9824</v>
      </c>
      <c r="M717" s="7" t="s">
        <v>9825</v>
      </c>
      <c r="N717" s="69" t="str">
        <f t="shared" si="521"/>
        <v>@sanjosestatesb</v>
      </c>
      <c r="O717" s="70" t="str">
        <f t="shared" si="522"/>
        <v>Questionnaire</v>
      </c>
      <c r="P717" s="48" t="s">
        <v>9805</v>
      </c>
      <c r="Q717" s="47" t="s">
        <v>312</v>
      </c>
      <c r="R717" s="48" t="s">
        <v>9806</v>
      </c>
      <c r="S717" s="48" t="s">
        <v>288</v>
      </c>
      <c r="T717" s="49" t="s">
        <v>74</v>
      </c>
      <c r="U717" s="7" t="s">
        <v>75</v>
      </c>
      <c r="V717" s="49"/>
      <c r="W717" s="50">
        <v>3.4</v>
      </c>
      <c r="X717" s="49" t="s">
        <v>356</v>
      </c>
      <c r="Y717" s="49" t="s">
        <v>1648</v>
      </c>
      <c r="Z717" s="49" t="s">
        <v>1994</v>
      </c>
      <c r="AA717" s="61">
        <v>0.53</v>
      </c>
      <c r="AB717" s="48" t="s">
        <v>9807</v>
      </c>
      <c r="AC717" s="62" t="s">
        <v>9805</v>
      </c>
      <c r="AD717" s="53" t="str">
        <f t="shared" si="523"/>
        <v>Link</v>
      </c>
      <c r="AE717" s="54">
        <v>26432</v>
      </c>
      <c r="AF717" s="55"/>
      <c r="AG717" s="85"/>
      <c r="AH717" s="56">
        <v>122755</v>
      </c>
      <c r="AI717" s="7"/>
      <c r="AJ717" s="7"/>
    </row>
    <row r="718" spans="1:36" ht="15" x14ac:dyDescent="0.2">
      <c r="A718" s="43" t="s">
        <v>9449</v>
      </c>
      <c r="B718" s="33" t="s">
        <v>312</v>
      </c>
      <c r="C718" s="7" t="s">
        <v>67</v>
      </c>
      <c r="D718" s="7" t="s">
        <v>9834</v>
      </c>
      <c r="E718" s="44">
        <v>5</v>
      </c>
      <c r="F718" s="7"/>
      <c r="G718" s="7"/>
      <c r="H718" s="2" t="s">
        <v>9784</v>
      </c>
      <c r="I718" s="7" t="s">
        <v>111</v>
      </c>
      <c r="J718" s="7" t="s">
        <v>9835</v>
      </c>
      <c r="K718" s="7" t="s">
        <v>55</v>
      </c>
      <c r="L718" s="7" t="s">
        <v>9836</v>
      </c>
      <c r="M718" s="7"/>
      <c r="N718" s="69" t="str">
        <f t="shared" si="521"/>
        <v>@sanjosestatesb</v>
      </c>
      <c r="O718" s="70" t="str">
        <f t="shared" si="522"/>
        <v>Questionnaire</v>
      </c>
      <c r="P718" s="48" t="s">
        <v>9805</v>
      </c>
      <c r="Q718" s="47" t="s">
        <v>312</v>
      </c>
      <c r="R718" s="48" t="s">
        <v>9806</v>
      </c>
      <c r="S718" s="48" t="s">
        <v>288</v>
      </c>
      <c r="T718" s="49" t="s">
        <v>74</v>
      </c>
      <c r="U718" s="7" t="s">
        <v>75</v>
      </c>
      <c r="V718" s="49"/>
      <c r="W718" s="50">
        <v>3.4</v>
      </c>
      <c r="X718" s="49" t="s">
        <v>356</v>
      </c>
      <c r="Y718" s="49" t="s">
        <v>1648</v>
      </c>
      <c r="Z718" s="49" t="s">
        <v>1994</v>
      </c>
      <c r="AA718" s="61">
        <v>0.53</v>
      </c>
      <c r="AB718" s="48" t="s">
        <v>9807</v>
      </c>
      <c r="AC718" s="62" t="s">
        <v>9805</v>
      </c>
      <c r="AD718" s="53" t="str">
        <f t="shared" si="523"/>
        <v>Link</v>
      </c>
      <c r="AE718" s="54">
        <v>26432</v>
      </c>
      <c r="AF718" s="55"/>
      <c r="AG718" s="85"/>
      <c r="AH718" s="56">
        <v>122755</v>
      </c>
      <c r="AI718" s="7"/>
      <c r="AJ718" s="7"/>
    </row>
    <row r="719" spans="1:36" ht="13" x14ac:dyDescent="0.15">
      <c r="A719" s="64" t="s">
        <v>9449</v>
      </c>
      <c r="B719" s="2" t="s">
        <v>3719</v>
      </c>
      <c r="C719" s="7" t="s">
        <v>67</v>
      </c>
      <c r="D719" s="7" t="s">
        <v>9843</v>
      </c>
      <c r="E719" s="44">
        <v>5</v>
      </c>
      <c r="F719" s="7"/>
      <c r="G719" s="7"/>
      <c r="H719" s="2" t="s">
        <v>9844</v>
      </c>
      <c r="I719" s="7" t="s">
        <v>363</v>
      </c>
      <c r="J719" s="7" t="s">
        <v>263</v>
      </c>
      <c r="K719" s="7" t="s">
        <v>48</v>
      </c>
      <c r="L719" s="7" t="s">
        <v>9846</v>
      </c>
      <c r="M719" s="7"/>
      <c r="N719" s="69" t="str">
        <f t="shared" ref="N719:N720" si="524">HYPERLINK("twitter.com/USUSoftball","@USUSoftball")</f>
        <v>@USUSoftball</v>
      </c>
      <c r="O719" s="70" t="str">
        <f t="shared" ref="O719:O720" si="525">HYPERLINK("https://questionnaires.armssoftware.com/13c09b9defdd","Questionnaire")</f>
        <v>Questionnaire</v>
      </c>
      <c r="P719" s="48" t="s">
        <v>9854</v>
      </c>
      <c r="Q719" s="47" t="s">
        <v>3719</v>
      </c>
      <c r="R719" s="48" t="s">
        <v>6801</v>
      </c>
      <c r="S719" s="48" t="s">
        <v>186</v>
      </c>
      <c r="T719" s="49" t="s">
        <v>74</v>
      </c>
      <c r="U719" s="7" t="s">
        <v>75</v>
      </c>
      <c r="V719" s="49"/>
      <c r="W719" s="50">
        <v>3.51</v>
      </c>
      <c r="X719" s="49" t="s">
        <v>2853</v>
      </c>
      <c r="Y719" s="49" t="s">
        <v>2853</v>
      </c>
      <c r="Z719" s="49" t="s">
        <v>2190</v>
      </c>
      <c r="AA719" s="65">
        <v>0.9</v>
      </c>
      <c r="AB719" s="48" t="s">
        <v>9859</v>
      </c>
      <c r="AC719" s="66" t="s">
        <v>9854</v>
      </c>
      <c r="AD719" s="67" t="str">
        <f t="shared" ref="AD719:AD721" si="526">HYPERLINK("https://www.usu.edu/degrees/","Link")</f>
        <v>Link</v>
      </c>
      <c r="AE719" s="54">
        <v>24838</v>
      </c>
      <c r="AF719" s="56">
        <v>216</v>
      </c>
      <c r="AG719" s="85"/>
      <c r="AH719" s="56">
        <v>230728</v>
      </c>
      <c r="AI719" s="7"/>
      <c r="AJ719" s="7"/>
    </row>
    <row r="720" spans="1:36" ht="13" x14ac:dyDescent="0.15">
      <c r="A720" s="64" t="s">
        <v>9449</v>
      </c>
      <c r="B720" s="2" t="s">
        <v>3719</v>
      </c>
      <c r="C720" s="7" t="s">
        <v>67</v>
      </c>
      <c r="D720" s="7" t="s">
        <v>9867</v>
      </c>
      <c r="E720" s="44">
        <v>5</v>
      </c>
      <c r="F720" s="7"/>
      <c r="G720" s="7"/>
      <c r="H720" s="2" t="s">
        <v>9844</v>
      </c>
      <c r="I720" s="7" t="s">
        <v>161</v>
      </c>
      <c r="J720" s="7" t="s">
        <v>9868</v>
      </c>
      <c r="K720" s="7" t="s">
        <v>55</v>
      </c>
      <c r="L720" s="7" t="s">
        <v>9870</v>
      </c>
      <c r="M720" s="7"/>
      <c r="N720" s="69" t="str">
        <f t="shared" si="524"/>
        <v>@USUSoftball</v>
      </c>
      <c r="O720" s="70" t="str">
        <f t="shared" si="525"/>
        <v>Questionnaire</v>
      </c>
      <c r="P720" s="48" t="s">
        <v>9854</v>
      </c>
      <c r="Q720" s="47" t="s">
        <v>3719</v>
      </c>
      <c r="R720" s="48" t="s">
        <v>6801</v>
      </c>
      <c r="S720" s="48" t="s">
        <v>186</v>
      </c>
      <c r="T720" s="49" t="s">
        <v>74</v>
      </c>
      <c r="U720" s="7" t="s">
        <v>75</v>
      </c>
      <c r="V720" s="49"/>
      <c r="W720" s="50">
        <v>3.51</v>
      </c>
      <c r="X720" s="49" t="s">
        <v>2853</v>
      </c>
      <c r="Y720" s="49" t="s">
        <v>2853</v>
      </c>
      <c r="Z720" s="49" t="s">
        <v>2190</v>
      </c>
      <c r="AA720" s="65">
        <v>0.9</v>
      </c>
      <c r="AB720" s="48" t="s">
        <v>9859</v>
      </c>
      <c r="AC720" s="66" t="s">
        <v>9854</v>
      </c>
      <c r="AD720" s="67" t="str">
        <f t="shared" si="526"/>
        <v>Link</v>
      </c>
      <c r="AE720" s="54">
        <v>24838</v>
      </c>
      <c r="AF720" s="56">
        <v>216</v>
      </c>
      <c r="AG720" s="85"/>
      <c r="AH720" s="56">
        <v>230728</v>
      </c>
      <c r="AI720" s="7"/>
      <c r="AJ720" s="7"/>
    </row>
    <row r="721" spans="1:36" ht="13" x14ac:dyDescent="0.15">
      <c r="A721" s="64" t="s">
        <v>9449</v>
      </c>
      <c r="B721" s="2" t="s">
        <v>3719</v>
      </c>
      <c r="C721" s="7" t="s">
        <v>67</v>
      </c>
      <c r="D721" s="7" t="s">
        <v>9877</v>
      </c>
      <c r="E721" s="44">
        <v>5</v>
      </c>
      <c r="F721" s="7"/>
      <c r="G721" s="7"/>
      <c r="H721" s="2" t="s">
        <v>9844</v>
      </c>
      <c r="I721" s="7" t="s">
        <v>852</v>
      </c>
      <c r="J721" s="7" t="s">
        <v>4003</v>
      </c>
      <c r="K721" s="7" t="s">
        <v>55</v>
      </c>
      <c r="L721" s="7" t="s">
        <v>9880</v>
      </c>
      <c r="M721" s="7"/>
      <c r="N721" s="7"/>
      <c r="O721" s="7"/>
      <c r="P721" s="48" t="s">
        <v>9854</v>
      </c>
      <c r="Q721" s="47" t="s">
        <v>3719</v>
      </c>
      <c r="R721" s="48" t="s">
        <v>6801</v>
      </c>
      <c r="S721" s="48" t="s">
        <v>186</v>
      </c>
      <c r="T721" s="49" t="s">
        <v>74</v>
      </c>
      <c r="U721" s="48" t="s">
        <v>75</v>
      </c>
      <c r="V721" s="49"/>
      <c r="W721" s="61">
        <v>3.51</v>
      </c>
      <c r="X721" s="49" t="s">
        <v>2853</v>
      </c>
      <c r="Y721" s="49" t="s">
        <v>2853</v>
      </c>
      <c r="Z721" s="49" t="s">
        <v>2190</v>
      </c>
      <c r="AA721" s="65">
        <v>0.9</v>
      </c>
      <c r="AB721" s="48" t="s">
        <v>9859</v>
      </c>
      <c r="AC721" s="66" t="s">
        <v>9854</v>
      </c>
      <c r="AD721" s="67" t="str">
        <f t="shared" si="526"/>
        <v>Link</v>
      </c>
      <c r="AE721" s="54">
        <v>24838</v>
      </c>
      <c r="AF721" s="56">
        <v>216</v>
      </c>
      <c r="AG721" s="85"/>
      <c r="AH721" s="56">
        <v>230728</v>
      </c>
      <c r="AI721" s="85"/>
      <c r="AJ721" s="85"/>
    </row>
    <row r="722" spans="1:36" ht="15" x14ac:dyDescent="0.2">
      <c r="A722" s="43" t="s">
        <v>9884</v>
      </c>
      <c r="B722" s="57" t="s">
        <v>2123</v>
      </c>
      <c r="C722" s="7" t="s">
        <v>67</v>
      </c>
      <c r="D722" s="7" t="s">
        <v>9885</v>
      </c>
      <c r="E722" s="44">
        <v>5</v>
      </c>
      <c r="F722" s="7"/>
      <c r="G722" s="7"/>
      <c r="H722" s="2" t="s">
        <v>9886</v>
      </c>
      <c r="I722" s="7" t="s">
        <v>3444</v>
      </c>
      <c r="J722" s="7" t="s">
        <v>9888</v>
      </c>
      <c r="K722" s="7" t="s">
        <v>48</v>
      </c>
      <c r="L722" s="7" t="s">
        <v>9889</v>
      </c>
      <c r="M722" s="7" t="s">
        <v>9890</v>
      </c>
      <c r="N722" s="69" t="str">
        <f t="shared" ref="N722:N724" si="527">HYPERLINK("twitter.com/bryantsoftball","@bryantsoftball")</f>
        <v>@bryantsoftball</v>
      </c>
      <c r="O722" s="70" t="str">
        <f t="shared" ref="O722:O724" si="528">HYPERLINK("https://questionnaires.armssoftware.com/7ab3fa147cd1","Questionnaire")</f>
        <v>Questionnaire</v>
      </c>
      <c r="P722" s="7" t="s">
        <v>9894</v>
      </c>
      <c r="Q722" s="57" t="s">
        <v>2123</v>
      </c>
      <c r="R722" s="7" t="s">
        <v>9895</v>
      </c>
      <c r="S722" s="48" t="s">
        <v>172</v>
      </c>
      <c r="T722" s="73" t="s">
        <v>63</v>
      </c>
      <c r="U722" s="7" t="s">
        <v>75</v>
      </c>
      <c r="V722" s="7"/>
      <c r="W722" s="44">
        <v>3.45</v>
      </c>
      <c r="X722" s="7" t="s">
        <v>1406</v>
      </c>
      <c r="Y722" s="7" t="s">
        <v>9900</v>
      </c>
      <c r="Z722" s="7" t="s">
        <v>3287</v>
      </c>
      <c r="AA722" s="51">
        <v>0.67320000000000002</v>
      </c>
      <c r="AB722" s="71">
        <v>58637</v>
      </c>
      <c r="AC722" s="40" t="s">
        <v>9894</v>
      </c>
      <c r="AD722" s="74" t="str">
        <f t="shared" ref="AD722:AD724" si="529">HYPERLINK("https://www.bryant.edu/academics/undergraduate/courses-of-study/","Link")</f>
        <v>Link</v>
      </c>
      <c r="AE722" s="54">
        <v>3462</v>
      </c>
      <c r="AF722" s="55"/>
      <c r="AG722" s="7"/>
      <c r="AH722" s="56">
        <v>217165</v>
      </c>
    </row>
    <row r="723" spans="1:36" ht="15" x14ac:dyDescent="0.2">
      <c r="A723" s="43" t="s">
        <v>9884</v>
      </c>
      <c r="B723" s="57" t="s">
        <v>2123</v>
      </c>
      <c r="C723" s="7" t="s">
        <v>67</v>
      </c>
      <c r="D723" s="7" t="s">
        <v>9885</v>
      </c>
      <c r="E723" s="44">
        <v>5</v>
      </c>
      <c r="F723" s="7"/>
      <c r="G723" s="7"/>
      <c r="H723" s="2" t="s">
        <v>9886</v>
      </c>
      <c r="I723" s="7" t="s">
        <v>3444</v>
      </c>
      <c r="J723" s="7" t="s">
        <v>9888</v>
      </c>
      <c r="K723" s="7" t="s">
        <v>1048</v>
      </c>
      <c r="L723" s="7" t="s">
        <v>9901</v>
      </c>
      <c r="M723" s="7" t="s">
        <v>9890</v>
      </c>
      <c r="N723" s="69" t="str">
        <f t="shared" si="527"/>
        <v>@bryantsoftball</v>
      </c>
      <c r="O723" s="70" t="str">
        <f t="shared" si="528"/>
        <v>Questionnaire</v>
      </c>
      <c r="P723" s="7" t="s">
        <v>9894</v>
      </c>
      <c r="Q723" s="57" t="s">
        <v>2123</v>
      </c>
      <c r="R723" s="7" t="s">
        <v>9895</v>
      </c>
      <c r="S723" s="48" t="s">
        <v>172</v>
      </c>
      <c r="T723" s="73" t="s">
        <v>63</v>
      </c>
      <c r="U723" s="7" t="s">
        <v>75</v>
      </c>
      <c r="V723" s="7"/>
      <c r="W723" s="44">
        <v>3.45</v>
      </c>
      <c r="X723" s="7" t="s">
        <v>1406</v>
      </c>
      <c r="Y723" s="7" t="s">
        <v>9900</v>
      </c>
      <c r="Z723" s="7" t="s">
        <v>3287</v>
      </c>
      <c r="AA723" s="51">
        <v>0.67320000000000002</v>
      </c>
      <c r="AB723" s="71">
        <v>58637</v>
      </c>
      <c r="AC723" s="40" t="s">
        <v>9894</v>
      </c>
      <c r="AD723" s="74" t="str">
        <f t="shared" si="529"/>
        <v>Link</v>
      </c>
      <c r="AE723" s="54">
        <v>3462</v>
      </c>
      <c r="AF723" s="55"/>
      <c r="AG723" s="7"/>
      <c r="AH723" s="56">
        <v>217165</v>
      </c>
    </row>
    <row r="724" spans="1:36" ht="15" x14ac:dyDescent="0.2">
      <c r="A724" s="43" t="s">
        <v>9884</v>
      </c>
      <c r="B724" s="57" t="s">
        <v>2123</v>
      </c>
      <c r="C724" s="7" t="s">
        <v>67</v>
      </c>
      <c r="D724" s="7" t="s">
        <v>9910</v>
      </c>
      <c r="E724" s="44">
        <v>5</v>
      </c>
      <c r="F724" s="7"/>
      <c r="G724" s="7"/>
      <c r="H724" s="2" t="s">
        <v>9886</v>
      </c>
      <c r="I724" s="7" t="s">
        <v>9911</v>
      </c>
      <c r="J724" s="7" t="s">
        <v>9912</v>
      </c>
      <c r="K724" s="7" t="s">
        <v>55</v>
      </c>
      <c r="L724" s="7" t="s">
        <v>9913</v>
      </c>
      <c r="M724" s="7" t="s">
        <v>9890</v>
      </c>
      <c r="N724" s="69" t="str">
        <f t="shared" si="527"/>
        <v>@bryantsoftball</v>
      </c>
      <c r="O724" s="70" t="str">
        <f t="shared" si="528"/>
        <v>Questionnaire</v>
      </c>
      <c r="P724" s="7" t="s">
        <v>9894</v>
      </c>
      <c r="Q724" s="57" t="s">
        <v>2123</v>
      </c>
      <c r="R724" s="7" t="s">
        <v>9895</v>
      </c>
      <c r="S724" s="48" t="s">
        <v>172</v>
      </c>
      <c r="T724" s="73" t="s">
        <v>63</v>
      </c>
      <c r="U724" s="7" t="s">
        <v>75</v>
      </c>
      <c r="V724" s="7"/>
      <c r="W724" s="44">
        <v>3.45</v>
      </c>
      <c r="X724" s="7" t="s">
        <v>1406</v>
      </c>
      <c r="Y724" s="7" t="s">
        <v>9900</v>
      </c>
      <c r="Z724" s="7" t="s">
        <v>3287</v>
      </c>
      <c r="AA724" s="51">
        <v>0.67320000000000002</v>
      </c>
      <c r="AB724" s="71">
        <v>58637</v>
      </c>
      <c r="AC724" s="40" t="s">
        <v>9894</v>
      </c>
      <c r="AD724" s="74" t="str">
        <f t="shared" si="529"/>
        <v>Link</v>
      </c>
      <c r="AE724" s="54">
        <v>3462</v>
      </c>
      <c r="AF724" s="55"/>
      <c r="AG724" s="7"/>
      <c r="AH724" s="56">
        <v>217165</v>
      </c>
    </row>
    <row r="725" spans="1:36" ht="15" x14ac:dyDescent="0.2">
      <c r="A725" s="43" t="s">
        <v>9884</v>
      </c>
      <c r="B725" s="57" t="s">
        <v>158</v>
      </c>
      <c r="C725" s="7" t="s">
        <v>67</v>
      </c>
      <c r="D725" s="7" t="s">
        <v>9918</v>
      </c>
      <c r="E725" s="44">
        <v>5</v>
      </c>
      <c r="F725" s="7"/>
      <c r="G725" s="7"/>
      <c r="H725" s="2" t="s">
        <v>9920</v>
      </c>
      <c r="I725" s="7" t="s">
        <v>9921</v>
      </c>
      <c r="J725" s="7" t="s">
        <v>6824</v>
      </c>
      <c r="K725" s="7" t="s">
        <v>48</v>
      </c>
      <c r="L725" s="7" t="s">
        <v>9923</v>
      </c>
      <c r="M725" s="7" t="s">
        <v>9926</v>
      </c>
      <c r="N725" s="69" t="str">
        <f t="shared" ref="N725:N727" si="530">HYPERLINK("twitter.com/CCSUsoftball","@CCSUsoftball")</f>
        <v>@CCSUsoftball</v>
      </c>
      <c r="O725" s="70" t="str">
        <f t="shared" ref="O725:O727" si="531">HYPERLINK("http://www.ccsubluedevils.com/navbar-recruits","Questionnaire")</f>
        <v>Questionnaire</v>
      </c>
      <c r="P725" s="7" t="s">
        <v>9928</v>
      </c>
      <c r="Q725" s="57" t="s">
        <v>158</v>
      </c>
      <c r="R725" s="7" t="s">
        <v>9931</v>
      </c>
      <c r="S725" s="48" t="s">
        <v>186</v>
      </c>
      <c r="T725" s="49" t="s">
        <v>74</v>
      </c>
      <c r="U725" s="7" t="s">
        <v>75</v>
      </c>
      <c r="V725" s="7"/>
      <c r="W725" s="44">
        <v>3.07</v>
      </c>
      <c r="X725" s="7" t="s">
        <v>397</v>
      </c>
      <c r="Y725" s="7" t="s">
        <v>397</v>
      </c>
      <c r="Z725" s="7" t="s">
        <v>125</v>
      </c>
      <c r="AA725" s="51">
        <v>0.60009999999999997</v>
      </c>
      <c r="AB725" s="48" t="s">
        <v>9935</v>
      </c>
      <c r="AC725" s="40" t="s">
        <v>9928</v>
      </c>
      <c r="AD725" s="74" t="str">
        <f t="shared" ref="AD725:AD727" si="532">HYPERLINK("http://ccsu.smartcatalogiq.com/current/Undergraduate-Graduate-Catalog/Undergraduate-Majors","Link")</f>
        <v>Link</v>
      </c>
      <c r="AE725" s="54">
        <v>9538</v>
      </c>
      <c r="AF725" s="55"/>
      <c r="AG725" s="7"/>
      <c r="AH725" s="56">
        <v>128771</v>
      </c>
    </row>
    <row r="726" spans="1:36" ht="15" x14ac:dyDescent="0.2">
      <c r="A726" s="43" t="s">
        <v>9884</v>
      </c>
      <c r="B726" s="57" t="s">
        <v>158</v>
      </c>
      <c r="C726" s="7" t="s">
        <v>67</v>
      </c>
      <c r="D726" s="7" t="s">
        <v>9937</v>
      </c>
      <c r="E726" s="44">
        <v>5</v>
      </c>
      <c r="F726" s="7"/>
      <c r="G726" s="7"/>
      <c r="H726" s="2" t="s">
        <v>9920</v>
      </c>
      <c r="I726" s="7" t="s">
        <v>2608</v>
      </c>
      <c r="J726" s="7" t="s">
        <v>9939</v>
      </c>
      <c r="K726" s="7" t="s">
        <v>55</v>
      </c>
      <c r="L726" s="7" t="s">
        <v>9941</v>
      </c>
      <c r="M726" s="7" t="s">
        <v>9943</v>
      </c>
      <c r="N726" s="69" t="str">
        <f t="shared" si="530"/>
        <v>@CCSUsoftball</v>
      </c>
      <c r="O726" s="70" t="str">
        <f t="shared" si="531"/>
        <v>Questionnaire</v>
      </c>
      <c r="P726" s="7" t="s">
        <v>9928</v>
      </c>
      <c r="Q726" s="57" t="s">
        <v>158</v>
      </c>
      <c r="R726" s="7" t="s">
        <v>9931</v>
      </c>
      <c r="S726" s="48" t="s">
        <v>186</v>
      </c>
      <c r="T726" s="49" t="s">
        <v>74</v>
      </c>
      <c r="U726" s="7" t="s">
        <v>75</v>
      </c>
      <c r="V726" s="7"/>
      <c r="W726" s="44">
        <v>3.07</v>
      </c>
      <c r="X726" s="7" t="s">
        <v>397</v>
      </c>
      <c r="Y726" s="7" t="s">
        <v>397</v>
      </c>
      <c r="Z726" s="7" t="s">
        <v>125</v>
      </c>
      <c r="AA726" s="51">
        <v>0.60009999999999997</v>
      </c>
      <c r="AB726" s="48" t="s">
        <v>9935</v>
      </c>
      <c r="AC726" s="40" t="s">
        <v>9928</v>
      </c>
      <c r="AD726" s="74" t="str">
        <f t="shared" si="532"/>
        <v>Link</v>
      </c>
      <c r="AE726" s="54">
        <v>9538</v>
      </c>
      <c r="AF726" s="55"/>
      <c r="AG726" s="7"/>
      <c r="AH726" s="56">
        <v>128771</v>
      </c>
    </row>
    <row r="727" spans="1:36" ht="15" x14ac:dyDescent="0.2">
      <c r="A727" s="43" t="s">
        <v>9884</v>
      </c>
      <c r="B727" s="57" t="s">
        <v>158</v>
      </c>
      <c r="C727" s="7" t="s">
        <v>67</v>
      </c>
      <c r="D727" s="7" t="s">
        <v>9947</v>
      </c>
      <c r="E727" s="44">
        <v>5</v>
      </c>
      <c r="F727" s="7"/>
      <c r="G727" s="7"/>
      <c r="H727" s="2" t="s">
        <v>9920</v>
      </c>
      <c r="I727" s="7" t="s">
        <v>3966</v>
      </c>
      <c r="J727" s="7" t="s">
        <v>9948</v>
      </c>
      <c r="K727" s="7" t="s">
        <v>139</v>
      </c>
      <c r="L727" s="7"/>
      <c r="M727" s="7"/>
      <c r="N727" s="69" t="str">
        <f t="shared" si="530"/>
        <v>@CCSUsoftball</v>
      </c>
      <c r="O727" s="70" t="str">
        <f t="shared" si="531"/>
        <v>Questionnaire</v>
      </c>
      <c r="P727" s="7" t="s">
        <v>9928</v>
      </c>
      <c r="Q727" s="57" t="s">
        <v>158</v>
      </c>
      <c r="R727" s="7" t="s">
        <v>9931</v>
      </c>
      <c r="S727" s="48" t="s">
        <v>186</v>
      </c>
      <c r="T727" s="49" t="s">
        <v>74</v>
      </c>
      <c r="U727" s="7" t="s">
        <v>75</v>
      </c>
      <c r="V727" s="7"/>
      <c r="W727" s="44">
        <v>3.07</v>
      </c>
      <c r="X727" s="7" t="s">
        <v>397</v>
      </c>
      <c r="Y727" s="7" t="s">
        <v>397</v>
      </c>
      <c r="Z727" s="7" t="s">
        <v>125</v>
      </c>
      <c r="AA727" s="51">
        <v>0.60009999999999997</v>
      </c>
      <c r="AB727" s="48" t="s">
        <v>9935</v>
      </c>
      <c r="AC727" s="40" t="s">
        <v>9928</v>
      </c>
      <c r="AD727" s="74" t="str">
        <f t="shared" si="532"/>
        <v>Link</v>
      </c>
      <c r="AE727" s="54">
        <v>9538</v>
      </c>
      <c r="AF727" s="55"/>
      <c r="AG727" s="7"/>
      <c r="AH727" s="56">
        <v>128771</v>
      </c>
    </row>
    <row r="728" spans="1:36" ht="15" x14ac:dyDescent="0.2">
      <c r="A728" s="43" t="s">
        <v>9884</v>
      </c>
      <c r="B728" s="57" t="s">
        <v>3272</v>
      </c>
      <c r="C728" s="7" t="s">
        <v>67</v>
      </c>
      <c r="D728" s="7" t="s">
        <v>9953</v>
      </c>
      <c r="E728" s="44">
        <v>5</v>
      </c>
      <c r="F728" s="7"/>
      <c r="G728" s="7"/>
      <c r="H728" s="2" t="s">
        <v>9954</v>
      </c>
      <c r="I728" s="7" t="s">
        <v>1492</v>
      </c>
      <c r="J728" s="7" t="s">
        <v>9955</v>
      </c>
      <c r="K728" s="7" t="s">
        <v>48</v>
      </c>
      <c r="L728" s="7" t="s">
        <v>9956</v>
      </c>
      <c r="M728" s="7" t="s">
        <v>9957</v>
      </c>
      <c r="N728" s="69" t="str">
        <f t="shared" ref="N728:N730" si="533">HYPERLINK("twitter.com/fduknightssb","@fduknightssb")</f>
        <v>@fduknightssb</v>
      </c>
      <c r="O728" s="70" t="str">
        <f t="shared" ref="O728:O730" si="534">HYPERLINK("https://college.jumpforward.com/questionnaire.aspx?iid=475&amp;sportid=31","Questionnaire")</f>
        <v>Questionnaire</v>
      </c>
      <c r="P728" s="7" t="s">
        <v>9963</v>
      </c>
      <c r="Q728" s="57" t="s">
        <v>3272</v>
      </c>
      <c r="R728" s="7" t="s">
        <v>9964</v>
      </c>
      <c r="S728" s="48" t="s">
        <v>468</v>
      </c>
      <c r="T728" s="49" t="s">
        <v>63</v>
      </c>
      <c r="U728" s="7" t="s">
        <v>75</v>
      </c>
      <c r="V728" s="7"/>
      <c r="W728" s="44">
        <v>3.16</v>
      </c>
      <c r="X728" s="7" t="s">
        <v>253</v>
      </c>
      <c r="Y728" s="7" t="s">
        <v>1145</v>
      </c>
      <c r="Z728" s="7" t="s">
        <v>1948</v>
      </c>
      <c r="AA728" s="61">
        <v>0.77</v>
      </c>
      <c r="AB728" s="71">
        <v>55072</v>
      </c>
      <c r="AC728" s="78" t="s">
        <v>9963</v>
      </c>
      <c r="AD728" s="74" t="str">
        <f t="shared" ref="AD728:AD730" si="535">HYPERLINK("http://view2.fdu.edu/academics/undergraduate-and-graduate-studies/?degree=undergraduate&amp;campus=all&amp;topic=all","Link")</f>
        <v>Link</v>
      </c>
      <c r="AE728" s="54">
        <v>5357</v>
      </c>
      <c r="AF728" s="55"/>
      <c r="AG728" s="7"/>
      <c r="AH728" s="56">
        <v>184603</v>
      </c>
    </row>
    <row r="729" spans="1:36" ht="15" x14ac:dyDescent="0.2">
      <c r="A729" s="43" t="s">
        <v>9884</v>
      </c>
      <c r="B729" s="57" t="s">
        <v>3272</v>
      </c>
      <c r="C729" s="7" t="s">
        <v>67</v>
      </c>
      <c r="D729" s="7" t="s">
        <v>9968</v>
      </c>
      <c r="E729" s="44">
        <v>5</v>
      </c>
      <c r="F729" s="7"/>
      <c r="G729" s="7"/>
      <c r="H729" s="2" t="s">
        <v>9954</v>
      </c>
      <c r="I729" s="7" t="s">
        <v>2127</v>
      </c>
      <c r="J729" s="7" t="s">
        <v>9969</v>
      </c>
      <c r="K729" s="7" t="s">
        <v>55</v>
      </c>
      <c r="L729" s="7" t="s">
        <v>9970</v>
      </c>
      <c r="M729" s="7" t="s">
        <v>9957</v>
      </c>
      <c r="N729" s="69" t="str">
        <f t="shared" si="533"/>
        <v>@fduknightssb</v>
      </c>
      <c r="O729" s="70" t="str">
        <f t="shared" si="534"/>
        <v>Questionnaire</v>
      </c>
      <c r="P729" s="7" t="s">
        <v>9963</v>
      </c>
      <c r="Q729" s="57" t="s">
        <v>3272</v>
      </c>
      <c r="R729" s="7" t="s">
        <v>9964</v>
      </c>
      <c r="S729" s="48" t="s">
        <v>468</v>
      </c>
      <c r="T729" s="49" t="s">
        <v>63</v>
      </c>
      <c r="U729" s="7" t="s">
        <v>75</v>
      </c>
      <c r="V729" s="7"/>
      <c r="W729" s="44">
        <v>3.16</v>
      </c>
      <c r="X729" s="7" t="s">
        <v>253</v>
      </c>
      <c r="Y729" s="7" t="s">
        <v>1145</v>
      </c>
      <c r="Z729" s="7" t="s">
        <v>1948</v>
      </c>
      <c r="AA729" s="61">
        <v>0.77</v>
      </c>
      <c r="AB729" s="71">
        <v>55072</v>
      </c>
      <c r="AC729" s="78" t="s">
        <v>9963</v>
      </c>
      <c r="AD729" s="74" t="str">
        <f t="shared" si="535"/>
        <v>Link</v>
      </c>
      <c r="AE729" s="54">
        <v>5357</v>
      </c>
      <c r="AF729" s="55"/>
      <c r="AG729" s="7"/>
      <c r="AH729" s="56">
        <v>184603</v>
      </c>
    </row>
    <row r="730" spans="1:36" ht="15" x14ac:dyDescent="0.2">
      <c r="A730" s="43" t="s">
        <v>9884</v>
      </c>
      <c r="B730" s="57" t="s">
        <v>3272</v>
      </c>
      <c r="C730" s="7" t="s">
        <v>67</v>
      </c>
      <c r="D730" s="7" t="s">
        <v>9976</v>
      </c>
      <c r="E730" s="44">
        <v>5</v>
      </c>
      <c r="F730" s="7"/>
      <c r="G730" s="7"/>
      <c r="H730" s="2" t="s">
        <v>9954</v>
      </c>
      <c r="I730" s="7" t="s">
        <v>1589</v>
      </c>
      <c r="J730" s="7" t="s">
        <v>8488</v>
      </c>
      <c r="K730" s="7" t="s">
        <v>139</v>
      </c>
      <c r="L730" s="7"/>
      <c r="M730" s="7"/>
      <c r="N730" s="69" t="str">
        <f t="shared" si="533"/>
        <v>@fduknightssb</v>
      </c>
      <c r="O730" s="70" t="str">
        <f t="shared" si="534"/>
        <v>Questionnaire</v>
      </c>
      <c r="P730" s="7" t="s">
        <v>9963</v>
      </c>
      <c r="Q730" s="57" t="s">
        <v>3272</v>
      </c>
      <c r="R730" s="7" t="s">
        <v>9964</v>
      </c>
      <c r="S730" s="48" t="s">
        <v>468</v>
      </c>
      <c r="T730" s="49" t="s">
        <v>63</v>
      </c>
      <c r="U730" s="7" t="s">
        <v>75</v>
      </c>
      <c r="V730" s="7"/>
      <c r="W730" s="44">
        <v>3.16</v>
      </c>
      <c r="X730" s="7" t="s">
        <v>253</v>
      </c>
      <c r="Y730" s="7" t="s">
        <v>1145</v>
      </c>
      <c r="Z730" s="7" t="s">
        <v>1948</v>
      </c>
      <c r="AA730" s="61">
        <v>0.77</v>
      </c>
      <c r="AB730" s="71">
        <v>55072</v>
      </c>
      <c r="AC730" s="78" t="s">
        <v>9963</v>
      </c>
      <c r="AD730" s="74" t="str">
        <f t="shared" si="535"/>
        <v>Link</v>
      </c>
      <c r="AE730" s="54">
        <v>5357</v>
      </c>
      <c r="AF730" s="55"/>
      <c r="AG730" s="7"/>
      <c r="AH730" s="56">
        <v>184603</v>
      </c>
    </row>
    <row r="731" spans="1:36" ht="15" x14ac:dyDescent="0.2">
      <c r="A731" s="43" t="s">
        <v>9884</v>
      </c>
      <c r="B731" s="57" t="s">
        <v>1304</v>
      </c>
      <c r="C731" s="7" t="s">
        <v>67</v>
      </c>
      <c r="D731" s="7" t="s">
        <v>9978</v>
      </c>
      <c r="E731" s="44">
        <v>5</v>
      </c>
      <c r="F731" s="7"/>
      <c r="G731" s="7"/>
      <c r="H731" s="2" t="s">
        <v>7425</v>
      </c>
      <c r="I731" s="7" t="s">
        <v>1585</v>
      </c>
      <c r="J731" s="7" t="s">
        <v>9979</v>
      </c>
      <c r="K731" s="7" t="s">
        <v>48</v>
      </c>
      <c r="L731" s="7" t="s">
        <v>9980</v>
      </c>
      <c r="M731" s="7" t="s">
        <v>9981</v>
      </c>
      <c r="N731" s="7"/>
      <c r="O731" s="74" t="str">
        <f t="shared" ref="O731:O733" si="536">HYPERLINK("https://liuathletics.com/sb_output.aspx?form=3","Questionnaire")</f>
        <v>Questionnaire</v>
      </c>
      <c r="P731" s="7" t="s">
        <v>9989</v>
      </c>
      <c r="Q731" s="57" t="s">
        <v>1304</v>
      </c>
      <c r="R731" s="7" t="s">
        <v>1897</v>
      </c>
      <c r="S731" s="48" t="s">
        <v>288</v>
      </c>
      <c r="T731" s="73" t="s">
        <v>63</v>
      </c>
      <c r="U731" s="7" t="s">
        <v>75</v>
      </c>
      <c r="V731" s="7"/>
      <c r="W731" s="44">
        <v>2.98</v>
      </c>
      <c r="X731" s="7" t="s">
        <v>5268</v>
      </c>
      <c r="Y731" s="7" t="s">
        <v>4456</v>
      </c>
      <c r="Z731" s="7" t="s">
        <v>9990</v>
      </c>
      <c r="AA731" s="61">
        <v>0.88</v>
      </c>
      <c r="AB731" s="71">
        <v>54182</v>
      </c>
      <c r="AC731" s="78" t="s">
        <v>9989</v>
      </c>
      <c r="AD731" s="74" t="str">
        <f t="shared" ref="AD731:AD733" si="537">HYPERLINK("http://www.liu.edu/Brooklyn/Academics/Programs","Link")</f>
        <v>Link</v>
      </c>
      <c r="AE731" s="54">
        <v>4275</v>
      </c>
      <c r="AF731" s="55"/>
      <c r="AG731" s="7"/>
      <c r="AH731" s="56">
        <v>192439</v>
      </c>
    </row>
    <row r="732" spans="1:36" ht="15" x14ac:dyDescent="0.2">
      <c r="A732" s="43" t="s">
        <v>9884</v>
      </c>
      <c r="B732" s="57" t="s">
        <v>1304</v>
      </c>
      <c r="C732" s="7" t="s">
        <v>67</v>
      </c>
      <c r="D732" s="7" t="s">
        <v>9995</v>
      </c>
      <c r="E732" s="44">
        <v>5</v>
      </c>
      <c r="F732" s="7"/>
      <c r="G732" s="7"/>
      <c r="H732" s="2" t="s">
        <v>7425</v>
      </c>
      <c r="I732" s="7" t="s">
        <v>2806</v>
      </c>
      <c r="J732" s="7" t="s">
        <v>9996</v>
      </c>
      <c r="K732" s="7" t="s">
        <v>55</v>
      </c>
      <c r="L732" s="7" t="s">
        <v>9998</v>
      </c>
      <c r="M732" s="7" t="s">
        <v>9999</v>
      </c>
      <c r="N732" s="7"/>
      <c r="O732" s="74" t="str">
        <f t="shared" si="536"/>
        <v>Questionnaire</v>
      </c>
      <c r="P732" s="7" t="s">
        <v>9989</v>
      </c>
      <c r="Q732" s="57" t="s">
        <v>1304</v>
      </c>
      <c r="R732" s="7" t="s">
        <v>1897</v>
      </c>
      <c r="S732" s="48" t="s">
        <v>288</v>
      </c>
      <c r="T732" s="73" t="s">
        <v>63</v>
      </c>
      <c r="U732" s="7" t="s">
        <v>75</v>
      </c>
      <c r="V732" s="7"/>
      <c r="W732" s="44">
        <v>2.98</v>
      </c>
      <c r="X732" s="7" t="s">
        <v>5268</v>
      </c>
      <c r="Y732" s="7" t="s">
        <v>4456</v>
      </c>
      <c r="Z732" s="7" t="s">
        <v>9990</v>
      </c>
      <c r="AA732" s="61">
        <v>0.88</v>
      </c>
      <c r="AB732" s="71">
        <v>54182</v>
      </c>
      <c r="AC732" s="78" t="s">
        <v>9989</v>
      </c>
      <c r="AD732" s="74" t="str">
        <f t="shared" si="537"/>
        <v>Link</v>
      </c>
      <c r="AE732" s="54">
        <v>4275</v>
      </c>
      <c r="AF732" s="55"/>
      <c r="AG732" s="7"/>
      <c r="AH732" s="56">
        <v>192439</v>
      </c>
    </row>
    <row r="733" spans="1:36" ht="15" x14ac:dyDescent="0.2">
      <c r="A733" s="43" t="s">
        <v>9884</v>
      </c>
      <c r="B733" s="57" t="s">
        <v>1304</v>
      </c>
      <c r="C733" s="7" t="s">
        <v>67</v>
      </c>
      <c r="D733" s="7" t="s">
        <v>10002</v>
      </c>
      <c r="E733" s="44">
        <v>5</v>
      </c>
      <c r="F733" s="7"/>
      <c r="G733" s="7"/>
      <c r="H733" s="2" t="s">
        <v>7425</v>
      </c>
      <c r="I733" s="7" t="s">
        <v>369</v>
      </c>
      <c r="J733" s="7" t="s">
        <v>10007</v>
      </c>
      <c r="K733" s="7" t="s">
        <v>55</v>
      </c>
      <c r="L733" s="7" t="s">
        <v>10009</v>
      </c>
      <c r="M733" s="7" t="s">
        <v>10010</v>
      </c>
      <c r="N733" s="7"/>
      <c r="O733" s="74" t="str">
        <f t="shared" si="536"/>
        <v>Questionnaire</v>
      </c>
      <c r="P733" s="7" t="s">
        <v>9989</v>
      </c>
      <c r="Q733" s="57" t="s">
        <v>1304</v>
      </c>
      <c r="R733" s="7" t="s">
        <v>1897</v>
      </c>
      <c r="S733" s="48" t="s">
        <v>288</v>
      </c>
      <c r="T733" s="73" t="s">
        <v>63</v>
      </c>
      <c r="U733" s="7" t="s">
        <v>75</v>
      </c>
      <c r="V733" s="7"/>
      <c r="W733" s="44">
        <v>2.98</v>
      </c>
      <c r="X733" s="7" t="s">
        <v>5268</v>
      </c>
      <c r="Y733" s="7" t="s">
        <v>4456</v>
      </c>
      <c r="Z733" s="7" t="s">
        <v>9990</v>
      </c>
      <c r="AA733" s="61">
        <v>0.88</v>
      </c>
      <c r="AB733" s="71">
        <v>54182</v>
      </c>
      <c r="AC733" s="78" t="s">
        <v>9989</v>
      </c>
      <c r="AD733" s="74" t="str">
        <f t="shared" si="537"/>
        <v>Link</v>
      </c>
      <c r="AE733" s="54">
        <v>4275</v>
      </c>
      <c r="AF733" s="55"/>
      <c r="AG733" s="7"/>
      <c r="AH733" s="56">
        <v>192439</v>
      </c>
    </row>
    <row r="734" spans="1:36" ht="15" x14ac:dyDescent="0.2">
      <c r="A734" s="43" t="s">
        <v>9884</v>
      </c>
      <c r="B734" s="57" t="s">
        <v>1668</v>
      </c>
      <c r="C734" s="7" t="s">
        <v>67</v>
      </c>
      <c r="D734" s="7" t="s">
        <v>10013</v>
      </c>
      <c r="E734" s="44">
        <v>5</v>
      </c>
      <c r="F734" s="7"/>
      <c r="G734" s="7"/>
      <c r="H734" s="2" t="s">
        <v>9386</v>
      </c>
      <c r="I734" s="7" t="s">
        <v>8707</v>
      </c>
      <c r="J734" s="7" t="s">
        <v>10014</v>
      </c>
      <c r="K734" s="7" t="s">
        <v>48</v>
      </c>
      <c r="L734" s="7" t="s">
        <v>10016</v>
      </c>
      <c r="M734" s="7" t="s">
        <v>10017</v>
      </c>
      <c r="N734" s="45" t="str">
        <f t="shared" ref="N734:N735" si="538">HYPERLINK("twitter.com/mount_sb","@mount_sb")</f>
        <v>@mount_sb</v>
      </c>
      <c r="O734" s="74" t="str">
        <f t="shared" ref="O734:O735" si="539">HYPERLINK("https://www.mountathletics.com/sports/sball/Recruit_Questionnaire","Questionnaire")</f>
        <v>Questionnaire</v>
      </c>
      <c r="P734" s="7" t="s">
        <v>10023</v>
      </c>
      <c r="Q734" s="57" t="s">
        <v>1668</v>
      </c>
      <c r="R734" s="7" t="s">
        <v>10024</v>
      </c>
      <c r="S734" s="48" t="s">
        <v>205</v>
      </c>
      <c r="T734" s="49" t="s">
        <v>63</v>
      </c>
      <c r="U734" s="7" t="s">
        <v>10025</v>
      </c>
      <c r="V734" s="7"/>
      <c r="W734" s="44">
        <v>3.42</v>
      </c>
      <c r="X734" s="7" t="s">
        <v>2141</v>
      </c>
      <c r="Y734" s="7" t="s">
        <v>276</v>
      </c>
      <c r="Z734" s="7" t="s">
        <v>125</v>
      </c>
      <c r="AA734" s="61">
        <v>0.62</v>
      </c>
      <c r="AB734" s="71">
        <v>56080</v>
      </c>
      <c r="AC734" s="78" t="s">
        <v>10023</v>
      </c>
      <c r="AD734" s="74" t="str">
        <f t="shared" ref="AD734:AD735" si="540">HYPERLINK("http://msmary.edu/academics/majors-minors/","Link")</f>
        <v>Link</v>
      </c>
      <c r="AE734" s="54">
        <v>1729</v>
      </c>
      <c r="AF734" s="55"/>
      <c r="AG734" s="7"/>
      <c r="AH734" s="56">
        <v>193353</v>
      </c>
    </row>
    <row r="735" spans="1:36" ht="15" x14ac:dyDescent="0.2">
      <c r="A735" s="43" t="s">
        <v>9884</v>
      </c>
      <c r="B735" s="57" t="s">
        <v>1668</v>
      </c>
      <c r="C735" s="7" t="s">
        <v>67</v>
      </c>
      <c r="D735" s="7" t="s">
        <v>10032</v>
      </c>
      <c r="E735" s="44">
        <v>5</v>
      </c>
      <c r="F735" s="7"/>
      <c r="G735" s="7"/>
      <c r="H735" s="2" t="s">
        <v>9386</v>
      </c>
      <c r="I735" s="7" t="s">
        <v>442</v>
      </c>
      <c r="J735" s="7" t="s">
        <v>10033</v>
      </c>
      <c r="K735" s="7" t="s">
        <v>55</v>
      </c>
      <c r="L735" s="7" t="s">
        <v>10034</v>
      </c>
      <c r="M735" s="7"/>
      <c r="N735" s="69" t="str">
        <f t="shared" si="538"/>
        <v>@mount_sb</v>
      </c>
      <c r="O735" s="70" t="str">
        <f t="shared" si="539"/>
        <v>Questionnaire</v>
      </c>
      <c r="P735" s="7" t="s">
        <v>10023</v>
      </c>
      <c r="Q735" s="57" t="s">
        <v>1668</v>
      </c>
      <c r="R735" s="7" t="s">
        <v>10024</v>
      </c>
      <c r="S735" s="48" t="s">
        <v>205</v>
      </c>
      <c r="T735" s="49" t="s">
        <v>63</v>
      </c>
      <c r="U735" s="7" t="s">
        <v>10025</v>
      </c>
      <c r="V735" s="7"/>
      <c r="W735" s="44">
        <v>3.42</v>
      </c>
      <c r="X735" s="7" t="s">
        <v>2141</v>
      </c>
      <c r="Y735" s="7" t="s">
        <v>276</v>
      </c>
      <c r="Z735" s="7" t="s">
        <v>125</v>
      </c>
      <c r="AA735" s="61">
        <v>0.62</v>
      </c>
      <c r="AB735" s="71">
        <v>56080</v>
      </c>
      <c r="AC735" s="78" t="s">
        <v>10023</v>
      </c>
      <c r="AD735" s="74" t="str">
        <f t="shared" si="540"/>
        <v>Link</v>
      </c>
      <c r="AE735" s="54">
        <v>1729</v>
      </c>
      <c r="AF735" s="55"/>
      <c r="AG735" s="7"/>
      <c r="AH735" s="56">
        <v>193353</v>
      </c>
    </row>
    <row r="736" spans="1:36" ht="13" x14ac:dyDescent="0.15">
      <c r="A736" s="88" t="s">
        <v>9884</v>
      </c>
      <c r="B736" s="36" t="s">
        <v>1231</v>
      </c>
      <c r="C736" s="7" t="s">
        <v>67</v>
      </c>
      <c r="D736" s="7" t="s">
        <v>10041</v>
      </c>
      <c r="E736" s="44">
        <v>5</v>
      </c>
      <c r="F736" s="7"/>
      <c r="G736" s="7"/>
      <c r="H736" s="2" t="s">
        <v>10042</v>
      </c>
      <c r="I736" s="7" t="s">
        <v>10043</v>
      </c>
      <c r="J736" s="7" t="s">
        <v>10044</v>
      </c>
      <c r="K736" s="7" t="s">
        <v>48</v>
      </c>
      <c r="L736" s="7" t="s">
        <v>10045</v>
      </c>
      <c r="M736" s="7" t="s">
        <v>10046</v>
      </c>
      <c r="N736" s="69" t="str">
        <f t="shared" ref="N736:N737" si="541">HYPERLINK("twitter.com/rmusoftball","@rmusoftball")</f>
        <v>@rmusoftball</v>
      </c>
      <c r="O736" s="70" t="str">
        <f t="shared" ref="O736:O737" si="542">HYPERLINK("https://rmucolonials.com/sports/2007/5/17/488046646.aspx","Questionnaire")</f>
        <v>Questionnaire</v>
      </c>
      <c r="P736" s="7" t="s">
        <v>10060</v>
      </c>
      <c r="Q736" s="36" t="s">
        <v>1231</v>
      </c>
      <c r="R736" s="48" t="s">
        <v>1243</v>
      </c>
      <c r="S736" s="48" t="s">
        <v>354</v>
      </c>
      <c r="T736" s="4" t="s">
        <v>63</v>
      </c>
      <c r="U736" s="4" t="s">
        <v>75</v>
      </c>
      <c r="V736" s="2"/>
      <c r="W736" s="37">
        <v>3.46</v>
      </c>
      <c r="X736" s="2" t="s">
        <v>3013</v>
      </c>
      <c r="Y736" s="2" t="s">
        <v>2341</v>
      </c>
      <c r="Z736" s="4" t="s">
        <v>1650</v>
      </c>
      <c r="AA736" s="65">
        <v>0.8</v>
      </c>
      <c r="AB736" s="39">
        <v>44836</v>
      </c>
      <c r="AC736" s="76" t="s">
        <v>10060</v>
      </c>
      <c r="AD736" s="67" t="str">
        <f t="shared" ref="AD736:AD737" si="543">HYPERLINK("http://www.rmu.edu/OnTheMove/findoutmore.open_page?ipage=1195","Link")</f>
        <v>Link</v>
      </c>
      <c r="AE736" s="42">
        <v>4384</v>
      </c>
      <c r="AF736" s="42">
        <v>176</v>
      </c>
      <c r="AG736" s="2"/>
      <c r="AH736" s="56">
        <v>215655</v>
      </c>
    </row>
    <row r="737" spans="1:34" ht="13" x14ac:dyDescent="0.15">
      <c r="A737" s="88" t="s">
        <v>9884</v>
      </c>
      <c r="B737" s="36" t="s">
        <v>1231</v>
      </c>
      <c r="C737" s="7" t="s">
        <v>67</v>
      </c>
      <c r="D737" s="7" t="s">
        <v>10067</v>
      </c>
      <c r="E737" s="44">
        <v>5</v>
      </c>
      <c r="F737" s="7"/>
      <c r="G737" s="7"/>
      <c r="H737" s="2" t="s">
        <v>10042</v>
      </c>
      <c r="I737" s="7" t="s">
        <v>2037</v>
      </c>
      <c r="J737" s="7" t="s">
        <v>10069</v>
      </c>
      <c r="K737" s="7" t="s">
        <v>55</v>
      </c>
      <c r="L737" s="7" t="s">
        <v>10070</v>
      </c>
      <c r="M737" s="36" t="s">
        <v>10071</v>
      </c>
      <c r="N737" s="69" t="str">
        <f t="shared" si="541"/>
        <v>@rmusoftball</v>
      </c>
      <c r="O737" s="70" t="str">
        <f t="shared" si="542"/>
        <v>Questionnaire</v>
      </c>
      <c r="P737" s="7" t="s">
        <v>10060</v>
      </c>
      <c r="Q737" s="36" t="s">
        <v>1231</v>
      </c>
      <c r="R737" s="48" t="s">
        <v>1243</v>
      </c>
      <c r="S737" s="48" t="s">
        <v>354</v>
      </c>
      <c r="T737" s="4" t="s">
        <v>63</v>
      </c>
      <c r="U737" s="4" t="s">
        <v>75</v>
      </c>
      <c r="V737" s="2"/>
      <c r="W737" s="37">
        <v>3.46</v>
      </c>
      <c r="X737" s="2" t="s">
        <v>3013</v>
      </c>
      <c r="Y737" s="2" t="s">
        <v>2341</v>
      </c>
      <c r="Z737" s="4" t="s">
        <v>1650</v>
      </c>
      <c r="AA737" s="65">
        <v>0.8</v>
      </c>
      <c r="AB737" s="39">
        <v>44836</v>
      </c>
      <c r="AC737" s="76" t="s">
        <v>10060</v>
      </c>
      <c r="AD737" s="67" t="str">
        <f t="shared" si="543"/>
        <v>Link</v>
      </c>
      <c r="AE737" s="42">
        <v>4384</v>
      </c>
      <c r="AF737" s="42">
        <v>176</v>
      </c>
      <c r="AG737" s="2"/>
      <c r="AH737" s="56">
        <v>215655</v>
      </c>
    </row>
    <row r="738" spans="1:34" ht="15" x14ac:dyDescent="0.2">
      <c r="A738" s="43" t="s">
        <v>9884</v>
      </c>
      <c r="B738" s="57" t="s">
        <v>158</v>
      </c>
      <c r="C738" s="7" t="s">
        <v>67</v>
      </c>
      <c r="D738" s="7" t="s">
        <v>10075</v>
      </c>
      <c r="E738" s="44">
        <v>5</v>
      </c>
      <c r="F738" s="7"/>
      <c r="G738" s="7"/>
      <c r="H738" s="2" t="s">
        <v>10076</v>
      </c>
      <c r="I738" s="7" t="s">
        <v>1443</v>
      </c>
      <c r="J738" s="7" t="s">
        <v>10077</v>
      </c>
      <c r="K738" s="7" t="s">
        <v>48</v>
      </c>
      <c r="L738" s="7" t="s">
        <v>10079</v>
      </c>
      <c r="M738" s="7" t="s">
        <v>10080</v>
      </c>
      <c r="N738" s="69" t="str">
        <f t="shared" ref="N738:N741" si="544">HYPERLINK("twitter.com/shu_softball","@shu_softball")</f>
        <v>@shu_softball</v>
      </c>
      <c r="O738" s="70" t="str">
        <f t="shared" ref="O738:O741" si="545">HYPERLINK("https://sacredheartpioneers.com/sports/w-softbl/Questionnaires","Questionnaire")</f>
        <v>Questionnaire</v>
      </c>
      <c r="P738" s="7" t="s">
        <v>10087</v>
      </c>
      <c r="Q738" s="57" t="s">
        <v>158</v>
      </c>
      <c r="R738" s="7" t="s">
        <v>204</v>
      </c>
      <c r="S738" s="48" t="s">
        <v>186</v>
      </c>
      <c r="T738" s="49" t="s">
        <v>63</v>
      </c>
      <c r="U738" s="7" t="s">
        <v>343</v>
      </c>
      <c r="V738" s="7"/>
      <c r="W738" s="44">
        <v>3.46</v>
      </c>
      <c r="X738" s="7" t="s">
        <v>10088</v>
      </c>
      <c r="Y738" s="7" t="s">
        <v>10088</v>
      </c>
      <c r="Z738" s="7" t="s">
        <v>214</v>
      </c>
      <c r="AA738" s="61">
        <v>0.56999999999999995</v>
      </c>
      <c r="AB738" s="71">
        <v>56600</v>
      </c>
      <c r="AC738" s="78" t="s">
        <v>10087</v>
      </c>
      <c r="AD738" s="74" t="str">
        <f t="shared" ref="AD738:AD741" si="546">HYPERLINK("http://www.sacredheart.edu/academics/a-zacademicprogramslisting/","Link")</f>
        <v>Link</v>
      </c>
      <c r="AE738" s="54">
        <v>5428</v>
      </c>
      <c r="AF738" s="55"/>
      <c r="AG738" s="7"/>
      <c r="AH738" s="56">
        <v>130253</v>
      </c>
    </row>
    <row r="739" spans="1:34" ht="15" x14ac:dyDescent="0.2">
      <c r="A739" s="43" t="s">
        <v>9884</v>
      </c>
      <c r="B739" s="57" t="s">
        <v>158</v>
      </c>
      <c r="C739" s="7" t="s">
        <v>67</v>
      </c>
      <c r="D739" s="7" t="s">
        <v>10098</v>
      </c>
      <c r="E739" s="44">
        <v>5</v>
      </c>
      <c r="F739" s="7"/>
      <c r="G739" s="7"/>
      <c r="H739" s="2" t="s">
        <v>10076</v>
      </c>
      <c r="I739" s="7" t="s">
        <v>10099</v>
      </c>
      <c r="J739" s="7" t="s">
        <v>2906</v>
      </c>
      <c r="K739" s="7" t="s">
        <v>55</v>
      </c>
      <c r="L739" s="7" t="s">
        <v>10100</v>
      </c>
      <c r="M739" s="7" t="s">
        <v>10101</v>
      </c>
      <c r="N739" s="45" t="str">
        <f t="shared" si="544"/>
        <v>@shu_softball</v>
      </c>
      <c r="O739" s="74" t="str">
        <f t="shared" si="545"/>
        <v>Questionnaire</v>
      </c>
      <c r="P739" s="7" t="s">
        <v>10087</v>
      </c>
      <c r="Q739" s="57" t="s">
        <v>158</v>
      </c>
      <c r="R739" s="7" t="s">
        <v>204</v>
      </c>
      <c r="S739" s="48" t="s">
        <v>186</v>
      </c>
      <c r="T739" s="49" t="s">
        <v>63</v>
      </c>
      <c r="U739" s="7" t="s">
        <v>343</v>
      </c>
      <c r="V739" s="7"/>
      <c r="W739" s="44">
        <v>3.46</v>
      </c>
      <c r="X739" s="7" t="s">
        <v>10088</v>
      </c>
      <c r="Y739" s="7" t="s">
        <v>10088</v>
      </c>
      <c r="Z739" s="7" t="s">
        <v>214</v>
      </c>
      <c r="AA739" s="61">
        <v>0.56999999999999995</v>
      </c>
      <c r="AB739" s="71">
        <v>56600</v>
      </c>
      <c r="AC739" s="78" t="s">
        <v>10087</v>
      </c>
      <c r="AD739" s="74" t="str">
        <f t="shared" si="546"/>
        <v>Link</v>
      </c>
      <c r="AE739" s="54">
        <v>5428</v>
      </c>
      <c r="AF739" s="55"/>
      <c r="AG739" s="7"/>
      <c r="AH739" s="56">
        <v>130253</v>
      </c>
    </row>
    <row r="740" spans="1:34" ht="15" x14ac:dyDescent="0.2">
      <c r="A740" s="43" t="s">
        <v>9884</v>
      </c>
      <c r="B740" s="57" t="s">
        <v>158</v>
      </c>
      <c r="C740" s="7" t="s">
        <v>67</v>
      </c>
      <c r="D740" s="7" t="s">
        <v>10102</v>
      </c>
      <c r="E740" s="44">
        <v>5</v>
      </c>
      <c r="F740" s="7"/>
      <c r="G740" s="7"/>
      <c r="H740" s="2" t="s">
        <v>10076</v>
      </c>
      <c r="I740" s="7" t="s">
        <v>1092</v>
      </c>
      <c r="J740" s="7" t="s">
        <v>3077</v>
      </c>
      <c r="K740" s="7" t="s">
        <v>919</v>
      </c>
      <c r="L740" s="7" t="s">
        <v>10107</v>
      </c>
      <c r="M740" s="7" t="s">
        <v>10080</v>
      </c>
      <c r="N740" s="45" t="str">
        <f t="shared" si="544"/>
        <v>@shu_softball</v>
      </c>
      <c r="O740" s="74" t="str">
        <f t="shared" si="545"/>
        <v>Questionnaire</v>
      </c>
      <c r="P740" s="7" t="s">
        <v>10087</v>
      </c>
      <c r="Q740" s="57" t="s">
        <v>158</v>
      </c>
      <c r="R740" s="7" t="s">
        <v>204</v>
      </c>
      <c r="S740" s="48" t="s">
        <v>186</v>
      </c>
      <c r="T740" s="49" t="s">
        <v>63</v>
      </c>
      <c r="U740" s="7" t="s">
        <v>343</v>
      </c>
      <c r="V740" s="7"/>
      <c r="W740" s="44">
        <v>3.46</v>
      </c>
      <c r="X740" s="7" t="s">
        <v>10088</v>
      </c>
      <c r="Y740" s="7" t="s">
        <v>10088</v>
      </c>
      <c r="Z740" s="7" t="s">
        <v>214</v>
      </c>
      <c r="AA740" s="61">
        <v>0.56999999999999995</v>
      </c>
      <c r="AB740" s="71">
        <v>56600</v>
      </c>
      <c r="AC740" s="78" t="s">
        <v>10087</v>
      </c>
      <c r="AD740" s="74" t="str">
        <f t="shared" si="546"/>
        <v>Link</v>
      </c>
      <c r="AE740" s="54">
        <v>5428</v>
      </c>
      <c r="AF740" s="55"/>
      <c r="AG740" s="7"/>
      <c r="AH740" s="56">
        <v>130253</v>
      </c>
    </row>
    <row r="741" spans="1:34" ht="15" x14ac:dyDescent="0.2">
      <c r="A741" s="43" t="s">
        <v>9884</v>
      </c>
      <c r="B741" s="57" t="s">
        <v>158</v>
      </c>
      <c r="C741" s="7" t="s">
        <v>67</v>
      </c>
      <c r="D741" s="7" t="s">
        <v>10111</v>
      </c>
      <c r="E741" s="44">
        <v>5</v>
      </c>
      <c r="F741" s="7"/>
      <c r="G741" s="7"/>
      <c r="H741" s="2" t="s">
        <v>10076</v>
      </c>
      <c r="I741" s="7" t="s">
        <v>552</v>
      </c>
      <c r="J741" s="7" t="s">
        <v>10112</v>
      </c>
      <c r="K741" s="7" t="s">
        <v>154</v>
      </c>
      <c r="L741" s="7" t="s">
        <v>10113</v>
      </c>
      <c r="M741" s="7" t="s">
        <v>10114</v>
      </c>
      <c r="N741" s="45" t="str">
        <f t="shared" si="544"/>
        <v>@shu_softball</v>
      </c>
      <c r="O741" s="74" t="str">
        <f t="shared" si="545"/>
        <v>Questionnaire</v>
      </c>
      <c r="P741" s="7" t="s">
        <v>10087</v>
      </c>
      <c r="Q741" s="57" t="s">
        <v>158</v>
      </c>
      <c r="R741" s="7" t="s">
        <v>204</v>
      </c>
      <c r="S741" s="48" t="s">
        <v>186</v>
      </c>
      <c r="T741" s="49" t="s">
        <v>63</v>
      </c>
      <c r="U741" s="7" t="s">
        <v>343</v>
      </c>
      <c r="V741" s="7"/>
      <c r="W741" s="44">
        <v>3.46</v>
      </c>
      <c r="X741" s="7" t="s">
        <v>10088</v>
      </c>
      <c r="Y741" s="7" t="s">
        <v>10088</v>
      </c>
      <c r="Z741" s="7" t="s">
        <v>214</v>
      </c>
      <c r="AA741" s="61">
        <v>0.56999999999999995</v>
      </c>
      <c r="AB741" s="71">
        <v>56600</v>
      </c>
      <c r="AC741" s="78" t="s">
        <v>10087</v>
      </c>
      <c r="AD741" s="74" t="str">
        <f t="shared" si="546"/>
        <v>Link</v>
      </c>
      <c r="AE741" s="54">
        <v>5428</v>
      </c>
      <c r="AF741" s="55"/>
      <c r="AG741" s="7"/>
      <c r="AH741" s="56">
        <v>130253</v>
      </c>
    </row>
    <row r="742" spans="1:34" ht="13" x14ac:dyDescent="0.15">
      <c r="A742" s="88" t="s">
        <v>9884</v>
      </c>
      <c r="B742" s="36" t="s">
        <v>1231</v>
      </c>
      <c r="C742" s="7" t="s">
        <v>67</v>
      </c>
      <c r="D742" s="7" t="s">
        <v>10117</v>
      </c>
      <c r="E742" s="44">
        <v>5</v>
      </c>
      <c r="F742" s="7"/>
      <c r="G742" s="7"/>
      <c r="H742" s="2" t="s">
        <v>10119</v>
      </c>
      <c r="I742" s="7" t="s">
        <v>201</v>
      </c>
      <c r="J742" s="7" t="s">
        <v>3813</v>
      </c>
      <c r="K742" s="7" t="s">
        <v>48</v>
      </c>
      <c r="L742" s="7" t="s">
        <v>10120</v>
      </c>
      <c r="M742" s="7" t="s">
        <v>10121</v>
      </c>
      <c r="N742" s="45" t="str">
        <f t="shared" ref="N742:N745" si="547">HYPERLINK("twitter.com/redflashsb","@redflashsb")</f>
        <v>@redflashsb</v>
      </c>
      <c r="O742" s="74" t="str">
        <f t="shared" ref="O742:O745" si="548">HYPERLINK("https://sfuathletics.com/sb_output.aspx?form=14","Questionnaire")</f>
        <v>Questionnaire</v>
      </c>
      <c r="P742" s="7" t="s">
        <v>10123</v>
      </c>
      <c r="Q742" s="36" t="s">
        <v>1231</v>
      </c>
      <c r="R742" s="48" t="s">
        <v>10124</v>
      </c>
      <c r="S742" s="60" t="s">
        <v>205</v>
      </c>
      <c r="T742" s="4" t="s">
        <v>63</v>
      </c>
      <c r="U742" s="4" t="s">
        <v>343</v>
      </c>
      <c r="V742" s="2"/>
      <c r="W742" s="37">
        <v>3.63</v>
      </c>
      <c r="X742" s="2" t="s">
        <v>895</v>
      </c>
      <c r="Y742" s="2" t="s">
        <v>802</v>
      </c>
      <c r="Z742" s="4" t="s">
        <v>2190</v>
      </c>
      <c r="AA742" s="81">
        <v>0.67</v>
      </c>
      <c r="AB742" s="39">
        <v>49344</v>
      </c>
      <c r="AC742" s="76" t="s">
        <v>10123</v>
      </c>
      <c r="AD742" s="67" t="str">
        <f t="shared" ref="AD742:AD745" si="549">HYPERLINK("https://www.francis.edu/Undergraduate-Degrees-and-Programs/","Link")</f>
        <v>Link</v>
      </c>
      <c r="AE742" s="42">
        <v>2120</v>
      </c>
      <c r="AF742" s="55"/>
      <c r="AG742" s="2"/>
      <c r="AH742" s="56">
        <v>215743</v>
      </c>
    </row>
    <row r="743" spans="1:34" ht="13" x14ac:dyDescent="0.15">
      <c r="A743" s="88" t="s">
        <v>9884</v>
      </c>
      <c r="B743" s="36" t="s">
        <v>1231</v>
      </c>
      <c r="C743" s="7" t="s">
        <v>67</v>
      </c>
      <c r="D743" s="7" t="s">
        <v>10132</v>
      </c>
      <c r="E743" s="44">
        <v>5</v>
      </c>
      <c r="F743" s="7"/>
      <c r="G743" s="7"/>
      <c r="H743" s="2" t="s">
        <v>10119</v>
      </c>
      <c r="I743" s="7" t="s">
        <v>10136</v>
      </c>
      <c r="J743" s="7" t="s">
        <v>10137</v>
      </c>
      <c r="K743" s="7" t="s">
        <v>55</v>
      </c>
      <c r="L743" s="7" t="s">
        <v>10140</v>
      </c>
      <c r="M743" s="7" t="s">
        <v>10143</v>
      </c>
      <c r="N743" s="45" t="str">
        <f t="shared" si="547"/>
        <v>@redflashsb</v>
      </c>
      <c r="O743" s="74" t="str">
        <f t="shared" si="548"/>
        <v>Questionnaire</v>
      </c>
      <c r="P743" s="7" t="s">
        <v>10123</v>
      </c>
      <c r="Q743" s="36" t="s">
        <v>1231</v>
      </c>
      <c r="R743" s="48" t="s">
        <v>10124</v>
      </c>
      <c r="S743" s="60" t="s">
        <v>205</v>
      </c>
      <c r="T743" s="4" t="s">
        <v>63</v>
      </c>
      <c r="U743" s="4" t="s">
        <v>343</v>
      </c>
      <c r="V743" s="2"/>
      <c r="W743" s="37">
        <v>3.63</v>
      </c>
      <c r="X743" s="2" t="s">
        <v>895</v>
      </c>
      <c r="Y743" s="2" t="s">
        <v>802</v>
      </c>
      <c r="Z743" s="4" t="s">
        <v>2190</v>
      </c>
      <c r="AA743" s="81">
        <v>0.67</v>
      </c>
      <c r="AB743" s="39">
        <v>49344</v>
      </c>
      <c r="AC743" s="76" t="s">
        <v>10123</v>
      </c>
      <c r="AD743" s="67" t="str">
        <f t="shared" si="549"/>
        <v>Link</v>
      </c>
      <c r="AE743" s="42">
        <v>2120</v>
      </c>
      <c r="AF743" s="55"/>
      <c r="AG743" s="2"/>
      <c r="AH743" s="56">
        <v>215743</v>
      </c>
    </row>
    <row r="744" spans="1:34" ht="13" x14ac:dyDescent="0.15">
      <c r="A744" s="88" t="s">
        <v>9884</v>
      </c>
      <c r="B744" s="36" t="s">
        <v>1231</v>
      </c>
      <c r="C744" s="7" t="s">
        <v>67</v>
      </c>
      <c r="D744" s="7" t="s">
        <v>10151</v>
      </c>
      <c r="E744" s="44">
        <v>5</v>
      </c>
      <c r="F744" s="7"/>
      <c r="G744" s="7"/>
      <c r="H744" s="2" t="s">
        <v>10119</v>
      </c>
      <c r="I744" s="7" t="s">
        <v>10152</v>
      </c>
      <c r="J744" s="7" t="s">
        <v>10153</v>
      </c>
      <c r="K744" s="7" t="s">
        <v>120</v>
      </c>
      <c r="L744" s="7" t="s">
        <v>10154</v>
      </c>
      <c r="M744" s="7" t="s">
        <v>10155</v>
      </c>
      <c r="N744" s="45" t="str">
        <f t="shared" si="547"/>
        <v>@redflashsb</v>
      </c>
      <c r="O744" s="74" t="str">
        <f t="shared" si="548"/>
        <v>Questionnaire</v>
      </c>
      <c r="P744" s="7" t="s">
        <v>10123</v>
      </c>
      <c r="Q744" s="36" t="s">
        <v>1231</v>
      </c>
      <c r="R744" s="48" t="s">
        <v>10124</v>
      </c>
      <c r="S744" s="60" t="s">
        <v>205</v>
      </c>
      <c r="T744" s="4" t="s">
        <v>63</v>
      </c>
      <c r="U744" s="4" t="s">
        <v>343</v>
      </c>
      <c r="V744" s="2"/>
      <c r="W744" s="37">
        <v>3.63</v>
      </c>
      <c r="X744" s="2" t="s">
        <v>895</v>
      </c>
      <c r="Y744" s="2" t="s">
        <v>802</v>
      </c>
      <c r="Z744" s="4" t="s">
        <v>2190</v>
      </c>
      <c r="AA744" s="81">
        <v>0.67</v>
      </c>
      <c r="AB744" s="39">
        <v>49344</v>
      </c>
      <c r="AC744" s="76" t="s">
        <v>10123</v>
      </c>
      <c r="AD744" s="67" t="str">
        <f t="shared" si="549"/>
        <v>Link</v>
      </c>
      <c r="AE744" s="42">
        <v>2120</v>
      </c>
      <c r="AF744" s="55"/>
      <c r="AG744" s="2"/>
      <c r="AH744" s="56">
        <v>215743</v>
      </c>
    </row>
    <row r="745" spans="1:34" ht="13" x14ac:dyDescent="0.15">
      <c r="A745" s="88" t="s">
        <v>9884</v>
      </c>
      <c r="B745" s="60" t="s">
        <v>1231</v>
      </c>
      <c r="C745" s="7" t="s">
        <v>67</v>
      </c>
      <c r="D745" s="7" t="s">
        <v>10164</v>
      </c>
      <c r="E745" s="58">
        <v>5</v>
      </c>
      <c r="F745" s="7" t="s">
        <v>116</v>
      </c>
      <c r="G745" s="7"/>
      <c r="H745" s="2" t="s">
        <v>10119</v>
      </c>
      <c r="I745" s="7" t="s">
        <v>6836</v>
      </c>
      <c r="J745" s="7" t="s">
        <v>10165</v>
      </c>
      <c r="K745" s="7" t="s">
        <v>154</v>
      </c>
      <c r="L745" s="7" t="s">
        <v>10166</v>
      </c>
      <c r="M745" s="7" t="s">
        <v>10167</v>
      </c>
      <c r="N745" s="45" t="str">
        <f t="shared" si="547"/>
        <v>@redflashsb</v>
      </c>
      <c r="O745" s="74" t="str">
        <f t="shared" si="548"/>
        <v>Questionnaire</v>
      </c>
      <c r="P745" s="48" t="s">
        <v>10123</v>
      </c>
      <c r="Q745" s="60" t="s">
        <v>1231</v>
      </c>
      <c r="R745" s="48" t="s">
        <v>10124</v>
      </c>
      <c r="S745" s="60" t="s">
        <v>205</v>
      </c>
      <c r="T745" s="4" t="s">
        <v>63</v>
      </c>
      <c r="U745" s="4" t="s">
        <v>343</v>
      </c>
      <c r="V745" s="48"/>
      <c r="W745" s="65">
        <v>3.63</v>
      </c>
      <c r="X745" s="4" t="s">
        <v>895</v>
      </c>
      <c r="Y745" s="4" t="s">
        <v>802</v>
      </c>
      <c r="Z745" s="4" t="s">
        <v>2190</v>
      </c>
      <c r="AA745" s="81">
        <v>0.67</v>
      </c>
      <c r="AB745" s="39">
        <v>49344</v>
      </c>
      <c r="AC745" s="76" t="s">
        <v>10123</v>
      </c>
      <c r="AD745" s="67" t="str">
        <f t="shared" si="549"/>
        <v>Link</v>
      </c>
      <c r="AE745" s="42">
        <v>2120</v>
      </c>
      <c r="AF745" s="55"/>
      <c r="AG745" s="55"/>
      <c r="AH745" s="56">
        <v>215743</v>
      </c>
    </row>
    <row r="746" spans="1:34" ht="15" x14ac:dyDescent="0.2">
      <c r="A746" s="43" t="s">
        <v>9884</v>
      </c>
      <c r="B746" s="57" t="s">
        <v>1304</v>
      </c>
      <c r="C746" s="7" t="s">
        <v>67</v>
      </c>
      <c r="D746" s="7" t="s">
        <v>10178</v>
      </c>
      <c r="E746" s="44">
        <v>5</v>
      </c>
      <c r="F746" s="7"/>
      <c r="G746" s="7"/>
      <c r="H746" s="2" t="s">
        <v>10179</v>
      </c>
      <c r="I746" s="7" t="s">
        <v>1447</v>
      </c>
      <c r="J746" s="7" t="s">
        <v>10180</v>
      </c>
      <c r="K746" s="7" t="s">
        <v>48</v>
      </c>
      <c r="L746" s="7" t="s">
        <v>10181</v>
      </c>
      <c r="M746" s="7" t="s">
        <v>10182</v>
      </c>
      <c r="N746" s="45" t="str">
        <f t="shared" ref="N746:N748" si="550">HYPERLINK("twitter.com/WagnerSoftball","@WagnerSoftball")</f>
        <v>@WagnerSoftball</v>
      </c>
      <c r="O746" s="74" t="str">
        <f t="shared" ref="O746:O748" si="551">HYPERLINK("https://wagnerathletics.com/sb_output.aspx?form=30","Questionnaire")</f>
        <v>Questionnaire</v>
      </c>
      <c r="P746" s="7" t="s">
        <v>3303</v>
      </c>
      <c r="Q746" s="57" t="s">
        <v>1304</v>
      </c>
      <c r="R746" s="7" t="s">
        <v>1897</v>
      </c>
      <c r="S746" s="48" t="s">
        <v>288</v>
      </c>
      <c r="T746" s="49" t="s">
        <v>63</v>
      </c>
      <c r="U746" s="7" t="s">
        <v>9398</v>
      </c>
      <c r="V746" s="7"/>
      <c r="W746" s="44">
        <v>3.6</v>
      </c>
      <c r="X746" s="7" t="s">
        <v>2228</v>
      </c>
      <c r="Y746" s="7" t="s">
        <v>1723</v>
      </c>
      <c r="Z746" s="7" t="s">
        <v>320</v>
      </c>
      <c r="AA746" s="61">
        <v>0.73</v>
      </c>
      <c r="AB746" s="71">
        <v>60375</v>
      </c>
      <c r="AC746" s="78" t="s">
        <v>3303</v>
      </c>
      <c r="AD746" s="74" t="str">
        <f t="shared" ref="AD746:AD748" si="552">HYPERLINK("http://wagner.edu/majors/","Link")</f>
        <v>Link</v>
      </c>
      <c r="AE746" s="54">
        <v>1811</v>
      </c>
      <c r="AF746" s="55"/>
      <c r="AG746" s="7"/>
      <c r="AH746" s="56">
        <v>197197</v>
      </c>
    </row>
    <row r="747" spans="1:34" ht="15" x14ac:dyDescent="0.2">
      <c r="A747" s="43" t="s">
        <v>9884</v>
      </c>
      <c r="B747" s="57" t="s">
        <v>1304</v>
      </c>
      <c r="C747" s="7" t="s">
        <v>67</v>
      </c>
      <c r="D747" s="7" t="s">
        <v>10188</v>
      </c>
      <c r="E747" s="44">
        <v>5</v>
      </c>
      <c r="F747" s="7"/>
      <c r="G747" s="7"/>
      <c r="H747" s="2" t="s">
        <v>10179</v>
      </c>
      <c r="I747" s="7" t="s">
        <v>3511</v>
      </c>
      <c r="J747" s="7" t="s">
        <v>10190</v>
      </c>
      <c r="K747" s="7" t="s">
        <v>55</v>
      </c>
      <c r="L747" s="7" t="s">
        <v>10191</v>
      </c>
      <c r="M747" s="7" t="s">
        <v>10192</v>
      </c>
      <c r="N747" s="45" t="str">
        <f t="shared" si="550"/>
        <v>@WagnerSoftball</v>
      </c>
      <c r="O747" s="74" t="str">
        <f t="shared" si="551"/>
        <v>Questionnaire</v>
      </c>
      <c r="P747" s="7" t="s">
        <v>3303</v>
      </c>
      <c r="Q747" s="57" t="s">
        <v>1304</v>
      </c>
      <c r="R747" s="7" t="s">
        <v>1897</v>
      </c>
      <c r="S747" s="48" t="s">
        <v>288</v>
      </c>
      <c r="T747" s="49" t="s">
        <v>63</v>
      </c>
      <c r="U747" s="7" t="s">
        <v>9398</v>
      </c>
      <c r="V747" s="7"/>
      <c r="W747" s="44">
        <v>3.6</v>
      </c>
      <c r="X747" s="7" t="s">
        <v>2228</v>
      </c>
      <c r="Y747" s="7" t="s">
        <v>1723</v>
      </c>
      <c r="Z747" s="7" t="s">
        <v>320</v>
      </c>
      <c r="AA747" s="61">
        <v>0.73</v>
      </c>
      <c r="AB747" s="71">
        <v>60375</v>
      </c>
      <c r="AC747" s="78" t="s">
        <v>3303</v>
      </c>
      <c r="AD747" s="74" t="str">
        <f t="shared" si="552"/>
        <v>Link</v>
      </c>
      <c r="AE747" s="54">
        <v>1811</v>
      </c>
      <c r="AF747" s="55"/>
      <c r="AG747" s="7"/>
      <c r="AH747" s="56">
        <v>197197</v>
      </c>
    </row>
    <row r="748" spans="1:34" ht="15" x14ac:dyDescent="0.2">
      <c r="A748" s="43" t="s">
        <v>9884</v>
      </c>
      <c r="B748" s="57" t="s">
        <v>1304</v>
      </c>
      <c r="C748" s="7" t="s">
        <v>67</v>
      </c>
      <c r="D748" s="7" t="s">
        <v>10200</v>
      </c>
      <c r="E748" s="44">
        <v>5</v>
      </c>
      <c r="F748" s="7"/>
      <c r="G748" s="7"/>
      <c r="H748" s="2" t="s">
        <v>10179</v>
      </c>
      <c r="I748" s="7" t="s">
        <v>2955</v>
      </c>
      <c r="J748" s="7" t="s">
        <v>10201</v>
      </c>
      <c r="K748" s="7" t="s">
        <v>55</v>
      </c>
      <c r="L748" s="7" t="s">
        <v>10202</v>
      </c>
      <c r="M748" s="7" t="s">
        <v>10192</v>
      </c>
      <c r="N748" s="45" t="str">
        <f t="shared" si="550"/>
        <v>@WagnerSoftball</v>
      </c>
      <c r="O748" s="74" t="str">
        <f t="shared" si="551"/>
        <v>Questionnaire</v>
      </c>
      <c r="P748" s="7" t="s">
        <v>3303</v>
      </c>
      <c r="Q748" s="57" t="s">
        <v>1304</v>
      </c>
      <c r="R748" s="7" t="s">
        <v>1897</v>
      </c>
      <c r="S748" s="48" t="s">
        <v>288</v>
      </c>
      <c r="T748" s="49" t="s">
        <v>63</v>
      </c>
      <c r="U748" s="7" t="s">
        <v>9398</v>
      </c>
      <c r="V748" s="7"/>
      <c r="W748" s="44">
        <v>3.6</v>
      </c>
      <c r="X748" s="7" t="s">
        <v>2228</v>
      </c>
      <c r="Y748" s="7" t="s">
        <v>1723</v>
      </c>
      <c r="Z748" s="7" t="s">
        <v>320</v>
      </c>
      <c r="AA748" s="61">
        <v>0.73</v>
      </c>
      <c r="AB748" s="71">
        <v>60375</v>
      </c>
      <c r="AC748" s="78" t="s">
        <v>3303</v>
      </c>
      <c r="AD748" s="74" t="str">
        <f t="shared" si="552"/>
        <v>Link</v>
      </c>
      <c r="AE748" s="54">
        <v>1811</v>
      </c>
      <c r="AF748" s="55"/>
      <c r="AG748" s="7"/>
      <c r="AH748" s="56">
        <v>197197</v>
      </c>
    </row>
    <row r="749" spans="1:34" ht="15" x14ac:dyDescent="0.2">
      <c r="A749" s="43" t="s">
        <v>10210</v>
      </c>
      <c r="B749" s="57" t="s">
        <v>346</v>
      </c>
      <c r="C749" s="7" t="s">
        <v>67</v>
      </c>
      <c r="D749" s="7" t="s">
        <v>10211</v>
      </c>
      <c r="E749" s="44">
        <v>5</v>
      </c>
      <c r="F749" s="7"/>
      <c r="G749" s="7"/>
      <c r="H749" s="2" t="s">
        <v>10212</v>
      </c>
      <c r="I749" s="7" t="s">
        <v>10213</v>
      </c>
      <c r="J749" s="7" t="s">
        <v>10214</v>
      </c>
      <c r="K749" s="7" t="s">
        <v>48</v>
      </c>
      <c r="L749" s="7" t="s">
        <v>10215</v>
      </c>
      <c r="M749" s="7" t="s">
        <v>10216</v>
      </c>
      <c r="N749" s="45" t="str">
        <f>HYPERLINK("twitter.com/KassieD23","@KassieD23")</f>
        <v>@KassieD23</v>
      </c>
      <c r="O749" s="74" t="str">
        <f t="shared" ref="O749:O751" si="553">HYPERLINK("https://letsgopeay.com/sports/2014/7/1/GEN_0701140420.aspx","Questionnaire")</f>
        <v>Questionnaire</v>
      </c>
      <c r="P749" s="7" t="s">
        <v>10218</v>
      </c>
      <c r="Q749" s="57" t="s">
        <v>346</v>
      </c>
      <c r="R749" s="7" t="s">
        <v>242</v>
      </c>
      <c r="S749" s="48" t="s">
        <v>62</v>
      </c>
      <c r="T749" s="49" t="s">
        <v>74</v>
      </c>
      <c r="U749" s="7" t="s">
        <v>75</v>
      </c>
      <c r="V749" s="7"/>
      <c r="W749" s="44">
        <v>3.2</v>
      </c>
      <c r="X749" s="7" t="s">
        <v>10222</v>
      </c>
      <c r="Y749" s="7" t="s">
        <v>10224</v>
      </c>
      <c r="Z749" s="7" t="s">
        <v>125</v>
      </c>
      <c r="AA749" s="51">
        <v>0.88849999999999996</v>
      </c>
      <c r="AB749" s="48" t="s">
        <v>10225</v>
      </c>
      <c r="AC749" s="79" t="s">
        <v>10218</v>
      </c>
      <c r="AD749" s="74" t="str">
        <f t="shared" ref="AD749:AD751" si="554">HYPERLINK("http://catalog.apsu.edu/content.php?catoid=22&amp;navoid=897","Link")</f>
        <v>Link</v>
      </c>
      <c r="AE749" s="54">
        <v>9513</v>
      </c>
      <c r="AF749" s="55"/>
      <c r="AG749" s="7"/>
      <c r="AH749" s="56">
        <v>219602</v>
      </c>
    </row>
    <row r="750" spans="1:34" ht="15" x14ac:dyDescent="0.2">
      <c r="A750" s="43" t="s">
        <v>10210</v>
      </c>
      <c r="B750" s="57" t="s">
        <v>346</v>
      </c>
      <c r="C750" s="7" t="s">
        <v>67</v>
      </c>
      <c r="D750" s="7" t="s">
        <v>10231</v>
      </c>
      <c r="E750" s="44">
        <v>5</v>
      </c>
      <c r="F750" s="7"/>
      <c r="G750" s="7"/>
      <c r="H750" s="2" t="s">
        <v>10212</v>
      </c>
      <c r="I750" s="7" t="s">
        <v>10232</v>
      </c>
      <c r="J750" s="7" t="s">
        <v>10234</v>
      </c>
      <c r="K750" s="7" t="s">
        <v>55</v>
      </c>
      <c r="L750" s="7" t="s">
        <v>10235</v>
      </c>
      <c r="M750" s="7" t="s">
        <v>10236</v>
      </c>
      <c r="N750" s="45" t="str">
        <f>HYPERLINK("twitter.com/CodeeYeske","@CodeeYeske")</f>
        <v>@CodeeYeske</v>
      </c>
      <c r="O750" s="74" t="str">
        <f t="shared" si="553"/>
        <v>Questionnaire</v>
      </c>
      <c r="P750" s="7" t="s">
        <v>10218</v>
      </c>
      <c r="Q750" s="57" t="s">
        <v>346</v>
      </c>
      <c r="R750" s="7" t="s">
        <v>242</v>
      </c>
      <c r="S750" s="48" t="s">
        <v>62</v>
      </c>
      <c r="T750" s="49" t="s">
        <v>74</v>
      </c>
      <c r="U750" s="7" t="s">
        <v>75</v>
      </c>
      <c r="V750" s="7"/>
      <c r="W750" s="44">
        <v>3.2</v>
      </c>
      <c r="X750" s="7" t="s">
        <v>10222</v>
      </c>
      <c r="Y750" s="7" t="s">
        <v>10224</v>
      </c>
      <c r="Z750" s="7" t="s">
        <v>125</v>
      </c>
      <c r="AA750" s="51">
        <v>0.88849999999999996</v>
      </c>
      <c r="AB750" s="48" t="s">
        <v>10225</v>
      </c>
      <c r="AC750" s="79" t="s">
        <v>10218</v>
      </c>
      <c r="AD750" s="74" t="str">
        <f t="shared" si="554"/>
        <v>Link</v>
      </c>
      <c r="AE750" s="54">
        <v>9513</v>
      </c>
      <c r="AF750" s="55"/>
      <c r="AG750" s="7"/>
      <c r="AH750" s="56">
        <v>219602</v>
      </c>
    </row>
    <row r="751" spans="1:34" ht="15" x14ac:dyDescent="0.2">
      <c r="A751" s="43" t="s">
        <v>10210</v>
      </c>
      <c r="B751" s="57" t="s">
        <v>346</v>
      </c>
      <c r="C751" s="7" t="s">
        <v>67</v>
      </c>
      <c r="D751" s="7" t="s">
        <v>10246</v>
      </c>
      <c r="E751" s="44">
        <v>5</v>
      </c>
      <c r="F751" s="7"/>
      <c r="G751" s="7"/>
      <c r="H751" s="2" t="s">
        <v>10212</v>
      </c>
      <c r="I751" s="7" t="s">
        <v>9726</v>
      </c>
      <c r="J751" s="7" t="s">
        <v>10247</v>
      </c>
      <c r="K751" s="7" t="s">
        <v>55</v>
      </c>
      <c r="L751" s="7" t="s">
        <v>10248</v>
      </c>
      <c r="M751" s="7" t="s">
        <v>10249</v>
      </c>
      <c r="N751" s="45" t="str">
        <f>HYPERLINK("twitter.com/AustinPeaySB","@AustinPeaySB")</f>
        <v>@AustinPeaySB</v>
      </c>
      <c r="O751" s="74" t="str">
        <f t="shared" si="553"/>
        <v>Questionnaire</v>
      </c>
      <c r="P751" s="7" t="s">
        <v>10218</v>
      </c>
      <c r="Q751" s="57" t="s">
        <v>346</v>
      </c>
      <c r="R751" s="7" t="s">
        <v>242</v>
      </c>
      <c r="S751" s="48" t="s">
        <v>62</v>
      </c>
      <c r="T751" s="49" t="s">
        <v>74</v>
      </c>
      <c r="U751" s="7" t="s">
        <v>75</v>
      </c>
      <c r="V751" s="7"/>
      <c r="W751" s="44">
        <v>3.2</v>
      </c>
      <c r="X751" s="7" t="s">
        <v>10222</v>
      </c>
      <c r="Y751" s="7" t="s">
        <v>10224</v>
      </c>
      <c r="Z751" s="7" t="s">
        <v>125</v>
      </c>
      <c r="AA751" s="51">
        <v>0.88849999999999996</v>
      </c>
      <c r="AB751" s="48" t="s">
        <v>10225</v>
      </c>
      <c r="AC751" s="79" t="s">
        <v>10218</v>
      </c>
      <c r="AD751" s="74" t="str">
        <f t="shared" si="554"/>
        <v>Link</v>
      </c>
      <c r="AE751" s="54">
        <v>9513</v>
      </c>
      <c r="AF751" s="55"/>
      <c r="AG751" s="7"/>
      <c r="AH751" s="56">
        <v>219602</v>
      </c>
    </row>
    <row r="752" spans="1:34" ht="15" x14ac:dyDescent="0.2">
      <c r="A752" s="43" t="s">
        <v>10210</v>
      </c>
      <c r="B752" s="57" t="s">
        <v>346</v>
      </c>
      <c r="C752" s="7" t="s">
        <v>67</v>
      </c>
      <c r="D752" s="7" t="s">
        <v>10257</v>
      </c>
      <c r="E752" s="44">
        <v>5</v>
      </c>
      <c r="F752" s="7"/>
      <c r="G752" s="7"/>
      <c r="H752" s="2" t="s">
        <v>10258</v>
      </c>
      <c r="I752" s="7" t="s">
        <v>306</v>
      </c>
      <c r="J752" s="7" t="s">
        <v>10259</v>
      </c>
      <c r="K752" s="7" t="s">
        <v>48</v>
      </c>
      <c r="L752" s="7" t="s">
        <v>10260</v>
      </c>
      <c r="M752" s="7" t="s">
        <v>10261</v>
      </c>
      <c r="N752" s="45" t="str">
        <f t="shared" ref="N752:N754" si="555">HYPERLINK("twitter.com/belmontsoftball","@belmontsoftball")</f>
        <v>@belmontsoftball</v>
      </c>
      <c r="O752" s="74" t="str">
        <f t="shared" ref="O752:O754" si="556">HYPERLINK("https://belmontbruins.com/information/recruits/sbrecruitinginfo","Questionnaire")</f>
        <v>Questionnaire</v>
      </c>
      <c r="P752" s="7" t="s">
        <v>1943</v>
      </c>
      <c r="Q752" s="57" t="s">
        <v>346</v>
      </c>
      <c r="R752" s="7" t="s">
        <v>2450</v>
      </c>
      <c r="S752" s="48" t="s">
        <v>354</v>
      </c>
      <c r="T752" s="49" t="s">
        <v>63</v>
      </c>
      <c r="U752" s="7" t="s">
        <v>3252</v>
      </c>
      <c r="V752" s="7"/>
      <c r="W752" s="44">
        <v>3.7</v>
      </c>
      <c r="X752" s="7" t="s">
        <v>1319</v>
      </c>
      <c r="Y752" s="7" t="s">
        <v>1723</v>
      </c>
      <c r="Z752" s="7" t="s">
        <v>1408</v>
      </c>
      <c r="AA752" s="51">
        <v>0.81040000000000001</v>
      </c>
      <c r="AB752" s="71">
        <v>48870</v>
      </c>
      <c r="AC752" s="40" t="s">
        <v>1943</v>
      </c>
      <c r="AD752" s="74" t="str">
        <f t="shared" ref="AD752:AD754" si="557">HYPERLINK("http://www.belmont.edu/academics/undergraduate-programs.html","Link")</f>
        <v>Link</v>
      </c>
      <c r="AE752" s="54">
        <v>6293</v>
      </c>
      <c r="AF752" s="55"/>
      <c r="AG752" s="7"/>
      <c r="AH752" s="56">
        <v>219709</v>
      </c>
    </row>
    <row r="753" spans="1:34" ht="15" x14ac:dyDescent="0.2">
      <c r="A753" s="43" t="s">
        <v>10210</v>
      </c>
      <c r="B753" s="57" t="s">
        <v>346</v>
      </c>
      <c r="C753" s="7" t="s">
        <v>67</v>
      </c>
      <c r="D753" s="7" t="s">
        <v>10275</v>
      </c>
      <c r="E753" s="44">
        <v>5</v>
      </c>
      <c r="F753" s="7"/>
      <c r="G753" s="7"/>
      <c r="H753" s="2" t="s">
        <v>10258</v>
      </c>
      <c r="I753" s="7" t="s">
        <v>130</v>
      </c>
      <c r="J753" s="7" t="s">
        <v>10276</v>
      </c>
      <c r="K753" s="7" t="s">
        <v>55</v>
      </c>
      <c r="L753" s="7" t="s">
        <v>10277</v>
      </c>
      <c r="M753" s="7" t="s">
        <v>10278</v>
      </c>
      <c r="N753" s="45" t="str">
        <f t="shared" si="555"/>
        <v>@belmontsoftball</v>
      </c>
      <c r="O753" s="74" t="str">
        <f t="shared" si="556"/>
        <v>Questionnaire</v>
      </c>
      <c r="P753" s="7" t="s">
        <v>1943</v>
      </c>
      <c r="Q753" s="57" t="s">
        <v>346</v>
      </c>
      <c r="R753" s="7" t="s">
        <v>2450</v>
      </c>
      <c r="S753" s="48" t="s">
        <v>354</v>
      </c>
      <c r="T753" s="49" t="s">
        <v>63</v>
      </c>
      <c r="U753" s="7" t="s">
        <v>3252</v>
      </c>
      <c r="V753" s="7"/>
      <c r="W753" s="44">
        <v>3.7</v>
      </c>
      <c r="X753" s="7" t="s">
        <v>1319</v>
      </c>
      <c r="Y753" s="7" t="s">
        <v>1723</v>
      </c>
      <c r="Z753" s="7" t="s">
        <v>1408</v>
      </c>
      <c r="AA753" s="51">
        <v>0.81040000000000001</v>
      </c>
      <c r="AB753" s="71">
        <v>48870</v>
      </c>
      <c r="AC753" s="40" t="s">
        <v>1943</v>
      </c>
      <c r="AD753" s="74" t="str">
        <f t="shared" si="557"/>
        <v>Link</v>
      </c>
      <c r="AE753" s="54">
        <v>6293</v>
      </c>
      <c r="AF753" s="55"/>
      <c r="AG753" s="7"/>
      <c r="AH753" s="56">
        <v>219709</v>
      </c>
    </row>
    <row r="754" spans="1:34" ht="15" x14ac:dyDescent="0.2">
      <c r="A754" s="43" t="s">
        <v>10210</v>
      </c>
      <c r="B754" s="57" t="s">
        <v>346</v>
      </c>
      <c r="C754" s="7" t="s">
        <v>67</v>
      </c>
      <c r="D754" s="7" t="s">
        <v>10286</v>
      </c>
      <c r="E754" s="44">
        <v>5</v>
      </c>
      <c r="F754" s="7"/>
      <c r="G754" s="7"/>
      <c r="H754" s="2" t="s">
        <v>10258</v>
      </c>
      <c r="I754" s="7" t="s">
        <v>161</v>
      </c>
      <c r="J754" s="7" t="s">
        <v>10287</v>
      </c>
      <c r="K754" s="7" t="s">
        <v>55</v>
      </c>
      <c r="L754" s="7" t="s">
        <v>10288</v>
      </c>
      <c r="M754" s="7" t="s">
        <v>10289</v>
      </c>
      <c r="N754" s="45" t="str">
        <f t="shared" si="555"/>
        <v>@belmontsoftball</v>
      </c>
      <c r="O754" s="74" t="str">
        <f t="shared" si="556"/>
        <v>Questionnaire</v>
      </c>
      <c r="P754" s="7" t="s">
        <v>1943</v>
      </c>
      <c r="Q754" s="57" t="s">
        <v>346</v>
      </c>
      <c r="R754" s="7" t="s">
        <v>2450</v>
      </c>
      <c r="S754" s="48" t="s">
        <v>354</v>
      </c>
      <c r="T754" s="49" t="s">
        <v>63</v>
      </c>
      <c r="U754" s="7" t="s">
        <v>3252</v>
      </c>
      <c r="V754" s="7"/>
      <c r="W754" s="44">
        <v>3.7</v>
      </c>
      <c r="X754" s="7" t="s">
        <v>1319</v>
      </c>
      <c r="Y754" s="7" t="s">
        <v>1723</v>
      </c>
      <c r="Z754" s="7" t="s">
        <v>1408</v>
      </c>
      <c r="AA754" s="51">
        <v>0.81040000000000001</v>
      </c>
      <c r="AB754" s="71">
        <v>48870</v>
      </c>
      <c r="AC754" s="40" t="s">
        <v>1943</v>
      </c>
      <c r="AD754" s="74" t="str">
        <f t="shared" si="557"/>
        <v>Link</v>
      </c>
      <c r="AE754" s="54">
        <v>6293</v>
      </c>
      <c r="AF754" s="55"/>
      <c r="AG754" s="7"/>
      <c r="AH754" s="56">
        <v>219709</v>
      </c>
    </row>
    <row r="755" spans="1:34" ht="15" x14ac:dyDescent="0.2">
      <c r="A755" s="43" t="s">
        <v>10210</v>
      </c>
      <c r="B755" s="57" t="s">
        <v>1721</v>
      </c>
      <c r="C755" s="7" t="s">
        <v>67</v>
      </c>
      <c r="D755" s="7" t="s">
        <v>10292</v>
      </c>
      <c r="E755" s="44">
        <v>5</v>
      </c>
      <c r="F755" s="7"/>
      <c r="G755" s="7"/>
      <c r="H755" s="2" t="s">
        <v>10294</v>
      </c>
      <c r="I755" s="7" t="s">
        <v>513</v>
      </c>
      <c r="J755" s="7" t="s">
        <v>10296</v>
      </c>
      <c r="K755" s="7" t="s">
        <v>48</v>
      </c>
      <c r="L755" s="7" t="s">
        <v>10299</v>
      </c>
      <c r="M755" s="7"/>
      <c r="N755" s="45" t="str">
        <f t="shared" ref="N755:N757" si="558">HYPERLINK("twitter.com/eiu_softball","@eiu_softball")</f>
        <v>@eiu_softball</v>
      </c>
      <c r="O755" s="74" t="str">
        <f t="shared" ref="O755:O757" si="559">HYPERLINK("https://eiupanthers.com/sports/2014/4/23/GEN_0423142241.aspx","Questionnaire")</f>
        <v>Questionnaire</v>
      </c>
      <c r="P755" s="7" t="s">
        <v>10302</v>
      </c>
      <c r="Q755" s="57" t="s">
        <v>1721</v>
      </c>
      <c r="R755" s="7" t="s">
        <v>3887</v>
      </c>
      <c r="S755" s="48" t="s">
        <v>172</v>
      </c>
      <c r="T755" s="49" t="s">
        <v>74</v>
      </c>
      <c r="U755" s="7" t="s">
        <v>75</v>
      </c>
      <c r="V755" s="7"/>
      <c r="W755" s="44">
        <v>3.08</v>
      </c>
      <c r="X755" s="7" t="s">
        <v>214</v>
      </c>
      <c r="Y755" s="7" t="s">
        <v>214</v>
      </c>
      <c r="Z755" s="7" t="s">
        <v>841</v>
      </c>
      <c r="AA755" s="61">
        <v>0.47</v>
      </c>
      <c r="AB755" s="48" t="s">
        <v>10309</v>
      </c>
      <c r="AC755" s="78" t="s">
        <v>10302</v>
      </c>
      <c r="AD755" s="74" t="str">
        <f t="shared" ref="AD755:AD757" si="560">HYPERLINK("http://www.eiu.edu/majors/","Link")</f>
        <v>Link</v>
      </c>
      <c r="AE755" s="54">
        <v>5957</v>
      </c>
      <c r="AF755" s="55"/>
      <c r="AG755" s="7"/>
      <c r="AH755" s="56">
        <v>144892</v>
      </c>
    </row>
    <row r="756" spans="1:34" ht="15" x14ac:dyDescent="0.2">
      <c r="A756" s="43" t="s">
        <v>10210</v>
      </c>
      <c r="B756" s="57" t="s">
        <v>1721</v>
      </c>
      <c r="C756" s="7" t="s">
        <v>67</v>
      </c>
      <c r="D756" s="7" t="s">
        <v>10313</v>
      </c>
      <c r="E756" s="44">
        <v>5</v>
      </c>
      <c r="F756" s="7"/>
      <c r="G756" s="7"/>
      <c r="H756" s="2" t="s">
        <v>10294</v>
      </c>
      <c r="I756" s="7" t="s">
        <v>4044</v>
      </c>
      <c r="J756" s="7" t="s">
        <v>10314</v>
      </c>
      <c r="K756" s="7" t="s">
        <v>55</v>
      </c>
      <c r="L756" s="7" t="s">
        <v>10315</v>
      </c>
      <c r="M756" s="7"/>
      <c r="N756" s="45" t="str">
        <f t="shared" si="558"/>
        <v>@eiu_softball</v>
      </c>
      <c r="O756" s="74" t="str">
        <f t="shared" si="559"/>
        <v>Questionnaire</v>
      </c>
      <c r="P756" s="7" t="s">
        <v>10302</v>
      </c>
      <c r="Q756" s="57" t="s">
        <v>1721</v>
      </c>
      <c r="R756" s="7" t="s">
        <v>3887</v>
      </c>
      <c r="S756" s="48" t="s">
        <v>172</v>
      </c>
      <c r="T756" s="49" t="s">
        <v>74</v>
      </c>
      <c r="U756" s="7" t="s">
        <v>75</v>
      </c>
      <c r="V756" s="7"/>
      <c r="W756" s="44">
        <v>3.08</v>
      </c>
      <c r="X756" s="7" t="s">
        <v>214</v>
      </c>
      <c r="Y756" s="7" t="s">
        <v>214</v>
      </c>
      <c r="Z756" s="7" t="s">
        <v>841</v>
      </c>
      <c r="AA756" s="61">
        <v>0.47</v>
      </c>
      <c r="AB756" s="48" t="s">
        <v>10309</v>
      </c>
      <c r="AC756" s="78" t="s">
        <v>10302</v>
      </c>
      <c r="AD756" s="74" t="str">
        <f t="shared" si="560"/>
        <v>Link</v>
      </c>
      <c r="AE756" s="54">
        <v>5957</v>
      </c>
      <c r="AF756" s="55"/>
      <c r="AG756" s="7"/>
      <c r="AH756" s="56">
        <v>144892</v>
      </c>
    </row>
    <row r="757" spans="1:34" ht="15" x14ac:dyDescent="0.2">
      <c r="A757" s="43" t="s">
        <v>10210</v>
      </c>
      <c r="B757" s="57" t="s">
        <v>1721</v>
      </c>
      <c r="C757" s="7" t="s">
        <v>67</v>
      </c>
      <c r="D757" s="7" t="s">
        <v>10322</v>
      </c>
      <c r="E757" s="44">
        <v>5</v>
      </c>
      <c r="F757" s="7"/>
      <c r="G757" s="7"/>
      <c r="H757" s="2" t="s">
        <v>10294</v>
      </c>
      <c r="I757" s="7" t="s">
        <v>537</v>
      </c>
      <c r="J757" s="7" t="s">
        <v>10323</v>
      </c>
      <c r="K757" s="7" t="s">
        <v>120</v>
      </c>
      <c r="L757" s="7" t="s">
        <v>10324</v>
      </c>
      <c r="M757" s="7"/>
      <c r="N757" s="45" t="str">
        <f t="shared" si="558"/>
        <v>@eiu_softball</v>
      </c>
      <c r="O757" s="74" t="str">
        <f t="shared" si="559"/>
        <v>Questionnaire</v>
      </c>
      <c r="P757" s="7" t="s">
        <v>10302</v>
      </c>
      <c r="Q757" s="57" t="s">
        <v>1721</v>
      </c>
      <c r="R757" s="7" t="s">
        <v>3887</v>
      </c>
      <c r="S757" s="48" t="s">
        <v>172</v>
      </c>
      <c r="T757" s="49" t="s">
        <v>74</v>
      </c>
      <c r="U757" s="7" t="s">
        <v>75</v>
      </c>
      <c r="V757" s="7"/>
      <c r="W757" s="44">
        <v>3.08</v>
      </c>
      <c r="X757" s="7" t="s">
        <v>214</v>
      </c>
      <c r="Y757" s="7" t="s">
        <v>214</v>
      </c>
      <c r="Z757" s="7" t="s">
        <v>841</v>
      </c>
      <c r="AA757" s="61">
        <v>0.47</v>
      </c>
      <c r="AB757" s="48" t="s">
        <v>10309</v>
      </c>
      <c r="AC757" s="78" t="s">
        <v>10302</v>
      </c>
      <c r="AD757" s="74" t="str">
        <f t="shared" si="560"/>
        <v>Link</v>
      </c>
      <c r="AE757" s="54">
        <v>5957</v>
      </c>
      <c r="AF757" s="55"/>
      <c r="AG757" s="7"/>
      <c r="AH757" s="56">
        <v>144892</v>
      </c>
    </row>
    <row r="758" spans="1:34" ht="15" x14ac:dyDescent="0.2">
      <c r="A758" s="43" t="s">
        <v>10210</v>
      </c>
      <c r="B758" s="57" t="s">
        <v>935</v>
      </c>
      <c r="C758" s="7" t="s">
        <v>67</v>
      </c>
      <c r="D758" s="7" t="s">
        <v>10330</v>
      </c>
      <c r="E758" s="44">
        <v>5</v>
      </c>
      <c r="F758" s="7"/>
      <c r="G758" s="7"/>
      <c r="H758" s="2" t="s">
        <v>10331</v>
      </c>
      <c r="I758" s="7" t="s">
        <v>10332</v>
      </c>
      <c r="J758" s="7" t="s">
        <v>10333</v>
      </c>
      <c r="K758" s="7" t="s">
        <v>48</v>
      </c>
      <c r="L758" s="7" t="s">
        <v>10334</v>
      </c>
      <c r="M758" s="7" t="s">
        <v>10335</v>
      </c>
      <c r="N758" s="45" t="str">
        <f t="shared" ref="N758:N760" si="561">HYPERLINK("twitter.com/eku_softball","@eku_softball")</f>
        <v>@eku_softball</v>
      </c>
      <c r="O758" s="74" t="str">
        <f t="shared" ref="O758:O760" si="562">HYPERLINK("https://ekusports.com/sb_output.aspx?form=27","Questionnaire")</f>
        <v>Questionnaire</v>
      </c>
      <c r="P758" s="7" t="s">
        <v>10343</v>
      </c>
      <c r="Q758" s="57" t="s">
        <v>935</v>
      </c>
      <c r="R758" s="7" t="s">
        <v>10344</v>
      </c>
      <c r="S758" s="48" t="s">
        <v>468</v>
      </c>
      <c r="T758" s="49" t="s">
        <v>74</v>
      </c>
      <c r="U758" s="7" t="s">
        <v>75</v>
      </c>
      <c r="V758" s="7"/>
      <c r="W758" s="44">
        <v>3.29</v>
      </c>
      <c r="X758" s="7" t="s">
        <v>276</v>
      </c>
      <c r="Y758" s="7" t="s">
        <v>3013</v>
      </c>
      <c r="Z758" s="7" t="s">
        <v>1994</v>
      </c>
      <c r="AA758" s="61">
        <v>0.86</v>
      </c>
      <c r="AB758" s="48" t="s">
        <v>10345</v>
      </c>
      <c r="AC758" s="78" t="s">
        <v>10343</v>
      </c>
      <c r="AD758" s="74" t="str">
        <f t="shared" ref="AD758:AD760" si="563">HYPERLINK("http://programs.eku.edu/","Link")</f>
        <v>Link</v>
      </c>
      <c r="AE758" s="54">
        <v>14293</v>
      </c>
      <c r="AF758" s="55"/>
      <c r="AG758" s="7"/>
      <c r="AH758" s="56">
        <v>156620</v>
      </c>
    </row>
    <row r="759" spans="1:34" ht="15" x14ac:dyDescent="0.2">
      <c r="A759" s="43" t="s">
        <v>10210</v>
      </c>
      <c r="B759" s="57" t="s">
        <v>935</v>
      </c>
      <c r="C759" s="7" t="s">
        <v>67</v>
      </c>
      <c r="D759" s="7" t="s">
        <v>10347</v>
      </c>
      <c r="E759" s="44">
        <v>5</v>
      </c>
      <c r="F759" s="7"/>
      <c r="G759" s="7"/>
      <c r="H759" s="2" t="s">
        <v>10331</v>
      </c>
      <c r="I759" s="7" t="s">
        <v>577</v>
      </c>
      <c r="J759" s="7" t="s">
        <v>10349</v>
      </c>
      <c r="K759" s="7" t="s">
        <v>55</v>
      </c>
      <c r="L759" s="7" t="s">
        <v>10351</v>
      </c>
      <c r="M759" s="7" t="s">
        <v>10352</v>
      </c>
      <c r="N759" s="45" t="str">
        <f t="shared" si="561"/>
        <v>@eku_softball</v>
      </c>
      <c r="O759" s="74" t="str">
        <f t="shared" si="562"/>
        <v>Questionnaire</v>
      </c>
      <c r="P759" s="7" t="s">
        <v>10343</v>
      </c>
      <c r="Q759" s="57" t="s">
        <v>935</v>
      </c>
      <c r="R759" s="7" t="s">
        <v>10344</v>
      </c>
      <c r="S759" s="48" t="s">
        <v>468</v>
      </c>
      <c r="T759" s="49" t="s">
        <v>74</v>
      </c>
      <c r="U759" s="7" t="s">
        <v>75</v>
      </c>
      <c r="V759" s="7"/>
      <c r="W759" s="44">
        <v>3.29</v>
      </c>
      <c r="X759" s="7" t="s">
        <v>276</v>
      </c>
      <c r="Y759" s="7" t="s">
        <v>3013</v>
      </c>
      <c r="Z759" s="7" t="s">
        <v>1994</v>
      </c>
      <c r="AA759" s="61">
        <v>0.86</v>
      </c>
      <c r="AB759" s="48" t="s">
        <v>10345</v>
      </c>
      <c r="AC759" s="78" t="s">
        <v>10343</v>
      </c>
      <c r="AD759" s="74" t="str">
        <f t="shared" si="563"/>
        <v>Link</v>
      </c>
      <c r="AE759" s="54">
        <v>14293</v>
      </c>
      <c r="AF759" s="55"/>
      <c r="AG759" s="7"/>
      <c r="AH759" s="56">
        <v>156620</v>
      </c>
    </row>
    <row r="760" spans="1:34" ht="15" x14ac:dyDescent="0.2">
      <c r="A760" s="43" t="s">
        <v>10210</v>
      </c>
      <c r="B760" s="57" t="s">
        <v>935</v>
      </c>
      <c r="C760" s="7" t="s">
        <v>67</v>
      </c>
      <c r="D760" s="7" t="s">
        <v>10359</v>
      </c>
      <c r="E760" s="44">
        <v>5</v>
      </c>
      <c r="F760" s="7"/>
      <c r="G760" s="7"/>
      <c r="H760" s="2" t="s">
        <v>10331</v>
      </c>
      <c r="I760" s="7" t="s">
        <v>4187</v>
      </c>
      <c r="J760" s="7" t="s">
        <v>10361</v>
      </c>
      <c r="K760" s="7" t="s">
        <v>55</v>
      </c>
      <c r="L760" s="7" t="s">
        <v>10362</v>
      </c>
      <c r="M760" s="7" t="s">
        <v>10363</v>
      </c>
      <c r="N760" s="45" t="str">
        <f t="shared" si="561"/>
        <v>@eku_softball</v>
      </c>
      <c r="O760" s="74" t="str">
        <f t="shared" si="562"/>
        <v>Questionnaire</v>
      </c>
      <c r="P760" s="7" t="s">
        <v>10343</v>
      </c>
      <c r="Q760" s="57" t="s">
        <v>935</v>
      </c>
      <c r="R760" s="7" t="s">
        <v>10344</v>
      </c>
      <c r="S760" s="48" t="s">
        <v>468</v>
      </c>
      <c r="T760" s="49" t="s">
        <v>74</v>
      </c>
      <c r="U760" s="7" t="s">
        <v>75</v>
      </c>
      <c r="V760" s="7"/>
      <c r="W760" s="44">
        <v>3.29</v>
      </c>
      <c r="X760" s="7" t="s">
        <v>276</v>
      </c>
      <c r="Y760" s="7" t="s">
        <v>3013</v>
      </c>
      <c r="Z760" s="7" t="s">
        <v>1994</v>
      </c>
      <c r="AA760" s="61">
        <v>0.86</v>
      </c>
      <c r="AB760" s="48" t="s">
        <v>10345</v>
      </c>
      <c r="AC760" s="78" t="s">
        <v>10343</v>
      </c>
      <c r="AD760" s="74" t="str">
        <f t="shared" si="563"/>
        <v>Link</v>
      </c>
      <c r="AE760" s="54">
        <v>14293</v>
      </c>
      <c r="AF760" s="55"/>
      <c r="AG760" s="7"/>
      <c r="AH760" s="56">
        <v>156620</v>
      </c>
    </row>
    <row r="761" spans="1:34" ht="15" x14ac:dyDescent="0.2">
      <c r="A761" s="43" t="s">
        <v>10210</v>
      </c>
      <c r="B761" s="57" t="s">
        <v>59</v>
      </c>
      <c r="C761" s="7" t="s">
        <v>67</v>
      </c>
      <c r="D761" s="7" t="s">
        <v>10369</v>
      </c>
      <c r="E761" s="44">
        <v>5</v>
      </c>
      <c r="F761" s="7"/>
      <c r="G761" s="7"/>
      <c r="H761" s="2" t="s">
        <v>10371</v>
      </c>
      <c r="I761" s="7" t="s">
        <v>10372</v>
      </c>
      <c r="J761" s="7" t="s">
        <v>7681</v>
      </c>
      <c r="K761" s="7" t="s">
        <v>48</v>
      </c>
      <c r="L761" s="7" t="s">
        <v>10376</v>
      </c>
      <c r="M761" s="7" t="s">
        <v>10378</v>
      </c>
      <c r="N761" s="45" t="str">
        <f t="shared" ref="N761:N763" si="564">HYPERLINK("twitter.com/jsugamecockssb","@jsugamecockssb")</f>
        <v>@jsugamecockssb</v>
      </c>
      <c r="O761" s="74" t="str">
        <f t="shared" ref="O761:O763" si="565">HYPERLINK("https://jsugamecocksports.com/sb_output.aspx?form=3","Questionnaire")</f>
        <v>Questionnaire</v>
      </c>
      <c r="P761" s="7" t="s">
        <v>10384</v>
      </c>
      <c r="Q761" s="57" t="s">
        <v>59</v>
      </c>
      <c r="R761" s="7" t="s">
        <v>2146</v>
      </c>
      <c r="S761" s="48" t="s">
        <v>172</v>
      </c>
      <c r="T761" s="49" t="s">
        <v>74</v>
      </c>
      <c r="U761" s="7" t="s">
        <v>75</v>
      </c>
      <c r="V761" s="7"/>
      <c r="W761" s="44">
        <v>3.35</v>
      </c>
      <c r="X761" s="7" t="s">
        <v>10385</v>
      </c>
      <c r="Y761" s="7" t="s">
        <v>1144</v>
      </c>
      <c r="Z761" s="7" t="s">
        <v>278</v>
      </c>
      <c r="AA761" s="61">
        <v>0.53</v>
      </c>
      <c r="AB761" s="48" t="s">
        <v>10386</v>
      </c>
      <c r="AC761" s="40" t="s">
        <v>10384</v>
      </c>
      <c r="AD761" s="74" t="str">
        <f t="shared" ref="AD761:AD763" si="566">HYPERLINK("http://www.jsu.edu/degreelist.html","Link")</f>
        <v>Link</v>
      </c>
      <c r="AE761" s="54">
        <v>7561</v>
      </c>
      <c r="AF761" s="55"/>
      <c r="AG761" s="7"/>
      <c r="AH761" s="56">
        <v>101480</v>
      </c>
    </row>
    <row r="762" spans="1:34" ht="15" x14ac:dyDescent="0.2">
      <c r="A762" s="43" t="s">
        <v>10210</v>
      </c>
      <c r="B762" s="57" t="s">
        <v>59</v>
      </c>
      <c r="C762" s="7" t="s">
        <v>67</v>
      </c>
      <c r="D762" s="7" t="s">
        <v>10389</v>
      </c>
      <c r="E762" s="44">
        <v>5</v>
      </c>
      <c r="F762" s="7"/>
      <c r="G762" s="7"/>
      <c r="H762" s="2" t="s">
        <v>10371</v>
      </c>
      <c r="I762" s="7" t="s">
        <v>3235</v>
      </c>
      <c r="J762" s="7" t="s">
        <v>10390</v>
      </c>
      <c r="K762" s="7" t="s">
        <v>55</v>
      </c>
      <c r="L762" s="7" t="s">
        <v>10391</v>
      </c>
      <c r="M762" s="7" t="s">
        <v>10393</v>
      </c>
      <c r="N762" s="45" t="str">
        <f t="shared" si="564"/>
        <v>@jsugamecockssb</v>
      </c>
      <c r="O762" s="74" t="str">
        <f t="shared" si="565"/>
        <v>Questionnaire</v>
      </c>
      <c r="P762" s="7" t="s">
        <v>10384</v>
      </c>
      <c r="Q762" s="57" t="s">
        <v>59</v>
      </c>
      <c r="R762" s="7" t="s">
        <v>2146</v>
      </c>
      <c r="S762" s="48" t="s">
        <v>172</v>
      </c>
      <c r="T762" s="49" t="s">
        <v>74</v>
      </c>
      <c r="U762" s="7" t="s">
        <v>75</v>
      </c>
      <c r="V762" s="7"/>
      <c r="W762" s="44">
        <v>3.35</v>
      </c>
      <c r="X762" s="7" t="s">
        <v>10385</v>
      </c>
      <c r="Y762" s="7" t="s">
        <v>1144</v>
      </c>
      <c r="Z762" s="7" t="s">
        <v>278</v>
      </c>
      <c r="AA762" s="61">
        <v>0.53</v>
      </c>
      <c r="AB762" s="48" t="s">
        <v>10386</v>
      </c>
      <c r="AC762" s="40" t="s">
        <v>10384</v>
      </c>
      <c r="AD762" s="74" t="str">
        <f t="shared" si="566"/>
        <v>Link</v>
      </c>
      <c r="AE762" s="54">
        <v>7561</v>
      </c>
      <c r="AF762" s="55"/>
      <c r="AG762" s="7"/>
      <c r="AH762" s="56">
        <v>101480</v>
      </c>
    </row>
    <row r="763" spans="1:34" ht="15" x14ac:dyDescent="0.2">
      <c r="A763" s="43" t="s">
        <v>10210</v>
      </c>
      <c r="B763" s="57" t="s">
        <v>59</v>
      </c>
      <c r="C763" s="7" t="s">
        <v>67</v>
      </c>
      <c r="D763" s="7" t="s">
        <v>10398</v>
      </c>
      <c r="E763" s="44">
        <v>5</v>
      </c>
      <c r="F763" s="7"/>
      <c r="G763" s="7"/>
      <c r="H763" s="2" t="s">
        <v>10371</v>
      </c>
      <c r="I763" s="7" t="s">
        <v>10399</v>
      </c>
      <c r="J763" s="7" t="s">
        <v>10400</v>
      </c>
      <c r="K763" s="7" t="s">
        <v>55</v>
      </c>
      <c r="L763" s="7" t="s">
        <v>10401</v>
      </c>
      <c r="M763" s="7" t="s">
        <v>10402</v>
      </c>
      <c r="N763" s="45" t="str">
        <f t="shared" si="564"/>
        <v>@jsugamecockssb</v>
      </c>
      <c r="O763" s="74" t="str">
        <f t="shared" si="565"/>
        <v>Questionnaire</v>
      </c>
      <c r="P763" s="7" t="s">
        <v>10384</v>
      </c>
      <c r="Q763" s="57" t="s">
        <v>59</v>
      </c>
      <c r="R763" s="7" t="s">
        <v>2146</v>
      </c>
      <c r="S763" s="48" t="s">
        <v>172</v>
      </c>
      <c r="T763" s="49" t="s">
        <v>74</v>
      </c>
      <c r="U763" s="7" t="s">
        <v>75</v>
      </c>
      <c r="V763" s="7"/>
      <c r="W763" s="44">
        <v>3.35</v>
      </c>
      <c r="X763" s="7" t="s">
        <v>10385</v>
      </c>
      <c r="Y763" s="7" t="s">
        <v>1144</v>
      </c>
      <c r="Z763" s="7" t="s">
        <v>278</v>
      </c>
      <c r="AA763" s="61">
        <v>0.53</v>
      </c>
      <c r="AB763" s="48" t="s">
        <v>10386</v>
      </c>
      <c r="AC763" s="40" t="s">
        <v>10384</v>
      </c>
      <c r="AD763" s="74" t="str">
        <f t="shared" si="566"/>
        <v>Link</v>
      </c>
      <c r="AE763" s="54">
        <v>7561</v>
      </c>
      <c r="AF763" s="55"/>
      <c r="AG763" s="7"/>
      <c r="AH763" s="56">
        <v>101480</v>
      </c>
    </row>
    <row r="764" spans="1:34" ht="15" x14ac:dyDescent="0.2">
      <c r="A764" s="43" t="s">
        <v>10210</v>
      </c>
      <c r="B764" s="57" t="s">
        <v>935</v>
      </c>
      <c r="C764" s="7" t="s">
        <v>67</v>
      </c>
      <c r="D764" s="7" t="s">
        <v>10406</v>
      </c>
      <c r="E764" s="44">
        <v>5</v>
      </c>
      <c r="F764" s="7"/>
      <c r="G764" s="7"/>
      <c r="H764" s="2" t="s">
        <v>10408</v>
      </c>
      <c r="I764" s="7" t="s">
        <v>2289</v>
      </c>
      <c r="J764" s="7" t="s">
        <v>812</v>
      </c>
      <c r="K764" s="7" t="s">
        <v>48</v>
      </c>
      <c r="L764" s="7" t="s">
        <v>10409</v>
      </c>
      <c r="M764" s="7" t="s">
        <v>10410</v>
      </c>
      <c r="N764" s="45" t="str">
        <f t="shared" ref="N764:N766" si="567">HYPERLINK("twitter.com/msueaglessb","@msueaglessb")</f>
        <v>@msueaglessb</v>
      </c>
      <c r="O764" s="7" t="s">
        <v>22</v>
      </c>
      <c r="P764" s="7" t="s">
        <v>10413</v>
      </c>
      <c r="Q764" s="57" t="s">
        <v>935</v>
      </c>
      <c r="R764" s="7" t="s">
        <v>10414</v>
      </c>
      <c r="S764" s="60" t="s">
        <v>205</v>
      </c>
      <c r="T764" s="49" t="s">
        <v>74</v>
      </c>
      <c r="U764" s="7" t="s">
        <v>75</v>
      </c>
      <c r="V764" s="7"/>
      <c r="W764" s="44">
        <v>3.38</v>
      </c>
      <c r="X764" s="7" t="s">
        <v>1452</v>
      </c>
      <c r="Y764" s="7" t="s">
        <v>3484</v>
      </c>
      <c r="Z764" s="7" t="s">
        <v>278</v>
      </c>
      <c r="AA764" s="61">
        <v>0.86</v>
      </c>
      <c r="AB764" s="48" t="s">
        <v>10417</v>
      </c>
      <c r="AC764" s="78" t="s">
        <v>10413</v>
      </c>
      <c r="AD764" s="74" t="str">
        <f t="shared" ref="AD764:AD766" si="568">HYPERLINK("https://www.moreheadstate.edu/Academics/Find-A-Major","Link")</f>
        <v>Link</v>
      </c>
      <c r="AE764" s="54">
        <v>9752</v>
      </c>
      <c r="AF764" s="55"/>
      <c r="AG764" s="7"/>
      <c r="AH764" s="56">
        <v>157386</v>
      </c>
    </row>
    <row r="765" spans="1:34" ht="15" x14ac:dyDescent="0.2">
      <c r="A765" s="43" t="s">
        <v>10210</v>
      </c>
      <c r="B765" s="57" t="s">
        <v>935</v>
      </c>
      <c r="C765" s="7" t="s">
        <v>67</v>
      </c>
      <c r="D765" s="7" t="s">
        <v>10421</v>
      </c>
      <c r="E765" s="44">
        <v>5</v>
      </c>
      <c r="F765" s="7"/>
      <c r="G765" s="7"/>
      <c r="H765" s="2" t="s">
        <v>10408</v>
      </c>
      <c r="I765" s="7" t="s">
        <v>537</v>
      </c>
      <c r="J765" s="7" t="s">
        <v>10422</v>
      </c>
      <c r="K765" s="7" t="s">
        <v>55</v>
      </c>
      <c r="L765" s="7" t="s">
        <v>10423</v>
      </c>
      <c r="M765" s="7" t="s">
        <v>10424</v>
      </c>
      <c r="N765" s="45" t="str">
        <f t="shared" si="567"/>
        <v>@msueaglessb</v>
      </c>
      <c r="O765" s="7" t="s">
        <v>22</v>
      </c>
      <c r="P765" s="7" t="s">
        <v>10413</v>
      </c>
      <c r="Q765" s="57" t="s">
        <v>935</v>
      </c>
      <c r="R765" s="7" t="s">
        <v>10414</v>
      </c>
      <c r="S765" s="60" t="s">
        <v>205</v>
      </c>
      <c r="T765" s="49" t="s">
        <v>74</v>
      </c>
      <c r="U765" s="7" t="s">
        <v>75</v>
      </c>
      <c r="V765" s="7"/>
      <c r="W765" s="44">
        <v>3.38</v>
      </c>
      <c r="X765" s="7" t="s">
        <v>1452</v>
      </c>
      <c r="Y765" s="7" t="s">
        <v>3484</v>
      </c>
      <c r="Z765" s="7" t="s">
        <v>278</v>
      </c>
      <c r="AA765" s="61">
        <v>0.86</v>
      </c>
      <c r="AB765" s="48" t="s">
        <v>10417</v>
      </c>
      <c r="AC765" s="78" t="s">
        <v>10413</v>
      </c>
      <c r="AD765" s="74" t="str">
        <f t="shared" si="568"/>
        <v>Link</v>
      </c>
      <c r="AE765" s="54">
        <v>9752</v>
      </c>
      <c r="AF765" s="55"/>
      <c r="AG765" s="7"/>
      <c r="AH765" s="56">
        <v>157386</v>
      </c>
    </row>
    <row r="766" spans="1:34" ht="15" x14ac:dyDescent="0.2">
      <c r="A766" s="43" t="s">
        <v>10210</v>
      </c>
      <c r="B766" s="57" t="s">
        <v>935</v>
      </c>
      <c r="C766" s="7" t="s">
        <v>67</v>
      </c>
      <c r="D766" s="7" t="s">
        <v>10429</v>
      </c>
      <c r="E766" s="44">
        <v>5</v>
      </c>
      <c r="F766" s="7"/>
      <c r="G766" s="7"/>
      <c r="H766" s="2" t="s">
        <v>10408</v>
      </c>
      <c r="I766" s="7" t="s">
        <v>8775</v>
      </c>
      <c r="J766" s="7" t="s">
        <v>8131</v>
      </c>
      <c r="K766" s="7" t="s">
        <v>55</v>
      </c>
      <c r="L766" s="7" t="s">
        <v>10430</v>
      </c>
      <c r="M766" s="7" t="s">
        <v>10424</v>
      </c>
      <c r="N766" s="45" t="str">
        <f t="shared" si="567"/>
        <v>@msueaglessb</v>
      </c>
      <c r="O766" s="7" t="s">
        <v>22</v>
      </c>
      <c r="P766" s="7" t="s">
        <v>10413</v>
      </c>
      <c r="Q766" s="57" t="s">
        <v>935</v>
      </c>
      <c r="R766" s="7" t="s">
        <v>10414</v>
      </c>
      <c r="S766" s="60" t="s">
        <v>205</v>
      </c>
      <c r="T766" s="49" t="s">
        <v>74</v>
      </c>
      <c r="U766" s="7" t="s">
        <v>75</v>
      </c>
      <c r="V766" s="7"/>
      <c r="W766" s="44">
        <v>3.38</v>
      </c>
      <c r="X766" s="7" t="s">
        <v>1452</v>
      </c>
      <c r="Y766" s="7" t="s">
        <v>3484</v>
      </c>
      <c r="Z766" s="7" t="s">
        <v>278</v>
      </c>
      <c r="AA766" s="61">
        <v>0.86</v>
      </c>
      <c r="AB766" s="48" t="s">
        <v>10417</v>
      </c>
      <c r="AC766" s="78" t="s">
        <v>10413</v>
      </c>
      <c r="AD766" s="74" t="str">
        <f t="shared" si="568"/>
        <v>Link</v>
      </c>
      <c r="AE766" s="54">
        <v>9752</v>
      </c>
      <c r="AF766" s="55"/>
      <c r="AG766" s="7"/>
      <c r="AH766" s="56">
        <v>157386</v>
      </c>
    </row>
    <row r="767" spans="1:34" ht="15" x14ac:dyDescent="0.2">
      <c r="A767" s="43" t="s">
        <v>10210</v>
      </c>
      <c r="B767" s="57" t="s">
        <v>935</v>
      </c>
      <c r="C767" s="7" t="s">
        <v>67</v>
      </c>
      <c r="D767" s="7" t="s">
        <v>10441</v>
      </c>
      <c r="E767" s="44">
        <v>5</v>
      </c>
      <c r="F767" s="7"/>
      <c r="G767" s="7"/>
      <c r="H767" s="2" t="s">
        <v>10442</v>
      </c>
      <c r="I767" s="7" t="s">
        <v>2223</v>
      </c>
      <c r="J767" s="7" t="s">
        <v>10443</v>
      </c>
      <c r="K767" s="7" t="s">
        <v>48</v>
      </c>
      <c r="L767" s="7" t="s">
        <v>10444</v>
      </c>
      <c r="M767" s="7" t="s">
        <v>10445</v>
      </c>
      <c r="N767" s="45" t="str">
        <f t="shared" ref="N767:N770" si="569">HYPERLINK("twitter.com/racerssoftball","@racerssoftball")</f>
        <v>@racerssoftball</v>
      </c>
      <c r="O767" s="74" t="str">
        <f t="shared" ref="O767:O770" si="570">HYPERLINK("https://goracers.com/sb_output.aspx?form=3","Questionnaire")</f>
        <v>Questionnaire</v>
      </c>
      <c r="P767" s="7" t="s">
        <v>10453</v>
      </c>
      <c r="Q767" s="57" t="s">
        <v>935</v>
      </c>
      <c r="R767" s="7" t="s">
        <v>7334</v>
      </c>
      <c r="S767" s="48" t="s">
        <v>172</v>
      </c>
      <c r="T767" s="49" t="s">
        <v>74</v>
      </c>
      <c r="U767" s="7" t="s">
        <v>75</v>
      </c>
      <c r="V767" s="7"/>
      <c r="W767" s="44">
        <v>3.53</v>
      </c>
      <c r="X767" s="7" t="s">
        <v>10454</v>
      </c>
      <c r="Y767" s="7" t="s">
        <v>10455</v>
      </c>
      <c r="Z767" s="7" t="s">
        <v>545</v>
      </c>
      <c r="AA767" s="61">
        <v>0.85</v>
      </c>
      <c r="AB767" s="48" t="s">
        <v>10456</v>
      </c>
      <c r="AC767" s="78" t="s">
        <v>10453</v>
      </c>
      <c r="AD767" s="74" t="str">
        <f t="shared" ref="AD767:AD770" si="571">HYPERLINK("http://www.murraystate.edu/academics/regionalAcademicOutreach/RegionalCampus/paducah/degreePrograms.aspx","Link")</f>
        <v>Link</v>
      </c>
      <c r="AE767" s="54">
        <v>8877</v>
      </c>
      <c r="AF767" s="55"/>
      <c r="AG767" s="7"/>
      <c r="AH767" s="56">
        <v>157401</v>
      </c>
    </row>
    <row r="768" spans="1:34" ht="15" x14ac:dyDescent="0.2">
      <c r="A768" s="43" t="s">
        <v>10210</v>
      </c>
      <c r="B768" s="57" t="s">
        <v>935</v>
      </c>
      <c r="C768" s="7" t="s">
        <v>67</v>
      </c>
      <c r="D768" s="7" t="s">
        <v>10465</v>
      </c>
      <c r="E768" s="44">
        <v>5</v>
      </c>
      <c r="F768" s="7"/>
      <c r="G768" s="7"/>
      <c r="H768" s="2" t="s">
        <v>10442</v>
      </c>
      <c r="I768" s="7" t="s">
        <v>981</v>
      </c>
      <c r="J768" s="7" t="s">
        <v>10467</v>
      </c>
      <c r="K768" s="7" t="s">
        <v>55</v>
      </c>
      <c r="L768" s="7" t="s">
        <v>10469</v>
      </c>
      <c r="M768" s="7" t="s">
        <v>10470</v>
      </c>
      <c r="N768" s="45" t="str">
        <f t="shared" si="569"/>
        <v>@racerssoftball</v>
      </c>
      <c r="O768" s="74" t="str">
        <f t="shared" si="570"/>
        <v>Questionnaire</v>
      </c>
      <c r="P768" s="7" t="s">
        <v>10453</v>
      </c>
      <c r="Q768" s="57" t="s">
        <v>935</v>
      </c>
      <c r="R768" s="7" t="s">
        <v>7334</v>
      </c>
      <c r="S768" s="48" t="s">
        <v>172</v>
      </c>
      <c r="T768" s="49" t="s">
        <v>74</v>
      </c>
      <c r="U768" s="7" t="s">
        <v>75</v>
      </c>
      <c r="V768" s="7"/>
      <c r="W768" s="44">
        <v>3.53</v>
      </c>
      <c r="X768" s="7" t="s">
        <v>10454</v>
      </c>
      <c r="Y768" s="7" t="s">
        <v>10455</v>
      </c>
      <c r="Z768" s="7" t="s">
        <v>545</v>
      </c>
      <c r="AA768" s="61">
        <v>0.85</v>
      </c>
      <c r="AB768" s="48" t="s">
        <v>10456</v>
      </c>
      <c r="AC768" s="78" t="s">
        <v>10453</v>
      </c>
      <c r="AD768" s="74" t="str">
        <f t="shared" si="571"/>
        <v>Link</v>
      </c>
      <c r="AE768" s="54">
        <v>8877</v>
      </c>
      <c r="AF768" s="55"/>
      <c r="AG768" s="7"/>
      <c r="AH768" s="56">
        <v>157401</v>
      </c>
    </row>
    <row r="769" spans="1:36" ht="15" x14ac:dyDescent="0.2">
      <c r="A769" s="43" t="s">
        <v>10210</v>
      </c>
      <c r="B769" s="57" t="s">
        <v>935</v>
      </c>
      <c r="C769" s="7" t="s">
        <v>67</v>
      </c>
      <c r="D769" s="7" t="s">
        <v>10474</v>
      </c>
      <c r="E769" s="44">
        <v>5</v>
      </c>
      <c r="F769" s="7"/>
      <c r="G769" s="7"/>
      <c r="H769" s="2" t="s">
        <v>10442</v>
      </c>
      <c r="I769" s="7" t="s">
        <v>8939</v>
      </c>
      <c r="J769" s="7" t="s">
        <v>7709</v>
      </c>
      <c r="K769" s="7" t="s">
        <v>120</v>
      </c>
      <c r="L769" s="7" t="s">
        <v>10476</v>
      </c>
      <c r="M769" s="7" t="s">
        <v>10477</v>
      </c>
      <c r="N769" s="69" t="str">
        <f t="shared" si="569"/>
        <v>@racerssoftball</v>
      </c>
      <c r="O769" s="74" t="str">
        <f t="shared" si="570"/>
        <v>Questionnaire</v>
      </c>
      <c r="P769" s="7" t="s">
        <v>10453</v>
      </c>
      <c r="Q769" s="57" t="s">
        <v>935</v>
      </c>
      <c r="R769" s="7" t="s">
        <v>7334</v>
      </c>
      <c r="S769" s="48" t="s">
        <v>172</v>
      </c>
      <c r="T769" s="49" t="s">
        <v>74</v>
      </c>
      <c r="U769" s="7" t="s">
        <v>75</v>
      </c>
      <c r="V769" s="7"/>
      <c r="W769" s="44">
        <v>3.53</v>
      </c>
      <c r="X769" s="7" t="s">
        <v>10454</v>
      </c>
      <c r="Y769" s="7" t="s">
        <v>10455</v>
      </c>
      <c r="Z769" s="7" t="s">
        <v>545</v>
      </c>
      <c r="AA769" s="61">
        <v>0.85</v>
      </c>
      <c r="AB769" s="48" t="s">
        <v>10456</v>
      </c>
      <c r="AC769" s="78" t="s">
        <v>10453</v>
      </c>
      <c r="AD769" s="74" t="str">
        <f t="shared" si="571"/>
        <v>Link</v>
      </c>
      <c r="AE769" s="54">
        <v>8877</v>
      </c>
      <c r="AF769" s="55"/>
      <c r="AG769" s="7"/>
      <c r="AH769" s="56">
        <v>157401</v>
      </c>
    </row>
    <row r="770" spans="1:36" ht="15" x14ac:dyDescent="0.2">
      <c r="A770" s="43" t="s">
        <v>10210</v>
      </c>
      <c r="B770" s="57" t="s">
        <v>935</v>
      </c>
      <c r="C770" s="7" t="s">
        <v>67</v>
      </c>
      <c r="D770" s="7" t="s">
        <v>10483</v>
      </c>
      <c r="E770" s="44">
        <v>5</v>
      </c>
      <c r="F770" s="7"/>
      <c r="G770" s="7"/>
      <c r="H770" s="2" t="s">
        <v>10442</v>
      </c>
      <c r="I770" s="7" t="s">
        <v>1905</v>
      </c>
      <c r="J770" s="7" t="s">
        <v>10485</v>
      </c>
      <c r="K770" s="7" t="s">
        <v>139</v>
      </c>
      <c r="L770" s="7" t="s">
        <v>10487</v>
      </c>
      <c r="M770" s="7" t="s">
        <v>10477</v>
      </c>
      <c r="N770" s="69" t="str">
        <f t="shared" si="569"/>
        <v>@racerssoftball</v>
      </c>
      <c r="O770" s="74" t="str">
        <f t="shared" si="570"/>
        <v>Questionnaire</v>
      </c>
      <c r="P770" s="7" t="s">
        <v>10453</v>
      </c>
      <c r="Q770" s="57" t="s">
        <v>935</v>
      </c>
      <c r="R770" s="7" t="s">
        <v>7334</v>
      </c>
      <c r="S770" s="48" t="s">
        <v>172</v>
      </c>
      <c r="T770" s="49" t="s">
        <v>74</v>
      </c>
      <c r="U770" s="7" t="s">
        <v>75</v>
      </c>
      <c r="V770" s="7"/>
      <c r="W770" s="44">
        <v>3.53</v>
      </c>
      <c r="X770" s="7" t="s">
        <v>10454</v>
      </c>
      <c r="Y770" s="7" t="s">
        <v>10455</v>
      </c>
      <c r="Z770" s="7" t="s">
        <v>545</v>
      </c>
      <c r="AA770" s="61">
        <v>0.85</v>
      </c>
      <c r="AB770" s="48" t="s">
        <v>10456</v>
      </c>
      <c r="AC770" s="78" t="s">
        <v>10453</v>
      </c>
      <c r="AD770" s="74" t="str">
        <f t="shared" si="571"/>
        <v>Link</v>
      </c>
      <c r="AE770" s="54">
        <v>8877</v>
      </c>
      <c r="AF770" s="55"/>
      <c r="AG770" s="7"/>
      <c r="AH770" s="56">
        <v>157401</v>
      </c>
    </row>
    <row r="771" spans="1:36" ht="15" x14ac:dyDescent="0.2">
      <c r="A771" s="43" t="s">
        <v>10210</v>
      </c>
      <c r="B771" s="57" t="s">
        <v>2246</v>
      </c>
      <c r="C771" s="7" t="s">
        <v>67</v>
      </c>
      <c r="D771" s="7" t="s">
        <v>10489</v>
      </c>
      <c r="E771" s="44">
        <v>5</v>
      </c>
      <c r="F771" s="7"/>
      <c r="G771" s="7"/>
      <c r="H771" s="2" t="s">
        <v>10490</v>
      </c>
      <c r="I771" s="7" t="s">
        <v>904</v>
      </c>
      <c r="J771" s="7" t="s">
        <v>10492</v>
      </c>
      <c r="K771" s="7" t="s">
        <v>48</v>
      </c>
      <c r="L771" s="7" t="s">
        <v>10493</v>
      </c>
      <c r="M771" s="7" t="s">
        <v>10495</v>
      </c>
      <c r="N771" s="69" t="str">
        <f t="shared" ref="N771:N773" si="572">HYPERLINK("twitter.com/semosoftball","@semosoftball")</f>
        <v>@semosoftball</v>
      </c>
      <c r="O771" s="74" t="str">
        <f t="shared" ref="O771:O773" si="573">HYPERLINK("https://gosoutheast.com/documents/2015/11/4/SoftballRecruitingQuestionnaire.pdf","Questionnaire")</f>
        <v>Questionnaire</v>
      </c>
      <c r="P771" s="7" t="s">
        <v>10499</v>
      </c>
      <c r="Q771" s="57" t="s">
        <v>2246</v>
      </c>
      <c r="R771" s="7" t="s">
        <v>10500</v>
      </c>
      <c r="S771" s="48" t="s">
        <v>468</v>
      </c>
      <c r="T771" s="73" t="s">
        <v>74</v>
      </c>
      <c r="U771" s="7" t="s">
        <v>75</v>
      </c>
      <c r="V771" s="7"/>
      <c r="W771" s="44">
        <v>3.43</v>
      </c>
      <c r="X771" s="7" t="s">
        <v>10504</v>
      </c>
      <c r="Y771" s="7" t="s">
        <v>10505</v>
      </c>
      <c r="Z771" s="7" t="s">
        <v>1994</v>
      </c>
      <c r="AA771" s="61">
        <v>0.83</v>
      </c>
      <c r="AB771" s="48" t="s">
        <v>10506</v>
      </c>
      <c r="AC771" s="78" t="s">
        <v>10499</v>
      </c>
      <c r="AD771" s="74" t="str">
        <f t="shared" ref="AD771:AD773" si="574">HYPERLINK("http://www.semo.edu/study/index.html","Link")</f>
        <v>Link</v>
      </c>
      <c r="AE771" s="54">
        <v>10693</v>
      </c>
      <c r="AF771" s="55"/>
      <c r="AG771" s="7"/>
      <c r="AH771" s="56">
        <v>179557</v>
      </c>
    </row>
    <row r="772" spans="1:36" ht="15" x14ac:dyDescent="0.2">
      <c r="A772" s="43" t="s">
        <v>10210</v>
      </c>
      <c r="B772" s="57" t="s">
        <v>2246</v>
      </c>
      <c r="C772" s="7" t="s">
        <v>67</v>
      </c>
      <c r="D772" s="7" t="s">
        <v>10515</v>
      </c>
      <c r="E772" s="44">
        <v>5</v>
      </c>
      <c r="F772" s="7"/>
      <c r="G772" s="7"/>
      <c r="H772" s="2" t="s">
        <v>10490</v>
      </c>
      <c r="I772" s="7" t="s">
        <v>435</v>
      </c>
      <c r="J772" s="7" t="s">
        <v>812</v>
      </c>
      <c r="K772" s="7" t="s">
        <v>55</v>
      </c>
      <c r="L772" s="7" t="s">
        <v>10516</v>
      </c>
      <c r="M772" s="7" t="s">
        <v>10495</v>
      </c>
      <c r="N772" s="69" t="str">
        <f t="shared" si="572"/>
        <v>@semosoftball</v>
      </c>
      <c r="O772" s="74" t="str">
        <f t="shared" si="573"/>
        <v>Questionnaire</v>
      </c>
      <c r="P772" s="7" t="s">
        <v>10499</v>
      </c>
      <c r="Q772" s="57" t="s">
        <v>2246</v>
      </c>
      <c r="R772" s="7" t="s">
        <v>10500</v>
      </c>
      <c r="S772" s="48" t="s">
        <v>468</v>
      </c>
      <c r="T772" s="73" t="s">
        <v>74</v>
      </c>
      <c r="U772" s="7" t="s">
        <v>75</v>
      </c>
      <c r="V772" s="7"/>
      <c r="W772" s="44">
        <v>3.43</v>
      </c>
      <c r="X772" s="7" t="s">
        <v>10504</v>
      </c>
      <c r="Y772" s="7" t="s">
        <v>10505</v>
      </c>
      <c r="Z772" s="7" t="s">
        <v>1994</v>
      </c>
      <c r="AA772" s="61">
        <v>0.83</v>
      </c>
      <c r="AB772" s="48" t="s">
        <v>10506</v>
      </c>
      <c r="AC772" s="78" t="s">
        <v>10499</v>
      </c>
      <c r="AD772" s="74" t="str">
        <f t="shared" si="574"/>
        <v>Link</v>
      </c>
      <c r="AE772" s="54">
        <v>10693</v>
      </c>
      <c r="AF772" s="55"/>
      <c r="AG772" s="7"/>
      <c r="AH772" s="56">
        <v>179557</v>
      </c>
    </row>
    <row r="773" spans="1:36" ht="15" x14ac:dyDescent="0.2">
      <c r="A773" s="43" t="s">
        <v>10210</v>
      </c>
      <c r="B773" s="57" t="s">
        <v>2246</v>
      </c>
      <c r="C773" s="7" t="s">
        <v>67</v>
      </c>
      <c r="D773" s="7" t="s">
        <v>10524</v>
      </c>
      <c r="E773" s="44">
        <v>5</v>
      </c>
      <c r="F773" s="7"/>
      <c r="G773" s="7"/>
      <c r="H773" s="2" t="s">
        <v>10490</v>
      </c>
      <c r="I773" s="7" t="s">
        <v>10525</v>
      </c>
      <c r="J773" s="7" t="s">
        <v>10526</v>
      </c>
      <c r="K773" s="7" t="s">
        <v>55</v>
      </c>
      <c r="L773" s="7" t="s">
        <v>10527</v>
      </c>
      <c r="M773" s="7" t="s">
        <v>10495</v>
      </c>
      <c r="N773" s="69" t="str">
        <f t="shared" si="572"/>
        <v>@semosoftball</v>
      </c>
      <c r="O773" s="74" t="str">
        <f t="shared" si="573"/>
        <v>Questionnaire</v>
      </c>
      <c r="P773" s="7" t="s">
        <v>10499</v>
      </c>
      <c r="Q773" s="57" t="s">
        <v>2246</v>
      </c>
      <c r="R773" s="7" t="s">
        <v>10500</v>
      </c>
      <c r="S773" s="48" t="s">
        <v>468</v>
      </c>
      <c r="T773" s="73" t="s">
        <v>74</v>
      </c>
      <c r="U773" s="7" t="s">
        <v>75</v>
      </c>
      <c r="V773" s="7"/>
      <c r="W773" s="44">
        <v>3.43</v>
      </c>
      <c r="X773" s="7" t="s">
        <v>10504</v>
      </c>
      <c r="Y773" s="7" t="s">
        <v>10505</v>
      </c>
      <c r="Z773" s="7" t="s">
        <v>1994</v>
      </c>
      <c r="AA773" s="61">
        <v>0.83</v>
      </c>
      <c r="AB773" s="48" t="s">
        <v>10506</v>
      </c>
      <c r="AC773" s="78" t="s">
        <v>10499</v>
      </c>
      <c r="AD773" s="74" t="str">
        <f t="shared" si="574"/>
        <v>Link</v>
      </c>
      <c r="AE773" s="54">
        <v>10693</v>
      </c>
      <c r="AF773" s="55"/>
      <c r="AG773" s="7"/>
      <c r="AH773" s="56">
        <v>179557</v>
      </c>
    </row>
    <row r="774" spans="1:36" ht="15" x14ac:dyDescent="0.2">
      <c r="A774" s="43" t="s">
        <v>10210</v>
      </c>
      <c r="B774" s="57" t="s">
        <v>1721</v>
      </c>
      <c r="C774" s="7" t="s">
        <v>67</v>
      </c>
      <c r="D774" s="7" t="s">
        <v>10532</v>
      </c>
      <c r="E774" s="44">
        <v>5</v>
      </c>
      <c r="F774" s="7"/>
      <c r="G774" s="7"/>
      <c r="H774" s="2" t="s">
        <v>10533</v>
      </c>
      <c r="I774" s="7" t="s">
        <v>201</v>
      </c>
      <c r="J774" s="7" t="s">
        <v>812</v>
      </c>
      <c r="K774" s="7" t="s">
        <v>48</v>
      </c>
      <c r="L774" s="7" t="s">
        <v>10534</v>
      </c>
      <c r="M774" s="7"/>
      <c r="N774" s="69" t="str">
        <f t="shared" ref="N774:N777" si="575">HYPERLINK("twitter.com/SIUeSoftball","@SIUeSoftball")</f>
        <v>@SIUeSoftball</v>
      </c>
      <c r="O774" s="74" t="str">
        <f t="shared" ref="O774:O777" si="576">HYPERLINK("https://www.siuecougars.com/recruiting/index","Questionnaire")</f>
        <v>Questionnaire</v>
      </c>
      <c r="P774" s="7" t="s">
        <v>10538</v>
      </c>
      <c r="Q774" s="57" t="s">
        <v>1721</v>
      </c>
      <c r="R774" s="7" t="s">
        <v>10539</v>
      </c>
      <c r="S774" s="48" t="s">
        <v>468</v>
      </c>
      <c r="T774" s="49" t="s">
        <v>74</v>
      </c>
      <c r="U774" s="7" t="s">
        <v>75</v>
      </c>
      <c r="V774" s="7"/>
      <c r="W774" s="44">
        <v>3.43</v>
      </c>
      <c r="X774" s="7" t="s">
        <v>10540</v>
      </c>
      <c r="Y774" s="7" t="s">
        <v>7037</v>
      </c>
      <c r="Z774" s="7" t="s">
        <v>278</v>
      </c>
      <c r="AA774" s="61">
        <v>0.89</v>
      </c>
      <c r="AB774" s="48" t="s">
        <v>10542</v>
      </c>
      <c r="AC774" s="40" t="s">
        <v>10538</v>
      </c>
      <c r="AD774" s="74" t="str">
        <f t="shared" ref="AD774:AD777" si="577">HYPERLINK("http://www.siue.edu/artsandsciences/dept_prog.shtml","Link")</f>
        <v>Link</v>
      </c>
      <c r="AE774" s="54">
        <v>11720</v>
      </c>
      <c r="AF774" s="55"/>
      <c r="AG774" s="7"/>
      <c r="AH774" s="56">
        <v>149231</v>
      </c>
    </row>
    <row r="775" spans="1:36" ht="15" x14ac:dyDescent="0.2">
      <c r="A775" s="43" t="s">
        <v>10210</v>
      </c>
      <c r="B775" s="57" t="s">
        <v>1721</v>
      </c>
      <c r="C775" s="7" t="s">
        <v>67</v>
      </c>
      <c r="D775" s="7" t="s">
        <v>10550</v>
      </c>
      <c r="E775" s="44">
        <v>5</v>
      </c>
      <c r="F775" s="7"/>
      <c r="G775" s="7"/>
      <c r="H775" s="2" t="s">
        <v>10533</v>
      </c>
      <c r="I775" s="7" t="s">
        <v>1726</v>
      </c>
      <c r="J775" s="7" t="s">
        <v>10551</v>
      </c>
      <c r="K775" s="7" t="s">
        <v>55</v>
      </c>
      <c r="L775" s="7" t="s">
        <v>10552</v>
      </c>
      <c r="M775" s="7"/>
      <c r="N775" s="69" t="str">
        <f t="shared" si="575"/>
        <v>@SIUeSoftball</v>
      </c>
      <c r="O775" s="74" t="str">
        <f t="shared" si="576"/>
        <v>Questionnaire</v>
      </c>
      <c r="P775" s="7" t="s">
        <v>10538</v>
      </c>
      <c r="Q775" s="57" t="s">
        <v>1721</v>
      </c>
      <c r="R775" s="7" t="s">
        <v>10539</v>
      </c>
      <c r="S775" s="48" t="s">
        <v>468</v>
      </c>
      <c r="T775" s="49" t="s">
        <v>74</v>
      </c>
      <c r="U775" s="7" t="s">
        <v>75</v>
      </c>
      <c r="V775" s="7"/>
      <c r="W775" s="44">
        <v>3.43</v>
      </c>
      <c r="X775" s="7" t="s">
        <v>10540</v>
      </c>
      <c r="Y775" s="7" t="s">
        <v>7037</v>
      </c>
      <c r="Z775" s="7" t="s">
        <v>278</v>
      </c>
      <c r="AA775" s="61">
        <v>0.89</v>
      </c>
      <c r="AB775" s="48" t="s">
        <v>10542</v>
      </c>
      <c r="AC775" s="40" t="s">
        <v>10538</v>
      </c>
      <c r="AD775" s="74" t="str">
        <f t="shared" si="577"/>
        <v>Link</v>
      </c>
      <c r="AE775" s="54">
        <v>11720</v>
      </c>
      <c r="AF775" s="55"/>
      <c r="AG775" s="7"/>
      <c r="AH775" s="56">
        <v>149231</v>
      </c>
    </row>
    <row r="776" spans="1:36" ht="15" x14ac:dyDescent="0.2">
      <c r="A776" s="43" t="s">
        <v>10210</v>
      </c>
      <c r="B776" s="57" t="s">
        <v>1721</v>
      </c>
      <c r="C776" s="7" t="s">
        <v>67</v>
      </c>
      <c r="D776" s="7" t="s">
        <v>10560</v>
      </c>
      <c r="E776" s="44">
        <v>5</v>
      </c>
      <c r="F776" s="7"/>
      <c r="G776" s="7"/>
      <c r="H776" s="2" t="s">
        <v>10533</v>
      </c>
      <c r="I776" s="7" t="s">
        <v>10561</v>
      </c>
      <c r="J776" s="7" t="s">
        <v>6278</v>
      </c>
      <c r="K776" s="7" t="s">
        <v>55</v>
      </c>
      <c r="L776" s="7" t="s">
        <v>10562</v>
      </c>
      <c r="M776" s="7"/>
      <c r="N776" s="69" t="str">
        <f t="shared" si="575"/>
        <v>@SIUeSoftball</v>
      </c>
      <c r="O776" s="74" t="str">
        <f t="shared" si="576"/>
        <v>Questionnaire</v>
      </c>
      <c r="P776" s="7" t="s">
        <v>10538</v>
      </c>
      <c r="Q776" s="57" t="s">
        <v>1721</v>
      </c>
      <c r="R776" s="7" t="s">
        <v>10539</v>
      </c>
      <c r="S776" s="48" t="s">
        <v>468</v>
      </c>
      <c r="T776" s="49" t="s">
        <v>74</v>
      </c>
      <c r="U776" s="7" t="s">
        <v>75</v>
      </c>
      <c r="V776" s="7"/>
      <c r="W776" s="44">
        <v>3.43</v>
      </c>
      <c r="X776" s="7" t="s">
        <v>10540</v>
      </c>
      <c r="Y776" s="7" t="s">
        <v>7037</v>
      </c>
      <c r="Z776" s="7" t="s">
        <v>278</v>
      </c>
      <c r="AA776" s="61">
        <v>0.89</v>
      </c>
      <c r="AB776" s="48" t="s">
        <v>10542</v>
      </c>
      <c r="AC776" s="40" t="s">
        <v>10538</v>
      </c>
      <c r="AD776" s="74" t="str">
        <f t="shared" si="577"/>
        <v>Link</v>
      </c>
      <c r="AE776" s="54">
        <v>11720</v>
      </c>
      <c r="AF776" s="55"/>
      <c r="AG776" s="7"/>
      <c r="AH776" s="56">
        <v>149231</v>
      </c>
    </row>
    <row r="777" spans="1:36" ht="15" x14ac:dyDescent="0.2">
      <c r="A777" s="43" t="s">
        <v>10210</v>
      </c>
      <c r="B777" s="57" t="s">
        <v>1721</v>
      </c>
      <c r="C777" s="7" t="s">
        <v>67</v>
      </c>
      <c r="D777" s="7" t="s">
        <v>10570</v>
      </c>
      <c r="E777" s="44">
        <v>5</v>
      </c>
      <c r="F777" s="7"/>
      <c r="G777" s="7"/>
      <c r="H777" s="2" t="s">
        <v>10533</v>
      </c>
      <c r="I777" s="7" t="s">
        <v>6856</v>
      </c>
      <c r="J777" s="7" t="s">
        <v>10571</v>
      </c>
      <c r="K777" s="7" t="s">
        <v>139</v>
      </c>
      <c r="L777" s="7" t="s">
        <v>10572</v>
      </c>
      <c r="M777" s="7"/>
      <c r="N777" s="69" t="str">
        <f t="shared" si="575"/>
        <v>@SIUeSoftball</v>
      </c>
      <c r="O777" s="74" t="str">
        <f t="shared" si="576"/>
        <v>Questionnaire</v>
      </c>
      <c r="P777" s="7" t="s">
        <v>10538</v>
      </c>
      <c r="Q777" s="57" t="s">
        <v>1721</v>
      </c>
      <c r="R777" s="7" t="s">
        <v>10539</v>
      </c>
      <c r="S777" s="48" t="s">
        <v>468</v>
      </c>
      <c r="T777" s="49" t="s">
        <v>74</v>
      </c>
      <c r="U777" s="7" t="s">
        <v>75</v>
      </c>
      <c r="V777" s="7"/>
      <c r="W777" s="44">
        <v>3.43</v>
      </c>
      <c r="X777" s="7" t="s">
        <v>10540</v>
      </c>
      <c r="Y777" s="7" t="s">
        <v>7037</v>
      </c>
      <c r="Z777" s="7" t="s">
        <v>278</v>
      </c>
      <c r="AA777" s="61">
        <v>0.89</v>
      </c>
      <c r="AB777" s="48" t="s">
        <v>10542</v>
      </c>
      <c r="AC777" s="40" t="s">
        <v>10538</v>
      </c>
      <c r="AD777" s="74" t="str">
        <f t="shared" si="577"/>
        <v>Link</v>
      </c>
      <c r="AE777" s="54">
        <v>11720</v>
      </c>
      <c r="AF777" s="55"/>
      <c r="AG777" s="7"/>
      <c r="AH777" s="56">
        <v>149231</v>
      </c>
    </row>
    <row r="778" spans="1:36" ht="15" x14ac:dyDescent="0.2">
      <c r="A778" s="32" t="s">
        <v>10210</v>
      </c>
      <c r="B778" s="33" t="s">
        <v>346</v>
      </c>
      <c r="C778" s="35" t="s">
        <v>67</v>
      </c>
      <c r="D778" s="57"/>
      <c r="E778" s="83">
        <v>5</v>
      </c>
      <c r="F778" s="7"/>
      <c r="G778" s="57"/>
      <c r="H778" s="2" t="s">
        <v>10579</v>
      </c>
      <c r="I778" s="2" t="s">
        <v>1327</v>
      </c>
      <c r="J778" s="2" t="s">
        <v>10582</v>
      </c>
      <c r="K778" s="2" t="s">
        <v>48</v>
      </c>
      <c r="L778" s="2" t="s">
        <v>10583</v>
      </c>
      <c r="M778" s="2" t="s">
        <v>10584</v>
      </c>
      <c r="N778" s="7"/>
      <c r="O778" s="7"/>
      <c r="P778" s="48" t="s">
        <v>10585</v>
      </c>
      <c r="Q778" s="60" t="s">
        <v>346</v>
      </c>
      <c r="R778" s="48" t="s">
        <v>2450</v>
      </c>
      <c r="S778" s="6" t="s">
        <v>354</v>
      </c>
      <c r="T778" s="5" t="s">
        <v>74</v>
      </c>
      <c r="U778" s="48" t="s">
        <v>75</v>
      </c>
      <c r="V778" s="49" t="s">
        <v>212</v>
      </c>
      <c r="W778" s="37">
        <v>2.86</v>
      </c>
      <c r="X778" s="49" t="s">
        <v>214</v>
      </c>
      <c r="Y778" s="49" t="s">
        <v>214</v>
      </c>
      <c r="Z778" s="49" t="s">
        <v>214</v>
      </c>
      <c r="AA778" s="8" t="s">
        <v>214</v>
      </c>
      <c r="AB778" s="48" t="s">
        <v>10587</v>
      </c>
      <c r="AC778" s="84" t="s">
        <v>10585</v>
      </c>
      <c r="AD778" s="53" t="str">
        <f t="shared" ref="AD778:AD779" si="578">HYPERLINK("http://www.tnstate.edu/undergraduate/","Link")</f>
        <v>Link</v>
      </c>
      <c r="AE778" s="42">
        <v>7014</v>
      </c>
      <c r="AF778" s="55"/>
      <c r="AG778" s="55"/>
      <c r="AH778" s="56">
        <v>221838</v>
      </c>
      <c r="AI778" s="56" t="s">
        <v>2459</v>
      </c>
      <c r="AJ778" s="56"/>
    </row>
    <row r="779" spans="1:36" ht="15" x14ac:dyDescent="0.2">
      <c r="A779" s="32" t="s">
        <v>10210</v>
      </c>
      <c r="B779" s="33" t="s">
        <v>346</v>
      </c>
      <c r="C779" s="35" t="s">
        <v>67</v>
      </c>
      <c r="D779" s="57"/>
      <c r="E779" s="83">
        <v>5</v>
      </c>
      <c r="F779" s="7"/>
      <c r="G779" s="57"/>
      <c r="H779" s="2" t="s">
        <v>10579</v>
      </c>
      <c r="I779" s="2" t="s">
        <v>10592</v>
      </c>
      <c r="J779" s="2" t="s">
        <v>10593</v>
      </c>
      <c r="K779" s="2" t="s">
        <v>55</v>
      </c>
      <c r="L779" s="2" t="s">
        <v>10594</v>
      </c>
      <c r="M779" s="2"/>
      <c r="N779" s="7"/>
      <c r="O779" s="7"/>
      <c r="P779" s="48" t="s">
        <v>10585</v>
      </c>
      <c r="Q779" s="60" t="s">
        <v>346</v>
      </c>
      <c r="R779" s="48" t="s">
        <v>2450</v>
      </c>
      <c r="S779" s="6" t="s">
        <v>354</v>
      </c>
      <c r="T779" s="5" t="s">
        <v>74</v>
      </c>
      <c r="U779" s="48" t="s">
        <v>75</v>
      </c>
      <c r="V779" s="49" t="s">
        <v>212</v>
      </c>
      <c r="W779" s="37">
        <v>2.86</v>
      </c>
      <c r="X779" s="49" t="s">
        <v>214</v>
      </c>
      <c r="Y779" s="49" t="s">
        <v>214</v>
      </c>
      <c r="Z779" s="49" t="s">
        <v>214</v>
      </c>
      <c r="AA779" s="8" t="s">
        <v>214</v>
      </c>
      <c r="AB779" s="48" t="s">
        <v>10587</v>
      </c>
      <c r="AC779" s="84" t="s">
        <v>10585</v>
      </c>
      <c r="AD779" s="53" t="str">
        <f t="shared" si="578"/>
        <v>Link</v>
      </c>
      <c r="AE779" s="42">
        <v>7014</v>
      </c>
      <c r="AF779" s="55"/>
      <c r="AG779" s="55"/>
      <c r="AH779" s="56">
        <v>221838</v>
      </c>
      <c r="AI779" s="56" t="s">
        <v>2459</v>
      </c>
      <c r="AJ779" s="56"/>
    </row>
    <row r="780" spans="1:36" ht="15" x14ac:dyDescent="0.2">
      <c r="A780" s="43" t="s">
        <v>10210</v>
      </c>
      <c r="B780" s="57" t="s">
        <v>346</v>
      </c>
      <c r="C780" s="7" t="s">
        <v>67</v>
      </c>
      <c r="D780" s="7" t="s">
        <v>10595</v>
      </c>
      <c r="E780" s="44">
        <v>5</v>
      </c>
      <c r="F780" s="7"/>
      <c r="G780" s="7"/>
      <c r="H780" s="2" t="s">
        <v>10597</v>
      </c>
      <c r="I780" s="7" t="s">
        <v>1280</v>
      </c>
      <c r="J780" s="7" t="s">
        <v>10600</v>
      </c>
      <c r="K780" s="7" t="s">
        <v>48</v>
      </c>
      <c r="L780" s="7" t="s">
        <v>10602</v>
      </c>
      <c r="M780" s="7" t="s">
        <v>10604</v>
      </c>
      <c r="N780" s="69" t="str">
        <f t="shared" ref="N780:N782" si="579">HYPERLINK("twitter.com/ttu_softball","@ttu_softball")</f>
        <v>@ttu_softball</v>
      </c>
      <c r="O780" s="74" t="str">
        <f t="shared" ref="O780:O782" si="580">HYPERLINK("https://www.ttusports.com/be_a_golden_eagle/questionnaire_page","Questionnaire")</f>
        <v>Questionnaire</v>
      </c>
      <c r="P780" s="7" t="s">
        <v>10608</v>
      </c>
      <c r="Q780" s="57" t="s">
        <v>346</v>
      </c>
      <c r="R780" s="48" t="s">
        <v>10609</v>
      </c>
      <c r="S780" s="48" t="s">
        <v>468</v>
      </c>
      <c r="T780" s="73" t="s">
        <v>74</v>
      </c>
      <c r="U780" s="49" t="s">
        <v>75</v>
      </c>
      <c r="V780" s="7"/>
      <c r="W780" s="44">
        <v>3.5</v>
      </c>
      <c r="X780" s="7" t="s">
        <v>3341</v>
      </c>
      <c r="Y780" s="7" t="s">
        <v>344</v>
      </c>
      <c r="Z780" s="49" t="s">
        <v>545</v>
      </c>
      <c r="AA780" s="61">
        <v>0.67</v>
      </c>
      <c r="AB780" s="48" t="s">
        <v>10610</v>
      </c>
      <c r="AC780" s="62" t="s">
        <v>10608</v>
      </c>
      <c r="AD780" s="53" t="str">
        <f t="shared" ref="AD780:AD782" si="581">HYPERLINK("https://www.tntech.edu/admissions/undergraduates/majors","Link")</f>
        <v>Link</v>
      </c>
      <c r="AE780" s="54">
        <v>9438</v>
      </c>
      <c r="AF780" s="55"/>
      <c r="AG780" s="7"/>
      <c r="AH780" s="56">
        <v>221847</v>
      </c>
    </row>
    <row r="781" spans="1:36" ht="15" x14ac:dyDescent="0.2">
      <c r="A781" s="43" t="s">
        <v>10210</v>
      </c>
      <c r="B781" s="57" t="s">
        <v>346</v>
      </c>
      <c r="C781" s="7" t="s">
        <v>67</v>
      </c>
      <c r="D781" s="7" t="s">
        <v>10616</v>
      </c>
      <c r="E781" s="44">
        <v>5</v>
      </c>
      <c r="F781" s="7"/>
      <c r="G781" s="7"/>
      <c r="H781" s="2" t="s">
        <v>10597</v>
      </c>
      <c r="I781" s="7" t="s">
        <v>4044</v>
      </c>
      <c r="J781" s="7" t="s">
        <v>9738</v>
      </c>
      <c r="K781" s="7" t="s">
        <v>55</v>
      </c>
      <c r="L781" s="7" t="s">
        <v>10617</v>
      </c>
      <c r="M781" s="7" t="s">
        <v>10604</v>
      </c>
      <c r="N781" s="69" t="str">
        <f t="shared" si="579"/>
        <v>@ttu_softball</v>
      </c>
      <c r="O781" s="74" t="str">
        <f t="shared" si="580"/>
        <v>Questionnaire</v>
      </c>
      <c r="P781" s="7" t="s">
        <v>10608</v>
      </c>
      <c r="Q781" s="57" t="s">
        <v>346</v>
      </c>
      <c r="R781" s="48" t="s">
        <v>10609</v>
      </c>
      <c r="S781" s="48" t="s">
        <v>468</v>
      </c>
      <c r="T781" s="73" t="s">
        <v>74</v>
      </c>
      <c r="U781" s="49" t="s">
        <v>75</v>
      </c>
      <c r="V781" s="7"/>
      <c r="W781" s="44">
        <v>3.5</v>
      </c>
      <c r="X781" s="7" t="s">
        <v>3341</v>
      </c>
      <c r="Y781" s="7" t="s">
        <v>344</v>
      </c>
      <c r="Z781" s="49" t="s">
        <v>545</v>
      </c>
      <c r="AA781" s="61">
        <v>0.67</v>
      </c>
      <c r="AB781" s="48" t="s">
        <v>10610</v>
      </c>
      <c r="AC781" s="62" t="s">
        <v>10608</v>
      </c>
      <c r="AD781" s="53" t="str">
        <f t="shared" si="581"/>
        <v>Link</v>
      </c>
      <c r="AE781" s="54">
        <v>9438</v>
      </c>
      <c r="AF781" s="55"/>
      <c r="AG781" s="7"/>
      <c r="AH781" s="56">
        <v>221847</v>
      </c>
    </row>
    <row r="782" spans="1:36" ht="15" x14ac:dyDescent="0.2">
      <c r="A782" s="43" t="s">
        <v>10210</v>
      </c>
      <c r="B782" s="57" t="s">
        <v>346</v>
      </c>
      <c r="C782" s="7" t="s">
        <v>67</v>
      </c>
      <c r="D782" s="7" t="s">
        <v>10622</v>
      </c>
      <c r="E782" s="44">
        <v>5</v>
      </c>
      <c r="F782" s="7"/>
      <c r="G782" s="7"/>
      <c r="H782" s="2" t="s">
        <v>10597</v>
      </c>
      <c r="I782" s="7" t="s">
        <v>306</v>
      </c>
      <c r="J782" s="7" t="s">
        <v>10624</v>
      </c>
      <c r="K782" s="7" t="s">
        <v>55</v>
      </c>
      <c r="L782" s="7" t="s">
        <v>10625</v>
      </c>
      <c r="M782" s="7" t="s">
        <v>10604</v>
      </c>
      <c r="N782" s="69" t="str">
        <f t="shared" si="579"/>
        <v>@ttu_softball</v>
      </c>
      <c r="O782" s="74" t="str">
        <f t="shared" si="580"/>
        <v>Questionnaire</v>
      </c>
      <c r="P782" s="7" t="s">
        <v>10608</v>
      </c>
      <c r="Q782" s="57" t="s">
        <v>346</v>
      </c>
      <c r="R782" s="48" t="s">
        <v>10609</v>
      </c>
      <c r="S782" s="48" t="s">
        <v>468</v>
      </c>
      <c r="T782" s="73" t="s">
        <v>74</v>
      </c>
      <c r="U782" s="49" t="s">
        <v>75</v>
      </c>
      <c r="V782" s="7"/>
      <c r="W782" s="44">
        <v>3.5</v>
      </c>
      <c r="X782" s="7" t="s">
        <v>3341</v>
      </c>
      <c r="Y782" s="7" t="s">
        <v>344</v>
      </c>
      <c r="Z782" s="49" t="s">
        <v>545</v>
      </c>
      <c r="AA782" s="61">
        <v>0.67</v>
      </c>
      <c r="AB782" s="48" t="s">
        <v>10610</v>
      </c>
      <c r="AC782" s="62" t="s">
        <v>10608</v>
      </c>
      <c r="AD782" s="53" t="str">
        <f t="shared" si="581"/>
        <v>Link</v>
      </c>
      <c r="AE782" s="54">
        <v>9438</v>
      </c>
      <c r="AF782" s="55"/>
      <c r="AG782" s="7"/>
      <c r="AH782" s="56">
        <v>221847</v>
      </c>
    </row>
    <row r="783" spans="1:36" ht="15" x14ac:dyDescent="0.2">
      <c r="A783" s="43" t="s">
        <v>10210</v>
      </c>
      <c r="B783" s="57" t="s">
        <v>346</v>
      </c>
      <c r="C783" s="7" t="s">
        <v>67</v>
      </c>
      <c r="D783" s="7" t="s">
        <v>10636</v>
      </c>
      <c r="E783" s="44">
        <v>5</v>
      </c>
      <c r="F783" s="7"/>
      <c r="G783" s="7"/>
      <c r="H783" s="2" t="s">
        <v>10637</v>
      </c>
      <c r="I783" s="7" t="s">
        <v>2790</v>
      </c>
      <c r="J783" s="7" t="s">
        <v>8814</v>
      </c>
      <c r="K783" s="7" t="s">
        <v>48</v>
      </c>
      <c r="L783" s="7" t="s">
        <v>10639</v>
      </c>
      <c r="M783" s="7" t="s">
        <v>10640</v>
      </c>
      <c r="N783" s="69" t="str">
        <f t="shared" ref="N783:N785" si="582">HYPERLINK("twitter.com/utm_softball","@utm_softball")</f>
        <v>@utm_softball</v>
      </c>
      <c r="O783" s="74" t="str">
        <f t="shared" ref="O783:O785" si="583">HYPERLINK("https://utmsports.com/sb_output.aspx?form=3","Questionnaire")</f>
        <v>Questionnaire</v>
      </c>
      <c r="P783" s="7" t="s">
        <v>10646</v>
      </c>
      <c r="Q783" s="57" t="s">
        <v>346</v>
      </c>
      <c r="R783" s="7" t="s">
        <v>1611</v>
      </c>
      <c r="S783" s="48" t="s">
        <v>172</v>
      </c>
      <c r="T783" s="49" t="s">
        <v>74</v>
      </c>
      <c r="U783" s="7" t="s">
        <v>75</v>
      </c>
      <c r="V783" s="7"/>
      <c r="W783" s="44">
        <v>3.56</v>
      </c>
      <c r="X783" s="7" t="s">
        <v>10648</v>
      </c>
      <c r="Y783" s="7" t="s">
        <v>802</v>
      </c>
      <c r="Z783" s="7" t="s">
        <v>1994</v>
      </c>
      <c r="AA783" s="61">
        <v>0.67</v>
      </c>
      <c r="AB783" s="48" t="s">
        <v>10652</v>
      </c>
      <c r="AC783" s="78" t="s">
        <v>10646</v>
      </c>
      <c r="AD783" s="74" t="str">
        <f t="shared" ref="AD783:AD785" si="584">HYPERLINK("https://www.utm.edu/degreeprograms.php","Link")</f>
        <v>Link</v>
      </c>
      <c r="AE783" s="54">
        <v>6279</v>
      </c>
      <c r="AF783" s="55"/>
      <c r="AG783" s="7"/>
      <c r="AH783" s="56">
        <v>221768</v>
      </c>
    </row>
    <row r="784" spans="1:36" ht="15" x14ac:dyDescent="0.2">
      <c r="A784" s="43" t="s">
        <v>10210</v>
      </c>
      <c r="B784" s="57" t="s">
        <v>346</v>
      </c>
      <c r="C784" s="7" t="s">
        <v>67</v>
      </c>
      <c r="D784" s="7" t="s">
        <v>10654</v>
      </c>
      <c r="E784" s="44">
        <v>5</v>
      </c>
      <c r="F784" s="7"/>
      <c r="G784" s="7"/>
      <c r="H784" s="2" t="s">
        <v>10637</v>
      </c>
      <c r="I784" s="7" t="s">
        <v>683</v>
      </c>
      <c r="J784" s="7" t="s">
        <v>10657</v>
      </c>
      <c r="K784" s="7" t="s">
        <v>55</v>
      </c>
      <c r="L784" s="7" t="s">
        <v>10659</v>
      </c>
      <c r="M784" s="7" t="s">
        <v>10660</v>
      </c>
      <c r="N784" s="45" t="str">
        <f t="shared" si="582"/>
        <v>@utm_softball</v>
      </c>
      <c r="O784" s="74" t="str">
        <f t="shared" si="583"/>
        <v>Questionnaire</v>
      </c>
      <c r="P784" s="7" t="s">
        <v>10646</v>
      </c>
      <c r="Q784" s="57" t="s">
        <v>346</v>
      </c>
      <c r="R784" s="7" t="s">
        <v>1611</v>
      </c>
      <c r="S784" s="48" t="s">
        <v>172</v>
      </c>
      <c r="T784" s="49" t="s">
        <v>74</v>
      </c>
      <c r="U784" s="7" t="s">
        <v>75</v>
      </c>
      <c r="V784" s="7"/>
      <c r="W784" s="44">
        <v>3.56</v>
      </c>
      <c r="X784" s="7" t="s">
        <v>10648</v>
      </c>
      <c r="Y784" s="7" t="s">
        <v>802</v>
      </c>
      <c r="Z784" s="7" t="s">
        <v>1994</v>
      </c>
      <c r="AA784" s="61">
        <v>0.67</v>
      </c>
      <c r="AB784" s="48" t="s">
        <v>10652</v>
      </c>
      <c r="AC784" s="78" t="s">
        <v>10646</v>
      </c>
      <c r="AD784" s="74" t="str">
        <f t="shared" si="584"/>
        <v>Link</v>
      </c>
      <c r="AE784" s="54">
        <v>6279</v>
      </c>
      <c r="AF784" s="55"/>
      <c r="AG784" s="7"/>
      <c r="AH784" s="56">
        <v>221768</v>
      </c>
    </row>
    <row r="785" spans="1:36" ht="15" x14ac:dyDescent="0.2">
      <c r="A785" s="43" t="s">
        <v>10210</v>
      </c>
      <c r="B785" s="57" t="s">
        <v>346</v>
      </c>
      <c r="C785" s="7" t="s">
        <v>67</v>
      </c>
      <c r="D785" s="7" t="s">
        <v>10665</v>
      </c>
      <c r="E785" s="44">
        <v>5</v>
      </c>
      <c r="F785" s="7"/>
      <c r="G785" s="7"/>
      <c r="H785" s="2" t="s">
        <v>10637</v>
      </c>
      <c r="I785" s="7" t="s">
        <v>10667</v>
      </c>
      <c r="J785" s="7" t="s">
        <v>805</v>
      </c>
      <c r="K785" s="7" t="s">
        <v>120</v>
      </c>
      <c r="L785" s="7" t="s">
        <v>10668</v>
      </c>
      <c r="M785" s="7" t="s">
        <v>10660</v>
      </c>
      <c r="N785" s="45" t="str">
        <f t="shared" si="582"/>
        <v>@utm_softball</v>
      </c>
      <c r="O785" s="74" t="str">
        <f t="shared" si="583"/>
        <v>Questionnaire</v>
      </c>
      <c r="P785" s="7" t="s">
        <v>10646</v>
      </c>
      <c r="Q785" s="57" t="s">
        <v>346</v>
      </c>
      <c r="R785" s="7" t="s">
        <v>1611</v>
      </c>
      <c r="S785" s="48" t="s">
        <v>172</v>
      </c>
      <c r="T785" s="49" t="s">
        <v>74</v>
      </c>
      <c r="U785" s="7" t="s">
        <v>75</v>
      </c>
      <c r="V785" s="7"/>
      <c r="W785" s="44">
        <v>3.56</v>
      </c>
      <c r="X785" s="7" t="s">
        <v>10648</v>
      </c>
      <c r="Y785" s="7" t="s">
        <v>802</v>
      </c>
      <c r="Z785" s="7" t="s">
        <v>1994</v>
      </c>
      <c r="AA785" s="61">
        <v>0.67</v>
      </c>
      <c r="AB785" s="48" t="s">
        <v>10652</v>
      </c>
      <c r="AC785" s="78" t="s">
        <v>10646</v>
      </c>
      <c r="AD785" s="74" t="str">
        <f t="shared" si="584"/>
        <v>Link</v>
      </c>
      <c r="AE785" s="54">
        <v>6279</v>
      </c>
      <c r="AF785" s="55"/>
      <c r="AG785" s="7"/>
      <c r="AH785" s="56">
        <v>221768</v>
      </c>
    </row>
    <row r="786" spans="1:36" ht="15" x14ac:dyDescent="0.2">
      <c r="A786" s="32" t="s">
        <v>10677</v>
      </c>
      <c r="B786" s="33" t="s">
        <v>10678</v>
      </c>
      <c r="C786" s="35" t="s">
        <v>67</v>
      </c>
      <c r="D786" s="57"/>
      <c r="E786" s="83">
        <v>5</v>
      </c>
      <c r="F786" s="7"/>
      <c r="G786" s="57"/>
      <c r="H786" s="2" t="s">
        <v>10680</v>
      </c>
      <c r="I786" s="2" t="s">
        <v>754</v>
      </c>
      <c r="J786" s="2" t="s">
        <v>10681</v>
      </c>
      <c r="K786" s="2" t="s">
        <v>48</v>
      </c>
      <c r="L786" s="2" t="s">
        <v>10682</v>
      </c>
      <c r="M786" s="2" t="s">
        <v>10683</v>
      </c>
      <c r="N786" s="7"/>
      <c r="O786" s="7"/>
      <c r="P786" s="48" t="s">
        <v>10684</v>
      </c>
      <c r="Q786" s="60" t="s">
        <v>10678</v>
      </c>
      <c r="R786" s="48" t="s">
        <v>10685</v>
      </c>
      <c r="S786" s="6" t="s">
        <v>354</v>
      </c>
      <c r="T786" s="4" t="s">
        <v>74</v>
      </c>
      <c r="U786" s="48" t="s">
        <v>75</v>
      </c>
      <c r="V786" s="49"/>
      <c r="W786" s="37">
        <v>3.48</v>
      </c>
      <c r="X786" s="49" t="s">
        <v>1649</v>
      </c>
      <c r="Y786" s="49" t="s">
        <v>2510</v>
      </c>
      <c r="Z786" s="49" t="s">
        <v>545</v>
      </c>
      <c r="AA786" s="38">
        <v>0.78610000000000002</v>
      </c>
      <c r="AB786" s="48" t="s">
        <v>10688</v>
      </c>
      <c r="AC786" s="90" t="s">
        <v>10684</v>
      </c>
      <c r="AD786" s="53" t="str">
        <f t="shared" ref="AD786:AD789" si="585">HYPERLINK("http://degreesearch.arizona.edu/","Link")</f>
        <v>Link</v>
      </c>
      <c r="AE786" s="42">
        <v>33694</v>
      </c>
      <c r="AF786" s="42">
        <v>124</v>
      </c>
      <c r="AG786" s="55"/>
      <c r="AH786" s="56">
        <v>104179</v>
      </c>
      <c r="AI786" s="56" t="s">
        <v>2459</v>
      </c>
      <c r="AJ786" s="56"/>
    </row>
    <row r="787" spans="1:36" ht="15" x14ac:dyDescent="0.2">
      <c r="A787" s="32" t="s">
        <v>10677</v>
      </c>
      <c r="B787" s="33" t="s">
        <v>10678</v>
      </c>
      <c r="C787" s="35" t="s">
        <v>67</v>
      </c>
      <c r="D787" s="57"/>
      <c r="E787" s="83">
        <v>5</v>
      </c>
      <c r="F787" s="7"/>
      <c r="G787" s="57"/>
      <c r="H787" s="2" t="s">
        <v>10680</v>
      </c>
      <c r="I787" s="2" t="s">
        <v>2549</v>
      </c>
      <c r="J787" s="2" t="s">
        <v>6454</v>
      </c>
      <c r="K787" s="2" t="s">
        <v>55</v>
      </c>
      <c r="L787" s="2" t="s">
        <v>10697</v>
      </c>
      <c r="M787" s="2" t="s">
        <v>10683</v>
      </c>
      <c r="N787" s="7"/>
      <c r="O787" s="7"/>
      <c r="P787" s="48" t="s">
        <v>10684</v>
      </c>
      <c r="Q787" s="60" t="s">
        <v>10678</v>
      </c>
      <c r="R787" s="48" t="s">
        <v>10685</v>
      </c>
      <c r="S787" s="6" t="s">
        <v>354</v>
      </c>
      <c r="T787" s="4" t="s">
        <v>74</v>
      </c>
      <c r="U787" s="48" t="s">
        <v>75</v>
      </c>
      <c r="V787" s="49"/>
      <c r="W787" s="37">
        <v>3.48</v>
      </c>
      <c r="X787" s="49" t="s">
        <v>1649</v>
      </c>
      <c r="Y787" s="49" t="s">
        <v>2510</v>
      </c>
      <c r="Z787" s="49" t="s">
        <v>545</v>
      </c>
      <c r="AA787" s="38">
        <v>0.78610000000000002</v>
      </c>
      <c r="AB787" s="48" t="s">
        <v>10688</v>
      </c>
      <c r="AC787" s="90" t="s">
        <v>10684</v>
      </c>
      <c r="AD787" s="53" t="str">
        <f t="shared" si="585"/>
        <v>Link</v>
      </c>
      <c r="AE787" s="42">
        <v>33694</v>
      </c>
      <c r="AF787" s="42">
        <v>124</v>
      </c>
      <c r="AG787" s="55"/>
      <c r="AH787" s="56">
        <v>104179</v>
      </c>
      <c r="AI787" s="56" t="s">
        <v>2459</v>
      </c>
      <c r="AJ787" s="56"/>
    </row>
    <row r="788" spans="1:36" ht="15" x14ac:dyDescent="0.2">
      <c r="A788" s="32" t="s">
        <v>10677</v>
      </c>
      <c r="B788" s="33" t="s">
        <v>10678</v>
      </c>
      <c r="C788" s="35" t="s">
        <v>67</v>
      </c>
      <c r="D788" s="57"/>
      <c r="E788" s="83">
        <v>5</v>
      </c>
      <c r="F788" s="7"/>
      <c r="G788" s="57"/>
      <c r="H788" s="2" t="s">
        <v>10680</v>
      </c>
      <c r="I788" s="2" t="s">
        <v>10701</v>
      </c>
      <c r="J788" s="2" t="s">
        <v>10702</v>
      </c>
      <c r="K788" s="2" t="s">
        <v>55</v>
      </c>
      <c r="L788" s="2" t="s">
        <v>10703</v>
      </c>
      <c r="M788" s="2" t="s">
        <v>10683</v>
      </c>
      <c r="N788" s="7"/>
      <c r="O788" s="7"/>
      <c r="P788" s="48" t="s">
        <v>10684</v>
      </c>
      <c r="Q788" s="60" t="s">
        <v>10678</v>
      </c>
      <c r="R788" s="48" t="s">
        <v>10685</v>
      </c>
      <c r="S788" s="6" t="s">
        <v>354</v>
      </c>
      <c r="T788" s="4" t="s">
        <v>74</v>
      </c>
      <c r="U788" s="48" t="s">
        <v>75</v>
      </c>
      <c r="V788" s="49"/>
      <c r="W788" s="37">
        <v>3.48</v>
      </c>
      <c r="X788" s="49" t="s">
        <v>1649</v>
      </c>
      <c r="Y788" s="49" t="s">
        <v>2510</v>
      </c>
      <c r="Z788" s="49" t="s">
        <v>545</v>
      </c>
      <c r="AA788" s="38">
        <v>0.78610000000000002</v>
      </c>
      <c r="AB788" s="48" t="s">
        <v>10688</v>
      </c>
      <c r="AC788" s="90" t="s">
        <v>10684</v>
      </c>
      <c r="AD788" s="53" t="str">
        <f t="shared" si="585"/>
        <v>Link</v>
      </c>
      <c r="AE788" s="42">
        <v>33694</v>
      </c>
      <c r="AF788" s="42">
        <v>124</v>
      </c>
      <c r="AG788" s="55"/>
      <c r="AH788" s="56">
        <v>104179</v>
      </c>
      <c r="AI788" s="56" t="s">
        <v>2459</v>
      </c>
      <c r="AJ788" s="56"/>
    </row>
    <row r="789" spans="1:36" ht="15" x14ac:dyDescent="0.2">
      <c r="A789" s="32" t="s">
        <v>10677</v>
      </c>
      <c r="B789" s="33" t="s">
        <v>10678</v>
      </c>
      <c r="C789" s="35" t="s">
        <v>67</v>
      </c>
      <c r="D789" s="57"/>
      <c r="E789" s="83">
        <v>5</v>
      </c>
      <c r="F789" s="7"/>
      <c r="G789" s="57"/>
      <c r="H789" s="2" t="s">
        <v>10680</v>
      </c>
      <c r="I789" s="2" t="s">
        <v>4187</v>
      </c>
      <c r="J789" s="2" t="s">
        <v>10709</v>
      </c>
      <c r="K789" s="2" t="s">
        <v>10711</v>
      </c>
      <c r="L789" s="2" t="s">
        <v>10713</v>
      </c>
      <c r="M789" s="2" t="s">
        <v>10683</v>
      </c>
      <c r="N789" s="7"/>
      <c r="O789" s="7"/>
      <c r="P789" s="48" t="s">
        <v>10684</v>
      </c>
      <c r="Q789" s="60" t="s">
        <v>10678</v>
      </c>
      <c r="R789" s="48" t="s">
        <v>10685</v>
      </c>
      <c r="S789" s="6" t="s">
        <v>354</v>
      </c>
      <c r="T789" s="4" t="s">
        <v>74</v>
      </c>
      <c r="U789" s="48" t="s">
        <v>75</v>
      </c>
      <c r="V789" s="49"/>
      <c r="W789" s="37">
        <v>3.48</v>
      </c>
      <c r="X789" s="49" t="s">
        <v>1649</v>
      </c>
      <c r="Y789" s="49" t="s">
        <v>2510</v>
      </c>
      <c r="Z789" s="49" t="s">
        <v>545</v>
      </c>
      <c r="AA789" s="38">
        <v>0.78610000000000002</v>
      </c>
      <c r="AB789" s="48" t="s">
        <v>10688</v>
      </c>
      <c r="AC789" s="90" t="s">
        <v>10684</v>
      </c>
      <c r="AD789" s="53" t="str">
        <f t="shared" si="585"/>
        <v>Link</v>
      </c>
      <c r="AE789" s="42">
        <v>33694</v>
      </c>
      <c r="AF789" s="42">
        <v>124</v>
      </c>
      <c r="AG789" s="55"/>
      <c r="AH789" s="56">
        <v>104179</v>
      </c>
      <c r="AI789" s="56" t="s">
        <v>2459</v>
      </c>
      <c r="AJ789" s="56"/>
    </row>
    <row r="790" spans="1:36" ht="15" x14ac:dyDescent="0.2">
      <c r="A790" s="43" t="s">
        <v>10677</v>
      </c>
      <c r="B790" s="57" t="s">
        <v>10678</v>
      </c>
      <c r="C790" s="7" t="s">
        <v>67</v>
      </c>
      <c r="D790" s="7" t="s">
        <v>10717</v>
      </c>
      <c r="E790" s="44">
        <v>5</v>
      </c>
      <c r="F790" s="7"/>
      <c r="G790" s="7"/>
      <c r="H790" s="2" t="s">
        <v>10720</v>
      </c>
      <c r="I790" s="7" t="s">
        <v>708</v>
      </c>
      <c r="J790" s="7" t="s">
        <v>1631</v>
      </c>
      <c r="K790" s="7" t="s">
        <v>48</v>
      </c>
      <c r="L790" s="7" t="s">
        <v>10722</v>
      </c>
      <c r="M790" s="7" t="s">
        <v>10723</v>
      </c>
      <c r="N790" s="45" t="str">
        <f t="shared" ref="N790:N791" si="586">HYPERLINK("twitter.com/Trisha_Ford","@Trisha_Ford")</f>
        <v>@Trisha_Ford</v>
      </c>
      <c r="O790" s="45" t="str">
        <f t="shared" ref="O790:O796" si="587">HYPERLINK("https://thesundevils.com/sports/2013/4/17/208256826.aspx","Questionnaire")</f>
        <v>Questionnaire</v>
      </c>
      <c r="P790" s="7" t="s">
        <v>10736</v>
      </c>
      <c r="Q790" s="57" t="s">
        <v>10678</v>
      </c>
      <c r="R790" s="7" t="s">
        <v>10737</v>
      </c>
      <c r="S790" s="48" t="s">
        <v>62</v>
      </c>
      <c r="T790" s="49" t="s">
        <v>74</v>
      </c>
      <c r="U790" s="7" t="s">
        <v>75</v>
      </c>
      <c r="V790" s="7"/>
      <c r="W790" s="44">
        <v>3.49</v>
      </c>
      <c r="X790" s="7" t="s">
        <v>957</v>
      </c>
      <c r="Y790" s="7" t="s">
        <v>3454</v>
      </c>
      <c r="Z790" s="7" t="s">
        <v>689</v>
      </c>
      <c r="AA790" s="51">
        <v>0.82499999999999996</v>
      </c>
      <c r="AB790" s="48" t="s">
        <v>10738</v>
      </c>
      <c r="AC790" s="40" t="s">
        <v>10736</v>
      </c>
      <c r="AD790" s="74" t="str">
        <f t="shared" ref="AD790:AD796" si="588">HYPERLINK("https://students.asu.edu/programs","Link")</f>
        <v>Link</v>
      </c>
      <c r="AE790" s="54">
        <v>42477</v>
      </c>
      <c r="AF790" s="54">
        <v>115</v>
      </c>
      <c r="AG790" s="7"/>
      <c r="AH790" s="56">
        <v>104151</v>
      </c>
    </row>
    <row r="791" spans="1:36" ht="15" x14ac:dyDescent="0.2">
      <c r="A791" s="43" t="s">
        <v>10677</v>
      </c>
      <c r="B791" s="57" t="s">
        <v>10678</v>
      </c>
      <c r="C791" s="7" t="s">
        <v>67</v>
      </c>
      <c r="D791" s="7" t="s">
        <v>10717</v>
      </c>
      <c r="E791" s="44">
        <v>5</v>
      </c>
      <c r="F791" s="7"/>
      <c r="G791" s="7"/>
      <c r="H791" s="2" t="s">
        <v>10720</v>
      </c>
      <c r="I791" s="7" t="s">
        <v>10744</v>
      </c>
      <c r="J791" s="7"/>
      <c r="K791" s="7" t="s">
        <v>3472</v>
      </c>
      <c r="L791" s="7" t="s">
        <v>10745</v>
      </c>
      <c r="M791" s="7"/>
      <c r="N791" s="45" t="str">
        <f t="shared" si="586"/>
        <v>@Trisha_Ford</v>
      </c>
      <c r="O791" s="45" t="str">
        <f t="shared" si="587"/>
        <v>Questionnaire</v>
      </c>
      <c r="P791" s="7" t="s">
        <v>10736</v>
      </c>
      <c r="Q791" s="57" t="s">
        <v>10678</v>
      </c>
      <c r="R791" s="7" t="s">
        <v>10737</v>
      </c>
      <c r="S791" s="48" t="s">
        <v>62</v>
      </c>
      <c r="T791" s="49" t="s">
        <v>74</v>
      </c>
      <c r="U791" s="7" t="s">
        <v>75</v>
      </c>
      <c r="V791" s="7"/>
      <c r="W791" s="44">
        <v>3.49</v>
      </c>
      <c r="X791" s="7" t="s">
        <v>957</v>
      </c>
      <c r="Y791" s="7" t="s">
        <v>3454</v>
      </c>
      <c r="Z791" s="7" t="s">
        <v>689</v>
      </c>
      <c r="AA791" s="51">
        <v>0.82499999999999996</v>
      </c>
      <c r="AB791" s="48" t="s">
        <v>10738</v>
      </c>
      <c r="AC791" s="40" t="s">
        <v>10736</v>
      </c>
      <c r="AD791" s="74" t="str">
        <f t="shared" si="588"/>
        <v>Link</v>
      </c>
      <c r="AE791" s="54">
        <v>42477</v>
      </c>
      <c r="AF791" s="54">
        <v>115</v>
      </c>
      <c r="AG791" s="7"/>
      <c r="AH791" s="56">
        <v>104151</v>
      </c>
    </row>
    <row r="792" spans="1:36" ht="15" x14ac:dyDescent="0.2">
      <c r="A792" s="43" t="s">
        <v>10677</v>
      </c>
      <c r="B792" s="57" t="s">
        <v>10678</v>
      </c>
      <c r="C792" s="7" t="s">
        <v>67</v>
      </c>
      <c r="D792" s="7" t="s">
        <v>10751</v>
      </c>
      <c r="E792" s="44">
        <v>5</v>
      </c>
      <c r="F792" s="7"/>
      <c r="G792" s="7"/>
      <c r="H792" s="2" t="s">
        <v>10720</v>
      </c>
      <c r="I792" s="7" t="s">
        <v>4044</v>
      </c>
      <c r="J792" s="7" t="s">
        <v>10752</v>
      </c>
      <c r="K792" s="7" t="s">
        <v>55</v>
      </c>
      <c r="L792" s="7" t="s">
        <v>10753</v>
      </c>
      <c r="M792" s="7" t="s">
        <v>10754</v>
      </c>
      <c r="N792" s="45" t="str">
        <f t="shared" ref="N792:N796" si="589">HYPERLINK("twitter.com/ASUSoftball","@ASUSoftball")</f>
        <v>@ASUSoftball</v>
      </c>
      <c r="O792" s="45" t="str">
        <f t="shared" si="587"/>
        <v>Questionnaire</v>
      </c>
      <c r="P792" s="7" t="s">
        <v>10736</v>
      </c>
      <c r="Q792" s="57" t="s">
        <v>10678</v>
      </c>
      <c r="R792" s="7" t="s">
        <v>10737</v>
      </c>
      <c r="S792" s="48" t="s">
        <v>62</v>
      </c>
      <c r="T792" s="49" t="s">
        <v>74</v>
      </c>
      <c r="U792" s="7" t="s">
        <v>75</v>
      </c>
      <c r="V792" s="7"/>
      <c r="W792" s="44">
        <v>3.49</v>
      </c>
      <c r="X792" s="7" t="s">
        <v>957</v>
      </c>
      <c r="Y792" s="7" t="s">
        <v>3454</v>
      </c>
      <c r="Z792" s="7" t="s">
        <v>689</v>
      </c>
      <c r="AA792" s="51">
        <v>0.82499999999999996</v>
      </c>
      <c r="AB792" s="48" t="s">
        <v>10738</v>
      </c>
      <c r="AC792" s="40" t="s">
        <v>10736</v>
      </c>
      <c r="AD792" s="74" t="str">
        <f t="shared" si="588"/>
        <v>Link</v>
      </c>
      <c r="AE792" s="54">
        <v>42477</v>
      </c>
      <c r="AF792" s="54">
        <v>115</v>
      </c>
      <c r="AG792" s="7"/>
      <c r="AH792" s="56">
        <v>104151</v>
      </c>
    </row>
    <row r="793" spans="1:36" ht="15" x14ac:dyDescent="0.2">
      <c r="A793" s="43" t="s">
        <v>10677</v>
      </c>
      <c r="B793" s="57" t="s">
        <v>10678</v>
      </c>
      <c r="C793" s="7" t="s">
        <v>67</v>
      </c>
      <c r="D793" s="7" t="s">
        <v>10759</v>
      </c>
      <c r="E793" s="44">
        <v>5</v>
      </c>
      <c r="F793" s="7"/>
      <c r="G793" s="7"/>
      <c r="H793" s="2" t="s">
        <v>10720</v>
      </c>
      <c r="I793" s="7" t="s">
        <v>94</v>
      </c>
      <c r="J793" s="7" t="s">
        <v>10762</v>
      </c>
      <c r="K793" s="7" t="s">
        <v>55</v>
      </c>
      <c r="L793" s="7" t="s">
        <v>10764</v>
      </c>
      <c r="M793" s="7"/>
      <c r="N793" s="45" t="str">
        <f t="shared" si="589"/>
        <v>@ASUSoftball</v>
      </c>
      <c r="O793" s="45" t="str">
        <f t="shared" si="587"/>
        <v>Questionnaire</v>
      </c>
      <c r="P793" s="7" t="s">
        <v>10736</v>
      </c>
      <c r="Q793" s="57" t="s">
        <v>10678</v>
      </c>
      <c r="R793" s="7" t="s">
        <v>10737</v>
      </c>
      <c r="S793" s="48" t="s">
        <v>62</v>
      </c>
      <c r="T793" s="49" t="s">
        <v>74</v>
      </c>
      <c r="U793" s="7" t="s">
        <v>75</v>
      </c>
      <c r="V793" s="7"/>
      <c r="W793" s="44">
        <v>3.49</v>
      </c>
      <c r="X793" s="7" t="s">
        <v>957</v>
      </c>
      <c r="Y793" s="7" t="s">
        <v>3454</v>
      </c>
      <c r="Z793" s="7" t="s">
        <v>689</v>
      </c>
      <c r="AA793" s="51">
        <v>0.82499999999999996</v>
      </c>
      <c r="AB793" s="48" t="s">
        <v>10738</v>
      </c>
      <c r="AC793" s="40" t="s">
        <v>10736</v>
      </c>
      <c r="AD793" s="74" t="str">
        <f t="shared" si="588"/>
        <v>Link</v>
      </c>
      <c r="AE793" s="54">
        <v>42477</v>
      </c>
      <c r="AF793" s="54">
        <v>115</v>
      </c>
      <c r="AG793" s="7"/>
      <c r="AH793" s="56">
        <v>104151</v>
      </c>
    </row>
    <row r="794" spans="1:36" ht="15" x14ac:dyDescent="0.2">
      <c r="A794" s="43" t="s">
        <v>10677</v>
      </c>
      <c r="B794" s="57" t="s">
        <v>10678</v>
      </c>
      <c r="C794" s="7" t="s">
        <v>67</v>
      </c>
      <c r="D794" s="7" t="s">
        <v>10769</v>
      </c>
      <c r="E794" s="44">
        <v>5</v>
      </c>
      <c r="F794" s="7"/>
      <c r="G794" s="7"/>
      <c r="H794" s="2" t="s">
        <v>10720</v>
      </c>
      <c r="I794" s="7" t="s">
        <v>1080</v>
      </c>
      <c r="J794" s="7" t="s">
        <v>10770</v>
      </c>
      <c r="K794" s="7" t="s">
        <v>120</v>
      </c>
      <c r="L794" s="7"/>
      <c r="M794" s="7"/>
      <c r="N794" s="45" t="str">
        <f t="shared" si="589"/>
        <v>@ASUSoftball</v>
      </c>
      <c r="O794" s="45" t="str">
        <f t="shared" si="587"/>
        <v>Questionnaire</v>
      </c>
      <c r="P794" s="7" t="s">
        <v>10736</v>
      </c>
      <c r="Q794" s="57" t="s">
        <v>10678</v>
      </c>
      <c r="R794" s="7" t="s">
        <v>10737</v>
      </c>
      <c r="S794" s="48" t="s">
        <v>62</v>
      </c>
      <c r="T794" s="49" t="s">
        <v>74</v>
      </c>
      <c r="U794" s="7" t="s">
        <v>75</v>
      </c>
      <c r="V794" s="7"/>
      <c r="W794" s="44">
        <v>3.49</v>
      </c>
      <c r="X794" s="7" t="s">
        <v>957</v>
      </c>
      <c r="Y794" s="7" t="s">
        <v>3454</v>
      </c>
      <c r="Z794" s="7" t="s">
        <v>689</v>
      </c>
      <c r="AA794" s="51">
        <v>0.82499999999999996</v>
      </c>
      <c r="AB794" s="48" t="s">
        <v>10738</v>
      </c>
      <c r="AC794" s="40" t="s">
        <v>10736</v>
      </c>
      <c r="AD794" s="74" t="str">
        <f t="shared" si="588"/>
        <v>Link</v>
      </c>
      <c r="AE794" s="54">
        <v>42477</v>
      </c>
      <c r="AF794" s="54">
        <v>115</v>
      </c>
      <c r="AG794" s="7"/>
      <c r="AH794" s="56">
        <v>104151</v>
      </c>
    </row>
    <row r="795" spans="1:36" ht="15" x14ac:dyDescent="0.2">
      <c r="A795" s="43" t="s">
        <v>10677</v>
      </c>
      <c r="B795" s="57" t="s">
        <v>10678</v>
      </c>
      <c r="C795" s="7" t="s">
        <v>67</v>
      </c>
      <c r="D795" s="7" t="s">
        <v>10773</v>
      </c>
      <c r="E795" s="44">
        <v>5</v>
      </c>
      <c r="F795" s="7"/>
      <c r="G795" s="7"/>
      <c r="H795" s="2" t="s">
        <v>10720</v>
      </c>
      <c r="I795" s="7" t="s">
        <v>1124</v>
      </c>
      <c r="J795" s="7" t="s">
        <v>1349</v>
      </c>
      <c r="K795" s="7" t="s">
        <v>154</v>
      </c>
      <c r="L795" s="7" t="s">
        <v>10776</v>
      </c>
      <c r="M795" s="7" t="s">
        <v>10777</v>
      </c>
      <c r="N795" s="45" t="str">
        <f t="shared" si="589"/>
        <v>@ASUSoftball</v>
      </c>
      <c r="O795" s="45" t="str">
        <f t="shared" si="587"/>
        <v>Questionnaire</v>
      </c>
      <c r="P795" s="7" t="s">
        <v>10736</v>
      </c>
      <c r="Q795" s="57" t="s">
        <v>10678</v>
      </c>
      <c r="R795" s="7" t="s">
        <v>10737</v>
      </c>
      <c r="S795" s="48" t="s">
        <v>62</v>
      </c>
      <c r="T795" s="49" t="s">
        <v>74</v>
      </c>
      <c r="U795" s="7" t="s">
        <v>75</v>
      </c>
      <c r="V795" s="7"/>
      <c r="W795" s="44">
        <v>3.49</v>
      </c>
      <c r="X795" s="7" t="s">
        <v>957</v>
      </c>
      <c r="Y795" s="7" t="s">
        <v>3454</v>
      </c>
      <c r="Z795" s="7" t="s">
        <v>689</v>
      </c>
      <c r="AA795" s="51">
        <v>0.82499999999999996</v>
      </c>
      <c r="AB795" s="48" t="s">
        <v>10738</v>
      </c>
      <c r="AC795" s="40" t="s">
        <v>10736</v>
      </c>
      <c r="AD795" s="74" t="str">
        <f t="shared" si="588"/>
        <v>Link</v>
      </c>
      <c r="AE795" s="54">
        <v>42477</v>
      </c>
      <c r="AF795" s="54">
        <v>115</v>
      </c>
      <c r="AG795" s="7"/>
      <c r="AH795" s="56">
        <v>104151</v>
      </c>
    </row>
    <row r="796" spans="1:36" ht="15" x14ac:dyDescent="0.2">
      <c r="A796" s="43" t="s">
        <v>10677</v>
      </c>
      <c r="B796" s="57" t="s">
        <v>10678</v>
      </c>
      <c r="C796" s="7" t="s">
        <v>67</v>
      </c>
      <c r="D796" s="7" t="s">
        <v>10783</v>
      </c>
      <c r="E796" s="44">
        <v>5</v>
      </c>
      <c r="F796" s="7"/>
      <c r="G796" s="7"/>
      <c r="H796" s="2" t="s">
        <v>10720</v>
      </c>
      <c r="I796" s="7" t="s">
        <v>3173</v>
      </c>
      <c r="J796" s="7" t="s">
        <v>10785</v>
      </c>
      <c r="K796" s="7" t="s">
        <v>139</v>
      </c>
      <c r="L796" s="7"/>
      <c r="M796" s="7"/>
      <c r="N796" s="45" t="str">
        <f t="shared" si="589"/>
        <v>@ASUSoftball</v>
      </c>
      <c r="O796" s="45" t="str">
        <f t="shared" si="587"/>
        <v>Questionnaire</v>
      </c>
      <c r="P796" s="7" t="s">
        <v>10736</v>
      </c>
      <c r="Q796" s="57" t="s">
        <v>10678</v>
      </c>
      <c r="R796" s="7" t="s">
        <v>10737</v>
      </c>
      <c r="S796" s="48" t="s">
        <v>62</v>
      </c>
      <c r="T796" s="49" t="s">
        <v>74</v>
      </c>
      <c r="U796" s="7" t="s">
        <v>75</v>
      </c>
      <c r="V796" s="7"/>
      <c r="W796" s="44">
        <v>3.49</v>
      </c>
      <c r="X796" s="7" t="s">
        <v>957</v>
      </c>
      <c r="Y796" s="7" t="s">
        <v>3454</v>
      </c>
      <c r="Z796" s="7" t="s">
        <v>689</v>
      </c>
      <c r="AA796" s="51">
        <v>0.82499999999999996</v>
      </c>
      <c r="AB796" s="48" t="s">
        <v>10738</v>
      </c>
      <c r="AC796" s="40" t="s">
        <v>10736</v>
      </c>
      <c r="AD796" s="74" t="str">
        <f t="shared" si="588"/>
        <v>Link</v>
      </c>
      <c r="AE796" s="54">
        <v>42477</v>
      </c>
      <c r="AF796" s="54">
        <v>115</v>
      </c>
      <c r="AG796" s="7"/>
      <c r="AH796" s="56">
        <v>104151</v>
      </c>
    </row>
    <row r="797" spans="1:36" ht="15" x14ac:dyDescent="0.2">
      <c r="A797" s="43" t="s">
        <v>10677</v>
      </c>
      <c r="B797" s="57" t="s">
        <v>312</v>
      </c>
      <c r="C797" s="7" t="s">
        <v>67</v>
      </c>
      <c r="D797" s="7" t="s">
        <v>10788</v>
      </c>
      <c r="E797" s="44">
        <v>5</v>
      </c>
      <c r="F797" s="7"/>
      <c r="G797" s="7"/>
      <c r="H797" s="2" t="s">
        <v>10792</v>
      </c>
      <c r="I797" s="7" t="s">
        <v>3053</v>
      </c>
      <c r="J797" s="7" t="s">
        <v>10794</v>
      </c>
      <c r="K797" s="7" t="s">
        <v>48</v>
      </c>
      <c r="L797" s="7" t="s">
        <v>10796</v>
      </c>
      <c r="M797" s="2" t="s">
        <v>10797</v>
      </c>
      <c r="N797" s="45" t="str">
        <f t="shared" ref="N797:N799" si="590">HYPERLINK("twitter.com/calsb","@calsb")</f>
        <v>@calsb</v>
      </c>
      <c r="O797" s="48" t="s">
        <v>22</v>
      </c>
      <c r="P797" s="7" t="s">
        <v>10801</v>
      </c>
      <c r="Q797" s="57" t="s">
        <v>312</v>
      </c>
      <c r="R797" s="7" t="s">
        <v>10802</v>
      </c>
      <c r="S797" s="48" t="s">
        <v>238</v>
      </c>
      <c r="T797" s="73" t="s">
        <v>74</v>
      </c>
      <c r="U797" s="7" t="s">
        <v>75</v>
      </c>
      <c r="V797" s="7"/>
      <c r="W797" s="44">
        <v>3.87</v>
      </c>
      <c r="X797" s="7" t="s">
        <v>4673</v>
      </c>
      <c r="Y797" s="7" t="s">
        <v>10805</v>
      </c>
      <c r="Z797" s="7" t="s">
        <v>765</v>
      </c>
      <c r="AA797" s="51">
        <v>0.16919999999999999</v>
      </c>
      <c r="AB797" s="48" t="s">
        <v>10806</v>
      </c>
      <c r="AC797" s="79" t="s">
        <v>10801</v>
      </c>
      <c r="AD797" s="74" t="str">
        <f t="shared" ref="AD797:AD799" si="591">HYPERLINK("https://www.ucsb.edu/depts","Link")</f>
        <v>Link</v>
      </c>
      <c r="AE797" s="54">
        <v>29310</v>
      </c>
      <c r="AF797" s="54">
        <v>21</v>
      </c>
      <c r="AG797" s="7"/>
      <c r="AH797" s="56">
        <v>110635</v>
      </c>
    </row>
    <row r="798" spans="1:36" ht="15" x14ac:dyDescent="0.2">
      <c r="A798" s="43" t="s">
        <v>10677</v>
      </c>
      <c r="B798" s="57" t="s">
        <v>312</v>
      </c>
      <c r="C798" s="7" t="s">
        <v>67</v>
      </c>
      <c r="D798" s="7" t="s">
        <v>10808</v>
      </c>
      <c r="E798" s="44">
        <v>5</v>
      </c>
      <c r="F798" s="7"/>
      <c r="G798" s="7"/>
      <c r="H798" s="2" t="s">
        <v>10792</v>
      </c>
      <c r="I798" s="7" t="s">
        <v>4884</v>
      </c>
      <c r="J798" s="7" t="s">
        <v>10810</v>
      </c>
      <c r="K798" s="7" t="s">
        <v>55</v>
      </c>
      <c r="L798" s="7" t="s">
        <v>10813</v>
      </c>
      <c r="M798" s="2" t="s">
        <v>10797</v>
      </c>
      <c r="N798" s="45" t="str">
        <f t="shared" si="590"/>
        <v>@calsb</v>
      </c>
      <c r="O798" s="48" t="s">
        <v>22</v>
      </c>
      <c r="P798" s="7" t="s">
        <v>10801</v>
      </c>
      <c r="Q798" s="57" t="s">
        <v>312</v>
      </c>
      <c r="R798" s="7" t="s">
        <v>10802</v>
      </c>
      <c r="S798" s="48" t="s">
        <v>238</v>
      </c>
      <c r="T798" s="73" t="s">
        <v>74</v>
      </c>
      <c r="U798" s="7" t="s">
        <v>75</v>
      </c>
      <c r="V798" s="7"/>
      <c r="W798" s="44">
        <v>3.87</v>
      </c>
      <c r="X798" s="7" t="s">
        <v>4673</v>
      </c>
      <c r="Y798" s="7" t="s">
        <v>10805</v>
      </c>
      <c r="Z798" s="7" t="s">
        <v>765</v>
      </c>
      <c r="AA798" s="51">
        <v>0.16919999999999999</v>
      </c>
      <c r="AB798" s="48" t="s">
        <v>10806</v>
      </c>
      <c r="AC798" s="79" t="s">
        <v>10801</v>
      </c>
      <c r="AD798" s="74" t="str">
        <f t="shared" si="591"/>
        <v>Link</v>
      </c>
      <c r="AE798" s="54">
        <v>29310</v>
      </c>
      <c r="AF798" s="54">
        <v>21</v>
      </c>
      <c r="AG798" s="7"/>
      <c r="AH798" s="56">
        <v>110635</v>
      </c>
    </row>
    <row r="799" spans="1:36" ht="15" x14ac:dyDescent="0.2">
      <c r="A799" s="43" t="s">
        <v>10677</v>
      </c>
      <c r="B799" s="57" t="s">
        <v>312</v>
      </c>
      <c r="C799" s="7" t="s">
        <v>67</v>
      </c>
      <c r="D799" s="7" t="s">
        <v>10819</v>
      </c>
      <c r="E799" s="44">
        <v>5</v>
      </c>
      <c r="F799" s="7"/>
      <c r="G799" s="7"/>
      <c r="H799" s="2" t="s">
        <v>10792</v>
      </c>
      <c r="I799" s="7" t="s">
        <v>306</v>
      </c>
      <c r="J799" s="7" t="s">
        <v>196</v>
      </c>
      <c r="K799" s="7" t="s">
        <v>55</v>
      </c>
      <c r="L799" s="7" t="s">
        <v>10821</v>
      </c>
      <c r="M799" s="2" t="s">
        <v>10797</v>
      </c>
      <c r="N799" s="45" t="str">
        <f t="shared" si="590"/>
        <v>@calsb</v>
      </c>
      <c r="O799" s="48" t="s">
        <v>22</v>
      </c>
      <c r="P799" s="7" t="s">
        <v>10801</v>
      </c>
      <c r="Q799" s="57" t="s">
        <v>312</v>
      </c>
      <c r="R799" s="7" t="s">
        <v>10802</v>
      </c>
      <c r="S799" s="48" t="s">
        <v>238</v>
      </c>
      <c r="T799" s="73" t="s">
        <v>74</v>
      </c>
      <c r="U799" s="7" t="s">
        <v>75</v>
      </c>
      <c r="V799" s="7"/>
      <c r="W799" s="44">
        <v>3.87</v>
      </c>
      <c r="X799" s="7" t="s">
        <v>4673</v>
      </c>
      <c r="Y799" s="7" t="s">
        <v>10805</v>
      </c>
      <c r="Z799" s="7" t="s">
        <v>765</v>
      </c>
      <c r="AA799" s="51">
        <v>0.16919999999999999</v>
      </c>
      <c r="AB799" s="48" t="s">
        <v>10806</v>
      </c>
      <c r="AC799" s="79" t="s">
        <v>10801</v>
      </c>
      <c r="AD799" s="74" t="str">
        <f t="shared" si="591"/>
        <v>Link</v>
      </c>
      <c r="AE799" s="54">
        <v>29310</v>
      </c>
      <c r="AF799" s="54">
        <v>21</v>
      </c>
      <c r="AG799" s="7"/>
      <c r="AH799" s="56">
        <v>110635</v>
      </c>
    </row>
    <row r="800" spans="1:36" ht="15" x14ac:dyDescent="0.2">
      <c r="A800" s="43" t="s">
        <v>10677</v>
      </c>
      <c r="B800" s="57" t="s">
        <v>312</v>
      </c>
      <c r="C800" s="7" t="s">
        <v>67</v>
      </c>
      <c r="D800" s="7" t="s">
        <v>10825</v>
      </c>
      <c r="E800" s="44">
        <v>5</v>
      </c>
      <c r="F800" s="7"/>
      <c r="G800" s="7"/>
      <c r="H800" s="2" t="s">
        <v>10826</v>
      </c>
      <c r="I800" s="7" t="s">
        <v>484</v>
      </c>
      <c r="J800" s="7" t="s">
        <v>10827</v>
      </c>
      <c r="K800" s="7" t="s">
        <v>48</v>
      </c>
      <c r="L800" s="7" t="s">
        <v>10829</v>
      </c>
      <c r="M800" s="2" t="s">
        <v>10831</v>
      </c>
      <c r="N800" s="69" t="str">
        <f t="shared" ref="N800:N803" si="592">HYPERLINK("twitter.com/UCLASoftball","@UCLASoftball")</f>
        <v>@UCLASoftball</v>
      </c>
      <c r="O800" s="45" t="str">
        <f t="shared" ref="O800:O803" si="593">HYPERLINK("https://uclabruins.com/sports/2013/4/17/208269442.aspx","Questionnaire")</f>
        <v>Questionnaire</v>
      </c>
      <c r="P800" s="7" t="s">
        <v>10838</v>
      </c>
      <c r="Q800" s="57" t="s">
        <v>312</v>
      </c>
      <c r="R800" s="7" t="s">
        <v>574</v>
      </c>
      <c r="S800" s="48" t="s">
        <v>288</v>
      </c>
      <c r="T800" s="49" t="s">
        <v>74</v>
      </c>
      <c r="U800" s="7" t="s">
        <v>75</v>
      </c>
      <c r="V800" s="7"/>
      <c r="W800" s="44">
        <v>4.33</v>
      </c>
      <c r="X800" s="7" t="s">
        <v>10843</v>
      </c>
      <c r="Y800" s="7" t="s">
        <v>10845</v>
      </c>
      <c r="Z800" s="7" t="s">
        <v>1023</v>
      </c>
      <c r="AA800" s="51">
        <v>0.18</v>
      </c>
      <c r="AB800" s="48" t="s">
        <v>10848</v>
      </c>
      <c r="AC800" s="78" t="s">
        <v>10838</v>
      </c>
      <c r="AD800" s="74" t="str">
        <f t="shared" ref="AD800:AD803" si="594">HYPERLINK("http://www.admission.ucla.edu/prospect/coll_sch.htm","Link")</f>
        <v>Link</v>
      </c>
      <c r="AE800" s="54">
        <v>30873</v>
      </c>
      <c r="AF800" s="54">
        <v>21</v>
      </c>
      <c r="AG800" s="7"/>
      <c r="AH800" s="56">
        <v>110662</v>
      </c>
    </row>
    <row r="801" spans="1:34" ht="15" x14ac:dyDescent="0.2">
      <c r="A801" s="43" t="s">
        <v>10677</v>
      </c>
      <c r="B801" s="57" t="s">
        <v>312</v>
      </c>
      <c r="C801" s="7" t="s">
        <v>67</v>
      </c>
      <c r="D801" s="7" t="s">
        <v>10852</v>
      </c>
      <c r="E801" s="44">
        <v>5</v>
      </c>
      <c r="F801" s="7"/>
      <c r="G801" s="7"/>
      <c r="H801" s="2" t="s">
        <v>10826</v>
      </c>
      <c r="I801" s="7" t="s">
        <v>1822</v>
      </c>
      <c r="J801" s="7" t="s">
        <v>10853</v>
      </c>
      <c r="K801" s="7" t="s">
        <v>55</v>
      </c>
      <c r="L801" s="7" t="s">
        <v>10855</v>
      </c>
      <c r="M801" s="2" t="s">
        <v>10831</v>
      </c>
      <c r="N801" s="69" t="str">
        <f t="shared" si="592"/>
        <v>@UCLASoftball</v>
      </c>
      <c r="O801" s="45" t="str">
        <f t="shared" si="593"/>
        <v>Questionnaire</v>
      </c>
      <c r="P801" s="7" t="s">
        <v>10838</v>
      </c>
      <c r="Q801" s="57" t="s">
        <v>312</v>
      </c>
      <c r="R801" s="7" t="s">
        <v>574</v>
      </c>
      <c r="S801" s="48" t="s">
        <v>288</v>
      </c>
      <c r="T801" s="49" t="s">
        <v>74</v>
      </c>
      <c r="U801" s="7" t="s">
        <v>75</v>
      </c>
      <c r="V801" s="7"/>
      <c r="W801" s="44">
        <v>4.33</v>
      </c>
      <c r="X801" s="7" t="s">
        <v>10843</v>
      </c>
      <c r="Y801" s="7" t="s">
        <v>10845</v>
      </c>
      <c r="Z801" s="7" t="s">
        <v>1023</v>
      </c>
      <c r="AA801" s="51">
        <v>0.18</v>
      </c>
      <c r="AB801" s="48" t="s">
        <v>10848</v>
      </c>
      <c r="AC801" s="78" t="s">
        <v>10838</v>
      </c>
      <c r="AD801" s="74" t="str">
        <f t="shared" si="594"/>
        <v>Link</v>
      </c>
      <c r="AE801" s="54">
        <v>30873</v>
      </c>
      <c r="AF801" s="54">
        <v>21</v>
      </c>
      <c r="AG801" s="7"/>
      <c r="AH801" s="56">
        <v>110662</v>
      </c>
    </row>
    <row r="802" spans="1:34" ht="15" x14ac:dyDescent="0.2">
      <c r="A802" s="43" t="s">
        <v>10677</v>
      </c>
      <c r="B802" s="57" t="s">
        <v>312</v>
      </c>
      <c r="C802" s="7" t="s">
        <v>67</v>
      </c>
      <c r="D802" s="7" t="s">
        <v>10858</v>
      </c>
      <c r="E802" s="44">
        <v>5</v>
      </c>
      <c r="F802" s="7"/>
      <c r="G802" s="7"/>
      <c r="H802" s="2" t="s">
        <v>10826</v>
      </c>
      <c r="I802" s="7" t="s">
        <v>4954</v>
      </c>
      <c r="J802" s="7" t="s">
        <v>1955</v>
      </c>
      <c r="K802" s="7" t="s">
        <v>55</v>
      </c>
      <c r="L802" s="7" t="s">
        <v>10859</v>
      </c>
      <c r="M802" s="2" t="s">
        <v>10831</v>
      </c>
      <c r="N802" s="69" t="str">
        <f t="shared" si="592"/>
        <v>@UCLASoftball</v>
      </c>
      <c r="O802" s="45" t="str">
        <f t="shared" si="593"/>
        <v>Questionnaire</v>
      </c>
      <c r="P802" s="7" t="s">
        <v>10838</v>
      </c>
      <c r="Q802" s="57" t="s">
        <v>312</v>
      </c>
      <c r="R802" s="7" t="s">
        <v>574</v>
      </c>
      <c r="S802" s="48" t="s">
        <v>288</v>
      </c>
      <c r="T802" s="49" t="s">
        <v>74</v>
      </c>
      <c r="U802" s="7" t="s">
        <v>75</v>
      </c>
      <c r="V802" s="7"/>
      <c r="W802" s="44">
        <v>4.33</v>
      </c>
      <c r="X802" s="7" t="s">
        <v>10843</v>
      </c>
      <c r="Y802" s="7" t="s">
        <v>10845</v>
      </c>
      <c r="Z802" s="7" t="s">
        <v>1023</v>
      </c>
      <c r="AA802" s="51">
        <v>0.18</v>
      </c>
      <c r="AB802" s="48" t="s">
        <v>10848</v>
      </c>
      <c r="AC802" s="78" t="s">
        <v>10838</v>
      </c>
      <c r="AD802" s="74" t="str">
        <f t="shared" si="594"/>
        <v>Link</v>
      </c>
      <c r="AE802" s="54">
        <v>30873</v>
      </c>
      <c r="AF802" s="54">
        <v>21</v>
      </c>
      <c r="AG802" s="7"/>
      <c r="AH802" s="56">
        <v>110662</v>
      </c>
    </row>
    <row r="803" spans="1:34" ht="15" x14ac:dyDescent="0.2">
      <c r="A803" s="43" t="s">
        <v>10677</v>
      </c>
      <c r="B803" s="57" t="s">
        <v>312</v>
      </c>
      <c r="C803" s="7" t="s">
        <v>67</v>
      </c>
      <c r="D803" s="7" t="s">
        <v>10866</v>
      </c>
      <c r="E803" s="44">
        <v>5</v>
      </c>
      <c r="F803" s="7"/>
      <c r="G803" s="7"/>
      <c r="H803" s="2" t="s">
        <v>10826</v>
      </c>
      <c r="I803" s="7" t="s">
        <v>1315</v>
      </c>
      <c r="J803" s="7" t="s">
        <v>10867</v>
      </c>
      <c r="K803" s="7" t="s">
        <v>154</v>
      </c>
      <c r="L803" s="7" t="s">
        <v>10868</v>
      </c>
      <c r="M803" s="2" t="s">
        <v>10831</v>
      </c>
      <c r="N803" s="69" t="str">
        <f t="shared" si="592"/>
        <v>@UCLASoftball</v>
      </c>
      <c r="O803" s="45" t="str">
        <f t="shared" si="593"/>
        <v>Questionnaire</v>
      </c>
      <c r="P803" s="7" t="s">
        <v>10838</v>
      </c>
      <c r="Q803" s="57" t="s">
        <v>312</v>
      </c>
      <c r="R803" s="7" t="s">
        <v>574</v>
      </c>
      <c r="S803" s="48" t="s">
        <v>288</v>
      </c>
      <c r="T803" s="49" t="s">
        <v>74</v>
      </c>
      <c r="U803" s="7" t="s">
        <v>75</v>
      </c>
      <c r="V803" s="7"/>
      <c r="W803" s="44">
        <v>4.33</v>
      </c>
      <c r="X803" s="7" t="s">
        <v>10843</v>
      </c>
      <c r="Y803" s="7" t="s">
        <v>10845</v>
      </c>
      <c r="Z803" s="7" t="s">
        <v>1023</v>
      </c>
      <c r="AA803" s="51">
        <v>0.18</v>
      </c>
      <c r="AB803" s="48" t="s">
        <v>10848</v>
      </c>
      <c r="AC803" s="78" t="s">
        <v>10838</v>
      </c>
      <c r="AD803" s="74" t="str">
        <f t="shared" si="594"/>
        <v>Link</v>
      </c>
      <c r="AE803" s="54">
        <v>30873</v>
      </c>
      <c r="AF803" s="54">
        <v>21</v>
      </c>
      <c r="AG803" s="7"/>
      <c r="AH803" s="56">
        <v>110662</v>
      </c>
    </row>
    <row r="804" spans="1:34" ht="15" x14ac:dyDescent="0.2">
      <c r="A804" s="43" t="s">
        <v>10677</v>
      </c>
      <c r="B804" s="57" t="s">
        <v>3670</v>
      </c>
      <c r="C804" s="7" t="s">
        <v>67</v>
      </c>
      <c r="D804" s="7" t="s">
        <v>10876</v>
      </c>
      <c r="E804" s="44">
        <v>5</v>
      </c>
      <c r="F804" s="7"/>
      <c r="G804" s="7"/>
      <c r="H804" s="2" t="s">
        <v>10879</v>
      </c>
      <c r="I804" s="7" t="s">
        <v>9771</v>
      </c>
      <c r="J804" s="7" t="s">
        <v>10880</v>
      </c>
      <c r="K804" s="7" t="s">
        <v>48</v>
      </c>
      <c r="L804" s="7" t="s">
        <v>10881</v>
      </c>
      <c r="M804" s="7"/>
      <c r="N804" s="69" t="str">
        <f t="shared" ref="N804:N808" si="595">HYPERLINK("twitter.com/OregonSB","@OregonSB")</f>
        <v>@OregonSB</v>
      </c>
      <c r="O804" s="45" t="str">
        <f t="shared" ref="O804:O808" si="596">HYPERLINK("https://goducks.com/sports/2005/4/22/117889.aspx","Questionnaire")</f>
        <v>Questionnaire</v>
      </c>
      <c r="P804" s="7" t="s">
        <v>9218</v>
      </c>
      <c r="Q804" s="57" t="s">
        <v>3670</v>
      </c>
      <c r="R804" s="7" t="s">
        <v>10884</v>
      </c>
      <c r="S804" s="48" t="s">
        <v>62</v>
      </c>
      <c r="T804" s="49" t="s">
        <v>74</v>
      </c>
      <c r="U804" s="7" t="s">
        <v>75</v>
      </c>
      <c r="V804" s="7"/>
      <c r="W804" s="44">
        <v>3.58</v>
      </c>
      <c r="X804" s="7" t="s">
        <v>2853</v>
      </c>
      <c r="Y804" s="7" t="s">
        <v>2853</v>
      </c>
      <c r="Z804" s="7" t="s">
        <v>320</v>
      </c>
      <c r="AA804" s="61">
        <v>0.78</v>
      </c>
      <c r="AB804" s="48" t="s">
        <v>10885</v>
      </c>
      <c r="AC804" s="78" t="s">
        <v>9218</v>
      </c>
      <c r="AD804" s="74" t="str">
        <f t="shared" ref="AD804:AD808" si="597">HYPERLINK("http://uocatalog.uoregon.edu/majors/","Link")</f>
        <v>Link</v>
      </c>
      <c r="AE804" s="54">
        <v>20049</v>
      </c>
      <c r="AF804" s="54">
        <v>103</v>
      </c>
      <c r="AG804" s="7"/>
      <c r="AH804" s="56">
        <v>209551</v>
      </c>
    </row>
    <row r="805" spans="1:34" ht="15" x14ac:dyDescent="0.2">
      <c r="A805" s="43" t="s">
        <v>10677</v>
      </c>
      <c r="B805" s="57" t="s">
        <v>3670</v>
      </c>
      <c r="C805" s="7" t="s">
        <v>67</v>
      </c>
      <c r="D805" s="7" t="s">
        <v>10889</v>
      </c>
      <c r="E805" s="44">
        <v>5</v>
      </c>
      <c r="F805" s="7"/>
      <c r="G805" s="7"/>
      <c r="H805" s="2" t="s">
        <v>10879</v>
      </c>
      <c r="I805" s="7" t="s">
        <v>306</v>
      </c>
      <c r="J805" s="7" t="s">
        <v>10890</v>
      </c>
      <c r="K805" s="7" t="s">
        <v>55</v>
      </c>
      <c r="L805" s="7"/>
      <c r="M805" s="7"/>
      <c r="N805" s="69" t="str">
        <f t="shared" si="595"/>
        <v>@OregonSB</v>
      </c>
      <c r="O805" s="45" t="str">
        <f t="shared" si="596"/>
        <v>Questionnaire</v>
      </c>
      <c r="P805" s="7" t="s">
        <v>9218</v>
      </c>
      <c r="Q805" s="57" t="s">
        <v>3670</v>
      </c>
      <c r="R805" s="7" t="s">
        <v>10884</v>
      </c>
      <c r="S805" s="48" t="s">
        <v>62</v>
      </c>
      <c r="T805" s="49" t="s">
        <v>74</v>
      </c>
      <c r="U805" s="7" t="s">
        <v>75</v>
      </c>
      <c r="V805" s="7"/>
      <c r="W805" s="44">
        <v>3.58</v>
      </c>
      <c r="X805" s="7" t="s">
        <v>2853</v>
      </c>
      <c r="Y805" s="7" t="s">
        <v>2853</v>
      </c>
      <c r="Z805" s="7" t="s">
        <v>320</v>
      </c>
      <c r="AA805" s="61">
        <v>0.78</v>
      </c>
      <c r="AB805" s="48" t="s">
        <v>10885</v>
      </c>
      <c r="AC805" s="78" t="s">
        <v>9218</v>
      </c>
      <c r="AD805" s="74" t="str">
        <f t="shared" si="597"/>
        <v>Link</v>
      </c>
      <c r="AE805" s="54">
        <v>20049</v>
      </c>
      <c r="AF805" s="54">
        <v>103</v>
      </c>
      <c r="AG805" s="7"/>
      <c r="AH805" s="56">
        <v>209551</v>
      </c>
    </row>
    <row r="806" spans="1:34" ht="15" x14ac:dyDescent="0.2">
      <c r="A806" s="43" t="s">
        <v>10677</v>
      </c>
      <c r="B806" s="57" t="s">
        <v>3670</v>
      </c>
      <c r="C806" s="7" t="s">
        <v>67</v>
      </c>
      <c r="D806" s="7" t="s">
        <v>10895</v>
      </c>
      <c r="E806" s="44">
        <v>5</v>
      </c>
      <c r="F806" s="7"/>
      <c r="G806" s="7"/>
      <c r="H806" s="2" t="s">
        <v>10879</v>
      </c>
      <c r="I806" s="7" t="s">
        <v>1954</v>
      </c>
      <c r="J806" s="7" t="s">
        <v>10896</v>
      </c>
      <c r="K806" s="7" t="s">
        <v>55</v>
      </c>
      <c r="L806" s="7"/>
      <c r="M806" s="7"/>
      <c r="N806" s="69" t="str">
        <f t="shared" si="595"/>
        <v>@OregonSB</v>
      </c>
      <c r="O806" s="45" t="str">
        <f t="shared" si="596"/>
        <v>Questionnaire</v>
      </c>
      <c r="P806" s="7" t="s">
        <v>9218</v>
      </c>
      <c r="Q806" s="57" t="s">
        <v>3670</v>
      </c>
      <c r="R806" s="7" t="s">
        <v>10884</v>
      </c>
      <c r="S806" s="48" t="s">
        <v>62</v>
      </c>
      <c r="T806" s="49" t="s">
        <v>74</v>
      </c>
      <c r="U806" s="7" t="s">
        <v>75</v>
      </c>
      <c r="V806" s="7"/>
      <c r="W806" s="44">
        <v>3.58</v>
      </c>
      <c r="X806" s="7" t="s">
        <v>2853</v>
      </c>
      <c r="Y806" s="7" t="s">
        <v>2853</v>
      </c>
      <c r="Z806" s="7" t="s">
        <v>320</v>
      </c>
      <c r="AA806" s="61">
        <v>0.78</v>
      </c>
      <c r="AB806" s="48" t="s">
        <v>10885</v>
      </c>
      <c r="AC806" s="78" t="s">
        <v>9218</v>
      </c>
      <c r="AD806" s="74" t="str">
        <f t="shared" si="597"/>
        <v>Link</v>
      </c>
      <c r="AE806" s="54">
        <v>20049</v>
      </c>
      <c r="AF806" s="54">
        <v>103</v>
      </c>
      <c r="AG806" s="7"/>
      <c r="AH806" s="56">
        <v>209551</v>
      </c>
    </row>
    <row r="807" spans="1:34" ht="15" x14ac:dyDescent="0.2">
      <c r="A807" s="43" t="s">
        <v>10677</v>
      </c>
      <c r="B807" s="57" t="s">
        <v>3670</v>
      </c>
      <c r="C807" s="7" t="s">
        <v>67</v>
      </c>
      <c r="D807" s="7" t="s">
        <v>10903</v>
      </c>
      <c r="E807" s="44">
        <v>5</v>
      </c>
      <c r="F807" s="7"/>
      <c r="G807" s="7"/>
      <c r="H807" s="2" t="s">
        <v>10879</v>
      </c>
      <c r="I807" s="7" t="s">
        <v>2829</v>
      </c>
      <c r="J807" s="7" t="s">
        <v>3291</v>
      </c>
      <c r="K807" s="7" t="s">
        <v>154</v>
      </c>
      <c r="L807" s="7" t="s">
        <v>10905</v>
      </c>
      <c r="M807" s="7"/>
      <c r="N807" s="69" t="str">
        <f t="shared" si="595"/>
        <v>@OregonSB</v>
      </c>
      <c r="O807" s="45" t="str">
        <f t="shared" si="596"/>
        <v>Questionnaire</v>
      </c>
      <c r="P807" s="7" t="s">
        <v>9218</v>
      </c>
      <c r="Q807" s="57" t="s">
        <v>3670</v>
      </c>
      <c r="R807" s="7" t="s">
        <v>10884</v>
      </c>
      <c r="S807" s="48" t="s">
        <v>62</v>
      </c>
      <c r="T807" s="49" t="s">
        <v>74</v>
      </c>
      <c r="U807" s="7" t="s">
        <v>75</v>
      </c>
      <c r="V807" s="7"/>
      <c r="W807" s="44">
        <v>3.58</v>
      </c>
      <c r="X807" s="7" t="s">
        <v>2853</v>
      </c>
      <c r="Y807" s="7" t="s">
        <v>2853</v>
      </c>
      <c r="Z807" s="7" t="s">
        <v>320</v>
      </c>
      <c r="AA807" s="61">
        <v>0.78</v>
      </c>
      <c r="AB807" s="48" t="s">
        <v>10885</v>
      </c>
      <c r="AC807" s="78" t="s">
        <v>9218</v>
      </c>
      <c r="AD807" s="74" t="str">
        <f t="shared" si="597"/>
        <v>Link</v>
      </c>
      <c r="AE807" s="54">
        <v>20049</v>
      </c>
      <c r="AF807" s="54">
        <v>103</v>
      </c>
      <c r="AG807" s="7"/>
      <c r="AH807" s="56">
        <v>209551</v>
      </c>
    </row>
    <row r="808" spans="1:34" ht="15" x14ac:dyDescent="0.2">
      <c r="A808" s="43" t="s">
        <v>10677</v>
      </c>
      <c r="B808" s="47" t="s">
        <v>3670</v>
      </c>
      <c r="C808" s="7" t="s">
        <v>67</v>
      </c>
      <c r="D808" s="7" t="s">
        <v>10909</v>
      </c>
      <c r="E808" s="44">
        <v>5</v>
      </c>
      <c r="F808" s="7"/>
      <c r="G808" s="7"/>
      <c r="H808" s="2" t="s">
        <v>10879</v>
      </c>
      <c r="I808" s="7" t="s">
        <v>10911</v>
      </c>
      <c r="J808" s="7" t="s">
        <v>10913</v>
      </c>
      <c r="K808" s="7" t="s">
        <v>139</v>
      </c>
      <c r="L808" s="7"/>
      <c r="M808" s="7"/>
      <c r="N808" s="69" t="str">
        <f t="shared" si="595"/>
        <v>@OregonSB</v>
      </c>
      <c r="O808" s="45" t="str">
        <f t="shared" si="596"/>
        <v>Questionnaire</v>
      </c>
      <c r="P808" s="48" t="s">
        <v>9218</v>
      </c>
      <c r="Q808" s="47" t="s">
        <v>3670</v>
      </c>
      <c r="R808" s="48" t="s">
        <v>10884</v>
      </c>
      <c r="S808" s="48" t="s">
        <v>62</v>
      </c>
      <c r="T808" s="49" t="s">
        <v>74</v>
      </c>
      <c r="U808" s="49" t="s">
        <v>75</v>
      </c>
      <c r="V808" s="48"/>
      <c r="W808" s="61">
        <v>3.58</v>
      </c>
      <c r="X808" s="49" t="s">
        <v>2853</v>
      </c>
      <c r="Y808" s="49" t="s">
        <v>2853</v>
      </c>
      <c r="Z808" s="49" t="s">
        <v>320</v>
      </c>
      <c r="AA808" s="61">
        <v>0.78</v>
      </c>
      <c r="AB808" s="48" t="s">
        <v>10885</v>
      </c>
      <c r="AC808" s="62" t="s">
        <v>9218</v>
      </c>
      <c r="AD808" s="53" t="str">
        <f t="shared" si="597"/>
        <v>Link</v>
      </c>
      <c r="AE808" s="54">
        <v>20049</v>
      </c>
      <c r="AF808" s="54">
        <v>103</v>
      </c>
      <c r="AG808" s="55"/>
      <c r="AH808" s="56">
        <v>209551</v>
      </c>
    </row>
    <row r="809" spans="1:34" ht="15" x14ac:dyDescent="0.2">
      <c r="A809" s="43" t="s">
        <v>10677</v>
      </c>
      <c r="B809" s="57" t="s">
        <v>3670</v>
      </c>
      <c r="C809" s="7" t="s">
        <v>67</v>
      </c>
      <c r="D809" s="7" t="s">
        <v>10926</v>
      </c>
      <c r="E809" s="44">
        <v>5</v>
      </c>
      <c r="F809" s="7"/>
      <c r="G809" s="7"/>
      <c r="H809" s="2" t="s">
        <v>10927</v>
      </c>
      <c r="I809" s="7" t="s">
        <v>161</v>
      </c>
      <c r="J809" s="7" t="s">
        <v>7234</v>
      </c>
      <c r="K809" s="7" t="s">
        <v>48</v>
      </c>
      <c r="L809" s="7" t="s">
        <v>10928</v>
      </c>
      <c r="M809" s="7" t="s">
        <v>10929</v>
      </c>
      <c r="N809" s="69" t="str">
        <f t="shared" ref="N809:N813" si="598">HYPERLINK("twitter.com/beaversoftball","@beaversoftball")</f>
        <v>@beaversoftball</v>
      </c>
      <c r="O809" s="45" t="str">
        <f t="shared" ref="O809:O813" si="599">HYPERLINK("https://osubeavers.com/sports/2012/12/19/208343630.aspx","Questionnaire")</f>
        <v>Questionnaire</v>
      </c>
      <c r="P809" s="7" t="s">
        <v>10940</v>
      </c>
      <c r="Q809" s="57" t="s">
        <v>3670</v>
      </c>
      <c r="R809" s="7" t="s">
        <v>10942</v>
      </c>
      <c r="S809" s="48" t="s">
        <v>186</v>
      </c>
      <c r="T809" s="49" t="s">
        <v>74</v>
      </c>
      <c r="U809" s="7" t="s">
        <v>75</v>
      </c>
      <c r="V809" s="7"/>
      <c r="W809" s="44">
        <v>3.67</v>
      </c>
      <c r="X809" s="7" t="s">
        <v>2510</v>
      </c>
      <c r="Y809" s="7" t="s">
        <v>956</v>
      </c>
      <c r="Z809" s="7" t="s">
        <v>689</v>
      </c>
      <c r="AA809" s="61">
        <v>0.77</v>
      </c>
      <c r="AB809" s="48" t="s">
        <v>10943</v>
      </c>
      <c r="AC809" s="78" t="s">
        <v>10940</v>
      </c>
      <c r="AD809" s="74" t="str">
        <f t="shared" ref="AD809:AD813" si="600">HYPERLINK("https://admissions.oregonstate.edu/alphabetical-list-undergraduate-majors","Link")</f>
        <v>Link</v>
      </c>
      <c r="AE809" s="54">
        <v>25327</v>
      </c>
      <c r="AF809" s="54">
        <v>145</v>
      </c>
      <c r="AG809" s="7"/>
      <c r="AH809" s="56">
        <v>209542</v>
      </c>
    </row>
    <row r="810" spans="1:34" ht="15" x14ac:dyDescent="0.2">
      <c r="A810" s="43" t="s">
        <v>10677</v>
      </c>
      <c r="B810" s="57" t="s">
        <v>3670</v>
      </c>
      <c r="C810" s="7" t="s">
        <v>67</v>
      </c>
      <c r="D810" s="7" t="s">
        <v>10949</v>
      </c>
      <c r="E810" s="44">
        <v>5</v>
      </c>
      <c r="F810" s="7"/>
      <c r="G810" s="7"/>
      <c r="H810" s="2" t="s">
        <v>10927</v>
      </c>
      <c r="I810" s="7" t="s">
        <v>2514</v>
      </c>
      <c r="J810" s="7" t="s">
        <v>1349</v>
      </c>
      <c r="K810" s="7" t="s">
        <v>55</v>
      </c>
      <c r="L810" s="7" t="s">
        <v>10952</v>
      </c>
      <c r="M810" s="7" t="s">
        <v>10929</v>
      </c>
      <c r="N810" s="69" t="str">
        <f t="shared" si="598"/>
        <v>@beaversoftball</v>
      </c>
      <c r="O810" s="45" t="str">
        <f t="shared" si="599"/>
        <v>Questionnaire</v>
      </c>
      <c r="P810" s="7" t="s">
        <v>10940</v>
      </c>
      <c r="Q810" s="57" t="s">
        <v>3670</v>
      </c>
      <c r="R810" s="7" t="s">
        <v>10942</v>
      </c>
      <c r="S810" s="48" t="s">
        <v>186</v>
      </c>
      <c r="T810" s="49" t="s">
        <v>74</v>
      </c>
      <c r="U810" s="7" t="s">
        <v>75</v>
      </c>
      <c r="V810" s="7"/>
      <c r="W810" s="44">
        <v>3.67</v>
      </c>
      <c r="X810" s="7" t="s">
        <v>2510</v>
      </c>
      <c r="Y810" s="7" t="s">
        <v>956</v>
      </c>
      <c r="Z810" s="7" t="s">
        <v>689</v>
      </c>
      <c r="AA810" s="61">
        <v>0.77</v>
      </c>
      <c r="AB810" s="48" t="s">
        <v>10943</v>
      </c>
      <c r="AC810" s="78" t="s">
        <v>10940</v>
      </c>
      <c r="AD810" s="74" t="str">
        <f t="shared" si="600"/>
        <v>Link</v>
      </c>
      <c r="AE810" s="54">
        <v>25327</v>
      </c>
      <c r="AF810" s="54">
        <v>145</v>
      </c>
      <c r="AG810" s="7"/>
      <c r="AH810" s="56">
        <v>209542</v>
      </c>
    </row>
    <row r="811" spans="1:34" ht="15" x14ac:dyDescent="0.2">
      <c r="A811" s="43" t="s">
        <v>10677</v>
      </c>
      <c r="B811" s="57" t="s">
        <v>3670</v>
      </c>
      <c r="C811" s="7" t="s">
        <v>67</v>
      </c>
      <c r="D811" s="7" t="s">
        <v>10958</v>
      </c>
      <c r="E811" s="44">
        <v>5</v>
      </c>
      <c r="F811" s="7"/>
      <c r="G811" s="7"/>
      <c r="H811" s="2" t="s">
        <v>10927</v>
      </c>
      <c r="I811" s="7" t="s">
        <v>173</v>
      </c>
      <c r="J811" s="7" t="s">
        <v>10962</v>
      </c>
      <c r="K811" s="7" t="s">
        <v>55</v>
      </c>
      <c r="L811" s="7" t="s">
        <v>10965</v>
      </c>
      <c r="M811" s="7" t="s">
        <v>10929</v>
      </c>
      <c r="N811" s="69" t="str">
        <f t="shared" si="598"/>
        <v>@beaversoftball</v>
      </c>
      <c r="O811" s="45" t="str">
        <f t="shared" si="599"/>
        <v>Questionnaire</v>
      </c>
      <c r="P811" s="7" t="s">
        <v>10940</v>
      </c>
      <c r="Q811" s="57" t="s">
        <v>3670</v>
      </c>
      <c r="R811" s="7" t="s">
        <v>10942</v>
      </c>
      <c r="S811" s="48" t="s">
        <v>186</v>
      </c>
      <c r="T811" s="49" t="s">
        <v>74</v>
      </c>
      <c r="U811" s="7" t="s">
        <v>75</v>
      </c>
      <c r="V811" s="7"/>
      <c r="W811" s="44">
        <v>3.67</v>
      </c>
      <c r="X811" s="7" t="s">
        <v>2510</v>
      </c>
      <c r="Y811" s="7" t="s">
        <v>956</v>
      </c>
      <c r="Z811" s="7" t="s">
        <v>689</v>
      </c>
      <c r="AA811" s="61">
        <v>0.77</v>
      </c>
      <c r="AB811" s="48" t="s">
        <v>10943</v>
      </c>
      <c r="AC811" s="78" t="s">
        <v>10940</v>
      </c>
      <c r="AD811" s="74" t="str">
        <f t="shared" si="600"/>
        <v>Link</v>
      </c>
      <c r="AE811" s="54">
        <v>25327</v>
      </c>
      <c r="AF811" s="54">
        <v>145</v>
      </c>
      <c r="AG811" s="7"/>
      <c r="AH811" s="56">
        <v>209542</v>
      </c>
    </row>
    <row r="812" spans="1:34" ht="15" x14ac:dyDescent="0.2">
      <c r="A812" s="43" t="s">
        <v>10677</v>
      </c>
      <c r="B812" s="57" t="s">
        <v>3670</v>
      </c>
      <c r="C812" s="7" t="s">
        <v>67</v>
      </c>
      <c r="D812" s="7" t="s">
        <v>10970</v>
      </c>
      <c r="E812" s="44">
        <v>5</v>
      </c>
      <c r="F812" s="7"/>
      <c r="G812" s="7"/>
      <c r="H812" s="2" t="s">
        <v>10927</v>
      </c>
      <c r="I812" s="7" t="s">
        <v>1132</v>
      </c>
      <c r="J812" s="7" t="s">
        <v>2919</v>
      </c>
      <c r="K812" s="7" t="s">
        <v>154</v>
      </c>
      <c r="L812" s="7" t="s">
        <v>10976</v>
      </c>
      <c r="M812" s="7" t="s">
        <v>10929</v>
      </c>
      <c r="N812" s="69" t="str">
        <f t="shared" si="598"/>
        <v>@beaversoftball</v>
      </c>
      <c r="O812" s="45" t="str">
        <f t="shared" si="599"/>
        <v>Questionnaire</v>
      </c>
      <c r="P812" s="7" t="s">
        <v>10940</v>
      </c>
      <c r="Q812" s="57" t="s">
        <v>3670</v>
      </c>
      <c r="R812" s="7" t="s">
        <v>10942</v>
      </c>
      <c r="S812" s="48" t="s">
        <v>186</v>
      </c>
      <c r="T812" s="49" t="s">
        <v>74</v>
      </c>
      <c r="U812" s="7" t="s">
        <v>75</v>
      </c>
      <c r="V812" s="7"/>
      <c r="W812" s="44">
        <v>3.67</v>
      </c>
      <c r="X812" s="7" t="s">
        <v>2510</v>
      </c>
      <c r="Y812" s="7" t="s">
        <v>956</v>
      </c>
      <c r="Z812" s="7" t="s">
        <v>689</v>
      </c>
      <c r="AA812" s="61">
        <v>0.77</v>
      </c>
      <c r="AB812" s="48" t="s">
        <v>10943</v>
      </c>
      <c r="AC812" s="78" t="s">
        <v>10940</v>
      </c>
      <c r="AD812" s="74" t="str">
        <f t="shared" si="600"/>
        <v>Link</v>
      </c>
      <c r="AE812" s="54">
        <v>25327</v>
      </c>
      <c r="AF812" s="54">
        <v>145</v>
      </c>
      <c r="AG812" s="7"/>
      <c r="AH812" s="56">
        <v>209542</v>
      </c>
    </row>
    <row r="813" spans="1:34" ht="15" x14ac:dyDescent="0.2">
      <c r="A813" s="43" t="s">
        <v>10677</v>
      </c>
      <c r="B813" s="57" t="s">
        <v>3670</v>
      </c>
      <c r="C813" s="7" t="s">
        <v>67</v>
      </c>
      <c r="D813" s="7" t="s">
        <v>10977</v>
      </c>
      <c r="E813" s="44">
        <v>5</v>
      </c>
      <c r="F813" s="7"/>
      <c r="G813" s="7"/>
      <c r="H813" s="2" t="s">
        <v>10927</v>
      </c>
      <c r="I813" s="7" t="s">
        <v>10979</v>
      </c>
      <c r="J813" s="7" t="s">
        <v>10980</v>
      </c>
      <c r="K813" s="7" t="s">
        <v>139</v>
      </c>
      <c r="L813" s="7" t="s">
        <v>10982</v>
      </c>
      <c r="M813" s="7" t="s">
        <v>10929</v>
      </c>
      <c r="N813" s="69" t="str">
        <f t="shared" si="598"/>
        <v>@beaversoftball</v>
      </c>
      <c r="O813" s="45" t="str">
        <f t="shared" si="599"/>
        <v>Questionnaire</v>
      </c>
      <c r="P813" s="7" t="s">
        <v>10940</v>
      </c>
      <c r="Q813" s="57" t="s">
        <v>3670</v>
      </c>
      <c r="R813" s="7" t="s">
        <v>10942</v>
      </c>
      <c r="S813" s="48" t="s">
        <v>186</v>
      </c>
      <c r="T813" s="49" t="s">
        <v>74</v>
      </c>
      <c r="U813" s="7" t="s">
        <v>75</v>
      </c>
      <c r="V813" s="7"/>
      <c r="W813" s="44">
        <v>3.67</v>
      </c>
      <c r="X813" s="7" t="s">
        <v>2510</v>
      </c>
      <c r="Y813" s="7" t="s">
        <v>956</v>
      </c>
      <c r="Z813" s="7" t="s">
        <v>689</v>
      </c>
      <c r="AA813" s="61">
        <v>0.77</v>
      </c>
      <c r="AB813" s="48" t="s">
        <v>10943</v>
      </c>
      <c r="AC813" s="78" t="s">
        <v>10940</v>
      </c>
      <c r="AD813" s="74" t="str">
        <f t="shared" si="600"/>
        <v>Link</v>
      </c>
      <c r="AE813" s="54">
        <v>25327</v>
      </c>
      <c r="AF813" s="54">
        <v>145</v>
      </c>
      <c r="AG813" s="7"/>
      <c r="AH813" s="56">
        <v>209542</v>
      </c>
    </row>
    <row r="814" spans="1:34" ht="15" x14ac:dyDescent="0.2">
      <c r="A814" s="43" t="s">
        <v>10677</v>
      </c>
      <c r="B814" s="57" t="s">
        <v>312</v>
      </c>
      <c r="C814" s="7" t="s">
        <v>67</v>
      </c>
      <c r="D814" s="7" t="s">
        <v>10994</v>
      </c>
      <c r="E814" s="44">
        <v>5</v>
      </c>
      <c r="F814" s="7"/>
      <c r="G814" s="7"/>
      <c r="H814" s="2" t="s">
        <v>10995</v>
      </c>
      <c r="I814" s="7" t="s">
        <v>201</v>
      </c>
      <c r="J814" s="7" t="s">
        <v>10996</v>
      </c>
      <c r="K814" s="7" t="s">
        <v>48</v>
      </c>
      <c r="L814" s="7" t="s">
        <v>10997</v>
      </c>
      <c r="M814" s="7" t="s">
        <v>10999</v>
      </c>
      <c r="N814" s="45" t="str">
        <f t="shared" ref="N814:N818" si="601">HYPERLINK("twitter.com/StanfordSball","@StanfordSball")</f>
        <v>@StanfordSball</v>
      </c>
      <c r="O814" s="45" t="str">
        <f t="shared" ref="O814:O818" si="602">HYPERLINK("https://gostanford.com/sports/2013/4/17/208451302.aspx","Questionnaire")</f>
        <v>Questionnaire</v>
      </c>
      <c r="P814" s="7" t="s">
        <v>11006</v>
      </c>
      <c r="Q814" s="57" t="s">
        <v>312</v>
      </c>
      <c r="R814" s="7" t="s">
        <v>11007</v>
      </c>
      <c r="S814" s="48" t="s">
        <v>186</v>
      </c>
      <c r="T814" s="73" t="s">
        <v>63</v>
      </c>
      <c r="U814" s="7" t="s">
        <v>75</v>
      </c>
      <c r="V814" s="7"/>
      <c r="W814" s="44">
        <v>3.94</v>
      </c>
      <c r="X814" s="7" t="s">
        <v>1171</v>
      </c>
      <c r="Y814" s="7" t="s">
        <v>11008</v>
      </c>
      <c r="Z814" s="7" t="s">
        <v>11010</v>
      </c>
      <c r="AA814" s="61">
        <v>0.05</v>
      </c>
      <c r="AB814" s="71">
        <v>66696</v>
      </c>
      <c r="AC814" s="78" t="s">
        <v>11006</v>
      </c>
      <c r="AD814" s="74" t="str">
        <f t="shared" ref="AD814:AD818" si="603">HYPERLINK("https://majors.stanford.edu/majors-alphabetical/a--z","Link")</f>
        <v>Link</v>
      </c>
      <c r="AE814" s="54">
        <v>7034</v>
      </c>
      <c r="AF814" s="54">
        <v>5</v>
      </c>
      <c r="AG814" s="7"/>
      <c r="AH814" s="56">
        <v>243744</v>
      </c>
    </row>
    <row r="815" spans="1:34" ht="15" x14ac:dyDescent="0.2">
      <c r="A815" s="43" t="s">
        <v>10677</v>
      </c>
      <c r="B815" s="57" t="s">
        <v>312</v>
      </c>
      <c r="C815" s="7" t="s">
        <v>67</v>
      </c>
      <c r="D815" s="7" t="s">
        <v>11018</v>
      </c>
      <c r="E815" s="44">
        <v>5</v>
      </c>
      <c r="F815" s="7"/>
      <c r="G815" s="7"/>
      <c r="H815" s="2" t="s">
        <v>10995</v>
      </c>
      <c r="I815" s="7" t="s">
        <v>201</v>
      </c>
      <c r="J815" s="7" t="s">
        <v>7617</v>
      </c>
      <c r="K815" s="7" t="s">
        <v>55</v>
      </c>
      <c r="L815" s="7" t="s">
        <v>11022</v>
      </c>
      <c r="M815" s="7" t="s">
        <v>11023</v>
      </c>
      <c r="N815" s="45" t="str">
        <f t="shared" si="601"/>
        <v>@StanfordSball</v>
      </c>
      <c r="O815" s="45" t="str">
        <f t="shared" si="602"/>
        <v>Questionnaire</v>
      </c>
      <c r="P815" s="7" t="s">
        <v>11006</v>
      </c>
      <c r="Q815" s="57" t="s">
        <v>312</v>
      </c>
      <c r="R815" s="7" t="s">
        <v>11007</v>
      </c>
      <c r="S815" s="48" t="s">
        <v>186</v>
      </c>
      <c r="T815" s="73" t="s">
        <v>63</v>
      </c>
      <c r="U815" s="7" t="s">
        <v>75</v>
      </c>
      <c r="V815" s="7"/>
      <c r="W815" s="44">
        <v>3.94</v>
      </c>
      <c r="X815" s="7" t="s">
        <v>1171</v>
      </c>
      <c r="Y815" s="7" t="s">
        <v>11008</v>
      </c>
      <c r="Z815" s="7" t="s">
        <v>11010</v>
      </c>
      <c r="AA815" s="61">
        <v>0.05</v>
      </c>
      <c r="AB815" s="71">
        <v>66696</v>
      </c>
      <c r="AC815" s="78" t="s">
        <v>11006</v>
      </c>
      <c r="AD815" s="74" t="str">
        <f t="shared" si="603"/>
        <v>Link</v>
      </c>
      <c r="AE815" s="54">
        <v>7034</v>
      </c>
      <c r="AF815" s="54">
        <v>5</v>
      </c>
      <c r="AG815" s="7"/>
      <c r="AH815" s="56">
        <v>243744</v>
      </c>
    </row>
    <row r="816" spans="1:34" ht="15" x14ac:dyDescent="0.2">
      <c r="A816" s="43" t="s">
        <v>10677</v>
      </c>
      <c r="B816" s="57" t="s">
        <v>312</v>
      </c>
      <c r="C816" s="7" t="s">
        <v>67</v>
      </c>
      <c r="D816" s="7" t="s">
        <v>11029</v>
      </c>
      <c r="E816" s="44">
        <v>5</v>
      </c>
      <c r="F816" s="7"/>
      <c r="G816" s="7"/>
      <c r="H816" s="2" t="s">
        <v>10995</v>
      </c>
      <c r="I816" s="7" t="s">
        <v>1717</v>
      </c>
      <c r="J816" s="7" t="s">
        <v>11031</v>
      </c>
      <c r="K816" s="7" t="s">
        <v>55</v>
      </c>
      <c r="L816" s="7" t="s">
        <v>11034</v>
      </c>
      <c r="M816" s="7" t="s">
        <v>11035</v>
      </c>
      <c r="N816" s="45" t="str">
        <f t="shared" si="601"/>
        <v>@StanfordSball</v>
      </c>
      <c r="O816" s="45" t="str">
        <f t="shared" si="602"/>
        <v>Questionnaire</v>
      </c>
      <c r="P816" s="7" t="s">
        <v>11006</v>
      </c>
      <c r="Q816" s="57" t="s">
        <v>312</v>
      </c>
      <c r="R816" s="7" t="s">
        <v>11007</v>
      </c>
      <c r="S816" s="48" t="s">
        <v>186</v>
      </c>
      <c r="T816" s="73" t="s">
        <v>63</v>
      </c>
      <c r="U816" s="7" t="s">
        <v>75</v>
      </c>
      <c r="V816" s="7"/>
      <c r="W816" s="44">
        <v>3.94</v>
      </c>
      <c r="X816" s="7" t="s">
        <v>1171</v>
      </c>
      <c r="Y816" s="7" t="s">
        <v>11008</v>
      </c>
      <c r="Z816" s="7" t="s">
        <v>11010</v>
      </c>
      <c r="AA816" s="61">
        <v>0.05</v>
      </c>
      <c r="AB816" s="71">
        <v>66696</v>
      </c>
      <c r="AC816" s="78" t="s">
        <v>11006</v>
      </c>
      <c r="AD816" s="74" t="str">
        <f t="shared" si="603"/>
        <v>Link</v>
      </c>
      <c r="AE816" s="54">
        <v>7034</v>
      </c>
      <c r="AF816" s="54">
        <v>5</v>
      </c>
      <c r="AG816" s="7"/>
      <c r="AH816" s="56">
        <v>243744</v>
      </c>
    </row>
    <row r="817" spans="1:34" ht="15" x14ac:dyDescent="0.2">
      <c r="A817" s="43" t="s">
        <v>10677</v>
      </c>
      <c r="B817" s="57" t="s">
        <v>312</v>
      </c>
      <c r="C817" s="7" t="s">
        <v>67</v>
      </c>
      <c r="D817" s="7" t="s">
        <v>11041</v>
      </c>
      <c r="E817" s="44">
        <v>5</v>
      </c>
      <c r="F817" s="7"/>
      <c r="G817" s="7"/>
      <c r="H817" s="2" t="s">
        <v>10995</v>
      </c>
      <c r="I817" s="7" t="s">
        <v>11042</v>
      </c>
      <c r="J817" s="7" t="s">
        <v>11043</v>
      </c>
      <c r="K817" s="7" t="s">
        <v>139</v>
      </c>
      <c r="L817" s="7" t="s">
        <v>11044</v>
      </c>
      <c r="M817" s="7"/>
      <c r="N817" s="69" t="str">
        <f t="shared" si="601"/>
        <v>@StanfordSball</v>
      </c>
      <c r="O817" s="45" t="str">
        <f t="shared" si="602"/>
        <v>Questionnaire</v>
      </c>
      <c r="P817" s="7" t="s">
        <v>11006</v>
      </c>
      <c r="Q817" s="57" t="s">
        <v>312</v>
      </c>
      <c r="R817" s="7" t="s">
        <v>11007</v>
      </c>
      <c r="S817" s="48" t="s">
        <v>186</v>
      </c>
      <c r="T817" s="73" t="s">
        <v>63</v>
      </c>
      <c r="U817" s="7" t="s">
        <v>75</v>
      </c>
      <c r="V817" s="7"/>
      <c r="W817" s="44">
        <v>3.94</v>
      </c>
      <c r="X817" s="7" t="s">
        <v>1171</v>
      </c>
      <c r="Y817" s="7" t="s">
        <v>11008</v>
      </c>
      <c r="Z817" s="7" t="s">
        <v>11010</v>
      </c>
      <c r="AA817" s="61">
        <v>0.05</v>
      </c>
      <c r="AB817" s="71">
        <v>66696</v>
      </c>
      <c r="AC817" s="78" t="s">
        <v>11006</v>
      </c>
      <c r="AD817" s="74" t="str">
        <f t="shared" si="603"/>
        <v>Link</v>
      </c>
      <c r="AE817" s="54">
        <v>7034</v>
      </c>
      <c r="AF817" s="54">
        <v>5</v>
      </c>
      <c r="AG817" s="7"/>
      <c r="AH817" s="56">
        <v>243744</v>
      </c>
    </row>
    <row r="818" spans="1:34" ht="15" x14ac:dyDescent="0.2">
      <c r="A818" s="43" t="s">
        <v>10677</v>
      </c>
      <c r="B818" s="57" t="s">
        <v>312</v>
      </c>
      <c r="C818" s="7" t="s">
        <v>67</v>
      </c>
      <c r="D818" s="7" t="s">
        <v>11049</v>
      </c>
      <c r="E818" s="44">
        <v>5</v>
      </c>
      <c r="F818" s="7"/>
      <c r="G818" s="7"/>
      <c r="H818" s="2" t="s">
        <v>10995</v>
      </c>
      <c r="I818" s="7" t="s">
        <v>11051</v>
      </c>
      <c r="J818" s="7" t="s">
        <v>11052</v>
      </c>
      <c r="K818" s="7" t="s">
        <v>154</v>
      </c>
      <c r="L818" s="7" t="s">
        <v>11054</v>
      </c>
      <c r="M818" s="7" t="s">
        <v>11057</v>
      </c>
      <c r="N818" s="69" t="str">
        <f t="shared" si="601"/>
        <v>@StanfordSball</v>
      </c>
      <c r="O818" s="45" t="str">
        <f t="shared" si="602"/>
        <v>Questionnaire</v>
      </c>
      <c r="P818" s="7" t="s">
        <v>11006</v>
      </c>
      <c r="Q818" s="57" t="s">
        <v>312</v>
      </c>
      <c r="R818" s="7" t="s">
        <v>11007</v>
      </c>
      <c r="S818" s="48" t="s">
        <v>186</v>
      </c>
      <c r="T818" s="73" t="s">
        <v>63</v>
      </c>
      <c r="U818" s="7" t="s">
        <v>75</v>
      </c>
      <c r="V818" s="7"/>
      <c r="W818" s="44">
        <v>3.94</v>
      </c>
      <c r="X818" s="7" t="s">
        <v>1171</v>
      </c>
      <c r="Y818" s="7" t="s">
        <v>11008</v>
      </c>
      <c r="Z818" s="7" t="s">
        <v>11010</v>
      </c>
      <c r="AA818" s="61">
        <v>0.05</v>
      </c>
      <c r="AB818" s="71">
        <v>66696</v>
      </c>
      <c r="AC818" s="78" t="s">
        <v>11006</v>
      </c>
      <c r="AD818" s="74" t="str">
        <f t="shared" si="603"/>
        <v>Link</v>
      </c>
      <c r="AE818" s="54">
        <v>7034</v>
      </c>
      <c r="AF818" s="54">
        <v>5</v>
      </c>
      <c r="AG818" s="7"/>
      <c r="AH818" s="56">
        <v>243744</v>
      </c>
    </row>
    <row r="819" spans="1:34" ht="15" x14ac:dyDescent="0.2">
      <c r="A819" s="43" t="s">
        <v>10677</v>
      </c>
      <c r="B819" s="57" t="s">
        <v>3719</v>
      </c>
      <c r="C819" s="7" t="s">
        <v>67</v>
      </c>
      <c r="D819" s="7" t="s">
        <v>11061</v>
      </c>
      <c r="E819" s="44">
        <v>5</v>
      </c>
      <c r="F819" s="7"/>
      <c r="G819" s="7"/>
      <c r="H819" s="2" t="s">
        <v>11063</v>
      </c>
      <c r="I819" s="7" t="s">
        <v>206</v>
      </c>
      <c r="J819" s="7" t="s">
        <v>11066</v>
      </c>
      <c r="K819" s="7" t="s">
        <v>48</v>
      </c>
      <c r="L819" s="7"/>
      <c r="M819" s="7" t="s">
        <v>11069</v>
      </c>
      <c r="N819" s="45" t="str">
        <f t="shared" ref="N819:N820" si="604">HYPERLINK("twitter.com/Utah_Softball","@Utah_Softball")</f>
        <v>@Utah_Softball</v>
      </c>
      <c r="O819" s="45" t="str">
        <f t="shared" ref="O819:O823" si="605">HYPERLINK("http://college.jumpforward.com/questionnaire.aspx?iid=353&amp;sportid=31","Questionnaire")</f>
        <v>Questionnaire</v>
      </c>
      <c r="P819" s="7" t="s">
        <v>11071</v>
      </c>
      <c r="Q819" s="57" t="s">
        <v>3719</v>
      </c>
      <c r="R819" s="7" t="s">
        <v>11072</v>
      </c>
      <c r="S819" s="48" t="s">
        <v>62</v>
      </c>
      <c r="T819" s="49" t="s">
        <v>74</v>
      </c>
      <c r="U819" s="7" t="s">
        <v>75</v>
      </c>
      <c r="V819" s="7"/>
      <c r="W819" s="44">
        <v>3.61</v>
      </c>
      <c r="X819" s="7" t="s">
        <v>6046</v>
      </c>
      <c r="Y819" s="7" t="s">
        <v>2672</v>
      </c>
      <c r="Z819" s="7" t="s">
        <v>545</v>
      </c>
      <c r="AA819" s="61">
        <v>0.76</v>
      </c>
      <c r="AB819" s="48" t="s">
        <v>11074</v>
      </c>
      <c r="AC819" s="40" t="s">
        <v>11071</v>
      </c>
      <c r="AD819" s="74" t="str">
        <f t="shared" ref="AD819:AD823" si="606">HYPERLINK("https://advising.utah.edu/majors/quick-look/index.php","Link")</f>
        <v>Link</v>
      </c>
      <c r="AE819" s="54">
        <v>23789</v>
      </c>
      <c r="AF819" s="54">
        <v>110</v>
      </c>
      <c r="AG819" s="7"/>
      <c r="AH819" s="56">
        <v>230764</v>
      </c>
    </row>
    <row r="820" spans="1:34" ht="15" x14ac:dyDescent="0.2">
      <c r="A820" s="43" t="s">
        <v>10677</v>
      </c>
      <c r="B820" s="57" t="s">
        <v>3719</v>
      </c>
      <c r="C820" s="7" t="s">
        <v>67</v>
      </c>
      <c r="D820" s="7" t="s">
        <v>11076</v>
      </c>
      <c r="E820" s="44">
        <v>5</v>
      </c>
      <c r="F820" s="7"/>
      <c r="G820" s="7"/>
      <c r="H820" s="2" t="s">
        <v>11063</v>
      </c>
      <c r="I820" s="7" t="s">
        <v>4710</v>
      </c>
      <c r="J820" s="7" t="s">
        <v>11080</v>
      </c>
      <c r="K820" s="7" t="s">
        <v>55</v>
      </c>
      <c r="L820" s="7" t="s">
        <v>11083</v>
      </c>
      <c r="M820" s="7" t="s">
        <v>11084</v>
      </c>
      <c r="N820" s="45" t="str">
        <f t="shared" si="604"/>
        <v>@Utah_Softball</v>
      </c>
      <c r="O820" s="45" t="str">
        <f t="shared" si="605"/>
        <v>Questionnaire</v>
      </c>
      <c r="P820" s="7" t="s">
        <v>11071</v>
      </c>
      <c r="Q820" s="57" t="s">
        <v>3719</v>
      </c>
      <c r="R820" s="7" t="s">
        <v>11072</v>
      </c>
      <c r="S820" s="48" t="s">
        <v>62</v>
      </c>
      <c r="T820" s="49" t="s">
        <v>74</v>
      </c>
      <c r="U820" s="7" t="s">
        <v>75</v>
      </c>
      <c r="V820" s="7"/>
      <c r="W820" s="44">
        <v>3.61</v>
      </c>
      <c r="X820" s="7" t="s">
        <v>6046</v>
      </c>
      <c r="Y820" s="7" t="s">
        <v>2672</v>
      </c>
      <c r="Z820" s="7" t="s">
        <v>545</v>
      </c>
      <c r="AA820" s="61">
        <v>0.76</v>
      </c>
      <c r="AB820" s="48" t="s">
        <v>11074</v>
      </c>
      <c r="AC820" s="40" t="s">
        <v>11071</v>
      </c>
      <c r="AD820" s="74" t="str">
        <f t="shared" si="606"/>
        <v>Link</v>
      </c>
      <c r="AE820" s="54">
        <v>23789</v>
      </c>
      <c r="AF820" s="54">
        <v>110</v>
      </c>
      <c r="AG820" s="7"/>
      <c r="AH820" s="56">
        <v>230764</v>
      </c>
    </row>
    <row r="821" spans="1:34" ht="15" x14ac:dyDescent="0.2">
      <c r="A821" s="43" t="s">
        <v>10677</v>
      </c>
      <c r="B821" s="57" t="s">
        <v>3719</v>
      </c>
      <c r="C821" s="7" t="s">
        <v>67</v>
      </c>
      <c r="D821" s="7" t="s">
        <v>11090</v>
      </c>
      <c r="E821" s="44">
        <v>5</v>
      </c>
      <c r="F821" s="7"/>
      <c r="G821" s="7" t="s">
        <v>126</v>
      </c>
      <c r="H821" s="2" t="s">
        <v>11063</v>
      </c>
      <c r="I821" s="7" t="s">
        <v>7333</v>
      </c>
      <c r="J821" s="7"/>
      <c r="K821" s="7"/>
      <c r="L821" s="7"/>
      <c r="M821" s="7"/>
      <c r="N821" s="45" t="str">
        <f>HYPERLINK("twitter.com/hannahFlippen","@hannahFlippen")</f>
        <v>@hannahFlippen</v>
      </c>
      <c r="O821" s="45" t="str">
        <f t="shared" si="605"/>
        <v>Questionnaire</v>
      </c>
      <c r="P821" s="7" t="s">
        <v>11071</v>
      </c>
      <c r="Q821" s="57" t="s">
        <v>3719</v>
      </c>
      <c r="R821" s="7" t="s">
        <v>11072</v>
      </c>
      <c r="S821" s="48" t="s">
        <v>62</v>
      </c>
      <c r="T821" s="49" t="s">
        <v>74</v>
      </c>
      <c r="U821" s="7" t="s">
        <v>75</v>
      </c>
      <c r="V821" s="7"/>
      <c r="W821" s="44">
        <v>3.61</v>
      </c>
      <c r="X821" s="7" t="s">
        <v>6046</v>
      </c>
      <c r="Y821" s="7" t="s">
        <v>2672</v>
      </c>
      <c r="Z821" s="7" t="s">
        <v>545</v>
      </c>
      <c r="AA821" s="61">
        <v>0.76</v>
      </c>
      <c r="AB821" s="48" t="s">
        <v>11074</v>
      </c>
      <c r="AC821" s="40" t="s">
        <v>11071</v>
      </c>
      <c r="AD821" s="74" t="str">
        <f t="shared" si="606"/>
        <v>Link</v>
      </c>
      <c r="AE821" s="54">
        <v>23789</v>
      </c>
      <c r="AF821" s="54">
        <v>110</v>
      </c>
      <c r="AG821" s="7"/>
      <c r="AH821" s="56">
        <v>230764</v>
      </c>
    </row>
    <row r="822" spans="1:34" ht="15" x14ac:dyDescent="0.2">
      <c r="A822" s="43" t="s">
        <v>10677</v>
      </c>
      <c r="B822" s="57" t="s">
        <v>3719</v>
      </c>
      <c r="C822" s="7" t="s">
        <v>67</v>
      </c>
      <c r="D822" s="7" t="s">
        <v>11102</v>
      </c>
      <c r="E822" s="44">
        <v>5</v>
      </c>
      <c r="F822" s="7"/>
      <c r="G822" s="7"/>
      <c r="H822" s="2" t="s">
        <v>11063</v>
      </c>
      <c r="I822" s="7" t="s">
        <v>11103</v>
      </c>
      <c r="J822" s="7" t="s">
        <v>11104</v>
      </c>
      <c r="K822" s="7" t="s">
        <v>139</v>
      </c>
      <c r="L822" s="7"/>
      <c r="M822" s="7"/>
      <c r="N822" s="45" t="str">
        <f t="shared" ref="N822:N823" si="607">HYPERLINK("twitter.com/Utah_Softball","@Utah_Softball")</f>
        <v>@Utah_Softball</v>
      </c>
      <c r="O822" s="45" t="str">
        <f t="shared" si="605"/>
        <v>Questionnaire</v>
      </c>
      <c r="P822" s="7" t="s">
        <v>11071</v>
      </c>
      <c r="Q822" s="57" t="s">
        <v>3719</v>
      </c>
      <c r="R822" s="7" t="s">
        <v>11072</v>
      </c>
      <c r="S822" s="48" t="s">
        <v>62</v>
      </c>
      <c r="T822" s="49" t="s">
        <v>74</v>
      </c>
      <c r="U822" s="7" t="s">
        <v>75</v>
      </c>
      <c r="V822" s="7"/>
      <c r="W822" s="44">
        <v>3.61</v>
      </c>
      <c r="X822" s="7" t="s">
        <v>6046</v>
      </c>
      <c r="Y822" s="7" t="s">
        <v>2672</v>
      </c>
      <c r="Z822" s="7" t="s">
        <v>545</v>
      </c>
      <c r="AA822" s="61">
        <v>0.76</v>
      </c>
      <c r="AB822" s="48" t="s">
        <v>11074</v>
      </c>
      <c r="AC822" s="40" t="s">
        <v>11071</v>
      </c>
      <c r="AD822" s="74" t="str">
        <f t="shared" si="606"/>
        <v>Link</v>
      </c>
      <c r="AE822" s="54">
        <v>23789</v>
      </c>
      <c r="AF822" s="54">
        <v>110</v>
      </c>
      <c r="AG822" s="7"/>
      <c r="AH822" s="56">
        <v>230764</v>
      </c>
    </row>
    <row r="823" spans="1:34" ht="15" x14ac:dyDescent="0.2">
      <c r="A823" s="43" t="s">
        <v>10677</v>
      </c>
      <c r="B823" s="57" t="s">
        <v>3719</v>
      </c>
      <c r="C823" s="7" t="s">
        <v>67</v>
      </c>
      <c r="D823" s="7" t="s">
        <v>11115</v>
      </c>
      <c r="E823" s="44">
        <v>5</v>
      </c>
      <c r="F823" s="7"/>
      <c r="G823" s="7"/>
      <c r="H823" s="2" t="s">
        <v>11063</v>
      </c>
      <c r="I823" s="7" t="s">
        <v>6577</v>
      </c>
      <c r="J823" s="7" t="s">
        <v>11118</v>
      </c>
      <c r="K823" s="7" t="s">
        <v>154</v>
      </c>
      <c r="L823" s="7" t="s">
        <v>11119</v>
      </c>
      <c r="M823" s="7" t="s">
        <v>11120</v>
      </c>
      <c r="N823" s="45" t="str">
        <f t="shared" si="607"/>
        <v>@Utah_Softball</v>
      </c>
      <c r="O823" s="45" t="str">
        <f t="shared" si="605"/>
        <v>Questionnaire</v>
      </c>
      <c r="P823" s="7" t="s">
        <v>11071</v>
      </c>
      <c r="Q823" s="57" t="s">
        <v>3719</v>
      </c>
      <c r="R823" s="7" t="s">
        <v>11072</v>
      </c>
      <c r="S823" s="48" t="s">
        <v>62</v>
      </c>
      <c r="T823" s="49" t="s">
        <v>74</v>
      </c>
      <c r="U823" s="7" t="s">
        <v>75</v>
      </c>
      <c r="V823" s="7"/>
      <c r="W823" s="44">
        <v>3.61</v>
      </c>
      <c r="X823" s="7" t="s">
        <v>6046</v>
      </c>
      <c r="Y823" s="7" t="s">
        <v>2672</v>
      </c>
      <c r="Z823" s="7" t="s">
        <v>545</v>
      </c>
      <c r="AA823" s="61">
        <v>0.76</v>
      </c>
      <c r="AB823" s="48" t="s">
        <v>11074</v>
      </c>
      <c r="AC823" s="40" t="s">
        <v>11071</v>
      </c>
      <c r="AD823" s="74" t="str">
        <f t="shared" si="606"/>
        <v>Link</v>
      </c>
      <c r="AE823" s="54">
        <v>23789</v>
      </c>
      <c r="AF823" s="54">
        <v>110</v>
      </c>
      <c r="AG823" s="7"/>
      <c r="AH823" s="56">
        <v>230764</v>
      </c>
    </row>
    <row r="824" spans="1:34" ht="15" x14ac:dyDescent="0.2">
      <c r="A824" s="43" t="s">
        <v>10677</v>
      </c>
      <c r="B824" s="57" t="s">
        <v>11124</v>
      </c>
      <c r="C824" s="7" t="s">
        <v>67</v>
      </c>
      <c r="D824" s="7" t="s">
        <v>11125</v>
      </c>
      <c r="E824" s="44">
        <v>5</v>
      </c>
      <c r="F824" s="7"/>
      <c r="G824" s="7"/>
      <c r="H824" s="2" t="s">
        <v>11126</v>
      </c>
      <c r="I824" s="7" t="s">
        <v>1132</v>
      </c>
      <c r="J824" s="7" t="s">
        <v>11127</v>
      </c>
      <c r="K824" s="7" t="s">
        <v>48</v>
      </c>
      <c r="L824" s="7" t="s">
        <v>11129</v>
      </c>
      <c r="M824" s="7" t="s">
        <v>11130</v>
      </c>
      <c r="N824" s="45" t="str">
        <f>HYPERLINK("twitter.com/coachtarr","@coachtarr")</f>
        <v>@coachtarr</v>
      </c>
      <c r="O824" s="45" t="str">
        <f t="shared" ref="O824:O827" si="608">HYPERLINK("https://gohuskies.com/sports/2017/9/14/uw-softball-recruit-questionnaire.aspx","Questionnaire")</f>
        <v>Questionnaire</v>
      </c>
      <c r="P824" s="7" t="s">
        <v>11142</v>
      </c>
      <c r="Q824" s="57" t="s">
        <v>11124</v>
      </c>
      <c r="R824" s="7" t="s">
        <v>11145</v>
      </c>
      <c r="S824" s="48" t="s">
        <v>354</v>
      </c>
      <c r="T824" s="49" t="s">
        <v>74</v>
      </c>
      <c r="U824" s="7" t="s">
        <v>75</v>
      </c>
      <c r="V824" s="7"/>
      <c r="W824" s="44">
        <v>3.78</v>
      </c>
      <c r="X824" s="7" t="s">
        <v>2260</v>
      </c>
      <c r="Y824" s="7" t="s">
        <v>11146</v>
      </c>
      <c r="Z824" s="7" t="s">
        <v>191</v>
      </c>
      <c r="AA824" s="61">
        <v>0.45</v>
      </c>
      <c r="AB824" s="48" t="s">
        <v>11147</v>
      </c>
      <c r="AC824" s="78" t="s">
        <v>11142</v>
      </c>
      <c r="AD824" s="74" t="str">
        <f t="shared" ref="AD824:AD827" si="609">HYPERLINK("http://www.washington.edu/uaa/advising/academic-planning/majors-and-minors/list-of-undergraduate-majors/","Link")</f>
        <v>Link</v>
      </c>
      <c r="AE824" s="54">
        <v>30933</v>
      </c>
      <c r="AF824" s="54">
        <v>56</v>
      </c>
      <c r="AG824" s="7"/>
      <c r="AH824" s="56">
        <v>236948</v>
      </c>
    </row>
    <row r="825" spans="1:34" ht="15" x14ac:dyDescent="0.2">
      <c r="A825" s="43" t="s">
        <v>10677</v>
      </c>
      <c r="B825" s="57" t="s">
        <v>11124</v>
      </c>
      <c r="C825" s="7" t="s">
        <v>67</v>
      </c>
      <c r="D825" s="7" t="s">
        <v>11149</v>
      </c>
      <c r="E825" s="44">
        <v>5</v>
      </c>
      <c r="F825" s="7"/>
      <c r="G825" s="7"/>
      <c r="H825" s="2" t="s">
        <v>11126</v>
      </c>
      <c r="I825" s="7" t="s">
        <v>2822</v>
      </c>
      <c r="J825" s="7" t="s">
        <v>11152</v>
      </c>
      <c r="K825" s="7" t="s">
        <v>55</v>
      </c>
      <c r="L825" s="7" t="s">
        <v>11153</v>
      </c>
      <c r="M825" s="7" t="s">
        <v>11155</v>
      </c>
      <c r="N825" s="45" t="str">
        <f t="shared" ref="N825:N827" si="610">HYPERLINK("twitter.com/UWSoftball","@UWSoftball")</f>
        <v>@UWSoftball</v>
      </c>
      <c r="O825" s="45" t="str">
        <f t="shared" si="608"/>
        <v>Questionnaire</v>
      </c>
      <c r="P825" s="7" t="s">
        <v>11142</v>
      </c>
      <c r="Q825" s="57" t="s">
        <v>11124</v>
      </c>
      <c r="R825" s="7" t="s">
        <v>11145</v>
      </c>
      <c r="S825" s="48" t="s">
        <v>354</v>
      </c>
      <c r="T825" s="49" t="s">
        <v>74</v>
      </c>
      <c r="U825" s="7" t="s">
        <v>75</v>
      </c>
      <c r="V825" s="7"/>
      <c r="W825" s="44">
        <v>3.78</v>
      </c>
      <c r="X825" s="7" t="s">
        <v>2260</v>
      </c>
      <c r="Y825" s="7" t="s">
        <v>11146</v>
      </c>
      <c r="Z825" s="7" t="s">
        <v>191</v>
      </c>
      <c r="AA825" s="61">
        <v>0.45</v>
      </c>
      <c r="AB825" s="48" t="s">
        <v>11147</v>
      </c>
      <c r="AC825" s="78" t="s">
        <v>11142</v>
      </c>
      <c r="AD825" s="74" t="str">
        <f t="shared" si="609"/>
        <v>Link</v>
      </c>
      <c r="AE825" s="54">
        <v>30933</v>
      </c>
      <c r="AF825" s="54">
        <v>56</v>
      </c>
      <c r="AG825" s="7"/>
      <c r="AH825" s="56">
        <v>236948</v>
      </c>
    </row>
    <row r="826" spans="1:34" ht="15" x14ac:dyDescent="0.2">
      <c r="A826" s="43" t="s">
        <v>10677</v>
      </c>
      <c r="B826" s="57" t="s">
        <v>11124</v>
      </c>
      <c r="C826" s="7" t="s">
        <v>67</v>
      </c>
      <c r="D826" s="7" t="s">
        <v>11167</v>
      </c>
      <c r="E826" s="44">
        <v>5</v>
      </c>
      <c r="F826" s="7"/>
      <c r="G826" s="7"/>
      <c r="H826" s="2" t="s">
        <v>11126</v>
      </c>
      <c r="I826" s="7" t="s">
        <v>206</v>
      </c>
      <c r="J826" s="7" t="s">
        <v>11168</v>
      </c>
      <c r="K826" s="7" t="s">
        <v>154</v>
      </c>
      <c r="L826" s="7" t="s">
        <v>11170</v>
      </c>
      <c r="M826" s="7" t="s">
        <v>11172</v>
      </c>
      <c r="N826" s="45" t="str">
        <f t="shared" si="610"/>
        <v>@UWSoftball</v>
      </c>
      <c r="O826" s="45" t="str">
        <f t="shared" si="608"/>
        <v>Questionnaire</v>
      </c>
      <c r="P826" s="7" t="s">
        <v>11142</v>
      </c>
      <c r="Q826" s="57" t="s">
        <v>11124</v>
      </c>
      <c r="R826" s="7" t="s">
        <v>11145</v>
      </c>
      <c r="S826" s="48" t="s">
        <v>354</v>
      </c>
      <c r="T826" s="49" t="s">
        <v>74</v>
      </c>
      <c r="U826" s="7" t="s">
        <v>75</v>
      </c>
      <c r="V826" s="7"/>
      <c r="W826" s="44">
        <v>3.78</v>
      </c>
      <c r="X826" s="7" t="s">
        <v>2260</v>
      </c>
      <c r="Y826" s="7" t="s">
        <v>11146</v>
      </c>
      <c r="Z826" s="7" t="s">
        <v>191</v>
      </c>
      <c r="AA826" s="61">
        <v>0.45</v>
      </c>
      <c r="AB826" s="48" t="s">
        <v>11147</v>
      </c>
      <c r="AC826" s="78" t="s">
        <v>11142</v>
      </c>
      <c r="AD826" s="74" t="str">
        <f t="shared" si="609"/>
        <v>Link</v>
      </c>
      <c r="AE826" s="54">
        <v>30933</v>
      </c>
      <c r="AF826" s="54">
        <v>56</v>
      </c>
      <c r="AG826" s="7"/>
      <c r="AH826" s="56">
        <v>236948</v>
      </c>
    </row>
    <row r="827" spans="1:34" ht="15" x14ac:dyDescent="0.2">
      <c r="A827" s="43" t="s">
        <v>10677</v>
      </c>
      <c r="B827" s="57" t="s">
        <v>11124</v>
      </c>
      <c r="C827" s="7" t="s">
        <v>67</v>
      </c>
      <c r="D827" s="7" t="s">
        <v>11177</v>
      </c>
      <c r="E827" s="44">
        <v>5</v>
      </c>
      <c r="F827" s="7"/>
      <c r="G827" s="7"/>
      <c r="H827" s="2" t="s">
        <v>11126</v>
      </c>
      <c r="I827" s="7" t="s">
        <v>4308</v>
      </c>
      <c r="J827" s="7" t="s">
        <v>11179</v>
      </c>
      <c r="K827" s="7" t="s">
        <v>55</v>
      </c>
      <c r="L827" s="7" t="s">
        <v>11180</v>
      </c>
      <c r="M827" s="7" t="s">
        <v>11181</v>
      </c>
      <c r="N827" s="45" t="str">
        <f t="shared" si="610"/>
        <v>@UWSoftball</v>
      </c>
      <c r="O827" s="45" t="str">
        <f t="shared" si="608"/>
        <v>Questionnaire</v>
      </c>
      <c r="P827" s="7" t="s">
        <v>11142</v>
      </c>
      <c r="Q827" s="57" t="s">
        <v>11124</v>
      </c>
      <c r="R827" s="7" t="s">
        <v>11145</v>
      </c>
      <c r="S827" s="48" t="s">
        <v>354</v>
      </c>
      <c r="T827" s="49" t="s">
        <v>74</v>
      </c>
      <c r="U827" s="7" t="s">
        <v>75</v>
      </c>
      <c r="V827" s="7"/>
      <c r="W827" s="44">
        <v>3.78</v>
      </c>
      <c r="X827" s="7" t="s">
        <v>2260</v>
      </c>
      <c r="Y827" s="7" t="s">
        <v>11146</v>
      </c>
      <c r="Z827" s="7" t="s">
        <v>191</v>
      </c>
      <c r="AA827" s="61">
        <v>0.45</v>
      </c>
      <c r="AB827" s="48" t="s">
        <v>11147</v>
      </c>
      <c r="AC827" s="78" t="s">
        <v>11142</v>
      </c>
      <c r="AD827" s="74" t="str">
        <f t="shared" si="609"/>
        <v>Link</v>
      </c>
      <c r="AE827" s="54">
        <v>30933</v>
      </c>
      <c r="AF827" s="54">
        <v>56</v>
      </c>
      <c r="AG827" s="7"/>
      <c r="AH827" s="56">
        <v>236948</v>
      </c>
    </row>
    <row r="828" spans="1:34" ht="15" x14ac:dyDescent="0.2">
      <c r="A828" s="88" t="s">
        <v>11186</v>
      </c>
      <c r="B828" s="57" t="s">
        <v>1304</v>
      </c>
      <c r="C828" s="7" t="s">
        <v>67</v>
      </c>
      <c r="D828" s="7" t="s">
        <v>11189</v>
      </c>
      <c r="E828" s="44">
        <v>5</v>
      </c>
      <c r="F828" s="7"/>
      <c r="G828" s="7"/>
      <c r="H828" s="2" t="s">
        <v>11190</v>
      </c>
      <c r="I828" s="7" t="s">
        <v>4941</v>
      </c>
      <c r="J828" s="7" t="s">
        <v>11191</v>
      </c>
      <c r="K828" s="7" t="s">
        <v>48</v>
      </c>
      <c r="L828" s="7" t="s">
        <v>11193</v>
      </c>
      <c r="M828" s="7" t="s">
        <v>11194</v>
      </c>
      <c r="N828" s="45" t="str">
        <f t="shared" ref="N828:N830" si="611">HYPERLINK("twitter.com/armywp_softball","@armywp_softball")</f>
        <v>@armywp_softball</v>
      </c>
      <c r="O828" s="45" t="str">
        <f t="shared" ref="O828:O830" si="612">HYPERLINK("https://goarmywestpoint.com/sports/2015/3/6/GEN_201401012.aspx","Questionnaire")</f>
        <v>Questionnaire</v>
      </c>
      <c r="P828" s="7" t="s">
        <v>11203</v>
      </c>
      <c r="Q828" s="57" t="s">
        <v>1304</v>
      </c>
      <c r="R828" s="7" t="s">
        <v>11205</v>
      </c>
      <c r="S828" s="60" t="s">
        <v>205</v>
      </c>
      <c r="T828" s="49" t="s">
        <v>74</v>
      </c>
      <c r="U828" s="7" t="s">
        <v>75</v>
      </c>
      <c r="V828" s="7"/>
      <c r="W828" s="44">
        <v>3.73</v>
      </c>
      <c r="X828" s="7" t="s">
        <v>2565</v>
      </c>
      <c r="Y828" s="7" t="s">
        <v>576</v>
      </c>
      <c r="Z828" s="7" t="s">
        <v>179</v>
      </c>
      <c r="AA828" s="51">
        <v>9.6600000000000005E-2</v>
      </c>
      <c r="AB828" s="71">
        <v>0</v>
      </c>
      <c r="AC828" s="40" t="s">
        <v>11203</v>
      </c>
      <c r="AD828" s="74" t="str">
        <f t="shared" ref="AD828:AD830" si="613">HYPERLINK("https://www.usma.edu/academics/SitePages/Home.aspx","Link")</f>
        <v>Link</v>
      </c>
      <c r="AE828" s="54">
        <v>4389</v>
      </c>
      <c r="AF828" s="55"/>
      <c r="AG828" s="44">
        <v>12</v>
      </c>
      <c r="AH828" s="56">
        <v>197036</v>
      </c>
    </row>
    <row r="829" spans="1:34" ht="15" x14ac:dyDescent="0.2">
      <c r="A829" s="88" t="s">
        <v>11186</v>
      </c>
      <c r="B829" s="57" t="s">
        <v>1304</v>
      </c>
      <c r="C829" s="7" t="s">
        <v>67</v>
      </c>
      <c r="D829" s="7" t="s">
        <v>11211</v>
      </c>
      <c r="E829" s="44">
        <v>5</v>
      </c>
      <c r="F829" s="7"/>
      <c r="G829" s="7"/>
      <c r="H829" s="2" t="s">
        <v>11190</v>
      </c>
      <c r="I829" s="7" t="s">
        <v>390</v>
      </c>
      <c r="J829" s="7" t="s">
        <v>11213</v>
      </c>
      <c r="K829" s="7" t="s">
        <v>55</v>
      </c>
      <c r="L829" s="7" t="s">
        <v>11215</v>
      </c>
      <c r="M829" s="7" t="s">
        <v>11216</v>
      </c>
      <c r="N829" s="45" t="str">
        <f t="shared" si="611"/>
        <v>@armywp_softball</v>
      </c>
      <c r="O829" s="45" t="str">
        <f t="shared" si="612"/>
        <v>Questionnaire</v>
      </c>
      <c r="P829" s="7" t="s">
        <v>11203</v>
      </c>
      <c r="Q829" s="57" t="s">
        <v>1304</v>
      </c>
      <c r="R829" s="7" t="s">
        <v>11205</v>
      </c>
      <c r="S829" s="60" t="s">
        <v>205</v>
      </c>
      <c r="T829" s="49" t="s">
        <v>74</v>
      </c>
      <c r="U829" s="7" t="s">
        <v>75</v>
      </c>
      <c r="V829" s="7"/>
      <c r="W829" s="44">
        <v>3.73</v>
      </c>
      <c r="X829" s="7" t="s">
        <v>2565</v>
      </c>
      <c r="Y829" s="7" t="s">
        <v>576</v>
      </c>
      <c r="Z829" s="7" t="s">
        <v>179</v>
      </c>
      <c r="AA829" s="51">
        <v>9.6600000000000005E-2</v>
      </c>
      <c r="AB829" s="71">
        <v>0</v>
      </c>
      <c r="AC829" s="40" t="s">
        <v>11203</v>
      </c>
      <c r="AD829" s="74" t="str">
        <f t="shared" si="613"/>
        <v>Link</v>
      </c>
      <c r="AE829" s="54">
        <v>4389</v>
      </c>
      <c r="AF829" s="55"/>
      <c r="AG829" s="44">
        <v>12</v>
      </c>
      <c r="AH829" s="56">
        <v>197036</v>
      </c>
    </row>
    <row r="830" spans="1:34" ht="15" x14ac:dyDescent="0.2">
      <c r="A830" s="88" t="s">
        <v>11186</v>
      </c>
      <c r="B830" s="57" t="s">
        <v>1304</v>
      </c>
      <c r="C830" s="7" t="s">
        <v>67</v>
      </c>
      <c r="D830" s="7" t="s">
        <v>11222</v>
      </c>
      <c r="E830" s="44">
        <v>5</v>
      </c>
      <c r="F830" s="7"/>
      <c r="G830" s="7"/>
      <c r="H830" s="2" t="s">
        <v>11190</v>
      </c>
      <c r="I830" s="7" t="s">
        <v>1092</v>
      </c>
      <c r="J830" s="7" t="s">
        <v>11223</v>
      </c>
      <c r="K830" s="7" t="s">
        <v>55</v>
      </c>
      <c r="L830" s="7" t="s">
        <v>11224</v>
      </c>
      <c r="M830" s="7" t="s">
        <v>11225</v>
      </c>
      <c r="N830" s="45" t="str">
        <f t="shared" si="611"/>
        <v>@armywp_softball</v>
      </c>
      <c r="O830" s="45" t="str">
        <f t="shared" si="612"/>
        <v>Questionnaire</v>
      </c>
      <c r="P830" s="7" t="s">
        <v>11203</v>
      </c>
      <c r="Q830" s="57" t="s">
        <v>1304</v>
      </c>
      <c r="R830" s="7" t="s">
        <v>11205</v>
      </c>
      <c r="S830" s="60" t="s">
        <v>205</v>
      </c>
      <c r="T830" s="49" t="s">
        <v>74</v>
      </c>
      <c r="U830" s="7" t="s">
        <v>75</v>
      </c>
      <c r="V830" s="7"/>
      <c r="W830" s="44">
        <v>3.73</v>
      </c>
      <c r="X830" s="7" t="s">
        <v>2565</v>
      </c>
      <c r="Y830" s="7" t="s">
        <v>576</v>
      </c>
      <c r="Z830" s="7" t="s">
        <v>179</v>
      </c>
      <c r="AA830" s="51">
        <v>9.6600000000000005E-2</v>
      </c>
      <c r="AB830" s="71">
        <v>0</v>
      </c>
      <c r="AC830" s="40" t="s">
        <v>11203</v>
      </c>
      <c r="AD830" s="74" t="str">
        <f t="shared" si="613"/>
        <v>Link</v>
      </c>
      <c r="AE830" s="54">
        <v>4389</v>
      </c>
      <c r="AF830" s="55"/>
      <c r="AG830" s="44">
        <v>12</v>
      </c>
      <c r="AH830" s="56">
        <v>197036</v>
      </c>
    </row>
    <row r="831" spans="1:34" ht="13" x14ac:dyDescent="0.15">
      <c r="A831" s="88" t="s">
        <v>11186</v>
      </c>
      <c r="B831" s="60" t="s">
        <v>595</v>
      </c>
      <c r="C831" s="7" t="s">
        <v>67</v>
      </c>
      <c r="D831" s="7" t="s">
        <v>11229</v>
      </c>
      <c r="E831" s="44">
        <v>5</v>
      </c>
      <c r="F831" s="7"/>
      <c r="G831" s="7"/>
      <c r="H831" s="2" t="s">
        <v>11233</v>
      </c>
      <c r="I831" s="7" t="s">
        <v>981</v>
      </c>
      <c r="J831" s="7" t="s">
        <v>11235</v>
      </c>
      <c r="K831" s="7" t="s">
        <v>48</v>
      </c>
      <c r="L831" s="7" t="s">
        <v>11240</v>
      </c>
      <c r="M831" s="7" t="s">
        <v>11241</v>
      </c>
      <c r="N831" s="45" t="str">
        <f t="shared" ref="N831:N833" si="614">HYPERLINK("twitter.com/terriersoftball","@terriersoftball")</f>
        <v>@terriersoftball</v>
      </c>
      <c r="O831" s="45" t="str">
        <f t="shared" ref="O831:O833" si="615">HYPERLINK("https://goterriers.com/sports/2016/6/13/recruiting-bost-recruiting-html.aspx","Questionnaire")</f>
        <v>Questionnaire</v>
      </c>
      <c r="P831" s="48" t="s">
        <v>11233</v>
      </c>
      <c r="Q831" s="60" t="s">
        <v>595</v>
      </c>
      <c r="R831" s="48" t="s">
        <v>614</v>
      </c>
      <c r="S831" s="48" t="s">
        <v>354</v>
      </c>
      <c r="T831" s="4" t="s">
        <v>63</v>
      </c>
      <c r="U831" s="7" t="s">
        <v>75</v>
      </c>
      <c r="V831" s="7"/>
      <c r="W831" s="37">
        <v>3.62</v>
      </c>
      <c r="X831" s="49" t="s">
        <v>678</v>
      </c>
      <c r="Y831" s="49" t="s">
        <v>1106</v>
      </c>
      <c r="Z831" s="49" t="s">
        <v>5510</v>
      </c>
      <c r="AA831" s="38">
        <v>0.29430000000000001</v>
      </c>
      <c r="AB831" s="39">
        <v>68060</v>
      </c>
      <c r="AC831" s="90" t="s">
        <v>11233</v>
      </c>
      <c r="AD831" s="53" t="str">
        <f t="shared" ref="AD831:AD834" si="616">HYPERLINK("http://www.bu.edu/admissions/academics/programs/majors/","Link")</f>
        <v>Link</v>
      </c>
      <c r="AE831" s="42">
        <v>17944</v>
      </c>
      <c r="AF831" s="42">
        <v>37</v>
      </c>
      <c r="AG831" s="7"/>
      <c r="AH831" s="56">
        <v>164988</v>
      </c>
    </row>
    <row r="832" spans="1:34" ht="13" x14ac:dyDescent="0.15">
      <c r="A832" s="88" t="s">
        <v>11186</v>
      </c>
      <c r="B832" s="60" t="s">
        <v>595</v>
      </c>
      <c r="C832" s="7" t="s">
        <v>67</v>
      </c>
      <c r="D832" s="7" t="s">
        <v>11254</v>
      </c>
      <c r="E832" s="44">
        <v>5</v>
      </c>
      <c r="F832" s="7"/>
      <c r="G832" s="7"/>
      <c r="H832" s="2" t="s">
        <v>11233</v>
      </c>
      <c r="I832" s="7" t="s">
        <v>3503</v>
      </c>
      <c r="J832" s="7" t="s">
        <v>11258</v>
      </c>
      <c r="K832" s="7" t="s">
        <v>55</v>
      </c>
      <c r="L832" s="7" t="s">
        <v>11259</v>
      </c>
      <c r="M832" s="7" t="s">
        <v>11260</v>
      </c>
      <c r="N832" s="45" t="str">
        <f t="shared" si="614"/>
        <v>@terriersoftball</v>
      </c>
      <c r="O832" s="45" t="str">
        <f t="shared" si="615"/>
        <v>Questionnaire</v>
      </c>
      <c r="P832" s="48" t="s">
        <v>11233</v>
      </c>
      <c r="Q832" s="60" t="s">
        <v>595</v>
      </c>
      <c r="R832" s="48" t="s">
        <v>614</v>
      </c>
      <c r="S832" s="48" t="s">
        <v>354</v>
      </c>
      <c r="T832" s="4" t="s">
        <v>63</v>
      </c>
      <c r="U832" s="7" t="s">
        <v>75</v>
      </c>
      <c r="V832" s="7"/>
      <c r="W832" s="37">
        <v>3.62</v>
      </c>
      <c r="X832" s="49" t="s">
        <v>678</v>
      </c>
      <c r="Y832" s="49" t="s">
        <v>1106</v>
      </c>
      <c r="Z832" s="49" t="s">
        <v>5510</v>
      </c>
      <c r="AA832" s="38">
        <v>0.29430000000000001</v>
      </c>
      <c r="AB832" s="39">
        <v>68060</v>
      </c>
      <c r="AC832" s="90" t="s">
        <v>11233</v>
      </c>
      <c r="AD832" s="53" t="str">
        <f t="shared" si="616"/>
        <v>Link</v>
      </c>
      <c r="AE832" s="42">
        <v>17944</v>
      </c>
      <c r="AF832" s="42">
        <v>37</v>
      </c>
      <c r="AG832" s="7"/>
      <c r="AH832" s="56">
        <v>164988</v>
      </c>
    </row>
    <row r="833" spans="1:34" ht="13" x14ac:dyDescent="0.15">
      <c r="A833" s="88" t="s">
        <v>11186</v>
      </c>
      <c r="B833" s="60" t="s">
        <v>595</v>
      </c>
      <c r="C833" s="7" t="s">
        <v>67</v>
      </c>
      <c r="D833" s="7" t="s">
        <v>11267</v>
      </c>
      <c r="E833" s="44">
        <v>5</v>
      </c>
      <c r="F833" s="7"/>
      <c r="G833" s="7"/>
      <c r="H833" s="2" t="s">
        <v>11233</v>
      </c>
      <c r="I833" s="7" t="s">
        <v>7324</v>
      </c>
      <c r="J833" s="7" t="s">
        <v>11271</v>
      </c>
      <c r="K833" s="7" t="s">
        <v>55</v>
      </c>
      <c r="L833" s="7" t="s">
        <v>11272</v>
      </c>
      <c r="M833" s="7" t="s">
        <v>11260</v>
      </c>
      <c r="N833" s="45" t="str">
        <f t="shared" si="614"/>
        <v>@terriersoftball</v>
      </c>
      <c r="O833" s="45" t="str">
        <f t="shared" si="615"/>
        <v>Questionnaire</v>
      </c>
      <c r="P833" s="48" t="s">
        <v>11233</v>
      </c>
      <c r="Q833" s="60" t="s">
        <v>595</v>
      </c>
      <c r="R833" s="48" t="s">
        <v>614</v>
      </c>
      <c r="S833" s="48" t="s">
        <v>354</v>
      </c>
      <c r="T833" s="4" t="s">
        <v>63</v>
      </c>
      <c r="U833" s="7" t="s">
        <v>75</v>
      </c>
      <c r="V833" s="7"/>
      <c r="W833" s="37">
        <v>3.62</v>
      </c>
      <c r="X833" s="49" t="s">
        <v>678</v>
      </c>
      <c r="Y833" s="49" t="s">
        <v>1106</v>
      </c>
      <c r="Z833" s="49" t="s">
        <v>5510</v>
      </c>
      <c r="AA833" s="38">
        <v>0.29430000000000001</v>
      </c>
      <c r="AB833" s="39">
        <v>68060</v>
      </c>
      <c r="AC833" s="90" t="s">
        <v>11233</v>
      </c>
      <c r="AD833" s="53" t="str">
        <f t="shared" si="616"/>
        <v>Link</v>
      </c>
      <c r="AE833" s="42">
        <v>17944</v>
      </c>
      <c r="AF833" s="42">
        <v>37</v>
      </c>
      <c r="AG833" s="7"/>
      <c r="AH833" s="56">
        <v>164988</v>
      </c>
    </row>
    <row r="834" spans="1:34" ht="13" x14ac:dyDescent="0.15">
      <c r="A834" s="88" t="s">
        <v>11186</v>
      </c>
      <c r="B834" s="60" t="s">
        <v>595</v>
      </c>
      <c r="C834" s="7" t="s">
        <v>67</v>
      </c>
      <c r="D834" s="7" t="s">
        <v>11280</v>
      </c>
      <c r="E834" s="44">
        <v>5</v>
      </c>
      <c r="F834" s="7"/>
      <c r="G834" s="7"/>
      <c r="H834" s="2" t="s">
        <v>11233</v>
      </c>
      <c r="I834" s="7" t="s">
        <v>981</v>
      </c>
      <c r="J834" s="7" t="s">
        <v>11281</v>
      </c>
      <c r="K834" s="7" t="s">
        <v>139</v>
      </c>
      <c r="L834" s="7"/>
      <c r="M834" s="7"/>
      <c r="N834" s="7"/>
      <c r="O834" s="7"/>
      <c r="P834" s="48" t="s">
        <v>11233</v>
      </c>
      <c r="Q834" s="60" t="s">
        <v>595</v>
      </c>
      <c r="R834" s="48" t="s">
        <v>614</v>
      </c>
      <c r="S834" s="48" t="s">
        <v>354</v>
      </c>
      <c r="T834" s="4" t="s">
        <v>63</v>
      </c>
      <c r="U834" s="49" t="s">
        <v>75</v>
      </c>
      <c r="V834" s="48"/>
      <c r="W834" s="65">
        <v>3.62</v>
      </c>
      <c r="X834" s="49" t="s">
        <v>678</v>
      </c>
      <c r="Y834" s="49" t="s">
        <v>1106</v>
      </c>
      <c r="Z834" s="49" t="s">
        <v>5510</v>
      </c>
      <c r="AA834" s="38">
        <v>0.29430000000000001</v>
      </c>
      <c r="AB834" s="39">
        <v>68060</v>
      </c>
      <c r="AC834" s="90" t="s">
        <v>11233</v>
      </c>
      <c r="AD834" s="53" t="str">
        <f t="shared" si="616"/>
        <v>Link</v>
      </c>
      <c r="AE834" s="42">
        <v>17944</v>
      </c>
      <c r="AF834" s="42">
        <v>37</v>
      </c>
      <c r="AG834" s="55"/>
      <c r="AH834" s="56">
        <v>164988</v>
      </c>
    </row>
    <row r="835" spans="1:34" ht="15" x14ac:dyDescent="0.2">
      <c r="A835" s="88" t="s">
        <v>11186</v>
      </c>
      <c r="B835" s="57" t="s">
        <v>1231</v>
      </c>
      <c r="C835" s="7" t="s">
        <v>67</v>
      </c>
      <c r="D835" s="7" t="s">
        <v>11287</v>
      </c>
      <c r="E835" s="44">
        <v>5</v>
      </c>
      <c r="F835" s="7"/>
      <c r="G835" s="7"/>
      <c r="H835" s="2" t="s">
        <v>11288</v>
      </c>
      <c r="I835" s="7" t="s">
        <v>4264</v>
      </c>
      <c r="J835" s="7" t="s">
        <v>11289</v>
      </c>
      <c r="K835" s="7" t="s">
        <v>48</v>
      </c>
      <c r="L835" s="7" t="s">
        <v>11290</v>
      </c>
      <c r="M835" s="7" t="s">
        <v>11291</v>
      </c>
      <c r="N835" s="45" t="str">
        <f t="shared" ref="N835:N836" si="617">HYPERLINK("twitter.com/bucknell_sb","@bucknell_sb")</f>
        <v>@bucknell_sb</v>
      </c>
      <c r="O835" s="45" t="str">
        <f t="shared" ref="O835:O836" si="618">HYPERLINK("https://bucknellbison.com/sports/2014/3/27/209446305.aspx","Questionnaire")</f>
        <v>Questionnaire</v>
      </c>
      <c r="P835" s="7" t="s">
        <v>11302</v>
      </c>
      <c r="Q835" s="57" t="s">
        <v>1231</v>
      </c>
      <c r="R835" s="7" t="s">
        <v>11303</v>
      </c>
      <c r="S835" s="60" t="s">
        <v>205</v>
      </c>
      <c r="T835" s="49" t="s">
        <v>63</v>
      </c>
      <c r="U835" s="7" t="s">
        <v>75</v>
      </c>
      <c r="V835" s="7"/>
      <c r="W835" s="44">
        <v>3.52</v>
      </c>
      <c r="X835" s="7" t="s">
        <v>11306</v>
      </c>
      <c r="Y835" s="7" t="s">
        <v>4686</v>
      </c>
      <c r="Z835" s="7" t="s">
        <v>5510</v>
      </c>
      <c r="AA835" s="51">
        <v>0.29920000000000002</v>
      </c>
      <c r="AB835" s="71">
        <v>67600</v>
      </c>
      <c r="AC835" s="40" t="s">
        <v>11302</v>
      </c>
      <c r="AD835" s="74" t="str">
        <f t="shared" ref="AD835:AD837" si="619">HYPERLINK("https://www.bucknell.edu/Majors","Link")</f>
        <v>Link</v>
      </c>
      <c r="AE835" s="54">
        <v>3571</v>
      </c>
      <c r="AF835" s="55"/>
      <c r="AG835" s="44">
        <v>33</v>
      </c>
      <c r="AH835" s="56">
        <v>211291</v>
      </c>
    </row>
    <row r="836" spans="1:34" ht="15" x14ac:dyDescent="0.2">
      <c r="A836" s="88" t="s">
        <v>11186</v>
      </c>
      <c r="B836" s="57" t="s">
        <v>1231</v>
      </c>
      <c r="C836" s="7" t="s">
        <v>67</v>
      </c>
      <c r="D836" s="7" t="s">
        <v>11309</v>
      </c>
      <c r="E836" s="44">
        <v>5</v>
      </c>
      <c r="F836" s="7"/>
      <c r="G836" s="7"/>
      <c r="H836" s="2" t="s">
        <v>11288</v>
      </c>
      <c r="I836" s="7" t="s">
        <v>644</v>
      </c>
      <c r="J836" s="7" t="s">
        <v>1276</v>
      </c>
      <c r="K836" s="7" t="s">
        <v>55</v>
      </c>
      <c r="L836" s="7" t="s">
        <v>11313</v>
      </c>
      <c r="M836" s="7" t="s">
        <v>11314</v>
      </c>
      <c r="N836" s="45" t="str">
        <f t="shared" si="617"/>
        <v>@bucknell_sb</v>
      </c>
      <c r="O836" s="45" t="str">
        <f t="shared" si="618"/>
        <v>Questionnaire</v>
      </c>
      <c r="P836" s="7" t="s">
        <v>11302</v>
      </c>
      <c r="Q836" s="57" t="s">
        <v>1231</v>
      </c>
      <c r="R836" s="7" t="s">
        <v>11303</v>
      </c>
      <c r="S836" s="60" t="s">
        <v>205</v>
      </c>
      <c r="T836" s="49" t="s">
        <v>63</v>
      </c>
      <c r="U836" s="7" t="s">
        <v>75</v>
      </c>
      <c r="V836" s="7"/>
      <c r="W836" s="44">
        <v>3.52</v>
      </c>
      <c r="X836" s="7" t="s">
        <v>11306</v>
      </c>
      <c r="Y836" s="7" t="s">
        <v>4686</v>
      </c>
      <c r="Z836" s="7" t="s">
        <v>5510</v>
      </c>
      <c r="AA836" s="51">
        <v>0.29920000000000002</v>
      </c>
      <c r="AB836" s="71">
        <v>67600</v>
      </c>
      <c r="AC836" s="40" t="s">
        <v>11302</v>
      </c>
      <c r="AD836" s="74" t="str">
        <f t="shared" si="619"/>
        <v>Link</v>
      </c>
      <c r="AE836" s="54">
        <v>3571</v>
      </c>
      <c r="AF836" s="55"/>
      <c r="AG836" s="44">
        <v>33</v>
      </c>
      <c r="AH836" s="56">
        <v>211291</v>
      </c>
    </row>
    <row r="837" spans="1:34" ht="15" x14ac:dyDescent="0.2">
      <c r="A837" s="88" t="s">
        <v>11186</v>
      </c>
      <c r="B837" s="47" t="s">
        <v>1231</v>
      </c>
      <c r="C837" s="7" t="s">
        <v>67</v>
      </c>
      <c r="D837" s="7" t="s">
        <v>11317</v>
      </c>
      <c r="E837" s="44">
        <v>5</v>
      </c>
      <c r="F837" s="7"/>
      <c r="G837" s="7"/>
      <c r="H837" s="2" t="s">
        <v>11288</v>
      </c>
      <c r="I837" s="7" t="s">
        <v>93</v>
      </c>
      <c r="J837" s="7" t="s">
        <v>11318</v>
      </c>
      <c r="K837" s="7" t="s">
        <v>55</v>
      </c>
      <c r="L837" s="7" t="s">
        <v>11319</v>
      </c>
      <c r="M837" s="7"/>
      <c r="N837" s="7"/>
      <c r="O837" s="7"/>
      <c r="P837" s="48" t="s">
        <v>11302</v>
      </c>
      <c r="Q837" s="47" t="s">
        <v>1231</v>
      </c>
      <c r="R837" s="48" t="s">
        <v>11303</v>
      </c>
      <c r="S837" s="60" t="s">
        <v>205</v>
      </c>
      <c r="T837" s="49" t="s">
        <v>63</v>
      </c>
      <c r="U837" s="49" t="s">
        <v>75</v>
      </c>
      <c r="V837" s="48"/>
      <c r="W837" s="61">
        <v>3.52</v>
      </c>
      <c r="X837" s="49" t="s">
        <v>11306</v>
      </c>
      <c r="Y837" s="49" t="s">
        <v>4686</v>
      </c>
      <c r="Z837" s="49" t="s">
        <v>5510</v>
      </c>
      <c r="AA837" s="51">
        <v>0.29920000000000002</v>
      </c>
      <c r="AB837" s="71">
        <v>67600</v>
      </c>
      <c r="AC837" s="52" t="s">
        <v>11302</v>
      </c>
      <c r="AD837" s="53" t="str">
        <f t="shared" si="619"/>
        <v>Link</v>
      </c>
      <c r="AE837" s="54">
        <v>3571</v>
      </c>
      <c r="AF837" s="55"/>
      <c r="AG837" s="54">
        <v>33</v>
      </c>
      <c r="AH837" s="56">
        <v>211291</v>
      </c>
    </row>
    <row r="838" spans="1:34" ht="13" x14ac:dyDescent="0.15">
      <c r="A838" s="88" t="s">
        <v>11186</v>
      </c>
      <c r="B838" s="36" t="s">
        <v>1304</v>
      </c>
      <c r="C838" s="7" t="s">
        <v>67</v>
      </c>
      <c r="D838" s="7" t="s">
        <v>11329</v>
      </c>
      <c r="E838" s="44">
        <v>5</v>
      </c>
      <c r="F838" s="7"/>
      <c r="G838" s="7"/>
      <c r="H838" s="2" t="s">
        <v>11330</v>
      </c>
      <c r="I838" s="7" t="s">
        <v>750</v>
      </c>
      <c r="J838" s="7" t="s">
        <v>11331</v>
      </c>
      <c r="K838" s="7" t="s">
        <v>48</v>
      </c>
      <c r="L838" s="7" t="s">
        <v>11332</v>
      </c>
      <c r="M838" s="7" t="s">
        <v>11333</v>
      </c>
      <c r="N838" s="45" t="str">
        <f t="shared" ref="N838:N840" si="620">HYPERLINK("twitter.com/ColgateSoftball","@ColgateSoftball")</f>
        <v>@ColgateSoftball</v>
      </c>
      <c r="O838" s="45" t="str">
        <f t="shared" ref="O838:O840" si="621">HYPERLINK("https://gocolgateraiders.com/sb_output.aspx?form=6","Questionnaire")</f>
        <v>Questionnaire</v>
      </c>
      <c r="P838" s="7" t="s">
        <v>11337</v>
      </c>
      <c r="Q838" s="36" t="s">
        <v>1304</v>
      </c>
      <c r="R838" s="48" t="s">
        <v>11338</v>
      </c>
      <c r="S838" s="94" t="s">
        <v>205</v>
      </c>
      <c r="T838" s="4" t="s">
        <v>63</v>
      </c>
      <c r="U838" s="4" t="s">
        <v>75</v>
      </c>
      <c r="V838" s="7"/>
      <c r="W838" s="37">
        <v>3.69</v>
      </c>
      <c r="X838" s="7" t="s">
        <v>11340</v>
      </c>
      <c r="Y838" s="7" t="s">
        <v>469</v>
      </c>
      <c r="Z838" s="4" t="s">
        <v>626</v>
      </c>
      <c r="AA838" s="65">
        <v>0.28999999999999998</v>
      </c>
      <c r="AB838" s="39">
        <v>67290</v>
      </c>
      <c r="AC838" s="66" t="s">
        <v>11337</v>
      </c>
      <c r="AD838" s="67" t="str">
        <f t="shared" ref="AD838:AD840" si="622">HYPERLINK("http://www.colgate.edu/academics/departments-and-programs","Link")</f>
        <v>Link</v>
      </c>
      <c r="AE838" s="42">
        <v>2882</v>
      </c>
      <c r="AF838" s="55"/>
      <c r="AG838" s="37">
        <v>12</v>
      </c>
      <c r="AH838" s="56">
        <v>190099</v>
      </c>
    </row>
    <row r="839" spans="1:34" ht="13" x14ac:dyDescent="0.15">
      <c r="A839" s="88" t="s">
        <v>11186</v>
      </c>
      <c r="B839" s="36" t="s">
        <v>1304</v>
      </c>
      <c r="C839" s="7" t="s">
        <v>67</v>
      </c>
      <c r="D839" s="7" t="s">
        <v>11344</v>
      </c>
      <c r="E839" s="44">
        <v>5</v>
      </c>
      <c r="F839" s="7"/>
      <c r="G839" s="7"/>
      <c r="H839" s="2" t="s">
        <v>11330</v>
      </c>
      <c r="I839" s="7" t="s">
        <v>644</v>
      </c>
      <c r="J839" s="7" t="s">
        <v>11346</v>
      </c>
      <c r="K839" s="7" t="s">
        <v>55</v>
      </c>
      <c r="L839" s="7" t="s">
        <v>11347</v>
      </c>
      <c r="M839" s="7" t="s">
        <v>11348</v>
      </c>
      <c r="N839" s="45" t="str">
        <f t="shared" si="620"/>
        <v>@ColgateSoftball</v>
      </c>
      <c r="O839" s="45" t="str">
        <f t="shared" si="621"/>
        <v>Questionnaire</v>
      </c>
      <c r="P839" s="7" t="s">
        <v>11337</v>
      </c>
      <c r="Q839" s="36" t="s">
        <v>1304</v>
      </c>
      <c r="R839" s="48" t="s">
        <v>11338</v>
      </c>
      <c r="S839" s="94" t="s">
        <v>205</v>
      </c>
      <c r="T839" s="4" t="s">
        <v>63</v>
      </c>
      <c r="U839" s="4" t="s">
        <v>75</v>
      </c>
      <c r="V839" s="7"/>
      <c r="W839" s="37">
        <v>3.69</v>
      </c>
      <c r="X839" s="7" t="s">
        <v>11340</v>
      </c>
      <c r="Y839" s="7" t="s">
        <v>469</v>
      </c>
      <c r="Z839" s="4" t="s">
        <v>626</v>
      </c>
      <c r="AA839" s="65">
        <v>0.28999999999999998</v>
      </c>
      <c r="AB839" s="39">
        <v>67290</v>
      </c>
      <c r="AC839" s="66" t="s">
        <v>11337</v>
      </c>
      <c r="AD839" s="67" t="str">
        <f t="shared" si="622"/>
        <v>Link</v>
      </c>
      <c r="AE839" s="42">
        <v>2882</v>
      </c>
      <c r="AF839" s="55"/>
      <c r="AG839" s="37">
        <v>12</v>
      </c>
      <c r="AH839" s="56">
        <v>190099</v>
      </c>
    </row>
    <row r="840" spans="1:34" ht="13" x14ac:dyDescent="0.15">
      <c r="A840" s="88" t="s">
        <v>11186</v>
      </c>
      <c r="B840" s="36" t="s">
        <v>1304</v>
      </c>
      <c r="C840" s="7" t="s">
        <v>67</v>
      </c>
      <c r="D840" s="7" t="s">
        <v>11354</v>
      </c>
      <c r="E840" s="44">
        <v>5</v>
      </c>
      <c r="F840" s="7"/>
      <c r="G840" s="7"/>
      <c r="H840" s="2" t="s">
        <v>11330</v>
      </c>
      <c r="I840" s="7" t="s">
        <v>2135</v>
      </c>
      <c r="J840" s="7" t="s">
        <v>11356</v>
      </c>
      <c r="K840" s="7" t="s">
        <v>55</v>
      </c>
      <c r="L840" s="7" t="s">
        <v>11357</v>
      </c>
      <c r="M840" s="7" t="s">
        <v>11348</v>
      </c>
      <c r="N840" s="45" t="str">
        <f t="shared" si="620"/>
        <v>@ColgateSoftball</v>
      </c>
      <c r="O840" s="45" t="str">
        <f t="shared" si="621"/>
        <v>Questionnaire</v>
      </c>
      <c r="P840" s="7" t="s">
        <v>11337</v>
      </c>
      <c r="Q840" s="36" t="s">
        <v>1304</v>
      </c>
      <c r="R840" s="48" t="s">
        <v>11338</v>
      </c>
      <c r="S840" s="94" t="s">
        <v>205</v>
      </c>
      <c r="T840" s="4" t="s">
        <v>63</v>
      </c>
      <c r="U840" s="4" t="s">
        <v>75</v>
      </c>
      <c r="V840" s="7"/>
      <c r="W840" s="37">
        <v>3.69</v>
      </c>
      <c r="X840" s="7" t="s">
        <v>11340</v>
      </c>
      <c r="Y840" s="7" t="s">
        <v>469</v>
      </c>
      <c r="Z840" s="4" t="s">
        <v>626</v>
      </c>
      <c r="AA840" s="65">
        <v>0.28999999999999998</v>
      </c>
      <c r="AB840" s="39">
        <v>67290</v>
      </c>
      <c r="AC840" s="66" t="s">
        <v>11337</v>
      </c>
      <c r="AD840" s="67" t="str">
        <f t="shared" si="622"/>
        <v>Link</v>
      </c>
      <c r="AE840" s="42">
        <v>2882</v>
      </c>
      <c r="AF840" s="55"/>
      <c r="AG840" s="37">
        <v>12</v>
      </c>
      <c r="AH840" s="56">
        <v>190099</v>
      </c>
    </row>
    <row r="841" spans="1:34" ht="13" x14ac:dyDescent="0.15">
      <c r="A841" s="88" t="s">
        <v>11186</v>
      </c>
      <c r="B841" s="57" t="s">
        <v>595</v>
      </c>
      <c r="C841" s="7" t="s">
        <v>67</v>
      </c>
      <c r="D841" s="7" t="s">
        <v>11364</v>
      </c>
      <c r="E841" s="44">
        <v>5</v>
      </c>
      <c r="F841" s="7"/>
      <c r="G841" s="7"/>
      <c r="H841" s="2" t="s">
        <v>11366</v>
      </c>
      <c r="I841" s="7" t="s">
        <v>1092</v>
      </c>
      <c r="J841" s="7" t="s">
        <v>11367</v>
      </c>
      <c r="K841" s="7" t="s">
        <v>48</v>
      </c>
      <c r="L841" s="7" t="s">
        <v>11368</v>
      </c>
      <c r="M841" s="7" t="s">
        <v>11369</v>
      </c>
      <c r="N841" s="45" t="str">
        <f t="shared" ref="N841:N843" si="623">HYPERLINK("twitter.com/HCrossSoftball","@HCrossSoftball")</f>
        <v>@HCrossSoftball</v>
      </c>
      <c r="O841" s="45" t="str">
        <f t="shared" ref="O841:O843" si="624">HYPERLINK("https://goholycross.com/ViewArticle.dbml?DB_OEM_ID=33100&amp;ATCLID=211719372","Questionnaire")</f>
        <v>Questionnaire</v>
      </c>
      <c r="P841" s="7" t="s">
        <v>11371</v>
      </c>
      <c r="Q841" s="57" t="s">
        <v>595</v>
      </c>
      <c r="R841" s="7" t="s">
        <v>4650</v>
      </c>
      <c r="S841" s="48" t="s">
        <v>62</v>
      </c>
      <c r="T841" s="73" t="s">
        <v>63</v>
      </c>
      <c r="U841" s="7" t="s">
        <v>343</v>
      </c>
      <c r="V841" s="7"/>
      <c r="W841" s="44">
        <v>3.81</v>
      </c>
      <c r="X841" s="7" t="s">
        <v>11376</v>
      </c>
      <c r="Y841" s="7" t="s">
        <v>11378</v>
      </c>
      <c r="Z841" s="7" t="s">
        <v>580</v>
      </c>
      <c r="AA841" s="61">
        <v>0.38</v>
      </c>
      <c r="AB841" s="71">
        <v>64065</v>
      </c>
      <c r="AC841" s="78" t="s">
        <v>11371</v>
      </c>
      <c r="AD841" s="74" t="str">
        <f t="shared" ref="AD841:AD843" si="625">HYPERLINK("https://www.holycross.edu/academics/academic-programs","Link")</f>
        <v>Link</v>
      </c>
      <c r="AE841" s="54">
        <v>2720</v>
      </c>
      <c r="AF841" s="55"/>
      <c r="AG841" s="44">
        <v>33</v>
      </c>
      <c r="AH841" s="56">
        <v>166124</v>
      </c>
    </row>
    <row r="842" spans="1:34" ht="13" x14ac:dyDescent="0.15">
      <c r="A842" s="88" t="s">
        <v>11186</v>
      </c>
      <c r="B842" s="57" t="s">
        <v>595</v>
      </c>
      <c r="C842" s="7" t="s">
        <v>67</v>
      </c>
      <c r="D842" s="7" t="s">
        <v>11383</v>
      </c>
      <c r="E842" s="44">
        <v>5</v>
      </c>
      <c r="F842" s="7"/>
      <c r="G842" s="7"/>
      <c r="H842" s="2" t="s">
        <v>11366</v>
      </c>
      <c r="I842" s="7" t="s">
        <v>130</v>
      </c>
      <c r="J842" s="7" t="s">
        <v>11384</v>
      </c>
      <c r="K842" s="7" t="s">
        <v>55</v>
      </c>
      <c r="L842" s="7" t="s">
        <v>11385</v>
      </c>
      <c r="M842" s="7" t="s">
        <v>11369</v>
      </c>
      <c r="N842" s="45" t="str">
        <f t="shared" si="623"/>
        <v>@HCrossSoftball</v>
      </c>
      <c r="O842" s="45" t="str">
        <f t="shared" si="624"/>
        <v>Questionnaire</v>
      </c>
      <c r="P842" s="7" t="s">
        <v>11371</v>
      </c>
      <c r="Q842" s="57" t="s">
        <v>595</v>
      </c>
      <c r="R842" s="7" t="s">
        <v>4650</v>
      </c>
      <c r="S842" s="48" t="s">
        <v>62</v>
      </c>
      <c r="T842" s="73" t="s">
        <v>63</v>
      </c>
      <c r="U842" s="7" t="s">
        <v>343</v>
      </c>
      <c r="V842" s="7"/>
      <c r="W842" s="44">
        <v>3.81</v>
      </c>
      <c r="X842" s="7" t="s">
        <v>11376</v>
      </c>
      <c r="Y842" s="7" t="s">
        <v>11378</v>
      </c>
      <c r="Z842" s="7" t="s">
        <v>580</v>
      </c>
      <c r="AA842" s="61">
        <v>0.38</v>
      </c>
      <c r="AB842" s="71">
        <v>64065</v>
      </c>
      <c r="AC842" s="78" t="s">
        <v>11371</v>
      </c>
      <c r="AD842" s="74" t="str">
        <f t="shared" si="625"/>
        <v>Link</v>
      </c>
      <c r="AE842" s="54">
        <v>2720</v>
      </c>
      <c r="AF842" s="55"/>
      <c r="AG842" s="44">
        <v>33</v>
      </c>
      <c r="AH842" s="56">
        <v>166124</v>
      </c>
    </row>
    <row r="843" spans="1:34" ht="13" x14ac:dyDescent="0.15">
      <c r="A843" s="88" t="s">
        <v>11186</v>
      </c>
      <c r="B843" s="47" t="s">
        <v>595</v>
      </c>
      <c r="C843" s="7" t="s">
        <v>67</v>
      </c>
      <c r="D843" s="7" t="s">
        <v>11388</v>
      </c>
      <c r="E843" s="58">
        <v>5</v>
      </c>
      <c r="F843" s="7" t="s">
        <v>116</v>
      </c>
      <c r="G843" s="7"/>
      <c r="H843" s="2" t="s">
        <v>11366</v>
      </c>
      <c r="I843" s="7" t="s">
        <v>107</v>
      </c>
      <c r="J843" s="7" t="s">
        <v>1955</v>
      </c>
      <c r="K843" s="7" t="s">
        <v>139</v>
      </c>
      <c r="L843" s="7"/>
      <c r="M843" s="7"/>
      <c r="N843" s="45" t="str">
        <f t="shared" si="623"/>
        <v>@HCrossSoftball</v>
      </c>
      <c r="O843" s="45" t="str">
        <f t="shared" si="624"/>
        <v>Questionnaire</v>
      </c>
      <c r="P843" s="48" t="s">
        <v>11371</v>
      </c>
      <c r="Q843" s="47" t="s">
        <v>595</v>
      </c>
      <c r="R843" s="48" t="s">
        <v>4650</v>
      </c>
      <c r="S843" s="48" t="s">
        <v>62</v>
      </c>
      <c r="T843" s="73" t="s">
        <v>63</v>
      </c>
      <c r="U843" s="49" t="s">
        <v>343</v>
      </c>
      <c r="V843" s="48"/>
      <c r="W843" s="61">
        <v>3.81</v>
      </c>
      <c r="X843" s="49" t="s">
        <v>11376</v>
      </c>
      <c r="Y843" s="49" t="s">
        <v>11378</v>
      </c>
      <c r="Z843" s="49" t="s">
        <v>580</v>
      </c>
      <c r="AA843" s="61">
        <v>0.38</v>
      </c>
      <c r="AB843" s="71">
        <v>64065</v>
      </c>
      <c r="AC843" s="62" t="s">
        <v>11371</v>
      </c>
      <c r="AD843" s="53" t="str">
        <f t="shared" si="625"/>
        <v>Link</v>
      </c>
      <c r="AE843" s="54">
        <v>2720</v>
      </c>
      <c r="AF843" s="55"/>
      <c r="AG843" s="54">
        <v>33</v>
      </c>
      <c r="AH843" s="56">
        <v>166124</v>
      </c>
    </row>
    <row r="844" spans="1:34" ht="13" x14ac:dyDescent="0.15">
      <c r="A844" s="88" t="s">
        <v>11186</v>
      </c>
      <c r="B844" s="57" t="s">
        <v>1231</v>
      </c>
      <c r="C844" s="7" t="s">
        <v>67</v>
      </c>
      <c r="D844" s="7" t="s">
        <v>11396</v>
      </c>
      <c r="E844" s="44">
        <v>5</v>
      </c>
      <c r="F844" s="7"/>
      <c r="G844" s="7"/>
      <c r="H844" s="2" t="s">
        <v>11398</v>
      </c>
      <c r="I844" s="7" t="s">
        <v>3924</v>
      </c>
      <c r="J844" s="7" t="s">
        <v>11400</v>
      </c>
      <c r="K844" s="7" t="s">
        <v>48</v>
      </c>
      <c r="L844" s="7" t="s">
        <v>11402</v>
      </c>
      <c r="M844" s="7" t="s">
        <v>11404</v>
      </c>
      <c r="N844" s="45" t="str">
        <f t="shared" ref="N844:N845" si="626">HYPERLINK("twitter.com/Lafayette_SB","@Lafayette_SB")</f>
        <v>@Lafayette_SB</v>
      </c>
      <c r="O844" s="45" t="str">
        <f t="shared" ref="O844:O845" si="627">HYPERLINK("http://goleopards.com/sports/2018/7/26/_recruiting_recruit_questionnaires_html.aspx","Questionnaire")</f>
        <v>Questionnaire</v>
      </c>
      <c r="P844" s="7" t="s">
        <v>11407</v>
      </c>
      <c r="Q844" s="57" t="s">
        <v>1231</v>
      </c>
      <c r="R844" s="7" t="s">
        <v>11408</v>
      </c>
      <c r="S844" s="48" t="s">
        <v>468</v>
      </c>
      <c r="T844" s="49" t="s">
        <v>63</v>
      </c>
      <c r="U844" s="7" t="s">
        <v>248</v>
      </c>
      <c r="V844" s="7"/>
      <c r="W844" s="44">
        <v>3.53</v>
      </c>
      <c r="X844" s="7" t="s">
        <v>1898</v>
      </c>
      <c r="Y844" s="7" t="s">
        <v>11409</v>
      </c>
      <c r="Z844" s="7" t="s">
        <v>1900</v>
      </c>
      <c r="AA844" s="61">
        <v>0.28000000000000003</v>
      </c>
      <c r="AB844" s="71">
        <v>66105</v>
      </c>
      <c r="AC844" s="78" t="s">
        <v>11407</v>
      </c>
      <c r="AD844" s="74" t="str">
        <f t="shared" ref="AD844:AD846" si="628">HYPERLINK("https://academics.lafayette.edu/departments-programs/","Link")</f>
        <v>Link</v>
      </c>
      <c r="AE844" s="54">
        <v>2550</v>
      </c>
      <c r="AF844" s="55"/>
      <c r="AG844" s="44">
        <v>36</v>
      </c>
      <c r="AH844" s="56">
        <v>213385</v>
      </c>
    </row>
    <row r="845" spans="1:34" ht="13" x14ac:dyDescent="0.15">
      <c r="A845" s="88" t="s">
        <v>11186</v>
      </c>
      <c r="B845" s="57" t="s">
        <v>1231</v>
      </c>
      <c r="C845" s="7" t="s">
        <v>67</v>
      </c>
      <c r="D845" s="7" t="s">
        <v>11413</v>
      </c>
      <c r="E845" s="44">
        <v>5</v>
      </c>
      <c r="F845" s="7"/>
      <c r="G845" s="7"/>
      <c r="H845" s="2" t="s">
        <v>11398</v>
      </c>
      <c r="I845" s="7" t="s">
        <v>981</v>
      </c>
      <c r="J845" s="7" t="s">
        <v>11414</v>
      </c>
      <c r="K845" s="7" t="s">
        <v>55</v>
      </c>
      <c r="L845" s="7" t="s">
        <v>11416</v>
      </c>
      <c r="M845" s="7"/>
      <c r="N845" s="45" t="str">
        <f t="shared" si="626"/>
        <v>@Lafayette_SB</v>
      </c>
      <c r="O845" s="45" t="str">
        <f t="shared" si="627"/>
        <v>Questionnaire</v>
      </c>
      <c r="P845" s="7" t="s">
        <v>11407</v>
      </c>
      <c r="Q845" s="57" t="s">
        <v>1231</v>
      </c>
      <c r="R845" s="7" t="s">
        <v>11408</v>
      </c>
      <c r="S845" s="48" t="s">
        <v>468</v>
      </c>
      <c r="T845" s="49" t="s">
        <v>63</v>
      </c>
      <c r="U845" s="7" t="s">
        <v>248</v>
      </c>
      <c r="V845" s="7"/>
      <c r="W845" s="44">
        <v>3.53</v>
      </c>
      <c r="X845" s="7" t="s">
        <v>1898</v>
      </c>
      <c r="Y845" s="7" t="s">
        <v>11409</v>
      </c>
      <c r="Z845" s="7" t="s">
        <v>1900</v>
      </c>
      <c r="AA845" s="61">
        <v>0.28000000000000003</v>
      </c>
      <c r="AB845" s="71">
        <v>66105</v>
      </c>
      <c r="AC845" s="78" t="s">
        <v>11407</v>
      </c>
      <c r="AD845" s="74" t="str">
        <f t="shared" si="628"/>
        <v>Link</v>
      </c>
      <c r="AE845" s="54">
        <v>2550</v>
      </c>
      <c r="AF845" s="55"/>
      <c r="AG845" s="44">
        <v>36</v>
      </c>
      <c r="AH845" s="56">
        <v>213385</v>
      </c>
    </row>
    <row r="846" spans="1:34" ht="13" x14ac:dyDescent="0.15">
      <c r="A846" s="88" t="s">
        <v>11186</v>
      </c>
      <c r="B846" s="47" t="s">
        <v>1231</v>
      </c>
      <c r="C846" s="7" t="s">
        <v>67</v>
      </c>
      <c r="D846" s="7" t="s">
        <v>11423</v>
      </c>
      <c r="E846" s="44">
        <v>5</v>
      </c>
      <c r="F846" s="7"/>
      <c r="G846" s="7"/>
      <c r="H846" s="2" t="s">
        <v>11398</v>
      </c>
      <c r="I846" s="7" t="s">
        <v>4044</v>
      </c>
      <c r="J846" s="7" t="s">
        <v>11424</v>
      </c>
      <c r="K846" s="7" t="s">
        <v>55</v>
      </c>
      <c r="L846" s="7"/>
      <c r="M846" s="7"/>
      <c r="N846" s="7"/>
      <c r="O846" s="7"/>
      <c r="P846" s="48" t="s">
        <v>11407</v>
      </c>
      <c r="Q846" s="47" t="s">
        <v>1231</v>
      </c>
      <c r="R846" s="48" t="s">
        <v>11408</v>
      </c>
      <c r="S846" s="48" t="s">
        <v>468</v>
      </c>
      <c r="T846" s="49" t="s">
        <v>63</v>
      </c>
      <c r="U846" s="49" t="s">
        <v>248</v>
      </c>
      <c r="V846" s="48"/>
      <c r="W846" s="61">
        <v>3.53</v>
      </c>
      <c r="X846" s="49" t="s">
        <v>1898</v>
      </c>
      <c r="Y846" s="49" t="s">
        <v>11409</v>
      </c>
      <c r="Z846" s="49" t="s">
        <v>1900</v>
      </c>
      <c r="AA846" s="61">
        <v>0.28000000000000003</v>
      </c>
      <c r="AB846" s="71">
        <v>66105</v>
      </c>
      <c r="AC846" s="62" t="s">
        <v>11407</v>
      </c>
      <c r="AD846" s="53" t="str">
        <f t="shared" si="628"/>
        <v>Link</v>
      </c>
      <c r="AE846" s="54">
        <v>2550</v>
      </c>
      <c r="AF846" s="55"/>
      <c r="AG846" s="54">
        <v>36</v>
      </c>
      <c r="AH846" s="56">
        <v>213385</v>
      </c>
    </row>
    <row r="847" spans="1:34" ht="13" x14ac:dyDescent="0.15">
      <c r="A847" s="88" t="s">
        <v>11186</v>
      </c>
      <c r="B847" s="57" t="s">
        <v>1231</v>
      </c>
      <c r="C847" s="7" t="s">
        <v>67</v>
      </c>
      <c r="D847" s="7" t="s">
        <v>11428</v>
      </c>
      <c r="E847" s="44">
        <v>5</v>
      </c>
      <c r="F847" s="7"/>
      <c r="G847" s="7"/>
      <c r="H847" s="2" t="s">
        <v>11429</v>
      </c>
      <c r="I847" s="7" t="s">
        <v>4827</v>
      </c>
      <c r="J847" s="7" t="s">
        <v>11432</v>
      </c>
      <c r="K847" s="7" t="s">
        <v>48</v>
      </c>
      <c r="L847" s="7" t="s">
        <v>11433</v>
      </c>
      <c r="M847" s="7" t="s">
        <v>11434</v>
      </c>
      <c r="N847" s="45" t="str">
        <f t="shared" ref="N847:N850" si="629">HYPERLINK("twitter.com/lehighsoftball","@lehighsoftball")</f>
        <v>@lehighsoftball</v>
      </c>
      <c r="O847" s="45" t="str">
        <f t="shared" ref="O847:O850" si="630">HYPERLINK("https://lehighsports.com/sports/2013/6/10/GEN_0610133637.aspx","Questionnaire")</f>
        <v>Questionnaire</v>
      </c>
      <c r="P847" s="7" t="s">
        <v>11439</v>
      </c>
      <c r="Q847" s="57" t="s">
        <v>1231</v>
      </c>
      <c r="R847" s="7" t="s">
        <v>11442</v>
      </c>
      <c r="S847" s="48" t="s">
        <v>238</v>
      </c>
      <c r="T847" s="73" t="s">
        <v>63</v>
      </c>
      <c r="U847" s="7" t="s">
        <v>75</v>
      </c>
      <c r="V847" s="7"/>
      <c r="W847" s="44">
        <v>3.83</v>
      </c>
      <c r="X847" s="7" t="s">
        <v>678</v>
      </c>
      <c r="Y847" s="7" t="s">
        <v>625</v>
      </c>
      <c r="Z847" s="7" t="s">
        <v>631</v>
      </c>
      <c r="AA847" s="61">
        <v>0.26</v>
      </c>
      <c r="AB847" s="71">
        <v>63075</v>
      </c>
      <c r="AC847" s="78" t="s">
        <v>11439</v>
      </c>
      <c r="AD847" s="74" t="str">
        <f t="shared" ref="AD847:AD850" si="631">HYPERLINK("http://catalog.lehigh.edu/programsandmajors/","Link")</f>
        <v>Link</v>
      </c>
      <c r="AE847" s="54">
        <v>5080</v>
      </c>
      <c r="AF847" s="54">
        <v>46</v>
      </c>
      <c r="AG847" s="7"/>
      <c r="AH847" s="56">
        <v>213543</v>
      </c>
    </row>
    <row r="848" spans="1:34" ht="13" x14ac:dyDescent="0.15">
      <c r="A848" s="88" t="s">
        <v>11186</v>
      </c>
      <c r="B848" s="57" t="s">
        <v>1231</v>
      </c>
      <c r="C848" s="7" t="s">
        <v>67</v>
      </c>
      <c r="D848" s="7" t="s">
        <v>11450</v>
      </c>
      <c r="E848" s="44">
        <v>5</v>
      </c>
      <c r="F848" s="7"/>
      <c r="G848" s="7"/>
      <c r="H848" s="2" t="s">
        <v>11429</v>
      </c>
      <c r="I848" s="7" t="s">
        <v>1258</v>
      </c>
      <c r="J848" s="7" t="s">
        <v>11451</v>
      </c>
      <c r="K848" s="7" t="s">
        <v>55</v>
      </c>
      <c r="L848" s="7"/>
      <c r="M848" s="7"/>
      <c r="N848" s="45" t="str">
        <f t="shared" si="629"/>
        <v>@lehighsoftball</v>
      </c>
      <c r="O848" s="45" t="str">
        <f t="shared" si="630"/>
        <v>Questionnaire</v>
      </c>
      <c r="P848" s="7" t="s">
        <v>11439</v>
      </c>
      <c r="Q848" s="57" t="s">
        <v>1231</v>
      </c>
      <c r="R848" s="7" t="s">
        <v>11442</v>
      </c>
      <c r="S848" s="48" t="s">
        <v>238</v>
      </c>
      <c r="T848" s="73" t="s">
        <v>63</v>
      </c>
      <c r="U848" s="7" t="s">
        <v>75</v>
      </c>
      <c r="V848" s="7"/>
      <c r="W848" s="44">
        <v>3.83</v>
      </c>
      <c r="X848" s="7" t="s">
        <v>678</v>
      </c>
      <c r="Y848" s="7" t="s">
        <v>625</v>
      </c>
      <c r="Z848" s="7" t="s">
        <v>631</v>
      </c>
      <c r="AA848" s="61">
        <v>0.26</v>
      </c>
      <c r="AB848" s="71">
        <v>63075</v>
      </c>
      <c r="AC848" s="78" t="s">
        <v>11439</v>
      </c>
      <c r="AD848" s="74" t="str">
        <f t="shared" si="631"/>
        <v>Link</v>
      </c>
      <c r="AE848" s="54">
        <v>5080</v>
      </c>
      <c r="AF848" s="54">
        <v>46</v>
      </c>
      <c r="AG848" s="7"/>
      <c r="AH848" s="56">
        <v>213543</v>
      </c>
    </row>
    <row r="849" spans="1:34" ht="13" x14ac:dyDescent="0.15">
      <c r="A849" s="88" t="s">
        <v>11186</v>
      </c>
      <c r="B849" s="57" t="s">
        <v>1231</v>
      </c>
      <c r="C849" s="7" t="s">
        <v>67</v>
      </c>
      <c r="D849" s="7" t="s">
        <v>11457</v>
      </c>
      <c r="E849" s="44">
        <v>5</v>
      </c>
      <c r="F849" s="7"/>
      <c r="G849" s="7"/>
      <c r="H849" s="2" t="s">
        <v>11429</v>
      </c>
      <c r="I849" s="7" t="s">
        <v>329</v>
      </c>
      <c r="J849" s="7" t="s">
        <v>11460</v>
      </c>
      <c r="K849" s="7" t="s">
        <v>55</v>
      </c>
      <c r="L849" s="7" t="s">
        <v>11461</v>
      </c>
      <c r="M849" s="7"/>
      <c r="N849" s="45" t="str">
        <f t="shared" si="629"/>
        <v>@lehighsoftball</v>
      </c>
      <c r="O849" s="45" t="str">
        <f t="shared" si="630"/>
        <v>Questionnaire</v>
      </c>
      <c r="P849" s="7" t="s">
        <v>11439</v>
      </c>
      <c r="Q849" s="57" t="s">
        <v>1231</v>
      </c>
      <c r="R849" s="7" t="s">
        <v>11442</v>
      </c>
      <c r="S849" s="48" t="s">
        <v>238</v>
      </c>
      <c r="T849" s="73" t="s">
        <v>63</v>
      </c>
      <c r="U849" s="7" t="s">
        <v>75</v>
      </c>
      <c r="V849" s="7"/>
      <c r="W849" s="44">
        <v>3.83</v>
      </c>
      <c r="X849" s="7" t="s">
        <v>678</v>
      </c>
      <c r="Y849" s="7" t="s">
        <v>625</v>
      </c>
      <c r="Z849" s="7" t="s">
        <v>631</v>
      </c>
      <c r="AA849" s="61">
        <v>0.26</v>
      </c>
      <c r="AB849" s="71">
        <v>63075</v>
      </c>
      <c r="AC849" s="78" t="s">
        <v>11439</v>
      </c>
      <c r="AD849" s="74" t="str">
        <f t="shared" si="631"/>
        <v>Link</v>
      </c>
      <c r="AE849" s="54">
        <v>5080</v>
      </c>
      <c r="AF849" s="54">
        <v>46</v>
      </c>
      <c r="AG849" s="7"/>
      <c r="AH849" s="56">
        <v>213543</v>
      </c>
    </row>
    <row r="850" spans="1:34" ht="13" x14ac:dyDescent="0.15">
      <c r="A850" s="88" t="s">
        <v>11186</v>
      </c>
      <c r="B850" s="57" t="s">
        <v>1231</v>
      </c>
      <c r="C850" s="7" t="s">
        <v>67</v>
      </c>
      <c r="D850" s="7" t="s">
        <v>11462</v>
      </c>
      <c r="E850" s="44">
        <v>5</v>
      </c>
      <c r="F850" s="7"/>
      <c r="G850" s="7"/>
      <c r="H850" s="2" t="s">
        <v>11429</v>
      </c>
      <c r="I850" s="7" t="s">
        <v>1137</v>
      </c>
      <c r="J850" s="7" t="s">
        <v>1448</v>
      </c>
      <c r="K850" s="7" t="s">
        <v>55</v>
      </c>
      <c r="L850" s="7" t="s">
        <v>11467</v>
      </c>
      <c r="M850" s="7"/>
      <c r="N850" s="45" t="str">
        <f t="shared" si="629"/>
        <v>@lehighsoftball</v>
      </c>
      <c r="O850" s="45" t="str">
        <f t="shared" si="630"/>
        <v>Questionnaire</v>
      </c>
      <c r="P850" s="7" t="s">
        <v>11439</v>
      </c>
      <c r="Q850" s="57" t="s">
        <v>1231</v>
      </c>
      <c r="R850" s="7" t="s">
        <v>11442</v>
      </c>
      <c r="S850" s="48" t="s">
        <v>238</v>
      </c>
      <c r="T850" s="73" t="s">
        <v>63</v>
      </c>
      <c r="U850" s="7" t="s">
        <v>75</v>
      </c>
      <c r="V850" s="7"/>
      <c r="W850" s="44">
        <v>3.83</v>
      </c>
      <c r="X850" s="7" t="s">
        <v>678</v>
      </c>
      <c r="Y850" s="7" t="s">
        <v>625</v>
      </c>
      <c r="Z850" s="7" t="s">
        <v>631</v>
      </c>
      <c r="AA850" s="61">
        <v>0.26</v>
      </c>
      <c r="AB850" s="71">
        <v>63075</v>
      </c>
      <c r="AC850" s="78" t="s">
        <v>11439</v>
      </c>
      <c r="AD850" s="74" t="str">
        <f t="shared" si="631"/>
        <v>Link</v>
      </c>
      <c r="AE850" s="54">
        <v>5080</v>
      </c>
      <c r="AF850" s="54">
        <v>46</v>
      </c>
      <c r="AG850" s="7"/>
      <c r="AH850" s="56">
        <v>213543</v>
      </c>
    </row>
    <row r="851" spans="1:34" ht="15" x14ac:dyDescent="0.2">
      <c r="A851" s="43" t="s">
        <v>11473</v>
      </c>
      <c r="B851" s="47" t="s">
        <v>59</v>
      </c>
      <c r="C851" s="7" t="s">
        <v>67</v>
      </c>
      <c r="D851" s="7" t="s">
        <v>11475</v>
      </c>
      <c r="E851" s="44">
        <v>5</v>
      </c>
      <c r="F851" s="7"/>
      <c r="G851" s="7"/>
      <c r="H851" s="2" t="s">
        <v>11476</v>
      </c>
      <c r="I851" s="7" t="s">
        <v>249</v>
      </c>
      <c r="J851" s="7" t="s">
        <v>117</v>
      </c>
      <c r="K851" s="7" t="s">
        <v>48</v>
      </c>
      <c r="L851" s="7"/>
      <c r="M851" s="7" t="s">
        <v>11477</v>
      </c>
      <c r="N851" s="45" t="str">
        <f t="shared" ref="N851:N855" si="632">HYPERLINK("twitter.com/AlabamaSB","@AlabamaSB")</f>
        <v>@AlabamaSB</v>
      </c>
      <c r="O851" s="74" t="str">
        <f t="shared" ref="O851:O855" si="633">HYPERLINK("https://college.jumpforward.com/questionnaire.aspx?iid=1715&amp;sportid=31","Questionnaire")</f>
        <v>Questionnaire</v>
      </c>
      <c r="P851" s="7" t="s">
        <v>40</v>
      </c>
      <c r="Q851" s="47" t="s">
        <v>59</v>
      </c>
      <c r="R851" s="48" t="s">
        <v>11483</v>
      </c>
      <c r="S851" s="55" t="s">
        <v>238</v>
      </c>
      <c r="T851" s="49" t="s">
        <v>74</v>
      </c>
      <c r="U851" s="49" t="s">
        <v>75</v>
      </c>
      <c r="V851" s="48"/>
      <c r="W851" s="61">
        <v>3.66</v>
      </c>
      <c r="X851" s="7" t="s">
        <v>2853</v>
      </c>
      <c r="Y851" s="49" t="s">
        <v>2510</v>
      </c>
      <c r="Z851" s="49" t="s">
        <v>11488</v>
      </c>
      <c r="AA851" s="51">
        <v>0.52580000000000005</v>
      </c>
      <c r="AB851" s="48" t="s">
        <v>11489</v>
      </c>
      <c r="AC851" s="52" t="s">
        <v>40</v>
      </c>
      <c r="AD851" s="53" t="str">
        <f t="shared" ref="AD851:AD855" si="634">HYPERLINK("https://www.ua.edu/academics/majors/","Link")</f>
        <v>Link</v>
      </c>
      <c r="AE851" s="54">
        <v>32563</v>
      </c>
      <c r="AF851" s="54">
        <v>110</v>
      </c>
      <c r="AG851" s="55"/>
      <c r="AH851" s="56">
        <v>100751</v>
      </c>
    </row>
    <row r="852" spans="1:34" ht="15" x14ac:dyDescent="0.2">
      <c r="A852" s="43" t="s">
        <v>11473</v>
      </c>
      <c r="B852" s="47" t="s">
        <v>59</v>
      </c>
      <c r="C852" s="7" t="s">
        <v>67</v>
      </c>
      <c r="D852" s="7" t="s">
        <v>11490</v>
      </c>
      <c r="E852" s="44">
        <v>5</v>
      </c>
      <c r="F852" s="7"/>
      <c r="G852" s="7"/>
      <c r="H852" s="2" t="s">
        <v>11476</v>
      </c>
      <c r="I852" s="7" t="s">
        <v>9280</v>
      </c>
      <c r="J852" s="7" t="s">
        <v>11491</v>
      </c>
      <c r="K852" s="2" t="s">
        <v>55</v>
      </c>
      <c r="L852" s="7" t="s">
        <v>11492</v>
      </c>
      <c r="M852" s="7" t="s">
        <v>11493</v>
      </c>
      <c r="N852" s="45" t="str">
        <f t="shared" si="632"/>
        <v>@AlabamaSB</v>
      </c>
      <c r="O852" s="74" t="str">
        <f t="shared" si="633"/>
        <v>Questionnaire</v>
      </c>
      <c r="P852" s="7" t="s">
        <v>40</v>
      </c>
      <c r="Q852" s="47" t="s">
        <v>59</v>
      </c>
      <c r="R852" s="48" t="s">
        <v>11483</v>
      </c>
      <c r="S852" s="55" t="s">
        <v>238</v>
      </c>
      <c r="T852" s="49" t="s">
        <v>74</v>
      </c>
      <c r="U852" s="49" t="s">
        <v>75</v>
      </c>
      <c r="V852" s="48"/>
      <c r="W852" s="61">
        <v>3.66</v>
      </c>
      <c r="X852" s="7" t="s">
        <v>2853</v>
      </c>
      <c r="Y852" s="49" t="s">
        <v>2510</v>
      </c>
      <c r="Z852" s="49" t="s">
        <v>11488</v>
      </c>
      <c r="AA852" s="51">
        <v>0.52580000000000005</v>
      </c>
      <c r="AB852" s="48" t="s">
        <v>11489</v>
      </c>
      <c r="AC852" s="52" t="s">
        <v>40</v>
      </c>
      <c r="AD852" s="53" t="str">
        <f t="shared" si="634"/>
        <v>Link</v>
      </c>
      <c r="AE852" s="54">
        <v>32563</v>
      </c>
      <c r="AF852" s="54">
        <v>110</v>
      </c>
      <c r="AG852" s="55"/>
      <c r="AH852" s="56">
        <v>100751</v>
      </c>
    </row>
    <row r="853" spans="1:34" ht="15" x14ac:dyDescent="0.2">
      <c r="A853" s="43" t="s">
        <v>11473</v>
      </c>
      <c r="B853" s="47" t="s">
        <v>59</v>
      </c>
      <c r="C853" s="7" t="s">
        <v>67</v>
      </c>
      <c r="D853" s="7" t="s">
        <v>11499</v>
      </c>
      <c r="E853" s="44">
        <v>5</v>
      </c>
      <c r="F853" s="7"/>
      <c r="G853" s="7"/>
      <c r="H853" s="2" t="s">
        <v>11476</v>
      </c>
      <c r="I853" s="7" t="s">
        <v>1258</v>
      </c>
      <c r="J853" s="7" t="s">
        <v>11500</v>
      </c>
      <c r="K853" s="2" t="s">
        <v>55</v>
      </c>
      <c r="L853" s="7" t="s">
        <v>11501</v>
      </c>
      <c r="M853" s="7" t="s">
        <v>11502</v>
      </c>
      <c r="N853" s="45" t="str">
        <f t="shared" si="632"/>
        <v>@AlabamaSB</v>
      </c>
      <c r="O853" s="74" t="str">
        <f t="shared" si="633"/>
        <v>Questionnaire</v>
      </c>
      <c r="P853" s="7" t="s">
        <v>40</v>
      </c>
      <c r="Q853" s="47" t="s">
        <v>59</v>
      </c>
      <c r="R853" s="48" t="s">
        <v>11483</v>
      </c>
      <c r="S853" s="55" t="s">
        <v>238</v>
      </c>
      <c r="T853" s="49" t="s">
        <v>74</v>
      </c>
      <c r="U853" s="49" t="s">
        <v>75</v>
      </c>
      <c r="V853" s="48"/>
      <c r="W853" s="61">
        <v>3.66</v>
      </c>
      <c r="X853" s="7" t="s">
        <v>2853</v>
      </c>
      <c r="Y853" s="49" t="s">
        <v>2510</v>
      </c>
      <c r="Z853" s="49" t="s">
        <v>11488</v>
      </c>
      <c r="AA853" s="51">
        <v>0.52580000000000005</v>
      </c>
      <c r="AB853" s="48" t="s">
        <v>11489</v>
      </c>
      <c r="AC853" s="52" t="s">
        <v>40</v>
      </c>
      <c r="AD853" s="53" t="str">
        <f t="shared" si="634"/>
        <v>Link</v>
      </c>
      <c r="AE853" s="54">
        <v>32563</v>
      </c>
      <c r="AF853" s="54">
        <v>110</v>
      </c>
      <c r="AG853" s="55"/>
      <c r="AH853" s="56">
        <v>100751</v>
      </c>
    </row>
    <row r="854" spans="1:34" ht="15" x14ac:dyDescent="0.2">
      <c r="A854" s="43" t="s">
        <v>11473</v>
      </c>
      <c r="B854" s="47" t="s">
        <v>59</v>
      </c>
      <c r="C854" s="7" t="s">
        <v>67</v>
      </c>
      <c r="D854" s="7" t="s">
        <v>11505</v>
      </c>
      <c r="E854" s="44">
        <v>5</v>
      </c>
      <c r="F854" s="7"/>
      <c r="G854" s="7"/>
      <c r="H854" s="2" t="s">
        <v>11476</v>
      </c>
      <c r="I854" s="7" t="s">
        <v>11506</v>
      </c>
      <c r="J854" s="7" t="s">
        <v>11507</v>
      </c>
      <c r="K854" s="7" t="s">
        <v>139</v>
      </c>
      <c r="L854" s="7" t="s">
        <v>11508</v>
      </c>
      <c r="M854" s="7" t="s">
        <v>11477</v>
      </c>
      <c r="N854" s="45" t="str">
        <f t="shared" si="632"/>
        <v>@AlabamaSB</v>
      </c>
      <c r="O854" s="74" t="str">
        <f t="shared" si="633"/>
        <v>Questionnaire</v>
      </c>
      <c r="P854" s="7" t="s">
        <v>40</v>
      </c>
      <c r="Q854" s="47" t="s">
        <v>59</v>
      </c>
      <c r="R854" s="48" t="s">
        <v>11483</v>
      </c>
      <c r="S854" s="55" t="s">
        <v>238</v>
      </c>
      <c r="T854" s="49" t="s">
        <v>74</v>
      </c>
      <c r="U854" s="49" t="s">
        <v>75</v>
      </c>
      <c r="V854" s="48"/>
      <c r="W854" s="61">
        <v>3.66</v>
      </c>
      <c r="X854" s="7" t="s">
        <v>2853</v>
      </c>
      <c r="Y854" s="49" t="s">
        <v>2510</v>
      </c>
      <c r="Z854" s="49" t="s">
        <v>11488</v>
      </c>
      <c r="AA854" s="51">
        <v>0.52580000000000005</v>
      </c>
      <c r="AB854" s="48" t="s">
        <v>11489</v>
      </c>
      <c r="AC854" s="52" t="s">
        <v>40</v>
      </c>
      <c r="AD854" s="53" t="str">
        <f t="shared" si="634"/>
        <v>Link</v>
      </c>
      <c r="AE854" s="54">
        <v>32563</v>
      </c>
      <c r="AF854" s="54">
        <v>110</v>
      </c>
      <c r="AG854" s="55"/>
      <c r="AH854" s="56">
        <v>100751</v>
      </c>
    </row>
    <row r="855" spans="1:34" ht="15" x14ac:dyDescent="0.2">
      <c r="A855" s="43" t="s">
        <v>11473</v>
      </c>
      <c r="B855" s="47" t="s">
        <v>59</v>
      </c>
      <c r="C855" s="7" t="s">
        <v>67</v>
      </c>
      <c r="D855" s="7" t="s">
        <v>11519</v>
      </c>
      <c r="E855" s="44">
        <v>5</v>
      </c>
      <c r="F855" s="7"/>
      <c r="G855" s="7"/>
      <c r="H855" s="2" t="s">
        <v>11476</v>
      </c>
      <c r="I855" s="7" t="s">
        <v>1528</v>
      </c>
      <c r="J855" s="7" t="s">
        <v>695</v>
      </c>
      <c r="K855" s="7" t="s">
        <v>154</v>
      </c>
      <c r="L855" s="7" t="s">
        <v>11520</v>
      </c>
      <c r="M855" s="7" t="s">
        <v>11477</v>
      </c>
      <c r="N855" s="45" t="str">
        <f t="shared" si="632"/>
        <v>@AlabamaSB</v>
      </c>
      <c r="O855" s="74" t="str">
        <f t="shared" si="633"/>
        <v>Questionnaire</v>
      </c>
      <c r="P855" s="7" t="s">
        <v>40</v>
      </c>
      <c r="Q855" s="47" t="s">
        <v>59</v>
      </c>
      <c r="R855" s="48" t="s">
        <v>11483</v>
      </c>
      <c r="S855" s="55" t="s">
        <v>238</v>
      </c>
      <c r="T855" s="49" t="s">
        <v>74</v>
      </c>
      <c r="U855" s="49" t="s">
        <v>75</v>
      </c>
      <c r="V855" s="48"/>
      <c r="W855" s="61">
        <v>3.66</v>
      </c>
      <c r="X855" s="7" t="s">
        <v>2853</v>
      </c>
      <c r="Y855" s="49" t="s">
        <v>2510</v>
      </c>
      <c r="Z855" s="49" t="s">
        <v>11488</v>
      </c>
      <c r="AA855" s="51">
        <v>0.52580000000000005</v>
      </c>
      <c r="AB855" s="48" t="s">
        <v>11489</v>
      </c>
      <c r="AC855" s="52" t="s">
        <v>40</v>
      </c>
      <c r="AD855" s="53" t="str">
        <f t="shared" si="634"/>
        <v>Link</v>
      </c>
      <c r="AE855" s="54">
        <v>32563</v>
      </c>
      <c r="AF855" s="54">
        <v>110</v>
      </c>
      <c r="AG855" s="55"/>
      <c r="AH855" s="56">
        <v>100751</v>
      </c>
    </row>
    <row r="856" spans="1:34" ht="15" x14ac:dyDescent="0.2">
      <c r="A856" s="43" t="s">
        <v>11473</v>
      </c>
      <c r="B856" s="47" t="s">
        <v>184</v>
      </c>
      <c r="C856" s="7" t="s">
        <v>67</v>
      </c>
      <c r="D856" s="7" t="s">
        <v>11524</v>
      </c>
      <c r="E856" s="44">
        <v>5</v>
      </c>
      <c r="F856" s="7"/>
      <c r="G856" s="7"/>
      <c r="H856" s="2" t="s">
        <v>11527</v>
      </c>
      <c r="I856" s="7" t="s">
        <v>222</v>
      </c>
      <c r="J856" s="7" t="s">
        <v>11530</v>
      </c>
      <c r="K856" s="7" t="s">
        <v>48</v>
      </c>
      <c r="L856" s="7" t="s">
        <v>11531</v>
      </c>
      <c r="M856" s="7" t="s">
        <v>11532</v>
      </c>
      <c r="N856" s="45" t="str">
        <f>HYPERLINK("twitter.com/coachdeifel","@coachdeifel")</f>
        <v>@coachdeifel</v>
      </c>
      <c r="O856" s="7" t="s">
        <v>22</v>
      </c>
      <c r="P856" s="7" t="s">
        <v>140</v>
      </c>
      <c r="Q856" s="47" t="s">
        <v>184</v>
      </c>
      <c r="R856" s="48" t="s">
        <v>7923</v>
      </c>
      <c r="S856" s="48" t="s">
        <v>238</v>
      </c>
      <c r="T856" s="73" t="s">
        <v>74</v>
      </c>
      <c r="U856" s="49" t="s">
        <v>75</v>
      </c>
      <c r="V856" s="48"/>
      <c r="W856" s="61">
        <v>3.68</v>
      </c>
      <c r="X856" s="7" t="s">
        <v>344</v>
      </c>
      <c r="Y856" s="49" t="s">
        <v>1723</v>
      </c>
      <c r="Z856" s="49" t="s">
        <v>2734</v>
      </c>
      <c r="AA856" s="51">
        <v>0.63200000000000001</v>
      </c>
      <c r="AB856" s="48" t="s">
        <v>11534</v>
      </c>
      <c r="AC856" s="52" t="s">
        <v>140</v>
      </c>
      <c r="AD856" s="53" t="str">
        <f t="shared" ref="AD856:AD860" si="635">HYPERLINK("https://www.uark.edu/academics/majors.php","Link")</f>
        <v>Link</v>
      </c>
      <c r="AE856" s="54">
        <v>22548</v>
      </c>
      <c r="AF856" s="54">
        <v>133</v>
      </c>
      <c r="AG856" s="55"/>
      <c r="AH856" s="56">
        <v>106397</v>
      </c>
    </row>
    <row r="857" spans="1:34" ht="15" x14ac:dyDescent="0.2">
      <c r="A857" s="43" t="s">
        <v>11473</v>
      </c>
      <c r="B857" s="47" t="s">
        <v>184</v>
      </c>
      <c r="C857" s="7" t="s">
        <v>67</v>
      </c>
      <c r="D857" s="7" t="s">
        <v>11541</v>
      </c>
      <c r="E857" s="44">
        <v>5</v>
      </c>
      <c r="F857" s="7"/>
      <c r="G857" s="7"/>
      <c r="H857" s="2" t="s">
        <v>11527</v>
      </c>
      <c r="I857" s="7" t="s">
        <v>644</v>
      </c>
      <c r="J857" s="7" t="s">
        <v>3518</v>
      </c>
      <c r="K857" s="2" t="s">
        <v>55</v>
      </c>
      <c r="L857" s="7" t="s">
        <v>11542</v>
      </c>
      <c r="M857" s="7" t="s">
        <v>11543</v>
      </c>
      <c r="N857" s="69" t="str">
        <f>HYPERLINK("twitter.com/YoCoachYo","@YoCoachYo")</f>
        <v>@YoCoachYo</v>
      </c>
      <c r="O857" s="7" t="s">
        <v>22</v>
      </c>
      <c r="P857" s="7" t="s">
        <v>140</v>
      </c>
      <c r="Q857" s="47" t="s">
        <v>184</v>
      </c>
      <c r="R857" s="48" t="s">
        <v>7923</v>
      </c>
      <c r="S857" s="48" t="s">
        <v>238</v>
      </c>
      <c r="T857" s="73" t="s">
        <v>74</v>
      </c>
      <c r="U857" s="49" t="s">
        <v>75</v>
      </c>
      <c r="V857" s="48"/>
      <c r="W857" s="61">
        <v>3.68</v>
      </c>
      <c r="X857" s="7" t="s">
        <v>344</v>
      </c>
      <c r="Y857" s="49" t="s">
        <v>1723</v>
      </c>
      <c r="Z857" s="49" t="s">
        <v>2734</v>
      </c>
      <c r="AA857" s="51">
        <v>0.63200000000000001</v>
      </c>
      <c r="AB857" s="48" t="s">
        <v>11534</v>
      </c>
      <c r="AC857" s="52" t="s">
        <v>140</v>
      </c>
      <c r="AD857" s="53" t="str">
        <f t="shared" si="635"/>
        <v>Link</v>
      </c>
      <c r="AE857" s="54">
        <v>22548</v>
      </c>
      <c r="AF857" s="54">
        <v>133</v>
      </c>
      <c r="AG857" s="55"/>
      <c r="AH857" s="56">
        <v>106397</v>
      </c>
    </row>
    <row r="858" spans="1:34" ht="15" x14ac:dyDescent="0.2">
      <c r="A858" s="43" t="s">
        <v>11473</v>
      </c>
      <c r="B858" s="47" t="s">
        <v>184</v>
      </c>
      <c r="C858" s="7" t="s">
        <v>67</v>
      </c>
      <c r="D858" s="7" t="s">
        <v>11551</v>
      </c>
      <c r="E858" s="44">
        <v>5</v>
      </c>
      <c r="F858" s="7"/>
      <c r="G858" s="7"/>
      <c r="H858" s="2" t="s">
        <v>11527</v>
      </c>
      <c r="I858" s="7" t="s">
        <v>11553</v>
      </c>
      <c r="J858" s="7" t="s">
        <v>11555</v>
      </c>
      <c r="K858" s="2" t="s">
        <v>55</v>
      </c>
      <c r="L858" s="7" t="s">
        <v>11556</v>
      </c>
      <c r="M858" s="7" t="s">
        <v>11557</v>
      </c>
      <c r="N858" s="69" t="str">
        <f>HYPERLINK("twitter.com/MattMeuchel","@MattMeuchel")</f>
        <v>@MattMeuchel</v>
      </c>
      <c r="O858" s="7" t="s">
        <v>22</v>
      </c>
      <c r="P858" s="7" t="s">
        <v>140</v>
      </c>
      <c r="Q858" s="47" t="s">
        <v>184</v>
      </c>
      <c r="R858" s="48" t="s">
        <v>7923</v>
      </c>
      <c r="S858" s="48" t="s">
        <v>238</v>
      </c>
      <c r="T858" s="73" t="s">
        <v>74</v>
      </c>
      <c r="U858" s="49" t="s">
        <v>75</v>
      </c>
      <c r="V858" s="48"/>
      <c r="W858" s="61">
        <v>3.68</v>
      </c>
      <c r="X858" s="7" t="s">
        <v>344</v>
      </c>
      <c r="Y858" s="49" t="s">
        <v>1723</v>
      </c>
      <c r="Z858" s="49" t="s">
        <v>2734</v>
      </c>
      <c r="AA858" s="51">
        <v>0.63200000000000001</v>
      </c>
      <c r="AB858" s="48" t="s">
        <v>11534</v>
      </c>
      <c r="AC858" s="52" t="s">
        <v>140</v>
      </c>
      <c r="AD858" s="53" t="str">
        <f t="shared" si="635"/>
        <v>Link</v>
      </c>
      <c r="AE858" s="54">
        <v>22548</v>
      </c>
      <c r="AF858" s="54">
        <v>133</v>
      </c>
      <c r="AG858" s="55"/>
      <c r="AH858" s="56">
        <v>106397</v>
      </c>
    </row>
    <row r="859" spans="1:34" ht="15" x14ac:dyDescent="0.2">
      <c r="A859" s="43" t="s">
        <v>11473</v>
      </c>
      <c r="B859" s="47" t="s">
        <v>184</v>
      </c>
      <c r="C859" s="7" t="s">
        <v>67</v>
      </c>
      <c r="D859" s="7" t="s">
        <v>11561</v>
      </c>
      <c r="E859" s="44">
        <v>5</v>
      </c>
      <c r="F859" s="7"/>
      <c r="G859" s="7" t="s">
        <v>126</v>
      </c>
      <c r="H859" s="2" t="s">
        <v>11527</v>
      </c>
      <c r="I859" s="7" t="s">
        <v>11562</v>
      </c>
      <c r="J859" s="7"/>
      <c r="K859" s="7"/>
      <c r="L859" s="7"/>
      <c r="M859" s="7"/>
      <c r="N859" s="45" t="str">
        <f t="shared" ref="N859:N860" si="636">HYPERLINK("twitter.com/razorbacksb","@razorbacksb")</f>
        <v>@razorbacksb</v>
      </c>
      <c r="O859" s="7" t="s">
        <v>22</v>
      </c>
      <c r="P859" s="7" t="s">
        <v>140</v>
      </c>
      <c r="Q859" s="47" t="s">
        <v>184</v>
      </c>
      <c r="R859" s="48" t="s">
        <v>7923</v>
      </c>
      <c r="S859" s="48" t="s">
        <v>238</v>
      </c>
      <c r="T859" s="73" t="s">
        <v>74</v>
      </c>
      <c r="U859" s="49" t="s">
        <v>75</v>
      </c>
      <c r="V859" s="48"/>
      <c r="W859" s="61">
        <v>3.68</v>
      </c>
      <c r="X859" s="7" t="s">
        <v>344</v>
      </c>
      <c r="Y859" s="49" t="s">
        <v>1723</v>
      </c>
      <c r="Z859" s="49" t="s">
        <v>2734</v>
      </c>
      <c r="AA859" s="51">
        <v>0.63200000000000001</v>
      </c>
      <c r="AB859" s="48" t="s">
        <v>11534</v>
      </c>
      <c r="AC859" s="52" t="s">
        <v>140</v>
      </c>
      <c r="AD859" s="53" t="str">
        <f t="shared" si="635"/>
        <v>Link</v>
      </c>
      <c r="AE859" s="54">
        <v>22548</v>
      </c>
      <c r="AF859" s="54">
        <v>133</v>
      </c>
      <c r="AG859" s="55"/>
      <c r="AH859" s="56">
        <v>106397</v>
      </c>
    </row>
    <row r="860" spans="1:34" ht="15" x14ac:dyDescent="0.2">
      <c r="A860" s="43" t="s">
        <v>11473</v>
      </c>
      <c r="B860" s="47" t="s">
        <v>184</v>
      </c>
      <c r="C860" s="7" t="s">
        <v>67</v>
      </c>
      <c r="D860" s="7" t="s">
        <v>11569</v>
      </c>
      <c r="E860" s="44">
        <v>5</v>
      </c>
      <c r="F860" s="7"/>
      <c r="G860" s="7"/>
      <c r="H860" s="2" t="s">
        <v>11527</v>
      </c>
      <c r="I860" s="7" t="s">
        <v>2747</v>
      </c>
      <c r="J860" s="7" t="s">
        <v>1906</v>
      </c>
      <c r="K860" s="7" t="s">
        <v>154</v>
      </c>
      <c r="L860" s="7" t="s">
        <v>11571</v>
      </c>
      <c r="M860" s="7" t="s">
        <v>11572</v>
      </c>
      <c r="N860" s="69" t="str">
        <f t="shared" si="636"/>
        <v>@razorbacksb</v>
      </c>
      <c r="O860" s="7" t="s">
        <v>22</v>
      </c>
      <c r="P860" s="7" t="s">
        <v>140</v>
      </c>
      <c r="Q860" s="47" t="s">
        <v>184</v>
      </c>
      <c r="R860" s="48" t="s">
        <v>7923</v>
      </c>
      <c r="S860" s="48" t="s">
        <v>238</v>
      </c>
      <c r="T860" s="73" t="s">
        <v>74</v>
      </c>
      <c r="U860" s="49" t="s">
        <v>75</v>
      </c>
      <c r="V860" s="48"/>
      <c r="W860" s="61">
        <v>3.68</v>
      </c>
      <c r="X860" s="7" t="s">
        <v>344</v>
      </c>
      <c r="Y860" s="49" t="s">
        <v>1723</v>
      </c>
      <c r="Z860" s="49" t="s">
        <v>2734</v>
      </c>
      <c r="AA860" s="51">
        <v>0.63200000000000001</v>
      </c>
      <c r="AB860" s="48" t="s">
        <v>11534</v>
      </c>
      <c r="AC860" s="52" t="s">
        <v>140</v>
      </c>
      <c r="AD860" s="53" t="str">
        <f t="shared" si="635"/>
        <v>Link</v>
      </c>
      <c r="AE860" s="54">
        <v>22548</v>
      </c>
      <c r="AF860" s="54">
        <v>133</v>
      </c>
      <c r="AG860" s="55"/>
      <c r="AH860" s="56">
        <v>106397</v>
      </c>
    </row>
    <row r="861" spans="1:34" ht="15" x14ac:dyDescent="0.2">
      <c r="A861" s="43" t="s">
        <v>11473</v>
      </c>
      <c r="B861" s="47" t="s">
        <v>59</v>
      </c>
      <c r="C861" s="7" t="s">
        <v>67</v>
      </c>
      <c r="D861" s="7" t="s">
        <v>11581</v>
      </c>
      <c r="E861" s="44">
        <v>5</v>
      </c>
      <c r="F861" s="7"/>
      <c r="G861" s="7"/>
      <c r="H861" s="2" t="s">
        <v>11582</v>
      </c>
      <c r="I861" s="7" t="s">
        <v>3382</v>
      </c>
      <c r="J861" s="7" t="s">
        <v>790</v>
      </c>
      <c r="K861" s="7" t="s">
        <v>48</v>
      </c>
      <c r="L861" s="7" t="s">
        <v>11583</v>
      </c>
      <c r="M861" s="7" t="s">
        <v>11584</v>
      </c>
      <c r="N861" s="69" t="s">
        <v>11585</v>
      </c>
      <c r="O861" s="74" t="str">
        <f t="shared" ref="O861:O865" si="637">HYPERLINK("https://auburntigers.com/sports/2018/6/11/digital-sport-recruiting-questionnaires-html.aspx","Questionnaire")</f>
        <v>Questionnaire</v>
      </c>
      <c r="P861" s="7" t="s">
        <v>11590</v>
      </c>
      <c r="Q861" s="47" t="s">
        <v>59</v>
      </c>
      <c r="R861" s="48" t="s">
        <v>11590</v>
      </c>
      <c r="S861" s="48" t="s">
        <v>186</v>
      </c>
      <c r="T861" s="73" t="s">
        <v>74</v>
      </c>
      <c r="U861" s="49" t="s">
        <v>75</v>
      </c>
      <c r="V861" s="48"/>
      <c r="W861" s="61">
        <v>3.74</v>
      </c>
      <c r="X861" s="7" t="s">
        <v>415</v>
      </c>
      <c r="Y861" s="49" t="s">
        <v>292</v>
      </c>
      <c r="Z861" s="49" t="s">
        <v>1373</v>
      </c>
      <c r="AA861" s="51">
        <v>0.8054</v>
      </c>
      <c r="AB861" s="48" t="s">
        <v>11592</v>
      </c>
      <c r="AC861" s="52" t="s">
        <v>11590</v>
      </c>
      <c r="AD861" s="53" t="str">
        <f t="shared" ref="AD861:AD865" si="638">HYPERLINK("http://bulletin.auburn.edu/undergraduate/majors/","Link")</f>
        <v>Link</v>
      </c>
      <c r="AE861" s="54">
        <v>22290</v>
      </c>
      <c r="AF861" s="54">
        <v>103</v>
      </c>
      <c r="AG861" s="55"/>
      <c r="AH861" s="56">
        <v>100858</v>
      </c>
    </row>
    <row r="862" spans="1:34" ht="15" x14ac:dyDescent="0.2">
      <c r="A862" s="43" t="s">
        <v>11473</v>
      </c>
      <c r="B862" s="47" t="s">
        <v>59</v>
      </c>
      <c r="C862" s="7" t="s">
        <v>67</v>
      </c>
      <c r="D862" s="7" t="s">
        <v>11594</v>
      </c>
      <c r="E862" s="44">
        <v>5</v>
      </c>
      <c r="F862" s="7"/>
      <c r="G862" s="7"/>
      <c r="H862" s="2" t="s">
        <v>11582</v>
      </c>
      <c r="I862" s="7" t="s">
        <v>10884</v>
      </c>
      <c r="J862" s="7" t="s">
        <v>11597</v>
      </c>
      <c r="K862" s="2" t="s">
        <v>55</v>
      </c>
      <c r="L862" s="7" t="s">
        <v>11598</v>
      </c>
      <c r="M862" s="7" t="s">
        <v>11599</v>
      </c>
      <c r="N862" s="45" t="str">
        <f>HYPERLINK("twitter.com/AuburnSoftball","@AuburnSoftball")</f>
        <v>@AuburnSoftball</v>
      </c>
      <c r="O862" s="74" t="str">
        <f t="shared" si="637"/>
        <v>Questionnaire</v>
      </c>
      <c r="P862" s="7" t="s">
        <v>11590</v>
      </c>
      <c r="Q862" s="47" t="s">
        <v>59</v>
      </c>
      <c r="R862" s="48" t="s">
        <v>11590</v>
      </c>
      <c r="S862" s="48" t="s">
        <v>186</v>
      </c>
      <c r="T862" s="73" t="s">
        <v>74</v>
      </c>
      <c r="U862" s="49" t="s">
        <v>75</v>
      </c>
      <c r="V862" s="48"/>
      <c r="W862" s="61">
        <v>3.74</v>
      </c>
      <c r="X862" s="7" t="s">
        <v>415</v>
      </c>
      <c r="Y862" s="49" t="s">
        <v>292</v>
      </c>
      <c r="Z862" s="49" t="s">
        <v>1373</v>
      </c>
      <c r="AA862" s="51">
        <v>0.8054</v>
      </c>
      <c r="AB862" s="48" t="s">
        <v>11592</v>
      </c>
      <c r="AC862" s="52" t="s">
        <v>11590</v>
      </c>
      <c r="AD862" s="53" t="str">
        <f t="shared" si="638"/>
        <v>Link</v>
      </c>
      <c r="AE862" s="54">
        <v>22290</v>
      </c>
      <c r="AF862" s="54">
        <v>103</v>
      </c>
      <c r="AG862" s="55"/>
      <c r="AH862" s="56">
        <v>100858</v>
      </c>
    </row>
    <row r="863" spans="1:34" ht="15" x14ac:dyDescent="0.2">
      <c r="A863" s="43" t="s">
        <v>11473</v>
      </c>
      <c r="B863" s="47" t="s">
        <v>59</v>
      </c>
      <c r="C863" s="7" t="s">
        <v>67</v>
      </c>
      <c r="D863" s="7" t="s">
        <v>11601</v>
      </c>
      <c r="E863" s="44">
        <v>5</v>
      </c>
      <c r="F863" s="7"/>
      <c r="G863" s="7"/>
      <c r="H863" s="2" t="s">
        <v>11582</v>
      </c>
      <c r="I863" s="7" t="s">
        <v>11602</v>
      </c>
      <c r="J863" s="7" t="s">
        <v>11603</v>
      </c>
      <c r="K863" s="2" t="s">
        <v>55</v>
      </c>
      <c r="L863" s="7" t="s">
        <v>11604</v>
      </c>
      <c r="M863" s="7" t="s">
        <v>11605</v>
      </c>
      <c r="N863" s="45" t="s">
        <v>11606</v>
      </c>
      <c r="O863" s="74" t="str">
        <f t="shared" si="637"/>
        <v>Questionnaire</v>
      </c>
      <c r="P863" s="7" t="s">
        <v>11590</v>
      </c>
      <c r="Q863" s="47" t="s">
        <v>59</v>
      </c>
      <c r="R863" s="48" t="s">
        <v>11590</v>
      </c>
      <c r="S863" s="48" t="s">
        <v>186</v>
      </c>
      <c r="T863" s="73" t="s">
        <v>74</v>
      </c>
      <c r="U863" s="49" t="s">
        <v>75</v>
      </c>
      <c r="V863" s="48"/>
      <c r="W863" s="61">
        <v>3.74</v>
      </c>
      <c r="X863" s="7" t="s">
        <v>415</v>
      </c>
      <c r="Y863" s="49" t="s">
        <v>292</v>
      </c>
      <c r="Z863" s="49" t="s">
        <v>1373</v>
      </c>
      <c r="AA863" s="51">
        <v>0.8054</v>
      </c>
      <c r="AB863" s="48" t="s">
        <v>11592</v>
      </c>
      <c r="AC863" s="52" t="s">
        <v>11590</v>
      </c>
      <c r="AD863" s="53" t="str">
        <f t="shared" si="638"/>
        <v>Link</v>
      </c>
      <c r="AE863" s="54">
        <v>22290</v>
      </c>
      <c r="AF863" s="54">
        <v>103</v>
      </c>
      <c r="AG863" s="55"/>
      <c r="AH863" s="56">
        <v>100858</v>
      </c>
    </row>
    <row r="864" spans="1:34" ht="15" x14ac:dyDescent="0.2">
      <c r="A864" s="43" t="s">
        <v>11473</v>
      </c>
      <c r="B864" s="47" t="s">
        <v>59</v>
      </c>
      <c r="C864" s="7" t="s">
        <v>67</v>
      </c>
      <c r="D864" s="7" t="s">
        <v>11614</v>
      </c>
      <c r="E864" s="44">
        <v>5</v>
      </c>
      <c r="F864" s="7"/>
      <c r="G864" s="7"/>
      <c r="H864" s="2" t="s">
        <v>11582</v>
      </c>
      <c r="I864" s="7" t="s">
        <v>143</v>
      </c>
      <c r="J864" s="7" t="s">
        <v>11619</v>
      </c>
      <c r="K864" s="7" t="s">
        <v>139</v>
      </c>
      <c r="L864" s="7" t="s">
        <v>11620</v>
      </c>
      <c r="M864" s="7"/>
      <c r="N864" s="69" t="s">
        <v>11621</v>
      </c>
      <c r="O864" s="74" t="str">
        <f t="shared" si="637"/>
        <v>Questionnaire</v>
      </c>
      <c r="P864" s="7" t="s">
        <v>11590</v>
      </c>
      <c r="Q864" s="47" t="s">
        <v>59</v>
      </c>
      <c r="R864" s="48" t="s">
        <v>11590</v>
      </c>
      <c r="S864" s="48" t="s">
        <v>186</v>
      </c>
      <c r="T864" s="73" t="s">
        <v>74</v>
      </c>
      <c r="U864" s="49" t="s">
        <v>75</v>
      </c>
      <c r="V864" s="48"/>
      <c r="W864" s="61">
        <v>3.74</v>
      </c>
      <c r="X864" s="7" t="s">
        <v>415</v>
      </c>
      <c r="Y864" s="49" t="s">
        <v>292</v>
      </c>
      <c r="Z864" s="49" t="s">
        <v>1373</v>
      </c>
      <c r="AA864" s="51">
        <v>0.8054</v>
      </c>
      <c r="AB864" s="48" t="s">
        <v>11592</v>
      </c>
      <c r="AC864" s="52" t="s">
        <v>11590</v>
      </c>
      <c r="AD864" s="53" t="str">
        <f t="shared" si="638"/>
        <v>Link</v>
      </c>
      <c r="AE864" s="54">
        <v>22290</v>
      </c>
      <c r="AF864" s="54">
        <v>103</v>
      </c>
      <c r="AG864" s="55"/>
      <c r="AH864" s="56">
        <v>100858</v>
      </c>
    </row>
    <row r="865" spans="1:34" ht="15" x14ac:dyDescent="0.2">
      <c r="A865" s="43" t="s">
        <v>11473</v>
      </c>
      <c r="B865" s="47" t="s">
        <v>59</v>
      </c>
      <c r="C865" s="7" t="s">
        <v>67</v>
      </c>
      <c r="D865" s="7" t="s">
        <v>11626</v>
      </c>
      <c r="E865" s="44">
        <v>5</v>
      </c>
      <c r="F865" s="7"/>
      <c r="G865" s="7"/>
      <c r="H865" s="2" t="s">
        <v>11582</v>
      </c>
      <c r="I865" s="7" t="s">
        <v>11628</v>
      </c>
      <c r="J865" s="7" t="s">
        <v>3882</v>
      </c>
      <c r="K865" s="7" t="s">
        <v>154</v>
      </c>
      <c r="L865" s="7" t="s">
        <v>11629</v>
      </c>
      <c r="M865" s="7" t="s">
        <v>11630</v>
      </c>
      <c r="N865" s="69" t="str">
        <f>HYPERLINK("twitter.com/AuburnSoftball","@AuburnSoftball")</f>
        <v>@AuburnSoftball</v>
      </c>
      <c r="O865" s="74" t="str">
        <f t="shared" si="637"/>
        <v>Questionnaire</v>
      </c>
      <c r="P865" s="7" t="s">
        <v>11590</v>
      </c>
      <c r="Q865" s="47" t="s">
        <v>59</v>
      </c>
      <c r="R865" s="48" t="s">
        <v>11590</v>
      </c>
      <c r="S865" s="48" t="s">
        <v>186</v>
      </c>
      <c r="T865" s="73" t="s">
        <v>74</v>
      </c>
      <c r="U865" s="49" t="s">
        <v>75</v>
      </c>
      <c r="V865" s="48"/>
      <c r="W865" s="61">
        <v>3.74</v>
      </c>
      <c r="X865" s="7" t="s">
        <v>415</v>
      </c>
      <c r="Y865" s="49" t="s">
        <v>292</v>
      </c>
      <c r="Z865" s="49" t="s">
        <v>1373</v>
      </c>
      <c r="AA865" s="51">
        <v>0.8054</v>
      </c>
      <c r="AB865" s="48" t="s">
        <v>11592</v>
      </c>
      <c r="AC865" s="52" t="s">
        <v>11590</v>
      </c>
      <c r="AD865" s="53" t="str">
        <f t="shared" si="638"/>
        <v>Link</v>
      </c>
      <c r="AE865" s="54">
        <v>22290</v>
      </c>
      <c r="AF865" s="54">
        <v>103</v>
      </c>
      <c r="AG865" s="55"/>
      <c r="AH865" s="56">
        <v>100858</v>
      </c>
    </row>
    <row r="866" spans="1:34" ht="15" x14ac:dyDescent="0.2">
      <c r="A866" s="43" t="s">
        <v>11473</v>
      </c>
      <c r="B866" s="47" t="s">
        <v>66</v>
      </c>
      <c r="C866" s="7" t="s">
        <v>67</v>
      </c>
      <c r="D866" s="7" t="s">
        <v>11638</v>
      </c>
      <c r="E866" s="44">
        <v>5</v>
      </c>
      <c r="F866" s="7"/>
      <c r="G866" s="7"/>
      <c r="H866" s="2" t="s">
        <v>11639</v>
      </c>
      <c r="I866" s="7" t="s">
        <v>4659</v>
      </c>
      <c r="J866" s="7" t="s">
        <v>11640</v>
      </c>
      <c r="K866" s="7" t="s">
        <v>48</v>
      </c>
      <c r="L866" s="7" t="s">
        <v>11641</v>
      </c>
      <c r="M866" s="7" t="s">
        <v>11643</v>
      </c>
      <c r="N866" s="69" t="str">
        <f t="shared" ref="N866:N867" si="639">HYPERLINK("twitter.com/_TimWalton","@_TimWalton")</f>
        <v>@_TimWalton</v>
      </c>
      <c r="O866" s="74" t="str">
        <f t="shared" ref="O866:O870" si="640">HYPERLINK("https://secureq.scoutwareforms.net/q/florida_soft/l92n1.html","Questionnaire")</f>
        <v>Questionnaire</v>
      </c>
      <c r="P866" s="7" t="s">
        <v>2866</v>
      </c>
      <c r="Q866" s="47" t="s">
        <v>66</v>
      </c>
      <c r="R866" s="48" t="s">
        <v>11656</v>
      </c>
      <c r="S866" s="48" t="s">
        <v>238</v>
      </c>
      <c r="T866" s="49" t="s">
        <v>74</v>
      </c>
      <c r="U866" s="49" t="s">
        <v>75</v>
      </c>
      <c r="V866" s="48"/>
      <c r="W866" s="61">
        <v>4.0999999999999996</v>
      </c>
      <c r="X866" s="7" t="s">
        <v>1898</v>
      </c>
      <c r="Y866" s="49" t="s">
        <v>1096</v>
      </c>
      <c r="Z866" s="49" t="s">
        <v>1900</v>
      </c>
      <c r="AA866" s="61">
        <v>0.46</v>
      </c>
      <c r="AB866" s="48" t="s">
        <v>11658</v>
      </c>
      <c r="AC866" s="52" t="s">
        <v>2866</v>
      </c>
      <c r="AD866" s="53" t="str">
        <f t="shared" ref="AD866:AD870" si="641">HYPERLINK("https://catalog.ufl.edu/ugrad/current/Pages/majors.aspx","Link")</f>
        <v>Link</v>
      </c>
      <c r="AE866" s="54">
        <v>34554</v>
      </c>
      <c r="AF866" s="54">
        <v>42</v>
      </c>
      <c r="AG866" s="55"/>
      <c r="AH866" s="56">
        <v>134130</v>
      </c>
    </row>
    <row r="867" spans="1:34" ht="15" x14ac:dyDescent="0.2">
      <c r="A867" s="43" t="s">
        <v>11473</v>
      </c>
      <c r="B867" s="47" t="s">
        <v>66</v>
      </c>
      <c r="C867" s="7" t="s">
        <v>67</v>
      </c>
      <c r="D867" s="7" t="s">
        <v>11638</v>
      </c>
      <c r="E867" s="44">
        <v>5</v>
      </c>
      <c r="F867" s="7"/>
      <c r="G867" s="7"/>
      <c r="H867" s="2" t="s">
        <v>11639</v>
      </c>
      <c r="I867" s="7" t="s">
        <v>11662</v>
      </c>
      <c r="J867" s="7"/>
      <c r="K867" s="7" t="s">
        <v>3472</v>
      </c>
      <c r="L867" s="7" t="s">
        <v>11664</v>
      </c>
      <c r="M867" s="7"/>
      <c r="N867" s="45" t="str">
        <f t="shared" si="639"/>
        <v>@_TimWalton</v>
      </c>
      <c r="O867" s="74" t="str">
        <f t="shared" si="640"/>
        <v>Questionnaire</v>
      </c>
      <c r="P867" s="7" t="s">
        <v>2866</v>
      </c>
      <c r="Q867" s="47" t="s">
        <v>66</v>
      </c>
      <c r="R867" s="48" t="s">
        <v>11656</v>
      </c>
      <c r="S867" s="48" t="s">
        <v>238</v>
      </c>
      <c r="T867" s="49" t="s">
        <v>74</v>
      </c>
      <c r="U867" s="49" t="s">
        <v>75</v>
      </c>
      <c r="V867" s="48"/>
      <c r="W867" s="61">
        <v>4.0999999999999996</v>
      </c>
      <c r="X867" s="7" t="s">
        <v>1898</v>
      </c>
      <c r="Y867" s="49" t="s">
        <v>1096</v>
      </c>
      <c r="Z867" s="49" t="s">
        <v>1900</v>
      </c>
      <c r="AA867" s="61">
        <v>0.46</v>
      </c>
      <c r="AB867" s="48" t="s">
        <v>11658</v>
      </c>
      <c r="AC867" s="52" t="s">
        <v>2866</v>
      </c>
      <c r="AD867" s="53" t="str">
        <f t="shared" si="641"/>
        <v>Link</v>
      </c>
      <c r="AE867" s="54">
        <v>34554</v>
      </c>
      <c r="AF867" s="54">
        <v>42</v>
      </c>
      <c r="AG867" s="55"/>
      <c r="AH867" s="56">
        <v>134130</v>
      </c>
    </row>
    <row r="868" spans="1:34" ht="15" x14ac:dyDescent="0.2">
      <c r="A868" s="43" t="s">
        <v>11473</v>
      </c>
      <c r="B868" s="47" t="s">
        <v>66</v>
      </c>
      <c r="C868" s="7" t="s">
        <v>67</v>
      </c>
      <c r="D868" s="7" t="s">
        <v>11670</v>
      </c>
      <c r="E868" s="44">
        <v>5</v>
      </c>
      <c r="F868" s="7"/>
      <c r="G868" s="7"/>
      <c r="H868" s="2" t="s">
        <v>11639</v>
      </c>
      <c r="I868" s="7" t="s">
        <v>11671</v>
      </c>
      <c r="J868" s="7" t="s">
        <v>4003</v>
      </c>
      <c r="K868" s="7" t="s">
        <v>1558</v>
      </c>
      <c r="L868" s="7" t="s">
        <v>11672</v>
      </c>
      <c r="M868" s="7" t="s">
        <v>11643</v>
      </c>
      <c r="N868" s="45" t="str">
        <f>HYPERLINK("twitter.com/Coach_AT","@Coach_AT")</f>
        <v>@Coach_AT</v>
      </c>
      <c r="O868" s="74" t="str">
        <f t="shared" si="640"/>
        <v>Questionnaire</v>
      </c>
      <c r="P868" s="7" t="s">
        <v>2866</v>
      </c>
      <c r="Q868" s="47" t="s">
        <v>66</v>
      </c>
      <c r="R868" s="48" t="s">
        <v>11656</v>
      </c>
      <c r="S868" s="48" t="s">
        <v>238</v>
      </c>
      <c r="T868" s="49" t="s">
        <v>74</v>
      </c>
      <c r="U868" s="49" t="s">
        <v>75</v>
      </c>
      <c r="V868" s="48"/>
      <c r="W868" s="61">
        <v>4.0999999999999996</v>
      </c>
      <c r="X868" s="7" t="s">
        <v>1898</v>
      </c>
      <c r="Y868" s="49" t="s">
        <v>1096</v>
      </c>
      <c r="Z868" s="49" t="s">
        <v>1900</v>
      </c>
      <c r="AA868" s="61">
        <v>0.46</v>
      </c>
      <c r="AB868" s="48" t="s">
        <v>11658</v>
      </c>
      <c r="AC868" s="52" t="s">
        <v>2866</v>
      </c>
      <c r="AD868" s="53" t="str">
        <f t="shared" si="641"/>
        <v>Link</v>
      </c>
      <c r="AE868" s="54">
        <v>34554</v>
      </c>
      <c r="AF868" s="54">
        <v>42</v>
      </c>
      <c r="AG868" s="55"/>
      <c r="AH868" s="56">
        <v>134130</v>
      </c>
    </row>
    <row r="869" spans="1:34" ht="15" x14ac:dyDescent="0.2">
      <c r="A869" s="43" t="s">
        <v>11473</v>
      </c>
      <c r="B869" s="47" t="s">
        <v>66</v>
      </c>
      <c r="C869" s="7" t="s">
        <v>67</v>
      </c>
      <c r="D869" s="7" t="s">
        <v>11676</v>
      </c>
      <c r="E869" s="44">
        <v>5</v>
      </c>
      <c r="F869" s="7"/>
      <c r="G869" s="7"/>
      <c r="H869" s="2" t="s">
        <v>11639</v>
      </c>
      <c r="I869" s="7" t="s">
        <v>754</v>
      </c>
      <c r="J869" s="7" t="s">
        <v>11679</v>
      </c>
      <c r="K869" s="2" t="s">
        <v>55</v>
      </c>
      <c r="L869" s="7" t="s">
        <v>11681</v>
      </c>
      <c r="M869" s="7" t="s">
        <v>11643</v>
      </c>
      <c r="N869" s="45" t="s">
        <v>11683</v>
      </c>
      <c r="O869" s="74" t="str">
        <f t="shared" si="640"/>
        <v>Questionnaire</v>
      </c>
      <c r="P869" s="7" t="s">
        <v>2866</v>
      </c>
      <c r="Q869" s="47" t="s">
        <v>66</v>
      </c>
      <c r="R869" s="48" t="s">
        <v>11656</v>
      </c>
      <c r="S869" s="48" t="s">
        <v>238</v>
      </c>
      <c r="T869" s="49" t="s">
        <v>74</v>
      </c>
      <c r="U869" s="49" t="s">
        <v>75</v>
      </c>
      <c r="V869" s="48"/>
      <c r="W869" s="61">
        <v>4.0999999999999996</v>
      </c>
      <c r="X869" s="7" t="s">
        <v>1898</v>
      </c>
      <c r="Y869" s="49" t="s">
        <v>1096</v>
      </c>
      <c r="Z869" s="49" t="s">
        <v>1900</v>
      </c>
      <c r="AA869" s="61">
        <v>0.46</v>
      </c>
      <c r="AB869" s="48" t="s">
        <v>11658</v>
      </c>
      <c r="AC869" s="52" t="s">
        <v>2866</v>
      </c>
      <c r="AD869" s="53" t="str">
        <f t="shared" si="641"/>
        <v>Link</v>
      </c>
      <c r="AE869" s="54">
        <v>34554</v>
      </c>
      <c r="AF869" s="54">
        <v>42</v>
      </c>
      <c r="AG869" s="55"/>
      <c r="AH869" s="56">
        <v>134130</v>
      </c>
    </row>
    <row r="870" spans="1:34" ht="15" x14ac:dyDescent="0.2">
      <c r="A870" s="43" t="s">
        <v>11473</v>
      </c>
      <c r="B870" s="47" t="s">
        <v>66</v>
      </c>
      <c r="C870" s="7" t="s">
        <v>67</v>
      </c>
      <c r="D870" s="7" t="s">
        <v>11688</v>
      </c>
      <c r="E870" s="44">
        <v>5</v>
      </c>
      <c r="F870" s="7"/>
      <c r="G870" s="7"/>
      <c r="H870" s="2" t="s">
        <v>11639</v>
      </c>
      <c r="I870" s="7" t="s">
        <v>11689</v>
      </c>
      <c r="J870" s="7" t="s">
        <v>1727</v>
      </c>
      <c r="K870" s="7" t="s">
        <v>139</v>
      </c>
      <c r="L870" s="7"/>
      <c r="M870" s="7"/>
      <c r="N870" s="45" t="str">
        <f>HYPERLINK("twitter.com/GatorsSB","@GatorsSB")</f>
        <v>@GatorsSB</v>
      </c>
      <c r="O870" s="74" t="str">
        <f t="shared" si="640"/>
        <v>Questionnaire</v>
      </c>
      <c r="P870" s="7" t="s">
        <v>2866</v>
      </c>
      <c r="Q870" s="47" t="s">
        <v>66</v>
      </c>
      <c r="R870" s="48" t="s">
        <v>11656</v>
      </c>
      <c r="S870" s="48" t="s">
        <v>238</v>
      </c>
      <c r="T870" s="49" t="s">
        <v>74</v>
      </c>
      <c r="U870" s="49" t="s">
        <v>75</v>
      </c>
      <c r="V870" s="48"/>
      <c r="W870" s="61">
        <v>4.0999999999999996</v>
      </c>
      <c r="X870" s="7" t="s">
        <v>1898</v>
      </c>
      <c r="Y870" s="49" t="s">
        <v>1096</v>
      </c>
      <c r="Z870" s="49" t="s">
        <v>1900</v>
      </c>
      <c r="AA870" s="61">
        <v>0.46</v>
      </c>
      <c r="AB870" s="48" t="s">
        <v>11658</v>
      </c>
      <c r="AC870" s="52" t="s">
        <v>2866</v>
      </c>
      <c r="AD870" s="53" t="str">
        <f t="shared" si="641"/>
        <v>Link</v>
      </c>
      <c r="AE870" s="54">
        <v>34554</v>
      </c>
      <c r="AF870" s="54">
        <v>42</v>
      </c>
      <c r="AG870" s="55"/>
      <c r="AH870" s="56">
        <v>134130</v>
      </c>
    </row>
    <row r="871" spans="1:34" ht="15" x14ac:dyDescent="0.2">
      <c r="A871" s="43" t="s">
        <v>11473</v>
      </c>
      <c r="B871" s="47" t="s">
        <v>871</v>
      </c>
      <c r="C871" s="7" t="s">
        <v>67</v>
      </c>
      <c r="D871" s="7" t="s">
        <v>11694</v>
      </c>
      <c r="E871" s="44">
        <v>5</v>
      </c>
      <c r="F871" s="7" t="s">
        <v>116</v>
      </c>
      <c r="G871" s="7"/>
      <c r="H871" s="2" t="s">
        <v>11696</v>
      </c>
      <c r="I871" s="7" t="s">
        <v>11697</v>
      </c>
      <c r="J871" s="7" t="s">
        <v>11698</v>
      </c>
      <c r="K871" s="7" t="s">
        <v>48</v>
      </c>
      <c r="L871" s="7" t="s">
        <v>11699</v>
      </c>
      <c r="M871" s="7" t="s">
        <v>11701</v>
      </c>
      <c r="N871" s="45" t="s">
        <v>11703</v>
      </c>
      <c r="O871" s="74" t="str">
        <f t="shared" ref="O871:O875" si="642">HYPERLINK("https://georgiadogs.com/sports/2017/6/17/softball-recruiting.aspx","Questionnaire")</f>
        <v>Questionnaire</v>
      </c>
      <c r="P871" s="7" t="s">
        <v>1354</v>
      </c>
      <c r="Q871" s="47" t="s">
        <v>871</v>
      </c>
      <c r="R871" s="48" t="s">
        <v>7762</v>
      </c>
      <c r="S871" s="48" t="s">
        <v>238</v>
      </c>
      <c r="T871" s="49" t="s">
        <v>74</v>
      </c>
      <c r="U871" s="49" t="s">
        <v>75</v>
      </c>
      <c r="V871" s="48"/>
      <c r="W871" s="61">
        <v>3.98</v>
      </c>
      <c r="X871" s="7" t="s">
        <v>1685</v>
      </c>
      <c r="Y871" s="49" t="s">
        <v>1685</v>
      </c>
      <c r="Z871" s="49" t="s">
        <v>179</v>
      </c>
      <c r="AA871" s="61">
        <v>0.54</v>
      </c>
      <c r="AB871" s="48" t="s">
        <v>11706</v>
      </c>
      <c r="AC871" s="52" t="s">
        <v>1354</v>
      </c>
      <c r="AD871" s="53" t="str">
        <f t="shared" ref="AD871:AD875" si="643">HYPERLINK("http://majors.admissions.uga.edu/","Link")</f>
        <v>Link</v>
      </c>
      <c r="AE871" s="54">
        <v>27951</v>
      </c>
      <c r="AF871" s="54">
        <v>54</v>
      </c>
      <c r="AG871" s="55"/>
      <c r="AH871" s="56">
        <v>139959</v>
      </c>
    </row>
    <row r="872" spans="1:34" ht="15" x14ac:dyDescent="0.2">
      <c r="A872" s="43" t="s">
        <v>11473</v>
      </c>
      <c r="B872" s="47" t="s">
        <v>871</v>
      </c>
      <c r="C872" s="7" t="s">
        <v>67</v>
      </c>
      <c r="D872" s="7" t="s">
        <v>11708</v>
      </c>
      <c r="E872" s="44">
        <v>5</v>
      </c>
      <c r="F872" s="7" t="s">
        <v>116</v>
      </c>
      <c r="G872" s="7"/>
      <c r="H872" s="2" t="s">
        <v>11696</v>
      </c>
      <c r="I872" s="7" t="s">
        <v>2622</v>
      </c>
      <c r="J872" s="7" t="s">
        <v>11709</v>
      </c>
      <c r="K872" s="7" t="s">
        <v>55</v>
      </c>
      <c r="L872" s="7" t="s">
        <v>11710</v>
      </c>
      <c r="M872" s="7" t="s">
        <v>11701</v>
      </c>
      <c r="N872" s="45" t="s">
        <v>11711</v>
      </c>
      <c r="O872" s="74" t="str">
        <f t="shared" si="642"/>
        <v>Questionnaire</v>
      </c>
      <c r="P872" s="7" t="s">
        <v>1354</v>
      </c>
      <c r="Q872" s="47" t="s">
        <v>871</v>
      </c>
      <c r="R872" s="48" t="s">
        <v>7762</v>
      </c>
      <c r="S872" s="48" t="s">
        <v>238</v>
      </c>
      <c r="T872" s="49" t="s">
        <v>74</v>
      </c>
      <c r="U872" s="49" t="s">
        <v>75</v>
      </c>
      <c r="V872" s="48"/>
      <c r="W872" s="61">
        <v>3.98</v>
      </c>
      <c r="X872" s="7" t="s">
        <v>1685</v>
      </c>
      <c r="Y872" s="49" t="s">
        <v>1685</v>
      </c>
      <c r="Z872" s="49" t="s">
        <v>179</v>
      </c>
      <c r="AA872" s="61">
        <v>0.54</v>
      </c>
      <c r="AB872" s="48" t="s">
        <v>11706</v>
      </c>
      <c r="AC872" s="52" t="s">
        <v>1354</v>
      </c>
      <c r="AD872" s="53" t="str">
        <f t="shared" si="643"/>
        <v>Link</v>
      </c>
      <c r="AE872" s="54">
        <v>27951</v>
      </c>
      <c r="AF872" s="54">
        <v>54</v>
      </c>
      <c r="AG872" s="55"/>
      <c r="AH872" s="56">
        <v>139959</v>
      </c>
    </row>
    <row r="873" spans="1:34" ht="15" x14ac:dyDescent="0.2">
      <c r="A873" s="43" t="s">
        <v>11473</v>
      </c>
      <c r="B873" s="47" t="s">
        <v>871</v>
      </c>
      <c r="C873" s="7" t="s">
        <v>67</v>
      </c>
      <c r="D873" s="7" t="s">
        <v>11718</v>
      </c>
      <c r="E873" s="44">
        <v>5</v>
      </c>
      <c r="F873" s="7" t="s">
        <v>116</v>
      </c>
      <c r="G873" s="7"/>
      <c r="H873" s="2" t="s">
        <v>11696</v>
      </c>
      <c r="I873" s="7" t="s">
        <v>11719</v>
      </c>
      <c r="J873" s="7" t="s">
        <v>11720</v>
      </c>
      <c r="K873" s="7" t="s">
        <v>55</v>
      </c>
      <c r="L873" s="7" t="s">
        <v>11721</v>
      </c>
      <c r="M873" s="7" t="s">
        <v>11701</v>
      </c>
      <c r="N873" s="45" t="s">
        <v>11722</v>
      </c>
      <c r="O873" s="74" t="str">
        <f t="shared" si="642"/>
        <v>Questionnaire</v>
      </c>
      <c r="P873" s="7" t="s">
        <v>1354</v>
      </c>
      <c r="Q873" s="47" t="s">
        <v>871</v>
      </c>
      <c r="R873" s="48" t="s">
        <v>7762</v>
      </c>
      <c r="S873" s="48" t="s">
        <v>238</v>
      </c>
      <c r="T873" s="49" t="s">
        <v>74</v>
      </c>
      <c r="U873" s="49" t="s">
        <v>75</v>
      </c>
      <c r="V873" s="48"/>
      <c r="W873" s="61">
        <v>3.98</v>
      </c>
      <c r="X873" s="7" t="s">
        <v>1685</v>
      </c>
      <c r="Y873" s="49" t="s">
        <v>1685</v>
      </c>
      <c r="Z873" s="49" t="s">
        <v>179</v>
      </c>
      <c r="AA873" s="61">
        <v>0.54</v>
      </c>
      <c r="AB873" s="48" t="s">
        <v>11706</v>
      </c>
      <c r="AC873" s="52" t="s">
        <v>1354</v>
      </c>
      <c r="AD873" s="53" t="str">
        <f t="shared" si="643"/>
        <v>Link</v>
      </c>
      <c r="AE873" s="54">
        <v>27951</v>
      </c>
      <c r="AF873" s="54">
        <v>54</v>
      </c>
      <c r="AG873" s="55"/>
      <c r="AH873" s="56">
        <v>139959</v>
      </c>
    </row>
    <row r="874" spans="1:34" ht="15" x14ac:dyDescent="0.2">
      <c r="A874" s="43" t="s">
        <v>11473</v>
      </c>
      <c r="B874" s="47" t="s">
        <v>871</v>
      </c>
      <c r="C874" s="7" t="s">
        <v>67</v>
      </c>
      <c r="D874" s="7" t="s">
        <v>11723</v>
      </c>
      <c r="E874" s="44">
        <v>5</v>
      </c>
      <c r="F874" s="7" t="s">
        <v>116</v>
      </c>
      <c r="G874" s="7"/>
      <c r="H874" s="2" t="s">
        <v>11696</v>
      </c>
      <c r="I874" s="7" t="s">
        <v>7698</v>
      </c>
      <c r="J874" s="7" t="s">
        <v>11726</v>
      </c>
      <c r="K874" s="7" t="s">
        <v>154</v>
      </c>
      <c r="L874" s="7" t="s">
        <v>11729</v>
      </c>
      <c r="M874" s="7" t="s">
        <v>11701</v>
      </c>
      <c r="N874" s="45" t="str">
        <f>HYPERLINK("twitter.com/ugasoftball","@ugasoftball")</f>
        <v>@ugasoftball</v>
      </c>
      <c r="O874" s="74" t="str">
        <f t="shared" si="642"/>
        <v>Questionnaire</v>
      </c>
      <c r="P874" s="7" t="s">
        <v>1354</v>
      </c>
      <c r="Q874" s="47" t="s">
        <v>871</v>
      </c>
      <c r="R874" s="48" t="s">
        <v>7762</v>
      </c>
      <c r="S874" s="48" t="s">
        <v>238</v>
      </c>
      <c r="T874" s="49" t="s">
        <v>74</v>
      </c>
      <c r="U874" s="49" t="s">
        <v>75</v>
      </c>
      <c r="V874" s="48"/>
      <c r="W874" s="61">
        <v>3.98</v>
      </c>
      <c r="X874" s="7" t="s">
        <v>1685</v>
      </c>
      <c r="Y874" s="49" t="s">
        <v>1685</v>
      </c>
      <c r="Z874" s="49" t="s">
        <v>179</v>
      </c>
      <c r="AA874" s="61">
        <v>0.54</v>
      </c>
      <c r="AB874" s="48" t="s">
        <v>11706</v>
      </c>
      <c r="AC874" s="52" t="s">
        <v>1354</v>
      </c>
      <c r="AD874" s="53" t="str">
        <f t="shared" si="643"/>
        <v>Link</v>
      </c>
      <c r="AE874" s="54">
        <v>27951</v>
      </c>
      <c r="AF874" s="54">
        <v>54</v>
      </c>
      <c r="AG874" s="55"/>
      <c r="AH874" s="56">
        <v>139959</v>
      </c>
    </row>
    <row r="875" spans="1:34" ht="15" x14ac:dyDescent="0.2">
      <c r="A875" s="43" t="s">
        <v>11473</v>
      </c>
      <c r="B875" s="47" t="s">
        <v>871</v>
      </c>
      <c r="C875" s="7" t="s">
        <v>67</v>
      </c>
      <c r="D875" s="7" t="s">
        <v>11738</v>
      </c>
      <c r="E875" s="58">
        <v>5</v>
      </c>
      <c r="F875" s="7" t="s">
        <v>116</v>
      </c>
      <c r="G875" s="7"/>
      <c r="H875" s="2" t="s">
        <v>11696</v>
      </c>
      <c r="I875" s="7" t="s">
        <v>3983</v>
      </c>
      <c r="J875" s="7" t="s">
        <v>11739</v>
      </c>
      <c r="K875" s="7" t="s">
        <v>139</v>
      </c>
      <c r="L875" s="7"/>
      <c r="M875" s="7" t="s">
        <v>11701</v>
      </c>
      <c r="N875" s="7" t="s">
        <v>11740</v>
      </c>
      <c r="O875" s="74" t="str">
        <f t="shared" si="642"/>
        <v>Questionnaire</v>
      </c>
      <c r="P875" s="48" t="s">
        <v>1354</v>
      </c>
      <c r="Q875" s="47" t="s">
        <v>871</v>
      </c>
      <c r="R875" s="48" t="s">
        <v>7762</v>
      </c>
      <c r="S875" s="48" t="s">
        <v>238</v>
      </c>
      <c r="T875" s="49" t="s">
        <v>74</v>
      </c>
      <c r="U875" s="49" t="s">
        <v>75</v>
      </c>
      <c r="V875" s="48"/>
      <c r="W875" s="61">
        <v>3.98</v>
      </c>
      <c r="X875" s="49" t="s">
        <v>1685</v>
      </c>
      <c r="Y875" s="49" t="s">
        <v>1685</v>
      </c>
      <c r="Z875" s="49" t="s">
        <v>179</v>
      </c>
      <c r="AA875" s="61">
        <v>0.54</v>
      </c>
      <c r="AB875" s="48" t="s">
        <v>11706</v>
      </c>
      <c r="AC875" s="52" t="s">
        <v>1354</v>
      </c>
      <c r="AD875" s="53" t="str">
        <f t="shared" si="643"/>
        <v>Link</v>
      </c>
      <c r="AE875" s="54">
        <v>27951</v>
      </c>
      <c r="AF875" s="54">
        <v>54</v>
      </c>
      <c r="AG875" s="55"/>
      <c r="AH875" s="56">
        <v>139959</v>
      </c>
    </row>
    <row r="876" spans="1:34" ht="15" x14ac:dyDescent="0.2">
      <c r="A876" s="43" t="s">
        <v>11473</v>
      </c>
      <c r="B876" s="47" t="s">
        <v>935</v>
      </c>
      <c r="C876" s="7" t="s">
        <v>67</v>
      </c>
      <c r="D876" s="7" t="s">
        <v>11745</v>
      </c>
      <c r="E876" s="44">
        <v>5</v>
      </c>
      <c r="F876" s="7"/>
      <c r="G876" s="7"/>
      <c r="H876" s="2" t="s">
        <v>11748</v>
      </c>
      <c r="I876" s="7" t="s">
        <v>537</v>
      </c>
      <c r="J876" s="7" t="s">
        <v>3620</v>
      </c>
      <c r="K876" s="7" t="s">
        <v>48</v>
      </c>
      <c r="L876" s="7" t="s">
        <v>11749</v>
      </c>
      <c r="M876" s="7" t="s">
        <v>11750</v>
      </c>
      <c r="N876" s="45" t="str">
        <f t="shared" ref="N876:N877" si="644">HYPERLINK("twitter.com/ukcoachlawson","@ukcoachlawson")</f>
        <v>@ukcoachlawson</v>
      </c>
      <c r="O876" s="74" t="str">
        <f t="shared" ref="O876:O881" si="645">HYPERLINK("https://ukathletics.com/sports/2015/8/1/_131461810123014971.aspx","Questionnaire")</f>
        <v>Questionnaire</v>
      </c>
      <c r="P876" s="7" t="s">
        <v>3417</v>
      </c>
      <c r="Q876" s="47" t="s">
        <v>935</v>
      </c>
      <c r="R876" s="48" t="s">
        <v>3563</v>
      </c>
      <c r="S876" s="48" t="s">
        <v>354</v>
      </c>
      <c r="T876" s="49" t="s">
        <v>74</v>
      </c>
      <c r="U876" s="49" t="s">
        <v>75</v>
      </c>
      <c r="V876" s="48"/>
      <c r="W876" s="61">
        <v>3.69</v>
      </c>
      <c r="X876" s="7" t="s">
        <v>956</v>
      </c>
      <c r="Y876" s="49" t="s">
        <v>957</v>
      </c>
      <c r="Z876" s="49" t="s">
        <v>958</v>
      </c>
      <c r="AA876" s="61">
        <v>0.91</v>
      </c>
      <c r="AB876" s="48" t="s">
        <v>11762</v>
      </c>
      <c r="AC876" s="52" t="s">
        <v>3417</v>
      </c>
      <c r="AD876" s="53" t="str">
        <f t="shared" ref="AD876:AD881" si="646">HYPERLINK("http://www.uky.edu/academics/2017-18-major-sheet-inventory","Link")</f>
        <v>Link</v>
      </c>
      <c r="AE876" s="54">
        <v>22621</v>
      </c>
      <c r="AF876" s="54">
        <v>133</v>
      </c>
      <c r="AG876" s="55"/>
      <c r="AH876" s="56">
        <v>157085</v>
      </c>
    </row>
    <row r="877" spans="1:34" ht="15" x14ac:dyDescent="0.2">
      <c r="A877" s="43" t="s">
        <v>11473</v>
      </c>
      <c r="B877" s="47" t="s">
        <v>935</v>
      </c>
      <c r="C877" s="7" t="s">
        <v>67</v>
      </c>
      <c r="D877" s="7" t="s">
        <v>11745</v>
      </c>
      <c r="E877" s="44">
        <v>5</v>
      </c>
      <c r="F877" s="7"/>
      <c r="G877" s="7"/>
      <c r="H877" s="2" t="s">
        <v>11748</v>
      </c>
      <c r="I877" s="7" t="s">
        <v>11773</v>
      </c>
      <c r="J877" s="7"/>
      <c r="K877" s="7" t="s">
        <v>3472</v>
      </c>
      <c r="L877" s="7" t="s">
        <v>11774</v>
      </c>
      <c r="M877" s="7"/>
      <c r="N877" s="45" t="str">
        <f t="shared" si="644"/>
        <v>@ukcoachlawson</v>
      </c>
      <c r="O877" s="74" t="str">
        <f t="shared" si="645"/>
        <v>Questionnaire</v>
      </c>
      <c r="P877" s="7" t="s">
        <v>3417</v>
      </c>
      <c r="Q877" s="47" t="s">
        <v>935</v>
      </c>
      <c r="R877" s="48" t="s">
        <v>3563</v>
      </c>
      <c r="S877" s="48" t="s">
        <v>354</v>
      </c>
      <c r="T877" s="49" t="s">
        <v>74</v>
      </c>
      <c r="U877" s="49" t="s">
        <v>75</v>
      </c>
      <c r="V877" s="48"/>
      <c r="W877" s="61">
        <v>3.69</v>
      </c>
      <c r="X877" s="7" t="s">
        <v>956</v>
      </c>
      <c r="Y877" s="49" t="s">
        <v>957</v>
      </c>
      <c r="Z877" s="49" t="s">
        <v>958</v>
      </c>
      <c r="AA877" s="61">
        <v>0.91</v>
      </c>
      <c r="AB877" s="48" t="s">
        <v>11762</v>
      </c>
      <c r="AC877" s="52" t="s">
        <v>3417</v>
      </c>
      <c r="AD877" s="53" t="str">
        <f t="shared" si="646"/>
        <v>Link</v>
      </c>
      <c r="AE877" s="54">
        <v>22621</v>
      </c>
      <c r="AF877" s="54">
        <v>133</v>
      </c>
      <c r="AG877" s="55"/>
      <c r="AH877" s="56">
        <v>157085</v>
      </c>
    </row>
    <row r="878" spans="1:34" ht="15" x14ac:dyDescent="0.2">
      <c r="A878" s="43" t="s">
        <v>11473</v>
      </c>
      <c r="B878" s="47" t="s">
        <v>935</v>
      </c>
      <c r="C878" s="7" t="s">
        <v>67</v>
      </c>
      <c r="D878" s="7" t="s">
        <v>11785</v>
      </c>
      <c r="E878" s="44">
        <v>5</v>
      </c>
      <c r="F878" s="7"/>
      <c r="G878" s="7"/>
      <c r="H878" s="2" t="s">
        <v>11748</v>
      </c>
      <c r="I878" s="7" t="s">
        <v>11786</v>
      </c>
      <c r="J878" s="7" t="s">
        <v>11787</v>
      </c>
      <c r="K878" s="2" t="s">
        <v>55</v>
      </c>
      <c r="L878" s="7" t="s">
        <v>11788</v>
      </c>
      <c r="M878" s="7" t="s">
        <v>11789</v>
      </c>
      <c r="N878" s="45" t="str">
        <f t="shared" ref="N878:N881" si="647">HYPERLINK("twitter.com/UKsoftball","@UKsoftball")</f>
        <v>@UKsoftball</v>
      </c>
      <c r="O878" s="74" t="str">
        <f t="shared" si="645"/>
        <v>Questionnaire</v>
      </c>
      <c r="P878" s="7" t="s">
        <v>3417</v>
      </c>
      <c r="Q878" s="47" t="s">
        <v>935</v>
      </c>
      <c r="R878" s="48" t="s">
        <v>3563</v>
      </c>
      <c r="S878" s="48" t="s">
        <v>354</v>
      </c>
      <c r="T878" s="49" t="s">
        <v>74</v>
      </c>
      <c r="U878" s="49" t="s">
        <v>75</v>
      </c>
      <c r="V878" s="48"/>
      <c r="W878" s="61">
        <v>3.69</v>
      </c>
      <c r="X878" s="7" t="s">
        <v>956</v>
      </c>
      <c r="Y878" s="49" t="s">
        <v>957</v>
      </c>
      <c r="Z878" s="49" t="s">
        <v>958</v>
      </c>
      <c r="AA878" s="61">
        <v>0.91</v>
      </c>
      <c r="AB878" s="48" t="s">
        <v>11762</v>
      </c>
      <c r="AC878" s="52" t="s">
        <v>3417</v>
      </c>
      <c r="AD878" s="53" t="str">
        <f t="shared" si="646"/>
        <v>Link</v>
      </c>
      <c r="AE878" s="54">
        <v>22621</v>
      </c>
      <c r="AF878" s="54">
        <v>133</v>
      </c>
      <c r="AG878" s="55"/>
      <c r="AH878" s="56">
        <v>157085</v>
      </c>
    </row>
    <row r="879" spans="1:34" ht="15" x14ac:dyDescent="0.2">
      <c r="A879" s="43" t="s">
        <v>11473</v>
      </c>
      <c r="B879" s="47" t="s">
        <v>935</v>
      </c>
      <c r="C879" s="7" t="s">
        <v>67</v>
      </c>
      <c r="D879" s="7" t="s">
        <v>11795</v>
      </c>
      <c r="E879" s="44">
        <v>5</v>
      </c>
      <c r="F879" s="7"/>
      <c r="G879" s="7"/>
      <c r="H879" s="2" t="s">
        <v>11748</v>
      </c>
      <c r="I879" s="7" t="s">
        <v>1056</v>
      </c>
      <c r="J879" s="7" t="s">
        <v>11798</v>
      </c>
      <c r="K879" s="2" t="s">
        <v>55</v>
      </c>
      <c r="L879" s="7" t="s">
        <v>11799</v>
      </c>
      <c r="M879" s="7" t="s">
        <v>11801</v>
      </c>
      <c r="N879" s="45" t="str">
        <f t="shared" si="647"/>
        <v>@UKsoftball</v>
      </c>
      <c r="O879" s="74" t="str">
        <f t="shared" si="645"/>
        <v>Questionnaire</v>
      </c>
      <c r="P879" s="7" t="s">
        <v>3417</v>
      </c>
      <c r="Q879" s="47" t="s">
        <v>935</v>
      </c>
      <c r="R879" s="48" t="s">
        <v>3563</v>
      </c>
      <c r="S879" s="48" t="s">
        <v>354</v>
      </c>
      <c r="T879" s="49" t="s">
        <v>74</v>
      </c>
      <c r="U879" s="49" t="s">
        <v>75</v>
      </c>
      <c r="V879" s="48"/>
      <c r="W879" s="61">
        <v>3.69</v>
      </c>
      <c r="X879" s="7" t="s">
        <v>956</v>
      </c>
      <c r="Y879" s="49" t="s">
        <v>957</v>
      </c>
      <c r="Z879" s="49" t="s">
        <v>958</v>
      </c>
      <c r="AA879" s="61">
        <v>0.91</v>
      </c>
      <c r="AB879" s="48" t="s">
        <v>11762</v>
      </c>
      <c r="AC879" s="52" t="s">
        <v>3417</v>
      </c>
      <c r="AD879" s="53" t="str">
        <f t="shared" si="646"/>
        <v>Link</v>
      </c>
      <c r="AE879" s="54">
        <v>22621</v>
      </c>
      <c r="AF879" s="54">
        <v>133</v>
      </c>
      <c r="AG879" s="55"/>
      <c r="AH879" s="56">
        <v>157085</v>
      </c>
    </row>
    <row r="880" spans="1:34" ht="15" x14ac:dyDescent="0.2">
      <c r="A880" s="43" t="s">
        <v>11473</v>
      </c>
      <c r="B880" s="47" t="s">
        <v>935</v>
      </c>
      <c r="C880" s="7" t="s">
        <v>67</v>
      </c>
      <c r="D880" s="7" t="s">
        <v>11804</v>
      </c>
      <c r="E880" s="44">
        <v>5</v>
      </c>
      <c r="F880" s="7"/>
      <c r="G880" s="7"/>
      <c r="H880" s="2" t="s">
        <v>11748</v>
      </c>
      <c r="I880" s="7" t="s">
        <v>11805</v>
      </c>
      <c r="J880" s="7" t="s">
        <v>11807</v>
      </c>
      <c r="K880" s="7" t="s">
        <v>120</v>
      </c>
      <c r="L880" s="7"/>
      <c r="M880" s="7"/>
      <c r="N880" s="45" t="str">
        <f t="shared" si="647"/>
        <v>@UKsoftball</v>
      </c>
      <c r="O880" s="74" t="str">
        <f t="shared" si="645"/>
        <v>Questionnaire</v>
      </c>
      <c r="P880" s="7" t="s">
        <v>3417</v>
      </c>
      <c r="Q880" s="47" t="s">
        <v>935</v>
      </c>
      <c r="R880" s="48" t="s">
        <v>3563</v>
      </c>
      <c r="S880" s="48" t="s">
        <v>354</v>
      </c>
      <c r="T880" s="49" t="s">
        <v>74</v>
      </c>
      <c r="U880" s="49" t="s">
        <v>75</v>
      </c>
      <c r="V880" s="48"/>
      <c r="W880" s="61">
        <v>3.69</v>
      </c>
      <c r="X880" s="7" t="s">
        <v>956</v>
      </c>
      <c r="Y880" s="49" t="s">
        <v>957</v>
      </c>
      <c r="Z880" s="49" t="s">
        <v>958</v>
      </c>
      <c r="AA880" s="61">
        <v>0.91</v>
      </c>
      <c r="AB880" s="48" t="s">
        <v>11762</v>
      </c>
      <c r="AC880" s="52" t="s">
        <v>3417</v>
      </c>
      <c r="AD880" s="53" t="str">
        <f t="shared" si="646"/>
        <v>Link</v>
      </c>
      <c r="AE880" s="54">
        <v>22621</v>
      </c>
      <c r="AF880" s="54">
        <v>133</v>
      </c>
      <c r="AG880" s="55"/>
      <c r="AH880" s="56">
        <v>157085</v>
      </c>
    </row>
    <row r="881" spans="1:34" ht="15" x14ac:dyDescent="0.2">
      <c r="A881" s="43" t="s">
        <v>11473</v>
      </c>
      <c r="B881" s="47" t="s">
        <v>935</v>
      </c>
      <c r="C881" s="7" t="s">
        <v>67</v>
      </c>
      <c r="D881" s="7" t="s">
        <v>11810</v>
      </c>
      <c r="E881" s="44">
        <v>5</v>
      </c>
      <c r="F881" s="7"/>
      <c r="G881" s="7"/>
      <c r="H881" s="2" t="s">
        <v>11748</v>
      </c>
      <c r="I881" s="7" t="s">
        <v>1075</v>
      </c>
      <c r="J881" s="7" t="s">
        <v>11813</v>
      </c>
      <c r="K881" s="7" t="s">
        <v>154</v>
      </c>
      <c r="L881" s="7" t="s">
        <v>11817</v>
      </c>
      <c r="M881" s="7"/>
      <c r="N881" s="45" t="str">
        <f t="shared" si="647"/>
        <v>@UKsoftball</v>
      </c>
      <c r="O881" s="74" t="str">
        <f t="shared" si="645"/>
        <v>Questionnaire</v>
      </c>
      <c r="P881" s="7" t="s">
        <v>3417</v>
      </c>
      <c r="Q881" s="47" t="s">
        <v>935</v>
      </c>
      <c r="R881" s="48" t="s">
        <v>3563</v>
      </c>
      <c r="S881" s="48" t="s">
        <v>354</v>
      </c>
      <c r="T881" s="49" t="s">
        <v>74</v>
      </c>
      <c r="U881" s="49" t="s">
        <v>75</v>
      </c>
      <c r="V881" s="48"/>
      <c r="W881" s="61">
        <v>3.69</v>
      </c>
      <c r="X881" s="7" t="s">
        <v>956</v>
      </c>
      <c r="Y881" s="49" t="s">
        <v>957</v>
      </c>
      <c r="Z881" s="49" t="s">
        <v>958</v>
      </c>
      <c r="AA881" s="61">
        <v>0.91</v>
      </c>
      <c r="AB881" s="48" t="s">
        <v>11762</v>
      </c>
      <c r="AC881" s="52" t="s">
        <v>3417</v>
      </c>
      <c r="AD881" s="53" t="str">
        <f t="shared" si="646"/>
        <v>Link</v>
      </c>
      <c r="AE881" s="54">
        <v>22621</v>
      </c>
      <c r="AF881" s="54">
        <v>133</v>
      </c>
      <c r="AG881" s="55"/>
      <c r="AH881" s="56">
        <v>157085</v>
      </c>
    </row>
    <row r="882" spans="1:34" ht="15" x14ac:dyDescent="0.2">
      <c r="A882" s="43" t="s">
        <v>11473</v>
      </c>
      <c r="B882" s="60" t="s">
        <v>3623</v>
      </c>
      <c r="C882" s="7" t="s">
        <v>67</v>
      </c>
      <c r="D882" s="7" t="s">
        <v>11824</v>
      </c>
      <c r="E882" s="44">
        <v>5</v>
      </c>
      <c r="F882" s="7"/>
      <c r="G882" s="7"/>
      <c r="H882" s="2" t="s">
        <v>11828</v>
      </c>
      <c r="I882" s="7" t="s">
        <v>772</v>
      </c>
      <c r="J882" s="7" t="s">
        <v>11829</v>
      </c>
      <c r="K882" s="7" t="s">
        <v>48</v>
      </c>
      <c r="L882" s="7" t="s">
        <v>11830</v>
      </c>
      <c r="M882" s="7" t="s">
        <v>11831</v>
      </c>
      <c r="N882" s="45" t="str">
        <f t="shared" ref="N882:N886" si="648">HYPERLINK("twitter.com/LSUsoftball","@LSUsoftball")</f>
        <v>@LSUsoftball</v>
      </c>
      <c r="O882" s="74" t="str">
        <f t="shared" ref="O882:O886" si="649">HYPERLINK("https://college.jumpforward.com/questionnaire.aspx?iid=321&amp;sportid=31","Questionnaire")</f>
        <v>Questionnaire</v>
      </c>
      <c r="P882" s="7" t="s">
        <v>11836</v>
      </c>
      <c r="Q882" s="60" t="s">
        <v>3623</v>
      </c>
      <c r="R882" s="48" t="s">
        <v>11837</v>
      </c>
      <c r="S882" s="48" t="s">
        <v>62</v>
      </c>
      <c r="T882" s="49" t="s">
        <v>74</v>
      </c>
      <c r="U882" s="49" t="s">
        <v>75</v>
      </c>
      <c r="V882" s="48"/>
      <c r="W882" s="61">
        <v>3.43</v>
      </c>
      <c r="X882" s="7" t="s">
        <v>956</v>
      </c>
      <c r="Y882" s="49" t="s">
        <v>1490</v>
      </c>
      <c r="Z882" s="49" t="s">
        <v>78</v>
      </c>
      <c r="AA882" s="61">
        <v>0.76</v>
      </c>
      <c r="AB882" s="48" t="s">
        <v>11839</v>
      </c>
      <c r="AC882" s="62" t="s">
        <v>11836</v>
      </c>
      <c r="AD882" s="53" t="str">
        <f t="shared" ref="AD882:AD886" si="650">HYPERLINK("http://lsu.edu/majors/a-z.php","Link")</f>
        <v>Link</v>
      </c>
      <c r="AE882" s="71">
        <v>26118</v>
      </c>
      <c r="AF882" s="54">
        <v>133</v>
      </c>
      <c r="AG882" s="55"/>
      <c r="AH882" s="56">
        <v>159391</v>
      </c>
    </row>
    <row r="883" spans="1:34" ht="15" x14ac:dyDescent="0.2">
      <c r="A883" s="43" t="s">
        <v>11473</v>
      </c>
      <c r="B883" s="60" t="s">
        <v>3623</v>
      </c>
      <c r="C883" s="7" t="s">
        <v>67</v>
      </c>
      <c r="D883" s="7" t="s">
        <v>11845</v>
      </c>
      <c r="E883" s="44">
        <v>5</v>
      </c>
      <c r="F883" s="7"/>
      <c r="G883" s="7"/>
      <c r="H883" s="2" t="s">
        <v>11828</v>
      </c>
      <c r="I883" s="7" t="s">
        <v>11848</v>
      </c>
      <c r="J883" s="7" t="s">
        <v>11849</v>
      </c>
      <c r="K883" s="2" t="s">
        <v>55</v>
      </c>
      <c r="L883" s="7" t="s">
        <v>11850</v>
      </c>
      <c r="M883" s="7" t="s">
        <v>11831</v>
      </c>
      <c r="N883" s="45" t="str">
        <f t="shared" si="648"/>
        <v>@LSUsoftball</v>
      </c>
      <c r="O883" s="74" t="str">
        <f t="shared" si="649"/>
        <v>Questionnaire</v>
      </c>
      <c r="P883" s="7" t="s">
        <v>11836</v>
      </c>
      <c r="Q883" s="60" t="s">
        <v>3623</v>
      </c>
      <c r="R883" s="48" t="s">
        <v>11837</v>
      </c>
      <c r="S883" s="48" t="s">
        <v>62</v>
      </c>
      <c r="T883" s="49" t="s">
        <v>74</v>
      </c>
      <c r="U883" s="49" t="s">
        <v>75</v>
      </c>
      <c r="V883" s="48"/>
      <c r="W883" s="61">
        <v>3.43</v>
      </c>
      <c r="X883" s="7" t="s">
        <v>956</v>
      </c>
      <c r="Y883" s="49" t="s">
        <v>1490</v>
      </c>
      <c r="Z883" s="49" t="s">
        <v>78</v>
      </c>
      <c r="AA883" s="61">
        <v>0.76</v>
      </c>
      <c r="AB883" s="48" t="s">
        <v>11839</v>
      </c>
      <c r="AC883" s="62" t="s">
        <v>11836</v>
      </c>
      <c r="AD883" s="53" t="str">
        <f t="shared" si="650"/>
        <v>Link</v>
      </c>
      <c r="AE883" s="71">
        <v>26118</v>
      </c>
      <c r="AF883" s="54">
        <v>133</v>
      </c>
      <c r="AG883" s="55"/>
      <c r="AH883" s="56">
        <v>159391</v>
      </c>
    </row>
    <row r="884" spans="1:34" ht="15" x14ac:dyDescent="0.2">
      <c r="A884" s="43" t="s">
        <v>11473</v>
      </c>
      <c r="B884" s="60" t="s">
        <v>3623</v>
      </c>
      <c r="C884" s="7" t="s">
        <v>67</v>
      </c>
      <c r="D884" s="7" t="s">
        <v>11855</v>
      </c>
      <c r="E884" s="44">
        <v>5</v>
      </c>
      <c r="F884" s="7"/>
      <c r="G884" s="7"/>
      <c r="H884" s="2" t="s">
        <v>11828</v>
      </c>
      <c r="I884" s="7" t="s">
        <v>294</v>
      </c>
      <c r="J884" s="7" t="s">
        <v>11857</v>
      </c>
      <c r="K884" s="2" t="s">
        <v>55</v>
      </c>
      <c r="L884" s="7" t="s">
        <v>11859</v>
      </c>
      <c r="M884" s="7" t="s">
        <v>11831</v>
      </c>
      <c r="N884" s="45" t="str">
        <f t="shared" si="648"/>
        <v>@LSUsoftball</v>
      </c>
      <c r="O884" s="74" t="str">
        <f t="shared" si="649"/>
        <v>Questionnaire</v>
      </c>
      <c r="P884" s="7" t="s">
        <v>11836</v>
      </c>
      <c r="Q884" s="60" t="s">
        <v>3623</v>
      </c>
      <c r="R884" s="48" t="s">
        <v>11837</v>
      </c>
      <c r="S884" s="48" t="s">
        <v>62</v>
      </c>
      <c r="T884" s="49" t="s">
        <v>74</v>
      </c>
      <c r="U884" s="49" t="s">
        <v>75</v>
      </c>
      <c r="V884" s="48"/>
      <c r="W884" s="61">
        <v>3.43</v>
      </c>
      <c r="X884" s="7" t="s">
        <v>956</v>
      </c>
      <c r="Y884" s="49" t="s">
        <v>1490</v>
      </c>
      <c r="Z884" s="49" t="s">
        <v>78</v>
      </c>
      <c r="AA884" s="61">
        <v>0.76</v>
      </c>
      <c r="AB884" s="48" t="s">
        <v>11839</v>
      </c>
      <c r="AC884" s="62" t="s">
        <v>11836</v>
      </c>
      <c r="AD884" s="53" t="str">
        <f t="shared" si="650"/>
        <v>Link</v>
      </c>
      <c r="AE884" s="71">
        <v>26118</v>
      </c>
      <c r="AF884" s="54">
        <v>133</v>
      </c>
      <c r="AG884" s="55"/>
      <c r="AH884" s="56">
        <v>159391</v>
      </c>
    </row>
    <row r="885" spans="1:34" ht="15" x14ac:dyDescent="0.2">
      <c r="A885" s="43" t="s">
        <v>11473</v>
      </c>
      <c r="B885" s="60" t="s">
        <v>3623</v>
      </c>
      <c r="C885" s="7" t="s">
        <v>67</v>
      </c>
      <c r="D885" s="7" t="s">
        <v>11868</v>
      </c>
      <c r="E885" s="44">
        <v>5</v>
      </c>
      <c r="F885" s="7"/>
      <c r="G885" s="7"/>
      <c r="H885" s="2" t="s">
        <v>11828</v>
      </c>
      <c r="I885" s="7" t="s">
        <v>11869</v>
      </c>
      <c r="J885" s="7" t="s">
        <v>11870</v>
      </c>
      <c r="K885" s="7" t="s">
        <v>154</v>
      </c>
      <c r="L885" s="7" t="s">
        <v>11871</v>
      </c>
      <c r="M885" s="7" t="s">
        <v>11831</v>
      </c>
      <c r="N885" s="45" t="str">
        <f t="shared" si="648"/>
        <v>@LSUsoftball</v>
      </c>
      <c r="O885" s="74" t="str">
        <f t="shared" si="649"/>
        <v>Questionnaire</v>
      </c>
      <c r="P885" s="7" t="s">
        <v>11836</v>
      </c>
      <c r="Q885" s="60" t="s">
        <v>3623</v>
      </c>
      <c r="R885" s="48" t="s">
        <v>11837</v>
      </c>
      <c r="S885" s="48" t="s">
        <v>62</v>
      </c>
      <c r="T885" s="49" t="s">
        <v>74</v>
      </c>
      <c r="U885" s="49" t="s">
        <v>75</v>
      </c>
      <c r="V885" s="48"/>
      <c r="W885" s="61">
        <v>3.43</v>
      </c>
      <c r="X885" s="7" t="s">
        <v>956</v>
      </c>
      <c r="Y885" s="49" t="s">
        <v>1490</v>
      </c>
      <c r="Z885" s="49" t="s">
        <v>78</v>
      </c>
      <c r="AA885" s="61">
        <v>0.76</v>
      </c>
      <c r="AB885" s="48" t="s">
        <v>11839</v>
      </c>
      <c r="AC885" s="62" t="s">
        <v>11836</v>
      </c>
      <c r="AD885" s="53" t="str">
        <f t="shared" si="650"/>
        <v>Link</v>
      </c>
      <c r="AE885" s="71">
        <v>26118</v>
      </c>
      <c r="AF885" s="54">
        <v>133</v>
      </c>
      <c r="AG885" s="55"/>
      <c r="AH885" s="56">
        <v>159391</v>
      </c>
    </row>
    <row r="886" spans="1:34" ht="15" x14ac:dyDescent="0.2">
      <c r="A886" s="43" t="s">
        <v>11473</v>
      </c>
      <c r="B886" s="60" t="s">
        <v>3623</v>
      </c>
      <c r="C886" s="7" t="s">
        <v>67</v>
      </c>
      <c r="D886" s="7" t="s">
        <v>11879</v>
      </c>
      <c r="E886" s="44">
        <v>5</v>
      </c>
      <c r="F886" s="7" t="s">
        <v>116</v>
      </c>
      <c r="G886" s="7"/>
      <c r="H886" s="2" t="s">
        <v>11828</v>
      </c>
      <c r="I886" s="7" t="s">
        <v>493</v>
      </c>
      <c r="J886" s="7" t="s">
        <v>2574</v>
      </c>
      <c r="K886" s="7" t="s">
        <v>139</v>
      </c>
      <c r="L886" s="7" t="s">
        <v>11881</v>
      </c>
      <c r="M886" s="7" t="s">
        <v>11831</v>
      </c>
      <c r="N886" s="45" t="str">
        <f t="shared" si="648"/>
        <v>@LSUsoftball</v>
      </c>
      <c r="O886" s="74" t="str">
        <f t="shared" si="649"/>
        <v>Questionnaire</v>
      </c>
      <c r="P886" s="7" t="s">
        <v>11836</v>
      </c>
      <c r="Q886" s="60" t="s">
        <v>3623</v>
      </c>
      <c r="R886" s="48" t="s">
        <v>11837</v>
      </c>
      <c r="S886" s="48" t="s">
        <v>62</v>
      </c>
      <c r="T886" s="49" t="s">
        <v>74</v>
      </c>
      <c r="U886" s="49" t="s">
        <v>75</v>
      </c>
      <c r="V886" s="48"/>
      <c r="W886" s="61">
        <v>3.43</v>
      </c>
      <c r="X886" s="7" t="s">
        <v>956</v>
      </c>
      <c r="Y886" s="49" t="s">
        <v>1490</v>
      </c>
      <c r="Z886" s="49" t="s">
        <v>78</v>
      </c>
      <c r="AA886" s="61">
        <v>0.76</v>
      </c>
      <c r="AB886" s="48" t="s">
        <v>11839</v>
      </c>
      <c r="AC886" s="62" t="s">
        <v>11836</v>
      </c>
      <c r="AD886" s="53" t="str">
        <f t="shared" si="650"/>
        <v>Link</v>
      </c>
      <c r="AE886" s="71">
        <v>26118</v>
      </c>
      <c r="AF886" s="54">
        <v>133</v>
      </c>
      <c r="AG886" s="55"/>
      <c r="AH886" s="56">
        <v>159391</v>
      </c>
    </row>
    <row r="887" spans="1:34" ht="15" x14ac:dyDescent="0.2">
      <c r="A887" s="43" t="s">
        <v>11473</v>
      </c>
      <c r="B887" s="47" t="s">
        <v>6149</v>
      </c>
      <c r="C887" s="7" t="s">
        <v>67</v>
      </c>
      <c r="D887" s="7" t="s">
        <v>11889</v>
      </c>
      <c r="E887" s="44">
        <v>5</v>
      </c>
      <c r="F887" s="7"/>
      <c r="G887" s="7"/>
      <c r="H887" s="2" t="s">
        <v>11890</v>
      </c>
      <c r="I887" s="7" t="s">
        <v>11891</v>
      </c>
      <c r="J887" s="7" t="s">
        <v>11892</v>
      </c>
      <c r="K887" s="7" t="s">
        <v>1423</v>
      </c>
      <c r="L887" s="7" t="s">
        <v>11893</v>
      </c>
      <c r="M887" s="7" t="s">
        <v>11894</v>
      </c>
      <c r="N887" s="45" t="str">
        <f t="shared" ref="N887:N892" si="651">HYPERLINK("twitter.com/OleMissSoftball","@OleMissSoftball")</f>
        <v>@OleMissSoftball</v>
      </c>
      <c r="O887" s="74" t="str">
        <f t="shared" ref="O887:O892" si="652">HYPERLINK("https://secure.assistantcoach.net/colleges/athlete_webform.asp?oid=133&amp;sid=3988","Questionnaire")</f>
        <v>Questionnaire</v>
      </c>
      <c r="P887" s="7" t="s">
        <v>6135</v>
      </c>
      <c r="Q887" s="47" t="s">
        <v>6149</v>
      </c>
      <c r="R887" s="48" t="s">
        <v>7697</v>
      </c>
      <c r="S887" s="48" t="s">
        <v>172</v>
      </c>
      <c r="T887" s="49" t="s">
        <v>74</v>
      </c>
      <c r="U887" s="49" t="s">
        <v>75</v>
      </c>
      <c r="V887" s="48"/>
      <c r="W887" s="61">
        <v>3.54</v>
      </c>
      <c r="X887" s="7" t="s">
        <v>76</v>
      </c>
      <c r="Y887" s="49" t="s">
        <v>956</v>
      </c>
      <c r="Z887" s="49" t="s">
        <v>958</v>
      </c>
      <c r="AA887" s="61">
        <v>0.78</v>
      </c>
      <c r="AB887" s="48" t="s">
        <v>11907</v>
      </c>
      <c r="AC887" s="62" t="s">
        <v>6135</v>
      </c>
      <c r="AD887" s="53" t="str">
        <f t="shared" ref="AD887:AD892" si="653">HYPERLINK("http://catalog.olemiss.edu/undergraduate/programs","Link")</f>
        <v>Link</v>
      </c>
      <c r="AE887" s="54">
        <v>19213</v>
      </c>
      <c r="AF887" s="54">
        <v>145</v>
      </c>
      <c r="AG887" s="55"/>
      <c r="AH887" s="56">
        <v>176017</v>
      </c>
    </row>
    <row r="888" spans="1:34" ht="15" x14ac:dyDescent="0.2">
      <c r="A888" s="43" t="s">
        <v>11473</v>
      </c>
      <c r="B888" s="47" t="s">
        <v>6149</v>
      </c>
      <c r="C888" s="7" t="s">
        <v>67</v>
      </c>
      <c r="D888" s="7" t="s">
        <v>11889</v>
      </c>
      <c r="E888" s="44">
        <v>5</v>
      </c>
      <c r="F888" s="7"/>
      <c r="G888" s="7"/>
      <c r="H888" s="2" t="s">
        <v>11890</v>
      </c>
      <c r="I888" s="7" t="s">
        <v>421</v>
      </c>
      <c r="J888" s="7"/>
      <c r="K888" s="7" t="s">
        <v>48</v>
      </c>
      <c r="L888" s="7"/>
      <c r="M888" s="7"/>
      <c r="N888" s="69" t="str">
        <f t="shared" si="651"/>
        <v>@OleMissSoftball</v>
      </c>
      <c r="O888" s="74" t="str">
        <f t="shared" si="652"/>
        <v>Questionnaire</v>
      </c>
      <c r="P888" s="7" t="s">
        <v>6135</v>
      </c>
      <c r="Q888" s="47" t="s">
        <v>6149</v>
      </c>
      <c r="R888" s="48" t="s">
        <v>7697</v>
      </c>
      <c r="S888" s="48" t="s">
        <v>172</v>
      </c>
      <c r="T888" s="49" t="s">
        <v>74</v>
      </c>
      <c r="U888" s="49" t="s">
        <v>75</v>
      </c>
      <c r="V888" s="48"/>
      <c r="W888" s="61">
        <v>3.54</v>
      </c>
      <c r="X888" s="7" t="s">
        <v>76</v>
      </c>
      <c r="Y888" s="49" t="s">
        <v>956</v>
      </c>
      <c r="Z888" s="49" t="s">
        <v>958</v>
      </c>
      <c r="AA888" s="61">
        <v>0.78</v>
      </c>
      <c r="AB888" s="48" t="s">
        <v>11907</v>
      </c>
      <c r="AC888" s="62" t="s">
        <v>6135</v>
      </c>
      <c r="AD888" s="53" t="str">
        <f t="shared" si="653"/>
        <v>Link</v>
      </c>
      <c r="AE888" s="54">
        <v>19213</v>
      </c>
      <c r="AF888" s="54">
        <v>145</v>
      </c>
      <c r="AG888" s="55"/>
      <c r="AH888" s="56">
        <v>176017</v>
      </c>
    </row>
    <row r="889" spans="1:34" ht="15" x14ac:dyDescent="0.2">
      <c r="A889" s="43" t="s">
        <v>11473</v>
      </c>
      <c r="B889" s="47" t="s">
        <v>6149</v>
      </c>
      <c r="C889" s="7" t="s">
        <v>67</v>
      </c>
      <c r="D889" s="7" t="s">
        <v>11923</v>
      </c>
      <c r="E889" s="44">
        <v>5</v>
      </c>
      <c r="F889" s="7"/>
      <c r="G889" s="7"/>
      <c r="H889" s="2" t="s">
        <v>11890</v>
      </c>
      <c r="I889" s="7" t="s">
        <v>1159</v>
      </c>
      <c r="J889" s="7" t="s">
        <v>11924</v>
      </c>
      <c r="K889" s="2" t="s">
        <v>55</v>
      </c>
      <c r="L889" s="7" t="s">
        <v>11925</v>
      </c>
      <c r="M889" s="7" t="s">
        <v>11926</v>
      </c>
      <c r="N889" s="69" t="str">
        <f t="shared" si="651"/>
        <v>@OleMissSoftball</v>
      </c>
      <c r="O889" s="74" t="str">
        <f t="shared" si="652"/>
        <v>Questionnaire</v>
      </c>
      <c r="P889" s="7" t="s">
        <v>6135</v>
      </c>
      <c r="Q889" s="47" t="s">
        <v>6149</v>
      </c>
      <c r="R889" s="48" t="s">
        <v>7697</v>
      </c>
      <c r="S889" s="48" t="s">
        <v>172</v>
      </c>
      <c r="T889" s="49" t="s">
        <v>74</v>
      </c>
      <c r="U889" s="49" t="s">
        <v>75</v>
      </c>
      <c r="V889" s="48"/>
      <c r="W889" s="61">
        <v>3.54</v>
      </c>
      <c r="X889" s="7" t="s">
        <v>76</v>
      </c>
      <c r="Y889" s="49" t="s">
        <v>956</v>
      </c>
      <c r="Z889" s="49" t="s">
        <v>958</v>
      </c>
      <c r="AA889" s="61">
        <v>0.78</v>
      </c>
      <c r="AB889" s="48" t="s">
        <v>11907</v>
      </c>
      <c r="AC889" s="62" t="s">
        <v>6135</v>
      </c>
      <c r="AD889" s="53" t="str">
        <f t="shared" si="653"/>
        <v>Link</v>
      </c>
      <c r="AE889" s="54">
        <v>19213</v>
      </c>
      <c r="AF889" s="54">
        <v>145</v>
      </c>
      <c r="AG889" s="55"/>
      <c r="AH889" s="56">
        <v>176017</v>
      </c>
    </row>
    <row r="890" spans="1:34" ht="15" x14ac:dyDescent="0.2">
      <c r="A890" s="43" t="s">
        <v>11473</v>
      </c>
      <c r="B890" s="47" t="s">
        <v>6149</v>
      </c>
      <c r="C890" s="7" t="s">
        <v>67</v>
      </c>
      <c r="D890" s="7" t="s">
        <v>11938</v>
      </c>
      <c r="E890" s="44">
        <v>5</v>
      </c>
      <c r="F890" s="7"/>
      <c r="G890" s="7"/>
      <c r="H890" s="2" t="s">
        <v>11890</v>
      </c>
      <c r="I890" s="7" t="s">
        <v>2790</v>
      </c>
      <c r="J890" s="7" t="s">
        <v>4003</v>
      </c>
      <c r="K890" s="7" t="s">
        <v>154</v>
      </c>
      <c r="L890" s="7" t="s">
        <v>11939</v>
      </c>
      <c r="M890" s="7" t="s">
        <v>11940</v>
      </c>
      <c r="N890" s="69" t="str">
        <f t="shared" si="651"/>
        <v>@OleMissSoftball</v>
      </c>
      <c r="O890" s="74" t="str">
        <f t="shared" si="652"/>
        <v>Questionnaire</v>
      </c>
      <c r="P890" s="7" t="s">
        <v>6135</v>
      </c>
      <c r="Q890" s="47" t="s">
        <v>6149</v>
      </c>
      <c r="R890" s="48" t="s">
        <v>7697</v>
      </c>
      <c r="S890" s="48" t="s">
        <v>172</v>
      </c>
      <c r="T890" s="49" t="s">
        <v>74</v>
      </c>
      <c r="U890" s="49" t="s">
        <v>75</v>
      </c>
      <c r="V890" s="48"/>
      <c r="W890" s="61">
        <v>3.54</v>
      </c>
      <c r="X890" s="7" t="s">
        <v>76</v>
      </c>
      <c r="Y890" s="49" t="s">
        <v>956</v>
      </c>
      <c r="Z890" s="49" t="s">
        <v>958</v>
      </c>
      <c r="AA890" s="61">
        <v>0.78</v>
      </c>
      <c r="AB890" s="48" t="s">
        <v>11907</v>
      </c>
      <c r="AC890" s="62" t="s">
        <v>6135</v>
      </c>
      <c r="AD890" s="53" t="str">
        <f t="shared" si="653"/>
        <v>Link</v>
      </c>
      <c r="AE890" s="54">
        <v>19213</v>
      </c>
      <c r="AF890" s="54">
        <v>145</v>
      </c>
      <c r="AG890" s="55"/>
      <c r="AH890" s="56">
        <v>176017</v>
      </c>
    </row>
    <row r="891" spans="1:34" ht="15" x14ac:dyDescent="0.2">
      <c r="A891" s="43" t="s">
        <v>11473</v>
      </c>
      <c r="B891" s="47" t="s">
        <v>6149</v>
      </c>
      <c r="C891" s="7" t="s">
        <v>67</v>
      </c>
      <c r="D891" s="7" t="s">
        <v>11948</v>
      </c>
      <c r="E891" s="58">
        <v>5</v>
      </c>
      <c r="F891" s="7" t="s">
        <v>116</v>
      </c>
      <c r="G891" s="7"/>
      <c r="H891" s="2" t="s">
        <v>11890</v>
      </c>
      <c r="I891" s="7" t="s">
        <v>11951</v>
      </c>
      <c r="J891" s="7" t="s">
        <v>5872</v>
      </c>
      <c r="K891" s="7" t="s">
        <v>139</v>
      </c>
      <c r="L891" s="7" t="s">
        <v>11954</v>
      </c>
      <c r="M891" s="7" t="s">
        <v>11955</v>
      </c>
      <c r="N891" s="69" t="str">
        <f t="shared" si="651"/>
        <v>@OleMissSoftball</v>
      </c>
      <c r="O891" s="74" t="str">
        <f t="shared" si="652"/>
        <v>Questionnaire</v>
      </c>
      <c r="P891" s="48" t="s">
        <v>6135</v>
      </c>
      <c r="Q891" s="47" t="s">
        <v>6149</v>
      </c>
      <c r="R891" s="48" t="s">
        <v>7697</v>
      </c>
      <c r="S891" s="48" t="s">
        <v>172</v>
      </c>
      <c r="T891" s="49" t="s">
        <v>74</v>
      </c>
      <c r="U891" s="49" t="s">
        <v>75</v>
      </c>
      <c r="V891" s="48"/>
      <c r="W891" s="61">
        <v>3.54</v>
      </c>
      <c r="X891" s="49" t="s">
        <v>76</v>
      </c>
      <c r="Y891" s="49" t="s">
        <v>956</v>
      </c>
      <c r="Z891" s="49" t="s">
        <v>958</v>
      </c>
      <c r="AA891" s="61">
        <v>0.78</v>
      </c>
      <c r="AB891" s="48" t="s">
        <v>11907</v>
      </c>
      <c r="AC891" s="62" t="s">
        <v>6135</v>
      </c>
      <c r="AD891" s="53" t="str">
        <f t="shared" si="653"/>
        <v>Link</v>
      </c>
      <c r="AE891" s="54">
        <v>19213</v>
      </c>
      <c r="AF891" s="54">
        <v>145</v>
      </c>
      <c r="AG891" s="55"/>
      <c r="AH891" s="56">
        <v>176017</v>
      </c>
    </row>
    <row r="892" spans="1:34" ht="15" x14ac:dyDescent="0.2">
      <c r="A892" s="43" t="s">
        <v>11473</v>
      </c>
      <c r="B892" s="47" t="s">
        <v>6149</v>
      </c>
      <c r="C892" s="7" t="s">
        <v>67</v>
      </c>
      <c r="D892" s="7" t="s">
        <v>11962</v>
      </c>
      <c r="E892" s="58">
        <v>5</v>
      </c>
      <c r="F892" s="7" t="s">
        <v>116</v>
      </c>
      <c r="G892" s="7"/>
      <c r="H892" s="2" t="s">
        <v>11890</v>
      </c>
      <c r="I892" s="7" t="s">
        <v>11965</v>
      </c>
      <c r="J892" s="7" t="s">
        <v>11967</v>
      </c>
      <c r="K892" s="7" t="s">
        <v>55</v>
      </c>
      <c r="L892" s="7" t="s">
        <v>11969</v>
      </c>
      <c r="M892" s="7" t="s">
        <v>11926</v>
      </c>
      <c r="N892" s="69" t="str">
        <f t="shared" si="651"/>
        <v>@OleMissSoftball</v>
      </c>
      <c r="O892" s="74" t="str">
        <f t="shared" si="652"/>
        <v>Questionnaire</v>
      </c>
      <c r="P892" s="48" t="s">
        <v>6135</v>
      </c>
      <c r="Q892" s="47" t="s">
        <v>6149</v>
      </c>
      <c r="R892" s="48" t="s">
        <v>7697</v>
      </c>
      <c r="S892" s="48" t="s">
        <v>172</v>
      </c>
      <c r="T892" s="49" t="s">
        <v>74</v>
      </c>
      <c r="U892" s="49" t="s">
        <v>75</v>
      </c>
      <c r="V892" s="48"/>
      <c r="W892" s="61">
        <v>3.54</v>
      </c>
      <c r="X892" s="49" t="s">
        <v>76</v>
      </c>
      <c r="Y892" s="49" t="s">
        <v>956</v>
      </c>
      <c r="Z892" s="49" t="s">
        <v>958</v>
      </c>
      <c r="AA892" s="61">
        <v>0.78</v>
      </c>
      <c r="AB892" s="48" t="s">
        <v>11907</v>
      </c>
      <c r="AC892" s="62" t="s">
        <v>6135</v>
      </c>
      <c r="AD892" s="53" t="str">
        <f t="shared" si="653"/>
        <v>Link</v>
      </c>
      <c r="AE892" s="54">
        <v>19213</v>
      </c>
      <c r="AF892" s="54">
        <v>145</v>
      </c>
      <c r="AG892" s="55"/>
      <c r="AH892" s="56">
        <v>176017</v>
      </c>
    </row>
    <row r="893" spans="1:34" ht="15" x14ac:dyDescent="0.2">
      <c r="A893" s="43" t="s">
        <v>11473</v>
      </c>
      <c r="B893" s="47" t="s">
        <v>6149</v>
      </c>
      <c r="C893" s="7" t="s">
        <v>67</v>
      </c>
      <c r="D893" s="7" t="s">
        <v>11979</v>
      </c>
      <c r="E893" s="44">
        <v>5</v>
      </c>
      <c r="F893" s="7"/>
      <c r="G893" s="7"/>
      <c r="H893" s="2" t="s">
        <v>11980</v>
      </c>
      <c r="I893" s="7" t="s">
        <v>2289</v>
      </c>
      <c r="J893" s="7" t="s">
        <v>11983</v>
      </c>
      <c r="K893" s="7" t="s">
        <v>48</v>
      </c>
      <c r="L893" s="7" t="s">
        <v>11984</v>
      </c>
      <c r="M893" s="7" t="s">
        <v>11986</v>
      </c>
      <c r="N893" s="69" t="str">
        <f t="shared" ref="N893:N897" si="654">HYPERLINK("twitter.com/HailStateSB","@HailStateSB")</f>
        <v>@HailStateSB</v>
      </c>
      <c r="O893" s="74" t="str">
        <f t="shared" ref="O893:O897" si="655">HYPERLINK("https://questionnaire.acsathletics.com/Questionnaire/Questionnaire.aspx?q=1547&amp;s=6533&amp;o=165","Questionnaire")</f>
        <v>Questionnaire</v>
      </c>
      <c r="P893" s="7" t="s">
        <v>11998</v>
      </c>
      <c r="Q893" s="47" t="s">
        <v>6149</v>
      </c>
      <c r="R893" s="48" t="s">
        <v>11999</v>
      </c>
      <c r="S893" s="48" t="s">
        <v>468</v>
      </c>
      <c r="T893" s="49" t="s">
        <v>74</v>
      </c>
      <c r="U893" s="49" t="s">
        <v>75</v>
      </c>
      <c r="V893" s="48"/>
      <c r="W893" s="61">
        <v>3.41</v>
      </c>
      <c r="X893" s="7" t="s">
        <v>214</v>
      </c>
      <c r="Y893" s="49" t="s">
        <v>214</v>
      </c>
      <c r="Z893" s="49" t="s">
        <v>803</v>
      </c>
      <c r="AA893" s="61">
        <v>0.56000000000000005</v>
      </c>
      <c r="AB893" s="48" t="s">
        <v>12003</v>
      </c>
      <c r="AC893" s="52" t="s">
        <v>11998</v>
      </c>
      <c r="AD893" s="53" t="str">
        <f t="shared" ref="AD893:AD897" si="656">HYPERLINK("http://catalog.msstate.edu/graduate/degrees-majors-offered/","Link")</f>
        <v>Link</v>
      </c>
      <c r="AE893" s="54">
        <v>18090</v>
      </c>
      <c r="AF893" s="54">
        <v>171</v>
      </c>
      <c r="AG893" s="55"/>
      <c r="AH893" s="56">
        <v>176080</v>
      </c>
    </row>
    <row r="894" spans="1:34" ht="15" x14ac:dyDescent="0.2">
      <c r="A894" s="43" t="s">
        <v>11473</v>
      </c>
      <c r="B894" s="47" t="s">
        <v>6149</v>
      </c>
      <c r="C894" s="7" t="s">
        <v>67</v>
      </c>
      <c r="D894" s="7" t="s">
        <v>11979</v>
      </c>
      <c r="E894" s="44">
        <v>5</v>
      </c>
      <c r="F894" s="7"/>
      <c r="G894" s="7"/>
      <c r="H894" s="2" t="s">
        <v>11980</v>
      </c>
      <c r="I894" s="7" t="s">
        <v>2289</v>
      </c>
      <c r="J894" s="7" t="s">
        <v>11983</v>
      </c>
      <c r="K894" s="7" t="s">
        <v>1048</v>
      </c>
      <c r="L894" s="7" t="s">
        <v>12015</v>
      </c>
      <c r="M894" s="7" t="s">
        <v>11986</v>
      </c>
      <c r="N894" s="69" t="str">
        <f t="shared" si="654"/>
        <v>@HailStateSB</v>
      </c>
      <c r="O894" s="74" t="str">
        <f t="shared" si="655"/>
        <v>Questionnaire</v>
      </c>
      <c r="P894" s="48" t="s">
        <v>11998</v>
      </c>
      <c r="Q894" s="47" t="s">
        <v>6149</v>
      </c>
      <c r="R894" s="48" t="s">
        <v>11999</v>
      </c>
      <c r="S894" s="48" t="s">
        <v>468</v>
      </c>
      <c r="T894" s="49" t="s">
        <v>74</v>
      </c>
      <c r="U894" s="49" t="s">
        <v>75</v>
      </c>
      <c r="V894" s="48"/>
      <c r="W894" s="61">
        <v>3.41</v>
      </c>
      <c r="X894" s="49" t="s">
        <v>214</v>
      </c>
      <c r="Y894" s="49" t="s">
        <v>214</v>
      </c>
      <c r="Z894" s="49" t="s">
        <v>803</v>
      </c>
      <c r="AA894" s="61">
        <v>0.56000000000000005</v>
      </c>
      <c r="AB894" s="48" t="s">
        <v>12003</v>
      </c>
      <c r="AC894" s="52" t="s">
        <v>11998</v>
      </c>
      <c r="AD894" s="53" t="str">
        <f t="shared" si="656"/>
        <v>Link</v>
      </c>
      <c r="AE894" s="54">
        <v>18090</v>
      </c>
      <c r="AF894" s="54">
        <v>171</v>
      </c>
      <c r="AG894" s="55"/>
      <c r="AH894" s="56">
        <v>176080</v>
      </c>
    </row>
    <row r="895" spans="1:34" ht="15" x14ac:dyDescent="0.2">
      <c r="A895" s="43" t="s">
        <v>11473</v>
      </c>
      <c r="B895" s="47" t="s">
        <v>6149</v>
      </c>
      <c r="C895" s="7" t="s">
        <v>67</v>
      </c>
      <c r="D895" s="7" t="s">
        <v>12022</v>
      </c>
      <c r="E895" s="44">
        <v>5</v>
      </c>
      <c r="F895" s="7"/>
      <c r="G895" s="7"/>
      <c r="H895" s="2" t="s">
        <v>11980</v>
      </c>
      <c r="I895" s="7" t="s">
        <v>7130</v>
      </c>
      <c r="J895" s="7" t="s">
        <v>12027</v>
      </c>
      <c r="K895" s="2" t="s">
        <v>55</v>
      </c>
      <c r="L895" s="7" t="s">
        <v>12029</v>
      </c>
      <c r="M895" s="7" t="s">
        <v>11986</v>
      </c>
      <c r="N895" s="69" t="str">
        <f t="shared" si="654"/>
        <v>@HailStateSB</v>
      </c>
      <c r="O895" s="74" t="str">
        <f t="shared" si="655"/>
        <v>Questionnaire</v>
      </c>
      <c r="P895" s="7" t="s">
        <v>11998</v>
      </c>
      <c r="Q895" s="47" t="s">
        <v>6149</v>
      </c>
      <c r="R895" s="48" t="s">
        <v>11999</v>
      </c>
      <c r="S895" s="48" t="s">
        <v>468</v>
      </c>
      <c r="T895" s="49" t="s">
        <v>74</v>
      </c>
      <c r="U895" s="49" t="s">
        <v>75</v>
      </c>
      <c r="V895" s="48"/>
      <c r="W895" s="61">
        <v>3.41</v>
      </c>
      <c r="X895" s="7" t="s">
        <v>214</v>
      </c>
      <c r="Y895" s="49" t="s">
        <v>214</v>
      </c>
      <c r="Z895" s="49" t="s">
        <v>803</v>
      </c>
      <c r="AA895" s="61">
        <v>0.56000000000000005</v>
      </c>
      <c r="AB895" s="48" t="s">
        <v>12003</v>
      </c>
      <c r="AC895" s="52" t="s">
        <v>11998</v>
      </c>
      <c r="AD895" s="53" t="str">
        <f t="shared" si="656"/>
        <v>Link</v>
      </c>
      <c r="AE895" s="54">
        <v>18090</v>
      </c>
      <c r="AF895" s="54">
        <v>171</v>
      </c>
      <c r="AG895" s="55"/>
      <c r="AH895" s="56">
        <v>176080</v>
      </c>
    </row>
    <row r="896" spans="1:34" ht="15" x14ac:dyDescent="0.2">
      <c r="A896" s="43" t="s">
        <v>11473</v>
      </c>
      <c r="B896" s="47" t="s">
        <v>6149</v>
      </c>
      <c r="C896" s="7" t="s">
        <v>67</v>
      </c>
      <c r="D896" s="7" t="s">
        <v>12034</v>
      </c>
      <c r="E896" s="44">
        <v>5</v>
      </c>
      <c r="F896" s="7"/>
      <c r="G896" s="7"/>
      <c r="H896" s="2" t="s">
        <v>11980</v>
      </c>
      <c r="I896" s="7" t="s">
        <v>501</v>
      </c>
      <c r="J896" s="7" t="s">
        <v>263</v>
      </c>
      <c r="K896" s="2" t="s">
        <v>55</v>
      </c>
      <c r="L896" s="7" t="s">
        <v>12035</v>
      </c>
      <c r="M896" s="7" t="s">
        <v>11986</v>
      </c>
      <c r="N896" s="69" t="str">
        <f t="shared" si="654"/>
        <v>@HailStateSB</v>
      </c>
      <c r="O896" s="74" t="str">
        <f t="shared" si="655"/>
        <v>Questionnaire</v>
      </c>
      <c r="P896" s="7" t="s">
        <v>11998</v>
      </c>
      <c r="Q896" s="47" t="s">
        <v>6149</v>
      </c>
      <c r="R896" s="48" t="s">
        <v>11999</v>
      </c>
      <c r="S896" s="48" t="s">
        <v>468</v>
      </c>
      <c r="T896" s="49" t="s">
        <v>74</v>
      </c>
      <c r="U896" s="49" t="s">
        <v>75</v>
      </c>
      <c r="V896" s="48"/>
      <c r="W896" s="61">
        <v>3.41</v>
      </c>
      <c r="X896" s="7" t="s">
        <v>214</v>
      </c>
      <c r="Y896" s="49" t="s">
        <v>214</v>
      </c>
      <c r="Z896" s="49" t="s">
        <v>803</v>
      </c>
      <c r="AA896" s="61">
        <v>0.56000000000000005</v>
      </c>
      <c r="AB896" s="48" t="s">
        <v>12003</v>
      </c>
      <c r="AC896" s="52" t="s">
        <v>11998</v>
      </c>
      <c r="AD896" s="53" t="str">
        <f t="shared" si="656"/>
        <v>Link</v>
      </c>
      <c r="AE896" s="54">
        <v>18090</v>
      </c>
      <c r="AF896" s="54">
        <v>171</v>
      </c>
      <c r="AG896" s="55"/>
      <c r="AH896" s="56">
        <v>176080</v>
      </c>
    </row>
    <row r="897" spans="1:34" ht="15" x14ac:dyDescent="0.2">
      <c r="A897" s="43" t="s">
        <v>11473</v>
      </c>
      <c r="B897" s="47" t="s">
        <v>6149</v>
      </c>
      <c r="C897" s="7" t="s">
        <v>67</v>
      </c>
      <c r="D897" s="7" t="s">
        <v>12043</v>
      </c>
      <c r="E897" s="44">
        <v>5</v>
      </c>
      <c r="F897" s="7"/>
      <c r="G897" s="7"/>
      <c r="H897" s="2" t="s">
        <v>11980</v>
      </c>
      <c r="I897" s="7" t="s">
        <v>860</v>
      </c>
      <c r="J897" s="7" t="s">
        <v>12046</v>
      </c>
      <c r="K897" s="7" t="s">
        <v>154</v>
      </c>
      <c r="L897" s="7" t="s">
        <v>12049</v>
      </c>
      <c r="M897" s="7" t="s">
        <v>11986</v>
      </c>
      <c r="N897" s="69" t="str">
        <f t="shared" si="654"/>
        <v>@HailStateSB</v>
      </c>
      <c r="O897" s="74" t="str">
        <f t="shared" si="655"/>
        <v>Questionnaire</v>
      </c>
      <c r="P897" s="7" t="s">
        <v>11998</v>
      </c>
      <c r="Q897" s="47" t="s">
        <v>6149</v>
      </c>
      <c r="R897" s="48" t="s">
        <v>11999</v>
      </c>
      <c r="S897" s="48" t="s">
        <v>468</v>
      </c>
      <c r="T897" s="49" t="s">
        <v>74</v>
      </c>
      <c r="U897" s="49" t="s">
        <v>75</v>
      </c>
      <c r="V897" s="48"/>
      <c r="W897" s="61">
        <v>3.41</v>
      </c>
      <c r="X897" s="7" t="s">
        <v>214</v>
      </c>
      <c r="Y897" s="49" t="s">
        <v>214</v>
      </c>
      <c r="Z897" s="49" t="s">
        <v>803</v>
      </c>
      <c r="AA897" s="61">
        <v>0.56000000000000005</v>
      </c>
      <c r="AB897" s="48" t="s">
        <v>12003</v>
      </c>
      <c r="AC897" s="52" t="s">
        <v>11998</v>
      </c>
      <c r="AD897" s="53" t="str">
        <f t="shared" si="656"/>
        <v>Link</v>
      </c>
      <c r="AE897" s="54">
        <v>18090</v>
      </c>
      <c r="AF897" s="54">
        <v>171</v>
      </c>
      <c r="AG897" s="55"/>
      <c r="AH897" s="56">
        <v>176080</v>
      </c>
    </row>
    <row r="898" spans="1:34" ht="15" x14ac:dyDescent="0.2">
      <c r="A898" s="43" t="s">
        <v>11473</v>
      </c>
      <c r="B898" s="47" t="s">
        <v>2246</v>
      </c>
      <c r="C898" s="7" t="s">
        <v>67</v>
      </c>
      <c r="D898" s="7" t="s">
        <v>12057</v>
      </c>
      <c r="E898" s="44">
        <v>5</v>
      </c>
      <c r="F898" s="7"/>
      <c r="G898" s="7"/>
      <c r="H898" s="2" t="s">
        <v>12060</v>
      </c>
      <c r="I898" s="7" t="s">
        <v>12061</v>
      </c>
      <c r="J898" s="7" t="s">
        <v>894</v>
      </c>
      <c r="K898" s="7" t="s">
        <v>48</v>
      </c>
      <c r="L898" s="7" t="s">
        <v>12064</v>
      </c>
      <c r="M898" s="7" t="s">
        <v>12066</v>
      </c>
      <c r="N898" s="69" t="s">
        <v>12067</v>
      </c>
      <c r="O898" s="7" t="s">
        <v>22</v>
      </c>
      <c r="P898" s="7" t="s">
        <v>6237</v>
      </c>
      <c r="Q898" s="47" t="s">
        <v>2246</v>
      </c>
      <c r="R898" s="48" t="s">
        <v>10106</v>
      </c>
      <c r="S898" s="48" t="s">
        <v>238</v>
      </c>
      <c r="T898" s="49" t="s">
        <v>74</v>
      </c>
      <c r="U898" s="49" t="s">
        <v>75</v>
      </c>
      <c r="V898" s="48"/>
      <c r="W898" s="61">
        <v>3.54</v>
      </c>
      <c r="X898" s="7" t="s">
        <v>12069</v>
      </c>
      <c r="Y898" s="49" t="s">
        <v>3454</v>
      </c>
      <c r="Z898" s="49" t="s">
        <v>2734</v>
      </c>
      <c r="AA898" s="61">
        <v>0.75</v>
      </c>
      <c r="AB898" s="48" t="s">
        <v>12073</v>
      </c>
      <c r="AC898" s="52" t="s">
        <v>6237</v>
      </c>
      <c r="AD898" s="53" t="str">
        <f t="shared" ref="AD898:AD904" si="657">HYPERLINK("https://majors.missouri.edu/","Link")</f>
        <v>Link</v>
      </c>
      <c r="AE898" s="54">
        <v>25877</v>
      </c>
      <c r="AF898" s="54">
        <v>120</v>
      </c>
      <c r="AG898" s="55"/>
      <c r="AH898" s="56">
        <v>178396</v>
      </c>
    </row>
    <row r="899" spans="1:34" ht="15" x14ac:dyDescent="0.2">
      <c r="A899" s="43" t="s">
        <v>11473</v>
      </c>
      <c r="B899" s="47" t="s">
        <v>2246</v>
      </c>
      <c r="C899" s="7" t="s">
        <v>67</v>
      </c>
      <c r="D899" s="7" t="s">
        <v>12078</v>
      </c>
      <c r="E899" s="44">
        <v>5</v>
      </c>
      <c r="F899" s="7"/>
      <c r="G899" s="7"/>
      <c r="H899" s="2" t="s">
        <v>12060</v>
      </c>
      <c r="I899" s="7" t="s">
        <v>1492</v>
      </c>
      <c r="J899" s="7" t="s">
        <v>12079</v>
      </c>
      <c r="K899" s="2" t="s">
        <v>55</v>
      </c>
      <c r="L899" s="7" t="s">
        <v>12080</v>
      </c>
      <c r="M899" s="7" t="s">
        <v>12081</v>
      </c>
      <c r="N899" s="69" t="s">
        <v>12082</v>
      </c>
      <c r="O899" s="7" t="s">
        <v>22</v>
      </c>
      <c r="P899" s="7" t="s">
        <v>6237</v>
      </c>
      <c r="Q899" s="47" t="s">
        <v>2246</v>
      </c>
      <c r="R899" s="48" t="s">
        <v>10106</v>
      </c>
      <c r="S899" s="48" t="s">
        <v>238</v>
      </c>
      <c r="T899" s="49" t="s">
        <v>74</v>
      </c>
      <c r="U899" s="49" t="s">
        <v>75</v>
      </c>
      <c r="V899" s="48"/>
      <c r="W899" s="61">
        <v>3.54</v>
      </c>
      <c r="X899" s="7" t="s">
        <v>12069</v>
      </c>
      <c r="Y899" s="49" t="s">
        <v>3454</v>
      </c>
      <c r="Z899" s="49" t="s">
        <v>2734</v>
      </c>
      <c r="AA899" s="61">
        <v>0.75</v>
      </c>
      <c r="AB899" s="48" t="s">
        <v>12073</v>
      </c>
      <c r="AC899" s="52" t="s">
        <v>6237</v>
      </c>
      <c r="AD899" s="53" t="str">
        <f t="shared" si="657"/>
        <v>Link</v>
      </c>
      <c r="AE899" s="54">
        <v>25877</v>
      </c>
      <c r="AF899" s="54">
        <v>120</v>
      </c>
      <c r="AG899" s="55"/>
      <c r="AH899" s="56">
        <v>178396</v>
      </c>
    </row>
    <row r="900" spans="1:34" ht="15" x14ac:dyDescent="0.2">
      <c r="A900" s="43" t="s">
        <v>11473</v>
      </c>
      <c r="B900" s="47" t="s">
        <v>2246</v>
      </c>
      <c r="C900" s="7" t="s">
        <v>67</v>
      </c>
      <c r="D900" s="7" t="s">
        <v>12089</v>
      </c>
      <c r="E900" s="44">
        <v>5</v>
      </c>
      <c r="F900" s="7"/>
      <c r="G900" s="7"/>
      <c r="H900" s="2" t="s">
        <v>12060</v>
      </c>
      <c r="I900" s="7" t="s">
        <v>2037</v>
      </c>
      <c r="J900" s="7" t="s">
        <v>12091</v>
      </c>
      <c r="K900" s="2" t="s">
        <v>55</v>
      </c>
      <c r="L900" s="7" t="s">
        <v>12092</v>
      </c>
      <c r="M900" s="7" t="s">
        <v>12066</v>
      </c>
      <c r="N900" s="69" t="s">
        <v>12094</v>
      </c>
      <c r="O900" s="7" t="s">
        <v>22</v>
      </c>
      <c r="P900" s="7" t="s">
        <v>6237</v>
      </c>
      <c r="Q900" s="47" t="s">
        <v>2246</v>
      </c>
      <c r="R900" s="48" t="s">
        <v>10106</v>
      </c>
      <c r="S900" s="48" t="s">
        <v>238</v>
      </c>
      <c r="T900" s="49" t="s">
        <v>74</v>
      </c>
      <c r="U900" s="49" t="s">
        <v>75</v>
      </c>
      <c r="V900" s="48"/>
      <c r="W900" s="61">
        <v>3.54</v>
      </c>
      <c r="X900" s="7" t="s">
        <v>12069</v>
      </c>
      <c r="Y900" s="49" t="s">
        <v>3454</v>
      </c>
      <c r="Z900" s="49" t="s">
        <v>2734</v>
      </c>
      <c r="AA900" s="61">
        <v>0.75</v>
      </c>
      <c r="AB900" s="48" t="s">
        <v>12073</v>
      </c>
      <c r="AC900" s="52" t="s">
        <v>6237</v>
      </c>
      <c r="AD900" s="53" t="str">
        <f t="shared" si="657"/>
        <v>Link</v>
      </c>
      <c r="AE900" s="54">
        <v>25877</v>
      </c>
      <c r="AF900" s="54">
        <v>120</v>
      </c>
      <c r="AG900" s="55"/>
      <c r="AH900" s="56">
        <v>178396</v>
      </c>
    </row>
    <row r="901" spans="1:34" ht="15" x14ac:dyDescent="0.2">
      <c r="A901" s="43" t="s">
        <v>11473</v>
      </c>
      <c r="B901" s="47" t="s">
        <v>2246</v>
      </c>
      <c r="C901" s="7" t="s">
        <v>67</v>
      </c>
      <c r="D901" s="7" t="s">
        <v>12096</v>
      </c>
      <c r="E901" s="44">
        <v>5</v>
      </c>
      <c r="F901" s="7"/>
      <c r="G901" s="7"/>
      <c r="H901" s="2" t="s">
        <v>12060</v>
      </c>
      <c r="I901" s="7" t="s">
        <v>1528</v>
      </c>
      <c r="J901" s="7" t="s">
        <v>12079</v>
      </c>
      <c r="K901" s="7" t="s">
        <v>154</v>
      </c>
      <c r="L901" s="7" t="s">
        <v>12099</v>
      </c>
      <c r="M901" s="7" t="s">
        <v>12081</v>
      </c>
      <c r="N901" s="69" t="str">
        <f t="shared" ref="N901:N904" si="658">HYPERLINK("twitter.com/MizzouSoftball","@MizzouSoftball")</f>
        <v>@MizzouSoftball</v>
      </c>
      <c r="O901" s="7" t="s">
        <v>22</v>
      </c>
      <c r="P901" s="7" t="s">
        <v>6237</v>
      </c>
      <c r="Q901" s="47" t="s">
        <v>2246</v>
      </c>
      <c r="R901" s="48" t="s">
        <v>10106</v>
      </c>
      <c r="S901" s="48" t="s">
        <v>238</v>
      </c>
      <c r="T901" s="49" t="s">
        <v>74</v>
      </c>
      <c r="U901" s="49" t="s">
        <v>75</v>
      </c>
      <c r="V901" s="48"/>
      <c r="W901" s="61">
        <v>3.54</v>
      </c>
      <c r="X901" s="7" t="s">
        <v>12069</v>
      </c>
      <c r="Y901" s="49" t="s">
        <v>3454</v>
      </c>
      <c r="Z901" s="49" t="s">
        <v>2734</v>
      </c>
      <c r="AA901" s="61">
        <v>0.75</v>
      </c>
      <c r="AB901" s="48" t="s">
        <v>12073</v>
      </c>
      <c r="AC901" s="52" t="s">
        <v>6237</v>
      </c>
      <c r="AD901" s="53" t="str">
        <f t="shared" si="657"/>
        <v>Link</v>
      </c>
      <c r="AE901" s="54">
        <v>25877</v>
      </c>
      <c r="AF901" s="54">
        <v>120</v>
      </c>
      <c r="AG901" s="55"/>
      <c r="AH901" s="56">
        <v>178396</v>
      </c>
    </row>
    <row r="902" spans="1:34" ht="15" x14ac:dyDescent="0.2">
      <c r="A902" s="43" t="s">
        <v>11473</v>
      </c>
      <c r="B902" s="47" t="s">
        <v>2246</v>
      </c>
      <c r="C902" s="7" t="s">
        <v>67</v>
      </c>
      <c r="D902" s="7" t="s">
        <v>12108</v>
      </c>
      <c r="E902" s="44">
        <v>5</v>
      </c>
      <c r="F902" s="7"/>
      <c r="G902" s="7"/>
      <c r="H902" s="2" t="s">
        <v>12060</v>
      </c>
      <c r="I902" s="7" t="s">
        <v>4382</v>
      </c>
      <c r="J902" s="7" t="s">
        <v>12110</v>
      </c>
      <c r="K902" s="7" t="s">
        <v>139</v>
      </c>
      <c r="L902" s="7" t="s">
        <v>12112</v>
      </c>
      <c r="M902" s="7" t="s">
        <v>12113</v>
      </c>
      <c r="N902" s="45" t="str">
        <f t="shared" si="658"/>
        <v>@MizzouSoftball</v>
      </c>
      <c r="O902" s="7" t="s">
        <v>22</v>
      </c>
      <c r="P902" s="7" t="s">
        <v>6237</v>
      </c>
      <c r="Q902" s="47" t="s">
        <v>2246</v>
      </c>
      <c r="R902" s="48" t="s">
        <v>10106</v>
      </c>
      <c r="S902" s="48" t="s">
        <v>238</v>
      </c>
      <c r="T902" s="49" t="s">
        <v>74</v>
      </c>
      <c r="U902" s="49" t="s">
        <v>75</v>
      </c>
      <c r="V902" s="48"/>
      <c r="W902" s="61">
        <v>3.54</v>
      </c>
      <c r="X902" s="7" t="s">
        <v>12069</v>
      </c>
      <c r="Y902" s="49" t="s">
        <v>3454</v>
      </c>
      <c r="Z902" s="49" t="s">
        <v>2734</v>
      </c>
      <c r="AA902" s="61">
        <v>0.75</v>
      </c>
      <c r="AB902" s="48" t="s">
        <v>12073</v>
      </c>
      <c r="AC902" s="52" t="s">
        <v>6237</v>
      </c>
      <c r="AD902" s="53" t="str">
        <f t="shared" si="657"/>
        <v>Link</v>
      </c>
      <c r="AE902" s="54">
        <v>25877</v>
      </c>
      <c r="AF902" s="54">
        <v>120</v>
      </c>
      <c r="AG902" s="55"/>
      <c r="AH902" s="56">
        <v>178396</v>
      </c>
    </row>
    <row r="903" spans="1:34" ht="15" x14ac:dyDescent="0.2">
      <c r="A903" s="43" t="s">
        <v>11473</v>
      </c>
      <c r="B903" s="47" t="s">
        <v>2246</v>
      </c>
      <c r="C903" s="7" t="s">
        <v>67</v>
      </c>
      <c r="D903" s="7" t="s">
        <v>12118</v>
      </c>
      <c r="E903" s="44">
        <v>5</v>
      </c>
      <c r="F903" s="7"/>
      <c r="G903" s="7"/>
      <c r="H903" s="2" t="s">
        <v>12060</v>
      </c>
      <c r="I903" s="7" t="s">
        <v>12119</v>
      </c>
      <c r="J903" s="7" t="s">
        <v>7709</v>
      </c>
      <c r="K903" s="7" t="s">
        <v>120</v>
      </c>
      <c r="L903" s="7"/>
      <c r="M903" s="7"/>
      <c r="N903" s="45" t="str">
        <f t="shared" si="658"/>
        <v>@MizzouSoftball</v>
      </c>
      <c r="O903" s="7" t="s">
        <v>22</v>
      </c>
      <c r="P903" s="7" t="s">
        <v>6237</v>
      </c>
      <c r="Q903" s="47" t="s">
        <v>2246</v>
      </c>
      <c r="R903" s="48" t="s">
        <v>10106</v>
      </c>
      <c r="S903" s="48" t="s">
        <v>238</v>
      </c>
      <c r="T903" s="49" t="s">
        <v>74</v>
      </c>
      <c r="U903" s="49" t="s">
        <v>75</v>
      </c>
      <c r="V903" s="48"/>
      <c r="W903" s="61">
        <v>3.54</v>
      </c>
      <c r="X903" s="7" t="s">
        <v>12069</v>
      </c>
      <c r="Y903" s="49" t="s">
        <v>3454</v>
      </c>
      <c r="Z903" s="49" t="s">
        <v>2734</v>
      </c>
      <c r="AA903" s="61">
        <v>0.75</v>
      </c>
      <c r="AB903" s="48" t="s">
        <v>12073</v>
      </c>
      <c r="AC903" s="52" t="s">
        <v>6237</v>
      </c>
      <c r="AD903" s="53" t="str">
        <f t="shared" si="657"/>
        <v>Link</v>
      </c>
      <c r="AE903" s="54">
        <v>25877</v>
      </c>
      <c r="AF903" s="54">
        <v>120</v>
      </c>
      <c r="AG903" s="55"/>
      <c r="AH903" s="56">
        <v>178396</v>
      </c>
    </row>
    <row r="904" spans="1:34" ht="15" x14ac:dyDescent="0.2">
      <c r="A904" s="43" t="s">
        <v>11473</v>
      </c>
      <c r="B904" s="47" t="s">
        <v>2246</v>
      </c>
      <c r="C904" s="7" t="s">
        <v>67</v>
      </c>
      <c r="D904" s="7" t="s">
        <v>12127</v>
      </c>
      <c r="E904" s="44">
        <v>5</v>
      </c>
      <c r="F904" s="7"/>
      <c r="G904" s="7"/>
      <c r="H904" s="2" t="s">
        <v>12060</v>
      </c>
      <c r="I904" s="7" t="s">
        <v>1075</v>
      </c>
      <c r="J904" s="7" t="s">
        <v>12129</v>
      </c>
      <c r="K904" s="7" t="s">
        <v>120</v>
      </c>
      <c r="L904" s="7"/>
      <c r="M904" s="7"/>
      <c r="N904" s="45" t="str">
        <f t="shared" si="658"/>
        <v>@MizzouSoftball</v>
      </c>
      <c r="O904" s="7" t="s">
        <v>22</v>
      </c>
      <c r="P904" s="7" t="s">
        <v>6237</v>
      </c>
      <c r="Q904" s="47" t="s">
        <v>2246</v>
      </c>
      <c r="R904" s="48" t="s">
        <v>10106</v>
      </c>
      <c r="S904" s="48" t="s">
        <v>238</v>
      </c>
      <c r="T904" s="49" t="s">
        <v>74</v>
      </c>
      <c r="U904" s="49" t="s">
        <v>75</v>
      </c>
      <c r="V904" s="48"/>
      <c r="W904" s="61">
        <v>3.54</v>
      </c>
      <c r="X904" s="7" t="s">
        <v>12069</v>
      </c>
      <c r="Y904" s="49" t="s">
        <v>3454</v>
      </c>
      <c r="Z904" s="49" t="s">
        <v>2734</v>
      </c>
      <c r="AA904" s="61">
        <v>0.75</v>
      </c>
      <c r="AB904" s="48" t="s">
        <v>12073</v>
      </c>
      <c r="AC904" s="52" t="s">
        <v>6237</v>
      </c>
      <c r="AD904" s="53" t="str">
        <f t="shared" si="657"/>
        <v>Link</v>
      </c>
      <c r="AE904" s="54">
        <v>25877</v>
      </c>
      <c r="AF904" s="54">
        <v>120</v>
      </c>
      <c r="AG904" s="55"/>
      <c r="AH904" s="56">
        <v>178396</v>
      </c>
    </row>
    <row r="905" spans="1:34" ht="15" x14ac:dyDescent="0.2">
      <c r="A905" s="43" t="s">
        <v>11473</v>
      </c>
      <c r="B905" s="47" t="s">
        <v>653</v>
      </c>
      <c r="C905" s="7" t="s">
        <v>67</v>
      </c>
      <c r="D905" s="7" t="s">
        <v>12137</v>
      </c>
      <c r="E905" s="44">
        <v>5</v>
      </c>
      <c r="F905" s="7"/>
      <c r="G905" s="7"/>
      <c r="H905" s="2" t="s">
        <v>12138</v>
      </c>
      <c r="I905" s="7" t="s">
        <v>5055</v>
      </c>
      <c r="J905" s="7" t="s">
        <v>2919</v>
      </c>
      <c r="K905" s="7" t="s">
        <v>48</v>
      </c>
      <c r="L905" s="7" t="s">
        <v>12139</v>
      </c>
      <c r="M905" s="7"/>
      <c r="N905" s="45" t="str">
        <f t="shared" ref="N905:N910" si="659">HYPERLINK("twitter.com/GamecockSoftbll","@GamecockSoftbll")</f>
        <v>@GamecockSoftbll</v>
      </c>
      <c r="O905" s="74" t="str">
        <f t="shared" ref="O905:O910" si="660">HYPERLINK("https://gamecocksonline.com/sports/2018/6/21/ot-recruiting-questionnaires-html.aspx","Questionnaire")</f>
        <v>Questionnaire</v>
      </c>
      <c r="P905" s="7" t="s">
        <v>10047</v>
      </c>
      <c r="Q905" s="47" t="s">
        <v>653</v>
      </c>
      <c r="R905" s="48" t="s">
        <v>10106</v>
      </c>
      <c r="S905" s="48" t="s">
        <v>238</v>
      </c>
      <c r="T905" s="49" t="s">
        <v>74</v>
      </c>
      <c r="U905" s="49" t="s">
        <v>75</v>
      </c>
      <c r="V905" s="48"/>
      <c r="W905" s="61">
        <v>4.07</v>
      </c>
      <c r="X905" s="7" t="s">
        <v>411</v>
      </c>
      <c r="Y905" s="49" t="s">
        <v>411</v>
      </c>
      <c r="Z905" s="49" t="s">
        <v>412</v>
      </c>
      <c r="AA905" s="61">
        <v>0.68</v>
      </c>
      <c r="AB905" s="48" t="s">
        <v>12149</v>
      </c>
      <c r="AC905" s="52" t="s">
        <v>10047</v>
      </c>
      <c r="AD905" s="53" t="str">
        <f t="shared" ref="AD905:AD910" si="661">HYPERLINK("http://www.sc.edu/study/majors_and_degrees/","Link")</f>
        <v>Link</v>
      </c>
      <c r="AE905" s="54">
        <v>25556</v>
      </c>
      <c r="AF905" s="54">
        <v>103</v>
      </c>
      <c r="AG905" s="55"/>
      <c r="AH905" s="56">
        <v>218663</v>
      </c>
    </row>
    <row r="906" spans="1:34" ht="15" x14ac:dyDescent="0.2">
      <c r="A906" s="43" t="s">
        <v>11473</v>
      </c>
      <c r="B906" s="47" t="s">
        <v>653</v>
      </c>
      <c r="C906" s="7" t="s">
        <v>67</v>
      </c>
      <c r="D906" s="7" t="s">
        <v>12155</v>
      </c>
      <c r="E906" s="44">
        <v>5</v>
      </c>
      <c r="F906" s="7"/>
      <c r="G906" s="7"/>
      <c r="H906" s="2" t="s">
        <v>12138</v>
      </c>
      <c r="I906" s="7" t="s">
        <v>1822</v>
      </c>
      <c r="J906" s="7" t="s">
        <v>12156</v>
      </c>
      <c r="K906" s="2" t="s">
        <v>55</v>
      </c>
      <c r="L906" s="7" t="s">
        <v>12157</v>
      </c>
      <c r="M906" s="7"/>
      <c r="N906" s="45" t="str">
        <f t="shared" si="659"/>
        <v>@GamecockSoftbll</v>
      </c>
      <c r="O906" s="74" t="str">
        <f t="shared" si="660"/>
        <v>Questionnaire</v>
      </c>
      <c r="P906" s="7" t="s">
        <v>10047</v>
      </c>
      <c r="Q906" s="47" t="s">
        <v>653</v>
      </c>
      <c r="R906" s="48" t="s">
        <v>10106</v>
      </c>
      <c r="S906" s="48" t="s">
        <v>238</v>
      </c>
      <c r="T906" s="49" t="s">
        <v>74</v>
      </c>
      <c r="U906" s="49" t="s">
        <v>75</v>
      </c>
      <c r="V906" s="48"/>
      <c r="W906" s="61">
        <v>4.07</v>
      </c>
      <c r="X906" s="7" t="s">
        <v>411</v>
      </c>
      <c r="Y906" s="49" t="s">
        <v>411</v>
      </c>
      <c r="Z906" s="49" t="s">
        <v>412</v>
      </c>
      <c r="AA906" s="61">
        <v>0.68</v>
      </c>
      <c r="AB906" s="48" t="s">
        <v>12149</v>
      </c>
      <c r="AC906" s="52" t="s">
        <v>10047</v>
      </c>
      <c r="AD906" s="53" t="str">
        <f t="shared" si="661"/>
        <v>Link</v>
      </c>
      <c r="AE906" s="54">
        <v>25556</v>
      </c>
      <c r="AF906" s="54">
        <v>103</v>
      </c>
      <c r="AG906" s="55"/>
      <c r="AH906" s="56">
        <v>218663</v>
      </c>
    </row>
    <row r="907" spans="1:34" ht="15" x14ac:dyDescent="0.2">
      <c r="A907" s="43" t="s">
        <v>11473</v>
      </c>
      <c r="B907" s="47" t="s">
        <v>653</v>
      </c>
      <c r="C907" s="7" t="s">
        <v>67</v>
      </c>
      <c r="D907" s="7" t="s">
        <v>12166</v>
      </c>
      <c r="E907" s="44">
        <v>5</v>
      </c>
      <c r="F907" s="7"/>
      <c r="G907" s="7"/>
      <c r="H907" s="2" t="s">
        <v>12138</v>
      </c>
      <c r="I907" s="7" t="s">
        <v>12167</v>
      </c>
      <c r="J907" s="7" t="s">
        <v>773</v>
      </c>
      <c r="K907" s="2" t="s">
        <v>55</v>
      </c>
      <c r="L907" s="7" t="s">
        <v>12168</v>
      </c>
      <c r="M907" s="7"/>
      <c r="N907" s="45" t="str">
        <f t="shared" si="659"/>
        <v>@GamecockSoftbll</v>
      </c>
      <c r="O907" s="74" t="str">
        <f t="shared" si="660"/>
        <v>Questionnaire</v>
      </c>
      <c r="P907" s="7" t="s">
        <v>10047</v>
      </c>
      <c r="Q907" s="47" t="s">
        <v>653</v>
      </c>
      <c r="R907" s="48" t="s">
        <v>10106</v>
      </c>
      <c r="S907" s="48" t="s">
        <v>238</v>
      </c>
      <c r="T907" s="49" t="s">
        <v>74</v>
      </c>
      <c r="U907" s="49" t="s">
        <v>75</v>
      </c>
      <c r="V907" s="48"/>
      <c r="W907" s="61">
        <v>4.07</v>
      </c>
      <c r="X907" s="7" t="s">
        <v>411</v>
      </c>
      <c r="Y907" s="49" t="s">
        <v>411</v>
      </c>
      <c r="Z907" s="49" t="s">
        <v>412</v>
      </c>
      <c r="AA907" s="61">
        <v>0.68</v>
      </c>
      <c r="AB907" s="48" t="s">
        <v>12149</v>
      </c>
      <c r="AC907" s="52" t="s">
        <v>10047</v>
      </c>
      <c r="AD907" s="53" t="str">
        <f t="shared" si="661"/>
        <v>Link</v>
      </c>
      <c r="AE907" s="54">
        <v>25556</v>
      </c>
      <c r="AF907" s="54">
        <v>103</v>
      </c>
      <c r="AG907" s="55"/>
      <c r="AH907" s="56">
        <v>218663</v>
      </c>
    </row>
    <row r="908" spans="1:34" ht="15" x14ac:dyDescent="0.2">
      <c r="A908" s="43" t="s">
        <v>11473</v>
      </c>
      <c r="B908" s="47" t="s">
        <v>653</v>
      </c>
      <c r="C908" s="7" t="s">
        <v>67</v>
      </c>
      <c r="D908" s="7" t="s">
        <v>12176</v>
      </c>
      <c r="E908" s="44">
        <v>5</v>
      </c>
      <c r="F908" s="7"/>
      <c r="G908" s="7"/>
      <c r="H908" s="2" t="s">
        <v>12138</v>
      </c>
      <c r="I908" s="7" t="s">
        <v>12179</v>
      </c>
      <c r="J908" s="7" t="s">
        <v>12180</v>
      </c>
      <c r="K908" s="7" t="s">
        <v>154</v>
      </c>
      <c r="L908" s="7" t="s">
        <v>12181</v>
      </c>
      <c r="M908" s="7"/>
      <c r="N908" s="45" t="str">
        <f t="shared" si="659"/>
        <v>@GamecockSoftbll</v>
      </c>
      <c r="O908" s="74" t="str">
        <f t="shared" si="660"/>
        <v>Questionnaire</v>
      </c>
      <c r="P908" s="7" t="s">
        <v>10047</v>
      </c>
      <c r="Q908" s="47" t="s">
        <v>653</v>
      </c>
      <c r="R908" s="48" t="s">
        <v>10106</v>
      </c>
      <c r="S908" s="48" t="s">
        <v>238</v>
      </c>
      <c r="T908" s="49" t="s">
        <v>74</v>
      </c>
      <c r="U908" s="49" t="s">
        <v>75</v>
      </c>
      <c r="V908" s="48"/>
      <c r="W908" s="61">
        <v>4.07</v>
      </c>
      <c r="X908" s="7" t="s">
        <v>411</v>
      </c>
      <c r="Y908" s="49" t="s">
        <v>411</v>
      </c>
      <c r="Z908" s="49" t="s">
        <v>412</v>
      </c>
      <c r="AA908" s="61">
        <v>0.68</v>
      </c>
      <c r="AB908" s="48" t="s">
        <v>12149</v>
      </c>
      <c r="AC908" s="52" t="s">
        <v>10047</v>
      </c>
      <c r="AD908" s="53" t="str">
        <f t="shared" si="661"/>
        <v>Link</v>
      </c>
      <c r="AE908" s="54">
        <v>25556</v>
      </c>
      <c r="AF908" s="54">
        <v>103</v>
      </c>
      <c r="AG908" s="55"/>
      <c r="AH908" s="56">
        <v>218663</v>
      </c>
    </row>
    <row r="909" spans="1:34" ht="15" x14ac:dyDescent="0.2">
      <c r="A909" s="43" t="s">
        <v>11473</v>
      </c>
      <c r="B909" s="47" t="s">
        <v>653</v>
      </c>
      <c r="C909" s="7" t="s">
        <v>67</v>
      </c>
      <c r="D909" s="7" t="s">
        <v>12185</v>
      </c>
      <c r="E909" s="44">
        <v>5</v>
      </c>
      <c r="F909" s="7"/>
      <c r="G909" s="7"/>
      <c r="H909" s="2" t="s">
        <v>12138</v>
      </c>
      <c r="I909" s="7" t="s">
        <v>1124</v>
      </c>
      <c r="J909" s="7" t="s">
        <v>6322</v>
      </c>
      <c r="K909" s="7" t="s">
        <v>139</v>
      </c>
      <c r="L909" s="7"/>
      <c r="M909" s="7"/>
      <c r="N909" s="45" t="str">
        <f t="shared" si="659"/>
        <v>@GamecockSoftbll</v>
      </c>
      <c r="O909" s="74" t="str">
        <f t="shared" si="660"/>
        <v>Questionnaire</v>
      </c>
      <c r="P909" s="7" t="s">
        <v>10047</v>
      </c>
      <c r="Q909" s="47" t="s">
        <v>653</v>
      </c>
      <c r="R909" s="48" t="s">
        <v>10106</v>
      </c>
      <c r="S909" s="48" t="s">
        <v>238</v>
      </c>
      <c r="T909" s="49" t="s">
        <v>74</v>
      </c>
      <c r="U909" s="49" t="s">
        <v>75</v>
      </c>
      <c r="V909" s="48"/>
      <c r="W909" s="61">
        <v>4.07</v>
      </c>
      <c r="X909" s="7" t="s">
        <v>411</v>
      </c>
      <c r="Y909" s="49" t="s">
        <v>411</v>
      </c>
      <c r="Z909" s="49" t="s">
        <v>412</v>
      </c>
      <c r="AA909" s="61">
        <v>0.68</v>
      </c>
      <c r="AB909" s="48" t="s">
        <v>12149</v>
      </c>
      <c r="AC909" s="52" t="s">
        <v>10047</v>
      </c>
      <c r="AD909" s="53" t="str">
        <f t="shared" si="661"/>
        <v>Link</v>
      </c>
      <c r="AE909" s="54">
        <v>25556</v>
      </c>
      <c r="AF909" s="54">
        <v>103</v>
      </c>
      <c r="AG909" s="55"/>
      <c r="AH909" s="56">
        <v>218663</v>
      </c>
    </row>
    <row r="910" spans="1:34" ht="15" x14ac:dyDescent="0.2">
      <c r="A910" s="43" t="s">
        <v>11473</v>
      </c>
      <c r="B910" s="47" t="s">
        <v>653</v>
      </c>
      <c r="C910" s="7" t="s">
        <v>67</v>
      </c>
      <c r="D910" s="7" t="s">
        <v>12192</v>
      </c>
      <c r="E910" s="44">
        <v>5</v>
      </c>
      <c r="F910" s="7"/>
      <c r="G910" s="7"/>
      <c r="H910" s="2" t="s">
        <v>12138</v>
      </c>
      <c r="I910" s="7" t="s">
        <v>1132</v>
      </c>
      <c r="J910" s="7" t="s">
        <v>12195</v>
      </c>
      <c r="K910" s="7" t="s">
        <v>139</v>
      </c>
      <c r="L910" s="7"/>
      <c r="M910" s="7"/>
      <c r="N910" s="45" t="str">
        <f t="shared" si="659"/>
        <v>@GamecockSoftbll</v>
      </c>
      <c r="O910" s="74" t="str">
        <f t="shared" si="660"/>
        <v>Questionnaire</v>
      </c>
      <c r="P910" s="7" t="s">
        <v>10047</v>
      </c>
      <c r="Q910" s="47" t="s">
        <v>653</v>
      </c>
      <c r="R910" s="48" t="s">
        <v>10106</v>
      </c>
      <c r="S910" s="48" t="s">
        <v>238</v>
      </c>
      <c r="T910" s="49" t="s">
        <v>74</v>
      </c>
      <c r="U910" s="49" t="s">
        <v>75</v>
      </c>
      <c r="V910" s="48"/>
      <c r="W910" s="61">
        <v>4.07</v>
      </c>
      <c r="X910" s="7" t="s">
        <v>411</v>
      </c>
      <c r="Y910" s="49" t="s">
        <v>411</v>
      </c>
      <c r="Z910" s="49" t="s">
        <v>412</v>
      </c>
      <c r="AA910" s="61">
        <v>0.68</v>
      </c>
      <c r="AB910" s="48" t="s">
        <v>12149</v>
      </c>
      <c r="AC910" s="52" t="s">
        <v>10047</v>
      </c>
      <c r="AD910" s="53" t="str">
        <f t="shared" si="661"/>
        <v>Link</v>
      </c>
      <c r="AE910" s="54">
        <v>25556</v>
      </c>
      <c r="AF910" s="54">
        <v>103</v>
      </c>
      <c r="AG910" s="55"/>
      <c r="AH910" s="56">
        <v>218663</v>
      </c>
    </row>
    <row r="911" spans="1:34" ht="15" x14ac:dyDescent="0.2">
      <c r="A911" s="43" t="s">
        <v>11473</v>
      </c>
      <c r="B911" s="47" t="s">
        <v>346</v>
      </c>
      <c r="C911" s="7" t="s">
        <v>67</v>
      </c>
      <c r="D911" s="7" t="s">
        <v>12208</v>
      </c>
      <c r="E911" s="44">
        <v>5</v>
      </c>
      <c r="F911" s="7"/>
      <c r="G911" s="7"/>
      <c r="H911" s="2" t="s">
        <v>12210</v>
      </c>
      <c r="I911" s="7" t="s">
        <v>8821</v>
      </c>
      <c r="J911" s="7" t="s">
        <v>12213</v>
      </c>
      <c r="K911" s="7" t="s">
        <v>3999</v>
      </c>
      <c r="L911" s="7" t="s">
        <v>12215</v>
      </c>
      <c r="M911" s="7"/>
      <c r="N911" s="45" t="str">
        <f t="shared" ref="N911:N914" si="662">HYPERLINK("twitter.com/Vol_Softball","@Vol_Softball")</f>
        <v>@Vol_Softball</v>
      </c>
      <c r="O911" s="74" t="str">
        <f t="shared" ref="O911:O914" si="663">HYPERLINK("https://college.jumpforward.com/questionnaire.aspx?iid=1649&amp;sportid=31","Questionnaire")</f>
        <v>Questionnaire</v>
      </c>
      <c r="P911" s="7" t="s">
        <v>10627</v>
      </c>
      <c r="Q911" s="47" t="s">
        <v>346</v>
      </c>
      <c r="R911" s="48" t="s">
        <v>12227</v>
      </c>
      <c r="S911" s="48" t="s">
        <v>62</v>
      </c>
      <c r="T911" s="49" t="s">
        <v>74</v>
      </c>
      <c r="U911" s="49" t="s">
        <v>75</v>
      </c>
      <c r="V911" s="48"/>
      <c r="W911" s="61">
        <v>3.89</v>
      </c>
      <c r="X911" s="7" t="s">
        <v>1230</v>
      </c>
      <c r="Y911" s="49" t="s">
        <v>1229</v>
      </c>
      <c r="Z911" s="49" t="s">
        <v>1373</v>
      </c>
      <c r="AA911" s="61">
        <v>0.77</v>
      </c>
      <c r="AB911" s="48" t="s">
        <v>12228</v>
      </c>
      <c r="AC911" s="62" t="s">
        <v>10627</v>
      </c>
      <c r="AD911" s="53" t="str">
        <f t="shared" ref="AD911:AD915" si="664">HYPERLINK("https://admissions.utk.edu/majors/","Link")</f>
        <v>Link</v>
      </c>
      <c r="AE911" s="54">
        <v>22139</v>
      </c>
      <c r="AF911" s="54">
        <v>103</v>
      </c>
      <c r="AG911" s="55"/>
      <c r="AH911" s="56">
        <v>221759</v>
      </c>
    </row>
    <row r="912" spans="1:34" ht="15" x14ac:dyDescent="0.2">
      <c r="A912" s="43" t="s">
        <v>11473</v>
      </c>
      <c r="B912" s="47" t="s">
        <v>346</v>
      </c>
      <c r="C912" s="7" t="s">
        <v>67</v>
      </c>
      <c r="D912" s="7" t="s">
        <v>12238</v>
      </c>
      <c r="E912" s="44">
        <v>5</v>
      </c>
      <c r="F912" s="7"/>
      <c r="G912" s="7"/>
      <c r="H912" s="2" t="s">
        <v>12210</v>
      </c>
      <c r="I912" s="7" t="s">
        <v>6745</v>
      </c>
      <c r="J912" s="7" t="s">
        <v>12213</v>
      </c>
      <c r="K912" s="7" t="s">
        <v>3999</v>
      </c>
      <c r="L912" s="7" t="s">
        <v>12240</v>
      </c>
      <c r="M912" s="7"/>
      <c r="N912" s="45" t="str">
        <f t="shared" si="662"/>
        <v>@Vol_Softball</v>
      </c>
      <c r="O912" s="74" t="str">
        <f t="shared" si="663"/>
        <v>Questionnaire</v>
      </c>
      <c r="P912" s="7" t="s">
        <v>10627</v>
      </c>
      <c r="Q912" s="47" t="s">
        <v>346</v>
      </c>
      <c r="R912" s="48" t="s">
        <v>12227</v>
      </c>
      <c r="S912" s="48" t="s">
        <v>62</v>
      </c>
      <c r="T912" s="49" t="s">
        <v>74</v>
      </c>
      <c r="U912" s="49" t="s">
        <v>75</v>
      </c>
      <c r="V912" s="48"/>
      <c r="W912" s="61">
        <v>3.89</v>
      </c>
      <c r="X912" s="7" t="s">
        <v>1230</v>
      </c>
      <c r="Y912" s="49" t="s">
        <v>1229</v>
      </c>
      <c r="Z912" s="49" t="s">
        <v>1373</v>
      </c>
      <c r="AA912" s="61">
        <v>0.77</v>
      </c>
      <c r="AB912" s="48" t="s">
        <v>12228</v>
      </c>
      <c r="AC912" s="62" t="s">
        <v>10627</v>
      </c>
      <c r="AD912" s="53" t="str">
        <f t="shared" si="664"/>
        <v>Link</v>
      </c>
      <c r="AE912" s="54">
        <v>22139</v>
      </c>
      <c r="AF912" s="54">
        <v>103</v>
      </c>
      <c r="AG912" s="55"/>
      <c r="AH912" s="56">
        <v>221759</v>
      </c>
    </row>
    <row r="913" spans="1:36" ht="15" x14ac:dyDescent="0.2">
      <c r="A913" s="43" t="s">
        <v>11473</v>
      </c>
      <c r="B913" s="47" t="s">
        <v>346</v>
      </c>
      <c r="C913" s="7" t="s">
        <v>67</v>
      </c>
      <c r="D913" s="7" t="s">
        <v>12253</v>
      </c>
      <c r="E913" s="44">
        <v>5</v>
      </c>
      <c r="F913" s="7"/>
      <c r="G913" s="7"/>
      <c r="H913" s="2" t="s">
        <v>12210</v>
      </c>
      <c r="I913" s="7" t="s">
        <v>1382</v>
      </c>
      <c r="J913" s="7" t="s">
        <v>4207</v>
      </c>
      <c r="K913" s="2" t="s">
        <v>55</v>
      </c>
      <c r="L913" s="7" t="s">
        <v>12258</v>
      </c>
      <c r="M913" s="7"/>
      <c r="N913" s="45" t="str">
        <f t="shared" si="662"/>
        <v>@Vol_Softball</v>
      </c>
      <c r="O913" s="74" t="str">
        <f t="shared" si="663"/>
        <v>Questionnaire</v>
      </c>
      <c r="P913" s="7" t="s">
        <v>10627</v>
      </c>
      <c r="Q913" s="47" t="s">
        <v>346</v>
      </c>
      <c r="R913" s="48" t="s">
        <v>12227</v>
      </c>
      <c r="S913" s="48" t="s">
        <v>62</v>
      </c>
      <c r="T913" s="49" t="s">
        <v>74</v>
      </c>
      <c r="U913" s="49" t="s">
        <v>75</v>
      </c>
      <c r="V913" s="48"/>
      <c r="W913" s="61">
        <v>3.89</v>
      </c>
      <c r="X913" s="7" t="s">
        <v>1230</v>
      </c>
      <c r="Y913" s="49" t="s">
        <v>1229</v>
      </c>
      <c r="Z913" s="49" t="s">
        <v>1373</v>
      </c>
      <c r="AA913" s="61">
        <v>0.77</v>
      </c>
      <c r="AB913" s="48" t="s">
        <v>12228</v>
      </c>
      <c r="AC913" s="62" t="s">
        <v>10627</v>
      </c>
      <c r="AD913" s="53" t="str">
        <f t="shared" si="664"/>
        <v>Link</v>
      </c>
      <c r="AE913" s="54">
        <v>22139</v>
      </c>
      <c r="AF913" s="54">
        <v>103</v>
      </c>
      <c r="AG913" s="55"/>
      <c r="AH913" s="56">
        <v>221759</v>
      </c>
    </row>
    <row r="914" spans="1:36" ht="15" x14ac:dyDescent="0.2">
      <c r="A914" s="43" t="s">
        <v>11473</v>
      </c>
      <c r="B914" s="47" t="s">
        <v>346</v>
      </c>
      <c r="C914" s="7" t="s">
        <v>67</v>
      </c>
      <c r="D914" s="7" t="s">
        <v>12266</v>
      </c>
      <c r="E914" s="44">
        <v>5</v>
      </c>
      <c r="F914" s="7"/>
      <c r="G914" s="7"/>
      <c r="H914" s="2" t="s">
        <v>12210</v>
      </c>
      <c r="I914" s="7" t="s">
        <v>1163</v>
      </c>
      <c r="J914" s="7" t="s">
        <v>196</v>
      </c>
      <c r="K914" s="7" t="s">
        <v>154</v>
      </c>
      <c r="L914" s="7" t="s">
        <v>12270</v>
      </c>
      <c r="M914" s="7" t="s">
        <v>12271</v>
      </c>
      <c r="N914" s="45" t="str">
        <f t="shared" si="662"/>
        <v>@Vol_Softball</v>
      </c>
      <c r="O914" s="74" t="str">
        <f t="shared" si="663"/>
        <v>Questionnaire</v>
      </c>
      <c r="P914" s="7" t="s">
        <v>10627</v>
      </c>
      <c r="Q914" s="47" t="s">
        <v>346</v>
      </c>
      <c r="R914" s="48" t="s">
        <v>12227</v>
      </c>
      <c r="S914" s="48" t="s">
        <v>62</v>
      </c>
      <c r="T914" s="49" t="s">
        <v>74</v>
      </c>
      <c r="U914" s="49" t="s">
        <v>75</v>
      </c>
      <c r="V914" s="48"/>
      <c r="W914" s="61">
        <v>3.89</v>
      </c>
      <c r="X914" s="7" t="s">
        <v>1230</v>
      </c>
      <c r="Y914" s="49" t="s">
        <v>1229</v>
      </c>
      <c r="Z914" s="49" t="s">
        <v>1373</v>
      </c>
      <c r="AA914" s="61">
        <v>0.77</v>
      </c>
      <c r="AB914" s="48" t="s">
        <v>12228</v>
      </c>
      <c r="AC914" s="62" t="s">
        <v>10627</v>
      </c>
      <c r="AD914" s="53" t="str">
        <f t="shared" si="664"/>
        <v>Link</v>
      </c>
      <c r="AE914" s="54">
        <v>22139</v>
      </c>
      <c r="AF914" s="54">
        <v>103</v>
      </c>
      <c r="AG914" s="55"/>
      <c r="AH914" s="56">
        <v>221759</v>
      </c>
    </row>
    <row r="915" spans="1:36" ht="15" x14ac:dyDescent="0.2">
      <c r="A915" s="43" t="s">
        <v>11473</v>
      </c>
      <c r="B915" s="47" t="s">
        <v>346</v>
      </c>
      <c r="C915" s="7" t="s">
        <v>67</v>
      </c>
      <c r="D915" s="7" t="s">
        <v>12281</v>
      </c>
      <c r="E915" s="44">
        <v>5</v>
      </c>
      <c r="F915" s="7"/>
      <c r="G915" s="7"/>
      <c r="H915" s="2" t="s">
        <v>12210</v>
      </c>
      <c r="I915" s="7" t="s">
        <v>6702</v>
      </c>
      <c r="J915" s="7" t="s">
        <v>12213</v>
      </c>
      <c r="K915" s="7" t="s">
        <v>139</v>
      </c>
      <c r="L915" s="7"/>
      <c r="M915" s="7"/>
      <c r="N915" s="7"/>
      <c r="O915" s="7"/>
      <c r="P915" s="48" t="s">
        <v>10627</v>
      </c>
      <c r="Q915" s="47" t="s">
        <v>346</v>
      </c>
      <c r="R915" s="48" t="s">
        <v>12227</v>
      </c>
      <c r="S915" s="48" t="s">
        <v>62</v>
      </c>
      <c r="T915" s="49" t="s">
        <v>74</v>
      </c>
      <c r="U915" s="49" t="s">
        <v>75</v>
      </c>
      <c r="V915" s="48"/>
      <c r="W915" s="61">
        <v>3.89</v>
      </c>
      <c r="X915" s="49" t="s">
        <v>1230</v>
      </c>
      <c r="Y915" s="49" t="s">
        <v>1229</v>
      </c>
      <c r="Z915" s="49" t="s">
        <v>1373</v>
      </c>
      <c r="AA915" s="61">
        <v>0.77</v>
      </c>
      <c r="AB915" s="48" t="s">
        <v>12228</v>
      </c>
      <c r="AC915" s="62" t="s">
        <v>10627</v>
      </c>
      <c r="AD915" s="53" t="str">
        <f t="shared" si="664"/>
        <v>Link</v>
      </c>
      <c r="AE915" s="54">
        <v>22139</v>
      </c>
      <c r="AF915" s="54">
        <v>103</v>
      </c>
      <c r="AG915" s="55"/>
      <c r="AH915" s="56">
        <v>221759</v>
      </c>
    </row>
    <row r="916" spans="1:36" ht="15" x14ac:dyDescent="0.2">
      <c r="A916" s="43" t="s">
        <v>11473</v>
      </c>
      <c r="B916" s="47" t="s">
        <v>280</v>
      </c>
      <c r="C916" s="7" t="s">
        <v>67</v>
      </c>
      <c r="D916" s="7" t="s">
        <v>12287</v>
      </c>
      <c r="E916" s="44">
        <v>5</v>
      </c>
      <c r="F916" s="7"/>
      <c r="G916" s="7"/>
      <c r="H916" s="2" t="s">
        <v>12288</v>
      </c>
      <c r="I916" s="7" t="s">
        <v>10911</v>
      </c>
      <c r="J916" s="7" t="s">
        <v>8951</v>
      </c>
      <c r="K916" s="7" t="s">
        <v>48</v>
      </c>
      <c r="L916" s="7" t="s">
        <v>12291</v>
      </c>
      <c r="M916" s="7"/>
      <c r="N916" s="45" t="str">
        <f>HYPERLINK("twitter.com/coach_jo_evans","@coach_jo_evans")</f>
        <v>@coach_jo_evans</v>
      </c>
      <c r="O916" s="74" t="str">
        <f t="shared" ref="O916:O920" si="665">HYPERLINK("https://questionnaire.frontrush.com/Questionnaire/Questionnaire.aspx?q=2202&amp;s=77&amp;o=4","Questionnaire")</f>
        <v>Questionnaire</v>
      </c>
      <c r="P916" s="7" t="s">
        <v>12303</v>
      </c>
      <c r="Q916" s="47" t="s">
        <v>280</v>
      </c>
      <c r="R916" s="48" t="s">
        <v>12304</v>
      </c>
      <c r="S916" s="48" t="s">
        <v>238</v>
      </c>
      <c r="T916" s="49" t="s">
        <v>74</v>
      </c>
      <c r="U916" s="49" t="s">
        <v>75</v>
      </c>
      <c r="V916" s="48"/>
      <c r="W916" s="61">
        <v>3.55</v>
      </c>
      <c r="X916" s="7" t="s">
        <v>6046</v>
      </c>
      <c r="Y916" s="49" t="s">
        <v>190</v>
      </c>
      <c r="Z916" s="49" t="s">
        <v>1373</v>
      </c>
      <c r="AA916" s="61">
        <v>0.67</v>
      </c>
      <c r="AB916" s="48" t="s">
        <v>12308</v>
      </c>
      <c r="AC916" s="52" t="s">
        <v>12303</v>
      </c>
      <c r="AD916" s="53" t="str">
        <f t="shared" ref="AD916:AD920" si="666">HYPERLINK("https://www.tamu.edu/about/departments.html","Link")</f>
        <v>Link</v>
      </c>
      <c r="AE916" s="54">
        <v>50735</v>
      </c>
      <c r="AF916" s="54">
        <v>69</v>
      </c>
      <c r="AG916" s="55"/>
      <c r="AH916" s="56">
        <v>228723</v>
      </c>
    </row>
    <row r="917" spans="1:36" ht="15" x14ac:dyDescent="0.2">
      <c r="A917" s="43" t="s">
        <v>11473</v>
      </c>
      <c r="B917" s="47" t="s">
        <v>280</v>
      </c>
      <c r="C917" s="7" t="s">
        <v>67</v>
      </c>
      <c r="D917" s="7" t="s">
        <v>12312</v>
      </c>
      <c r="E917" s="44">
        <v>5</v>
      </c>
      <c r="F917" s="7"/>
      <c r="G917" s="7"/>
      <c r="H917" s="2" t="s">
        <v>12288</v>
      </c>
      <c r="I917" s="7" t="s">
        <v>2223</v>
      </c>
      <c r="J917" s="7" t="s">
        <v>12314</v>
      </c>
      <c r="K917" s="2" t="s">
        <v>55</v>
      </c>
      <c r="L917" s="7" t="s">
        <v>12315</v>
      </c>
      <c r="M917" s="7" t="s">
        <v>12317</v>
      </c>
      <c r="N917" s="45" t="str">
        <f t="shared" ref="N917:N920" si="667">HYPERLINK("twitter.com/AggieSoftball","@AggieSoftball")</f>
        <v>@AggieSoftball</v>
      </c>
      <c r="O917" s="74" t="str">
        <f t="shared" si="665"/>
        <v>Questionnaire</v>
      </c>
      <c r="P917" s="7" t="s">
        <v>12303</v>
      </c>
      <c r="Q917" s="47" t="s">
        <v>280</v>
      </c>
      <c r="R917" s="48" t="s">
        <v>12304</v>
      </c>
      <c r="S917" s="48" t="s">
        <v>238</v>
      </c>
      <c r="T917" s="49" t="s">
        <v>74</v>
      </c>
      <c r="U917" s="49" t="s">
        <v>75</v>
      </c>
      <c r="V917" s="48"/>
      <c r="W917" s="61">
        <v>3.55</v>
      </c>
      <c r="X917" s="7" t="s">
        <v>6046</v>
      </c>
      <c r="Y917" s="49" t="s">
        <v>190</v>
      </c>
      <c r="Z917" s="49" t="s">
        <v>1373</v>
      </c>
      <c r="AA917" s="61">
        <v>0.67</v>
      </c>
      <c r="AB917" s="48" t="s">
        <v>12308</v>
      </c>
      <c r="AC917" s="52" t="s">
        <v>12303</v>
      </c>
      <c r="AD917" s="53" t="str">
        <f t="shared" si="666"/>
        <v>Link</v>
      </c>
      <c r="AE917" s="54">
        <v>50735</v>
      </c>
      <c r="AF917" s="54">
        <v>69</v>
      </c>
      <c r="AG917" s="55"/>
      <c r="AH917" s="56">
        <v>228723</v>
      </c>
    </row>
    <row r="918" spans="1:36" ht="15" x14ac:dyDescent="0.2">
      <c r="A918" s="43" t="s">
        <v>11473</v>
      </c>
      <c r="B918" s="47" t="s">
        <v>280</v>
      </c>
      <c r="C918" s="7" t="s">
        <v>67</v>
      </c>
      <c r="D918" s="7" t="s">
        <v>12326</v>
      </c>
      <c r="E918" s="44">
        <v>5</v>
      </c>
      <c r="F918" s="7"/>
      <c r="G918" s="7"/>
      <c r="H918" s="2" t="s">
        <v>12288</v>
      </c>
      <c r="I918" s="7" t="s">
        <v>6721</v>
      </c>
      <c r="J918" s="7" t="s">
        <v>12332</v>
      </c>
      <c r="K918" s="2" t="s">
        <v>55</v>
      </c>
      <c r="L918" s="7"/>
      <c r="M918" s="7"/>
      <c r="N918" s="45" t="str">
        <f t="shared" si="667"/>
        <v>@AggieSoftball</v>
      </c>
      <c r="O918" s="74" t="str">
        <f t="shared" si="665"/>
        <v>Questionnaire</v>
      </c>
      <c r="P918" s="7" t="s">
        <v>12303</v>
      </c>
      <c r="Q918" s="47" t="s">
        <v>280</v>
      </c>
      <c r="R918" s="48" t="s">
        <v>12304</v>
      </c>
      <c r="S918" s="48" t="s">
        <v>238</v>
      </c>
      <c r="T918" s="49" t="s">
        <v>74</v>
      </c>
      <c r="U918" s="49" t="s">
        <v>75</v>
      </c>
      <c r="V918" s="48"/>
      <c r="W918" s="61">
        <v>3.55</v>
      </c>
      <c r="X918" s="7" t="s">
        <v>6046</v>
      </c>
      <c r="Y918" s="49" t="s">
        <v>190</v>
      </c>
      <c r="Z918" s="49" t="s">
        <v>1373</v>
      </c>
      <c r="AA918" s="61">
        <v>0.67</v>
      </c>
      <c r="AB918" s="48" t="s">
        <v>12308</v>
      </c>
      <c r="AC918" s="52" t="s">
        <v>12303</v>
      </c>
      <c r="AD918" s="53" t="str">
        <f t="shared" si="666"/>
        <v>Link</v>
      </c>
      <c r="AE918" s="54">
        <v>50735</v>
      </c>
      <c r="AF918" s="54">
        <v>69</v>
      </c>
      <c r="AG918" s="55"/>
      <c r="AH918" s="56">
        <v>228723</v>
      </c>
    </row>
    <row r="919" spans="1:36" ht="15" x14ac:dyDescent="0.2">
      <c r="A919" s="43" t="s">
        <v>11473</v>
      </c>
      <c r="B919" s="47" t="s">
        <v>280</v>
      </c>
      <c r="C919" s="7" t="s">
        <v>67</v>
      </c>
      <c r="D919" s="7" t="s">
        <v>12342</v>
      </c>
      <c r="E919" s="44">
        <v>5</v>
      </c>
      <c r="F919" s="7"/>
      <c r="G919" s="7"/>
      <c r="H919" s="2" t="s">
        <v>12288</v>
      </c>
      <c r="I919" s="7" t="s">
        <v>234</v>
      </c>
      <c r="J919" s="7" t="s">
        <v>12345</v>
      </c>
      <c r="K919" s="7" t="s">
        <v>139</v>
      </c>
      <c r="L919" s="7"/>
      <c r="M919" s="7"/>
      <c r="N919" s="45" t="str">
        <f t="shared" si="667"/>
        <v>@AggieSoftball</v>
      </c>
      <c r="O919" s="74" t="str">
        <f t="shared" si="665"/>
        <v>Questionnaire</v>
      </c>
      <c r="P919" s="7" t="s">
        <v>12303</v>
      </c>
      <c r="Q919" s="47" t="s">
        <v>280</v>
      </c>
      <c r="R919" s="48" t="s">
        <v>12304</v>
      </c>
      <c r="S919" s="48" t="s">
        <v>238</v>
      </c>
      <c r="T919" s="49" t="s">
        <v>74</v>
      </c>
      <c r="U919" s="49" t="s">
        <v>75</v>
      </c>
      <c r="V919" s="48"/>
      <c r="W919" s="61">
        <v>3.55</v>
      </c>
      <c r="X919" s="7" t="s">
        <v>6046</v>
      </c>
      <c r="Y919" s="49" t="s">
        <v>190</v>
      </c>
      <c r="Z919" s="49" t="s">
        <v>1373</v>
      </c>
      <c r="AA919" s="61">
        <v>0.67</v>
      </c>
      <c r="AB919" s="48" t="s">
        <v>12308</v>
      </c>
      <c r="AC919" s="52" t="s">
        <v>12303</v>
      </c>
      <c r="AD919" s="53" t="str">
        <f t="shared" si="666"/>
        <v>Link</v>
      </c>
      <c r="AE919" s="54">
        <v>50735</v>
      </c>
      <c r="AF919" s="54">
        <v>69</v>
      </c>
      <c r="AG919" s="55"/>
      <c r="AH919" s="56">
        <v>228723</v>
      </c>
    </row>
    <row r="920" spans="1:36" ht="15" x14ac:dyDescent="0.2">
      <c r="A920" s="43" t="s">
        <v>11473</v>
      </c>
      <c r="B920" s="47" t="s">
        <v>280</v>
      </c>
      <c r="C920" s="7" t="s">
        <v>67</v>
      </c>
      <c r="D920" s="7" t="s">
        <v>12353</v>
      </c>
      <c r="E920" s="44">
        <v>5</v>
      </c>
      <c r="F920" s="7"/>
      <c r="G920" s="7"/>
      <c r="H920" s="2" t="s">
        <v>12288</v>
      </c>
      <c r="I920" s="7" t="s">
        <v>12354</v>
      </c>
      <c r="J920" s="7" t="s">
        <v>773</v>
      </c>
      <c r="K920" s="7" t="s">
        <v>154</v>
      </c>
      <c r="L920" s="7" t="s">
        <v>12355</v>
      </c>
      <c r="M920" s="7"/>
      <c r="N920" s="45" t="str">
        <f t="shared" si="667"/>
        <v>@AggieSoftball</v>
      </c>
      <c r="O920" s="74" t="str">
        <f t="shared" si="665"/>
        <v>Questionnaire</v>
      </c>
      <c r="P920" s="7" t="s">
        <v>12303</v>
      </c>
      <c r="Q920" s="47" t="s">
        <v>280</v>
      </c>
      <c r="R920" s="48" t="s">
        <v>12304</v>
      </c>
      <c r="S920" s="48" t="s">
        <v>238</v>
      </c>
      <c r="T920" s="49" t="s">
        <v>74</v>
      </c>
      <c r="U920" s="49" t="s">
        <v>75</v>
      </c>
      <c r="V920" s="48"/>
      <c r="W920" s="61">
        <v>3.55</v>
      </c>
      <c r="X920" s="7" t="s">
        <v>6046</v>
      </c>
      <c r="Y920" s="49" t="s">
        <v>190</v>
      </c>
      <c r="Z920" s="49" t="s">
        <v>1373</v>
      </c>
      <c r="AA920" s="61">
        <v>0.67</v>
      </c>
      <c r="AB920" s="48" t="s">
        <v>12308</v>
      </c>
      <c r="AC920" s="52" t="s">
        <v>12303</v>
      </c>
      <c r="AD920" s="53" t="str">
        <f t="shared" si="666"/>
        <v>Link</v>
      </c>
      <c r="AE920" s="54">
        <v>50735</v>
      </c>
      <c r="AF920" s="54">
        <v>69</v>
      </c>
      <c r="AG920" s="55"/>
      <c r="AH920" s="56">
        <v>228723</v>
      </c>
    </row>
    <row r="921" spans="1:36" ht="15" x14ac:dyDescent="0.2">
      <c r="A921" s="32" t="s">
        <v>12362</v>
      </c>
      <c r="B921" s="33" t="s">
        <v>346</v>
      </c>
      <c r="C921" s="35" t="s">
        <v>67</v>
      </c>
      <c r="D921" s="57"/>
      <c r="E921" s="83">
        <v>5</v>
      </c>
      <c r="F921" s="7"/>
      <c r="G921" s="57"/>
      <c r="H921" s="2" t="s">
        <v>12365</v>
      </c>
      <c r="I921" s="2" t="s">
        <v>2705</v>
      </c>
      <c r="J921" s="2" t="s">
        <v>12367</v>
      </c>
      <c r="K921" s="2" t="s">
        <v>48</v>
      </c>
      <c r="L921" s="2" t="s">
        <v>12370</v>
      </c>
      <c r="M921" s="2" t="s">
        <v>12372</v>
      </c>
      <c r="N921" s="7"/>
      <c r="O921" s="7"/>
      <c r="P921" s="48" t="s">
        <v>12373</v>
      </c>
      <c r="Q921" s="60" t="s">
        <v>346</v>
      </c>
      <c r="R921" s="48" t="s">
        <v>12375</v>
      </c>
      <c r="S921" s="6" t="s">
        <v>186</v>
      </c>
      <c r="T921" s="4" t="s">
        <v>74</v>
      </c>
      <c r="U921" s="48" t="s">
        <v>75</v>
      </c>
      <c r="V921" s="49"/>
      <c r="W921" s="37">
        <v>3.4</v>
      </c>
      <c r="X921" s="49" t="s">
        <v>8683</v>
      </c>
      <c r="Y921" s="49" t="s">
        <v>2046</v>
      </c>
      <c r="Z921" s="49" t="s">
        <v>278</v>
      </c>
      <c r="AA921" s="65">
        <v>0.92</v>
      </c>
      <c r="AB921" s="48" t="s">
        <v>12376</v>
      </c>
      <c r="AC921" s="52" t="s">
        <v>12373</v>
      </c>
      <c r="AD921" s="53" t="str">
        <f t="shared" ref="AD921:AD923" si="668">HYPERLINK("https://www.etsu.edu/ehome/majors/bachelors/","Link")</f>
        <v>Link</v>
      </c>
      <c r="AE921" s="42">
        <v>11065</v>
      </c>
      <c r="AF921" s="55"/>
      <c r="AG921" s="55"/>
      <c r="AH921" s="56">
        <v>220075</v>
      </c>
      <c r="AI921" s="56" t="s">
        <v>2459</v>
      </c>
      <c r="AJ921" s="56"/>
    </row>
    <row r="922" spans="1:36" ht="15" x14ac:dyDescent="0.2">
      <c r="A922" s="32" t="s">
        <v>12362</v>
      </c>
      <c r="B922" s="33" t="s">
        <v>346</v>
      </c>
      <c r="C922" s="35" t="s">
        <v>67</v>
      </c>
      <c r="D922" s="57"/>
      <c r="E922" s="83">
        <v>5</v>
      </c>
      <c r="F922" s="7"/>
      <c r="G922" s="57"/>
      <c r="H922" s="2" t="s">
        <v>12365</v>
      </c>
      <c r="I922" s="2" t="s">
        <v>2747</v>
      </c>
      <c r="J922" s="2" t="s">
        <v>12388</v>
      </c>
      <c r="K922" s="2" t="s">
        <v>55</v>
      </c>
      <c r="L922" s="2" t="s">
        <v>12389</v>
      </c>
      <c r="M922" s="2" t="s">
        <v>12390</v>
      </c>
      <c r="N922" s="7"/>
      <c r="O922" s="7"/>
      <c r="P922" s="48" t="s">
        <v>12373</v>
      </c>
      <c r="Q922" s="60" t="s">
        <v>346</v>
      </c>
      <c r="R922" s="48" t="s">
        <v>12375</v>
      </c>
      <c r="S922" s="6" t="s">
        <v>186</v>
      </c>
      <c r="T922" s="4" t="s">
        <v>74</v>
      </c>
      <c r="U922" s="48" t="s">
        <v>75</v>
      </c>
      <c r="V922" s="49"/>
      <c r="W922" s="37">
        <v>3.4</v>
      </c>
      <c r="X922" s="49" t="s">
        <v>8683</v>
      </c>
      <c r="Y922" s="49" t="s">
        <v>2046</v>
      </c>
      <c r="Z922" s="49" t="s">
        <v>278</v>
      </c>
      <c r="AA922" s="65">
        <v>0.92</v>
      </c>
      <c r="AB922" s="48" t="s">
        <v>12376</v>
      </c>
      <c r="AC922" s="52" t="s">
        <v>12373</v>
      </c>
      <c r="AD922" s="53" t="str">
        <f t="shared" si="668"/>
        <v>Link</v>
      </c>
      <c r="AE922" s="42">
        <v>11065</v>
      </c>
      <c r="AF922" s="55"/>
      <c r="AG922" s="55"/>
      <c r="AH922" s="56">
        <v>220075</v>
      </c>
      <c r="AI922" s="56" t="s">
        <v>2459</v>
      </c>
      <c r="AJ922" s="56"/>
    </row>
    <row r="923" spans="1:36" ht="15" x14ac:dyDescent="0.2">
      <c r="A923" s="32" t="s">
        <v>12362</v>
      </c>
      <c r="B923" s="33" t="s">
        <v>346</v>
      </c>
      <c r="C923" s="35" t="s">
        <v>67</v>
      </c>
      <c r="D923" s="57"/>
      <c r="E923" s="83">
        <v>5</v>
      </c>
      <c r="F923" s="7"/>
      <c r="G923" s="57"/>
      <c r="H923" s="2" t="s">
        <v>12365</v>
      </c>
      <c r="I923" s="2" t="s">
        <v>3899</v>
      </c>
      <c r="J923" s="2" t="s">
        <v>3303</v>
      </c>
      <c r="K923" s="2" t="s">
        <v>55</v>
      </c>
      <c r="L923" s="2" t="s">
        <v>12397</v>
      </c>
      <c r="M923" s="2" t="s">
        <v>12390</v>
      </c>
      <c r="N923" s="7"/>
      <c r="O923" s="7"/>
      <c r="P923" s="48" t="s">
        <v>12373</v>
      </c>
      <c r="Q923" s="60" t="s">
        <v>346</v>
      </c>
      <c r="R923" s="48" t="s">
        <v>12375</v>
      </c>
      <c r="S923" s="6" t="s">
        <v>186</v>
      </c>
      <c r="T923" s="4" t="s">
        <v>74</v>
      </c>
      <c r="U923" s="48" t="s">
        <v>75</v>
      </c>
      <c r="V923" s="49"/>
      <c r="W923" s="37">
        <v>3.4</v>
      </c>
      <c r="X923" s="49" t="s">
        <v>8683</v>
      </c>
      <c r="Y923" s="49" t="s">
        <v>2046</v>
      </c>
      <c r="Z923" s="49" t="s">
        <v>278</v>
      </c>
      <c r="AA923" s="65">
        <v>0.92</v>
      </c>
      <c r="AB923" s="48" t="s">
        <v>12376</v>
      </c>
      <c r="AC923" s="52" t="s">
        <v>12373</v>
      </c>
      <c r="AD923" s="53" t="str">
        <f t="shared" si="668"/>
        <v>Link</v>
      </c>
      <c r="AE923" s="42">
        <v>11065</v>
      </c>
      <c r="AF923" s="55"/>
      <c r="AG923" s="55"/>
      <c r="AH923" s="56">
        <v>220075</v>
      </c>
      <c r="AI923" s="56" t="s">
        <v>2459</v>
      </c>
      <c r="AJ923" s="56"/>
    </row>
    <row r="924" spans="1:36" ht="15" x14ac:dyDescent="0.2">
      <c r="A924" s="43" t="s">
        <v>12362</v>
      </c>
      <c r="B924" s="47" t="s">
        <v>653</v>
      </c>
      <c r="C924" s="7" t="s">
        <v>67</v>
      </c>
      <c r="D924" s="7" t="s">
        <v>12406</v>
      </c>
      <c r="E924" s="44">
        <v>5</v>
      </c>
      <c r="F924" s="7"/>
      <c r="G924" s="7"/>
      <c r="H924" s="2" t="s">
        <v>12407</v>
      </c>
      <c r="I924" s="7" t="s">
        <v>12408</v>
      </c>
      <c r="J924" s="7" t="s">
        <v>701</v>
      </c>
      <c r="K924" s="7" t="s">
        <v>48</v>
      </c>
      <c r="L924" s="7" t="s">
        <v>12410</v>
      </c>
      <c r="M924" s="7" t="s">
        <v>12412</v>
      </c>
      <c r="N924" s="45" t="str">
        <f t="shared" ref="N924:N926" si="669">HYPERLINK("twitter.com/furmansoftball","@furmansoftball")</f>
        <v>@furmansoftball</v>
      </c>
      <c r="O924" s="74" t="str">
        <f t="shared" ref="O924:O926" si="670">HYPERLINK("https://furmanpaladins.com/sb_output.aspx?form=16","Questionnaire")</f>
        <v>Questionnaire</v>
      </c>
      <c r="P924" s="7" t="s">
        <v>12422</v>
      </c>
      <c r="Q924" s="47" t="s">
        <v>653</v>
      </c>
      <c r="R924" s="48" t="s">
        <v>237</v>
      </c>
      <c r="S924" s="48" t="s">
        <v>186</v>
      </c>
      <c r="T924" s="73" t="s">
        <v>63</v>
      </c>
      <c r="U924" s="49" t="s">
        <v>75</v>
      </c>
      <c r="V924" s="48"/>
      <c r="W924" s="61">
        <v>3.64</v>
      </c>
      <c r="X924" s="7" t="s">
        <v>2804</v>
      </c>
      <c r="Y924" s="49" t="s">
        <v>411</v>
      </c>
      <c r="Z924" s="49" t="s">
        <v>81</v>
      </c>
      <c r="AA924" s="61">
        <v>0.68</v>
      </c>
      <c r="AB924" s="71">
        <v>63018</v>
      </c>
      <c r="AC924" s="62" t="s">
        <v>12422</v>
      </c>
      <c r="AD924" s="53" t="str">
        <f t="shared" ref="AD924:AD926" si="671">HYPERLINK("http://www.furman.edu/academics/majors-minors-and-programs/","Link")</f>
        <v>Link</v>
      </c>
      <c r="AE924" s="54">
        <v>2797</v>
      </c>
      <c r="AF924" s="55"/>
      <c r="AG924" s="54">
        <v>53</v>
      </c>
      <c r="AH924" s="56">
        <v>218070</v>
      </c>
    </row>
    <row r="925" spans="1:36" ht="15" x14ac:dyDescent="0.2">
      <c r="A925" s="43" t="s">
        <v>12362</v>
      </c>
      <c r="B925" s="47" t="s">
        <v>653</v>
      </c>
      <c r="C925" s="7" t="s">
        <v>67</v>
      </c>
      <c r="D925" s="7" t="s">
        <v>12437</v>
      </c>
      <c r="E925" s="44">
        <v>5</v>
      </c>
      <c r="F925" s="7"/>
      <c r="G925" s="7"/>
      <c r="H925" s="2" t="s">
        <v>12407</v>
      </c>
      <c r="I925" s="7" t="s">
        <v>1418</v>
      </c>
      <c r="J925" s="7" t="s">
        <v>12438</v>
      </c>
      <c r="K925" s="2" t="s">
        <v>55</v>
      </c>
      <c r="L925" s="7" t="s">
        <v>12440</v>
      </c>
      <c r="M925" s="7" t="s">
        <v>12442</v>
      </c>
      <c r="N925" s="45" t="str">
        <f t="shared" si="669"/>
        <v>@furmansoftball</v>
      </c>
      <c r="O925" s="74" t="str">
        <f t="shared" si="670"/>
        <v>Questionnaire</v>
      </c>
      <c r="P925" s="7" t="s">
        <v>12422</v>
      </c>
      <c r="Q925" s="47" t="s">
        <v>653</v>
      </c>
      <c r="R925" s="48" t="s">
        <v>237</v>
      </c>
      <c r="S925" s="48" t="s">
        <v>186</v>
      </c>
      <c r="T925" s="73" t="s">
        <v>63</v>
      </c>
      <c r="U925" s="49" t="s">
        <v>75</v>
      </c>
      <c r="V925" s="48"/>
      <c r="W925" s="61">
        <v>3.64</v>
      </c>
      <c r="X925" s="7" t="s">
        <v>2804</v>
      </c>
      <c r="Y925" s="49" t="s">
        <v>411</v>
      </c>
      <c r="Z925" s="49" t="s">
        <v>81</v>
      </c>
      <c r="AA925" s="61">
        <v>0.68</v>
      </c>
      <c r="AB925" s="71">
        <v>63018</v>
      </c>
      <c r="AC925" s="62" t="s">
        <v>12422</v>
      </c>
      <c r="AD925" s="53" t="str">
        <f t="shared" si="671"/>
        <v>Link</v>
      </c>
      <c r="AE925" s="54">
        <v>2797</v>
      </c>
      <c r="AF925" s="55"/>
      <c r="AG925" s="54">
        <v>53</v>
      </c>
      <c r="AH925" s="56">
        <v>218070</v>
      </c>
    </row>
    <row r="926" spans="1:36" ht="15" x14ac:dyDescent="0.2">
      <c r="A926" s="43" t="s">
        <v>12362</v>
      </c>
      <c r="B926" s="47" t="s">
        <v>653</v>
      </c>
      <c r="C926" s="7" t="s">
        <v>67</v>
      </c>
      <c r="D926" s="7" t="s">
        <v>12451</v>
      </c>
      <c r="E926" s="44">
        <v>5</v>
      </c>
      <c r="F926" s="7" t="s">
        <v>116</v>
      </c>
      <c r="G926" s="7"/>
      <c r="H926" s="2" t="s">
        <v>12407</v>
      </c>
      <c r="I926" s="7" t="s">
        <v>5470</v>
      </c>
      <c r="J926" s="7" t="s">
        <v>12453</v>
      </c>
      <c r="K926" s="7" t="s">
        <v>55</v>
      </c>
      <c r="L926" s="7" t="s">
        <v>12454</v>
      </c>
      <c r="M926" s="7" t="s">
        <v>12442</v>
      </c>
      <c r="N926" s="45" t="str">
        <f t="shared" si="669"/>
        <v>@furmansoftball</v>
      </c>
      <c r="O926" s="74" t="str">
        <f t="shared" si="670"/>
        <v>Questionnaire</v>
      </c>
      <c r="P926" s="7" t="s">
        <v>12422</v>
      </c>
      <c r="Q926" s="47" t="s">
        <v>653</v>
      </c>
      <c r="R926" s="48" t="s">
        <v>237</v>
      </c>
      <c r="S926" s="48" t="s">
        <v>186</v>
      </c>
      <c r="T926" s="73" t="s">
        <v>63</v>
      </c>
      <c r="U926" s="49" t="s">
        <v>75</v>
      </c>
      <c r="V926" s="48"/>
      <c r="W926" s="61">
        <v>3.64</v>
      </c>
      <c r="X926" s="7" t="s">
        <v>2804</v>
      </c>
      <c r="Y926" s="49" t="s">
        <v>411</v>
      </c>
      <c r="Z926" s="49" t="s">
        <v>81</v>
      </c>
      <c r="AA926" s="61">
        <v>0.68</v>
      </c>
      <c r="AB926" s="71">
        <v>63018</v>
      </c>
      <c r="AC926" s="62" t="s">
        <v>12422</v>
      </c>
      <c r="AD926" s="53" t="str">
        <f t="shared" si="671"/>
        <v>Link</v>
      </c>
      <c r="AE926" s="54">
        <v>2797</v>
      </c>
      <c r="AF926" s="55"/>
      <c r="AG926" s="54">
        <v>53</v>
      </c>
      <c r="AH926" s="56">
        <v>218070</v>
      </c>
    </row>
    <row r="927" spans="1:36" ht="15" x14ac:dyDescent="0.2">
      <c r="A927" s="43" t="s">
        <v>12362</v>
      </c>
      <c r="B927" s="48" t="s">
        <v>871</v>
      </c>
      <c r="C927" s="7" t="s">
        <v>67</v>
      </c>
      <c r="D927" s="7" t="s">
        <v>12461</v>
      </c>
      <c r="E927" s="44">
        <v>5</v>
      </c>
      <c r="F927" s="7"/>
      <c r="G927" s="7"/>
      <c r="H927" s="2" t="s">
        <v>12462</v>
      </c>
      <c r="I927" s="7" t="s">
        <v>1258</v>
      </c>
      <c r="J927" s="7" t="s">
        <v>12463</v>
      </c>
      <c r="K927" s="7" t="s">
        <v>48</v>
      </c>
      <c r="L927" s="7" t="s">
        <v>12465</v>
      </c>
      <c r="M927" s="7" t="s">
        <v>12466</v>
      </c>
      <c r="N927" s="45" t="str">
        <f t="shared" ref="N927:N930" si="672">HYPERLINK("twitter.com/mercerusoftball","@mercerusoftball")</f>
        <v>@mercerusoftball</v>
      </c>
      <c r="O927" s="74" t="str">
        <f t="shared" ref="O927:O930" si="673">HYPERLINK("https://college.jumpforward.com/questionnaire.aspx?iid=500&amp;sportid=31","Questionnaire")</f>
        <v>Questionnaire</v>
      </c>
      <c r="P927" s="7" t="s">
        <v>12473</v>
      </c>
      <c r="Q927" s="48" t="s">
        <v>871</v>
      </c>
      <c r="R927" s="48" t="s">
        <v>1684</v>
      </c>
      <c r="S927" s="48" t="s">
        <v>238</v>
      </c>
      <c r="T927" s="49" t="s">
        <v>63</v>
      </c>
      <c r="U927" s="49" t="s">
        <v>75</v>
      </c>
      <c r="V927" s="48"/>
      <c r="W927" s="61">
        <v>3.82</v>
      </c>
      <c r="X927" s="7" t="s">
        <v>835</v>
      </c>
      <c r="Y927" s="49" t="s">
        <v>176</v>
      </c>
      <c r="Z927" s="49" t="s">
        <v>836</v>
      </c>
      <c r="AA927" s="61">
        <v>0.69</v>
      </c>
      <c r="AB927" s="71">
        <v>50514</v>
      </c>
      <c r="AC927" s="62" t="s">
        <v>12473</v>
      </c>
      <c r="AD927" s="53" t="str">
        <f t="shared" ref="AD927:AD930" si="674">HYPERLINK("https://academics.mercer.edu/majors/","Link")</f>
        <v>Link</v>
      </c>
      <c r="AE927" s="54">
        <v>4706</v>
      </c>
      <c r="AF927" s="54">
        <v>133</v>
      </c>
      <c r="AG927" s="55"/>
      <c r="AH927" s="56">
        <v>140447</v>
      </c>
    </row>
    <row r="928" spans="1:36" ht="15" x14ac:dyDescent="0.2">
      <c r="A928" s="43" t="s">
        <v>12362</v>
      </c>
      <c r="B928" s="48" t="s">
        <v>871</v>
      </c>
      <c r="C928" s="7" t="s">
        <v>67</v>
      </c>
      <c r="D928" s="7" t="s">
        <v>12479</v>
      </c>
      <c r="E928" s="44">
        <v>5</v>
      </c>
      <c r="F928" s="7"/>
      <c r="G928" s="7"/>
      <c r="H928" s="2" t="s">
        <v>12462</v>
      </c>
      <c r="I928" s="7" t="s">
        <v>2381</v>
      </c>
      <c r="J928" s="7" t="s">
        <v>12481</v>
      </c>
      <c r="K928" s="2" t="s">
        <v>55</v>
      </c>
      <c r="L928" s="7" t="s">
        <v>12483</v>
      </c>
      <c r="M928" s="2" t="s">
        <v>12484</v>
      </c>
      <c r="N928" s="45" t="str">
        <f t="shared" si="672"/>
        <v>@mercerusoftball</v>
      </c>
      <c r="O928" s="74" t="str">
        <f t="shared" si="673"/>
        <v>Questionnaire</v>
      </c>
      <c r="P928" s="7" t="s">
        <v>12473</v>
      </c>
      <c r="Q928" s="48" t="s">
        <v>871</v>
      </c>
      <c r="R928" s="48" t="s">
        <v>1684</v>
      </c>
      <c r="S928" s="48" t="s">
        <v>238</v>
      </c>
      <c r="T928" s="49" t="s">
        <v>63</v>
      </c>
      <c r="U928" s="49" t="s">
        <v>75</v>
      </c>
      <c r="V928" s="48"/>
      <c r="W928" s="61">
        <v>3.82</v>
      </c>
      <c r="X928" s="7" t="s">
        <v>835</v>
      </c>
      <c r="Y928" s="49" t="s">
        <v>176</v>
      </c>
      <c r="Z928" s="49" t="s">
        <v>836</v>
      </c>
      <c r="AA928" s="61">
        <v>0.69</v>
      </c>
      <c r="AB928" s="71">
        <v>50514</v>
      </c>
      <c r="AC928" s="62" t="s">
        <v>12473</v>
      </c>
      <c r="AD928" s="53" t="str">
        <f t="shared" si="674"/>
        <v>Link</v>
      </c>
      <c r="AE928" s="54">
        <v>4706</v>
      </c>
      <c r="AF928" s="54">
        <v>133</v>
      </c>
      <c r="AG928" s="55"/>
      <c r="AH928" s="56">
        <v>140447</v>
      </c>
    </row>
    <row r="929" spans="1:34" ht="15" x14ac:dyDescent="0.2">
      <c r="A929" s="43" t="s">
        <v>12362</v>
      </c>
      <c r="B929" s="48" t="s">
        <v>871</v>
      </c>
      <c r="C929" s="7" t="s">
        <v>67</v>
      </c>
      <c r="D929" s="7" t="s">
        <v>12486</v>
      </c>
      <c r="E929" s="44">
        <v>5</v>
      </c>
      <c r="F929" s="7"/>
      <c r="G929" s="7"/>
      <c r="H929" s="2" t="s">
        <v>12462</v>
      </c>
      <c r="I929" s="7" t="s">
        <v>306</v>
      </c>
      <c r="J929" s="7" t="s">
        <v>12488</v>
      </c>
      <c r="K929" s="2" t="s">
        <v>55</v>
      </c>
      <c r="L929" s="7" t="s">
        <v>12489</v>
      </c>
      <c r="M929" s="7" t="s">
        <v>12490</v>
      </c>
      <c r="N929" s="45" t="str">
        <f t="shared" si="672"/>
        <v>@mercerusoftball</v>
      </c>
      <c r="O929" s="74" t="str">
        <f t="shared" si="673"/>
        <v>Questionnaire</v>
      </c>
      <c r="P929" s="7" t="s">
        <v>12473</v>
      </c>
      <c r="Q929" s="48" t="s">
        <v>871</v>
      </c>
      <c r="R929" s="48" t="s">
        <v>1684</v>
      </c>
      <c r="S929" s="48" t="s">
        <v>238</v>
      </c>
      <c r="T929" s="49" t="s">
        <v>63</v>
      </c>
      <c r="U929" s="49" t="s">
        <v>75</v>
      </c>
      <c r="V929" s="48"/>
      <c r="W929" s="61">
        <v>3.82</v>
      </c>
      <c r="X929" s="7" t="s">
        <v>835</v>
      </c>
      <c r="Y929" s="49" t="s">
        <v>176</v>
      </c>
      <c r="Z929" s="49" t="s">
        <v>836</v>
      </c>
      <c r="AA929" s="61">
        <v>0.69</v>
      </c>
      <c r="AB929" s="71">
        <v>50514</v>
      </c>
      <c r="AC929" s="62" t="s">
        <v>12473</v>
      </c>
      <c r="AD929" s="53" t="str">
        <f t="shared" si="674"/>
        <v>Link</v>
      </c>
      <c r="AE929" s="54">
        <v>4706</v>
      </c>
      <c r="AF929" s="54">
        <v>133</v>
      </c>
      <c r="AG929" s="55"/>
      <c r="AH929" s="56">
        <v>140447</v>
      </c>
    </row>
    <row r="930" spans="1:34" ht="15" x14ac:dyDescent="0.2">
      <c r="A930" s="43" t="s">
        <v>12362</v>
      </c>
      <c r="B930" s="48" t="s">
        <v>871</v>
      </c>
      <c r="C930" s="7" t="s">
        <v>67</v>
      </c>
      <c r="D930" s="7" t="s">
        <v>12493</v>
      </c>
      <c r="E930" s="44">
        <v>5</v>
      </c>
      <c r="F930" s="7"/>
      <c r="G930" s="7"/>
      <c r="H930" s="2" t="s">
        <v>12462</v>
      </c>
      <c r="I930" s="7" t="s">
        <v>1056</v>
      </c>
      <c r="J930" s="7" t="s">
        <v>12497</v>
      </c>
      <c r="K930" s="7" t="s">
        <v>139</v>
      </c>
      <c r="L930" s="7"/>
      <c r="M930" s="7" t="s">
        <v>12490</v>
      </c>
      <c r="N930" s="45" t="str">
        <f t="shared" si="672"/>
        <v>@mercerusoftball</v>
      </c>
      <c r="O930" s="74" t="str">
        <f t="shared" si="673"/>
        <v>Questionnaire</v>
      </c>
      <c r="P930" s="7" t="s">
        <v>12473</v>
      </c>
      <c r="Q930" s="48" t="s">
        <v>871</v>
      </c>
      <c r="R930" s="48" t="s">
        <v>1684</v>
      </c>
      <c r="S930" s="48" t="s">
        <v>238</v>
      </c>
      <c r="T930" s="49" t="s">
        <v>63</v>
      </c>
      <c r="U930" s="49" t="s">
        <v>75</v>
      </c>
      <c r="V930" s="48"/>
      <c r="W930" s="61">
        <v>3.82</v>
      </c>
      <c r="X930" s="7" t="s">
        <v>835</v>
      </c>
      <c r="Y930" s="49" t="s">
        <v>176</v>
      </c>
      <c r="Z930" s="49" t="s">
        <v>836</v>
      </c>
      <c r="AA930" s="61">
        <v>0.69</v>
      </c>
      <c r="AB930" s="71">
        <v>50514</v>
      </c>
      <c r="AC930" s="62" t="s">
        <v>12473</v>
      </c>
      <c r="AD930" s="53" t="str">
        <f t="shared" si="674"/>
        <v>Link</v>
      </c>
      <c r="AE930" s="54">
        <v>4706</v>
      </c>
      <c r="AF930" s="54">
        <v>133</v>
      </c>
      <c r="AG930" s="55"/>
      <c r="AH930" s="56">
        <v>140447</v>
      </c>
    </row>
    <row r="931" spans="1:34" ht="15" x14ac:dyDescent="0.2">
      <c r="A931" s="43" t="s">
        <v>12362</v>
      </c>
      <c r="B931" s="47" t="s">
        <v>219</v>
      </c>
      <c r="C931" s="7" t="s">
        <v>67</v>
      </c>
      <c r="D931" s="7" t="s">
        <v>12503</v>
      </c>
      <c r="E931" s="44">
        <v>5</v>
      </c>
      <c r="F931" s="7"/>
      <c r="G931" s="7"/>
      <c r="H931" s="2" t="s">
        <v>12504</v>
      </c>
      <c r="I931" s="7" t="s">
        <v>12506</v>
      </c>
      <c r="J931" s="7" t="s">
        <v>12507</v>
      </c>
      <c r="K931" s="7" t="s">
        <v>48</v>
      </c>
      <c r="L931" s="7" t="s">
        <v>12508</v>
      </c>
      <c r="M931" s="7" t="s">
        <v>12509</v>
      </c>
      <c r="N931" s="45" t="str">
        <f t="shared" ref="N931:N934" si="675">HYPERLINK("twitter.com/uncgsoftball","@uncgsoftball")</f>
        <v>@uncgsoftball</v>
      </c>
      <c r="O931" s="74" t="str">
        <f t="shared" ref="O931:O934" si="676">HYPERLINK("https://questionnaires.armssoftware.com/93bcaf927f89","Questionnaire")</f>
        <v>Questionnaire</v>
      </c>
      <c r="P931" s="7" t="s">
        <v>12517</v>
      </c>
      <c r="Q931" s="47" t="s">
        <v>219</v>
      </c>
      <c r="R931" s="48" t="s">
        <v>8854</v>
      </c>
      <c r="S931" s="48" t="s">
        <v>62</v>
      </c>
      <c r="T931" s="49" t="s">
        <v>74</v>
      </c>
      <c r="U931" s="49" t="s">
        <v>75</v>
      </c>
      <c r="V931" s="48"/>
      <c r="W931" s="61">
        <v>3.81</v>
      </c>
      <c r="X931" s="7" t="s">
        <v>895</v>
      </c>
      <c r="Y931" s="49" t="s">
        <v>3013</v>
      </c>
      <c r="Z931" s="49" t="s">
        <v>1715</v>
      </c>
      <c r="AA931" s="61">
        <v>0.74</v>
      </c>
      <c r="AB931" s="48" t="s">
        <v>12519</v>
      </c>
      <c r="AC931" s="62" t="s">
        <v>12517</v>
      </c>
      <c r="AD931" s="53" t="str">
        <f t="shared" ref="AD931:AD934" si="677">HYPERLINK("https://admissions.uncg.edu/majors-and-concentrations.php","Link")</f>
        <v>Link</v>
      </c>
      <c r="AE931" s="54">
        <v>16281</v>
      </c>
      <c r="AF931" s="55"/>
      <c r="AG931" s="55"/>
      <c r="AH931" s="56">
        <v>199148</v>
      </c>
    </row>
    <row r="932" spans="1:34" ht="15" x14ac:dyDescent="0.2">
      <c r="A932" s="43" t="s">
        <v>12362</v>
      </c>
      <c r="B932" s="47" t="s">
        <v>219</v>
      </c>
      <c r="C932" s="7" t="s">
        <v>67</v>
      </c>
      <c r="D932" s="7" t="s">
        <v>12526</v>
      </c>
      <c r="E932" s="44">
        <v>5</v>
      </c>
      <c r="F932" s="7"/>
      <c r="G932" s="7"/>
      <c r="H932" s="2" t="s">
        <v>12504</v>
      </c>
      <c r="I932" s="7" t="s">
        <v>2684</v>
      </c>
      <c r="J932" s="7" t="s">
        <v>108</v>
      </c>
      <c r="K932" s="2" t="s">
        <v>55</v>
      </c>
      <c r="L932" s="7" t="s">
        <v>12527</v>
      </c>
      <c r="M932" s="7" t="s">
        <v>12528</v>
      </c>
      <c r="N932" s="45" t="str">
        <f t="shared" si="675"/>
        <v>@uncgsoftball</v>
      </c>
      <c r="O932" s="74" t="str">
        <f t="shared" si="676"/>
        <v>Questionnaire</v>
      </c>
      <c r="P932" s="7" t="s">
        <v>12517</v>
      </c>
      <c r="Q932" s="47" t="s">
        <v>219</v>
      </c>
      <c r="R932" s="48" t="s">
        <v>8854</v>
      </c>
      <c r="S932" s="48" t="s">
        <v>62</v>
      </c>
      <c r="T932" s="49" t="s">
        <v>74</v>
      </c>
      <c r="U932" s="49" t="s">
        <v>75</v>
      </c>
      <c r="V932" s="48"/>
      <c r="W932" s="61">
        <v>3.81</v>
      </c>
      <c r="X932" s="7" t="s">
        <v>895</v>
      </c>
      <c r="Y932" s="49" t="s">
        <v>3013</v>
      </c>
      <c r="Z932" s="49" t="s">
        <v>1715</v>
      </c>
      <c r="AA932" s="61">
        <v>0.74</v>
      </c>
      <c r="AB932" s="48" t="s">
        <v>12519</v>
      </c>
      <c r="AC932" s="62" t="s">
        <v>12517</v>
      </c>
      <c r="AD932" s="53" t="str">
        <f t="shared" si="677"/>
        <v>Link</v>
      </c>
      <c r="AE932" s="54">
        <v>16281</v>
      </c>
      <c r="AF932" s="55"/>
      <c r="AG932" s="55"/>
      <c r="AH932" s="56">
        <v>199148</v>
      </c>
    </row>
    <row r="933" spans="1:34" ht="15" x14ac:dyDescent="0.2">
      <c r="A933" s="43" t="s">
        <v>12362</v>
      </c>
      <c r="B933" s="47" t="s">
        <v>219</v>
      </c>
      <c r="C933" s="7" t="s">
        <v>67</v>
      </c>
      <c r="D933" s="7" t="s">
        <v>12532</v>
      </c>
      <c r="E933" s="44">
        <v>5</v>
      </c>
      <c r="F933" s="7"/>
      <c r="G933" s="7"/>
      <c r="H933" s="2" t="s">
        <v>12504</v>
      </c>
      <c r="I933" s="7" t="s">
        <v>12535</v>
      </c>
      <c r="J933" s="7" t="s">
        <v>12536</v>
      </c>
      <c r="K933" s="2" t="s">
        <v>55</v>
      </c>
      <c r="L933" s="7" t="s">
        <v>12537</v>
      </c>
      <c r="M933" s="7" t="s">
        <v>12509</v>
      </c>
      <c r="N933" s="45" t="str">
        <f t="shared" si="675"/>
        <v>@uncgsoftball</v>
      </c>
      <c r="O933" s="74" t="str">
        <f t="shared" si="676"/>
        <v>Questionnaire</v>
      </c>
      <c r="P933" s="7" t="s">
        <v>12517</v>
      </c>
      <c r="Q933" s="47" t="s">
        <v>219</v>
      </c>
      <c r="R933" s="48" t="s">
        <v>8854</v>
      </c>
      <c r="S933" s="48" t="s">
        <v>62</v>
      </c>
      <c r="T933" s="49" t="s">
        <v>74</v>
      </c>
      <c r="U933" s="49" t="s">
        <v>75</v>
      </c>
      <c r="V933" s="48"/>
      <c r="W933" s="61">
        <v>3.81</v>
      </c>
      <c r="X933" s="7" t="s">
        <v>895</v>
      </c>
      <c r="Y933" s="49" t="s">
        <v>3013</v>
      </c>
      <c r="Z933" s="49" t="s">
        <v>1715</v>
      </c>
      <c r="AA933" s="61">
        <v>0.74</v>
      </c>
      <c r="AB933" s="48" t="s">
        <v>12519</v>
      </c>
      <c r="AC933" s="62" t="s">
        <v>12517</v>
      </c>
      <c r="AD933" s="53" t="str">
        <f t="shared" si="677"/>
        <v>Link</v>
      </c>
      <c r="AE933" s="54">
        <v>16281</v>
      </c>
      <c r="AF933" s="55"/>
      <c r="AG933" s="55"/>
      <c r="AH933" s="56">
        <v>199148</v>
      </c>
    </row>
    <row r="934" spans="1:34" ht="15" x14ac:dyDescent="0.2">
      <c r="A934" s="43" t="s">
        <v>12362</v>
      </c>
      <c r="B934" s="47" t="s">
        <v>219</v>
      </c>
      <c r="C934" s="7" t="s">
        <v>67</v>
      </c>
      <c r="D934" s="7" t="s">
        <v>12544</v>
      </c>
      <c r="E934" s="44">
        <v>5</v>
      </c>
      <c r="F934" s="7"/>
      <c r="G934" s="7"/>
      <c r="H934" s="2" t="s">
        <v>12504</v>
      </c>
      <c r="I934" s="7" t="s">
        <v>1258</v>
      </c>
      <c r="J934" s="7" t="s">
        <v>12545</v>
      </c>
      <c r="K934" s="7" t="s">
        <v>139</v>
      </c>
      <c r="L934" s="7"/>
      <c r="M934" s="7"/>
      <c r="N934" s="45" t="str">
        <f t="shared" si="675"/>
        <v>@uncgsoftball</v>
      </c>
      <c r="O934" s="74" t="str">
        <f t="shared" si="676"/>
        <v>Questionnaire</v>
      </c>
      <c r="P934" s="7" t="s">
        <v>12517</v>
      </c>
      <c r="Q934" s="47" t="s">
        <v>219</v>
      </c>
      <c r="R934" s="48" t="s">
        <v>8854</v>
      </c>
      <c r="S934" s="48" t="s">
        <v>62</v>
      </c>
      <c r="T934" s="49" t="s">
        <v>74</v>
      </c>
      <c r="U934" s="49" t="s">
        <v>75</v>
      </c>
      <c r="V934" s="48"/>
      <c r="W934" s="61">
        <v>3.81</v>
      </c>
      <c r="X934" s="7" t="s">
        <v>895</v>
      </c>
      <c r="Y934" s="49" t="s">
        <v>3013</v>
      </c>
      <c r="Z934" s="49" t="s">
        <v>1715</v>
      </c>
      <c r="AA934" s="61">
        <v>0.74</v>
      </c>
      <c r="AB934" s="48" t="s">
        <v>12519</v>
      </c>
      <c r="AC934" s="62" t="s">
        <v>12517</v>
      </c>
      <c r="AD934" s="53" t="str">
        <f t="shared" si="677"/>
        <v>Link</v>
      </c>
      <c r="AE934" s="54">
        <v>16281</v>
      </c>
      <c r="AF934" s="55"/>
      <c r="AG934" s="55"/>
      <c r="AH934" s="56">
        <v>199148</v>
      </c>
    </row>
    <row r="935" spans="1:34" ht="15" x14ac:dyDescent="0.2">
      <c r="A935" s="43" t="s">
        <v>12362</v>
      </c>
      <c r="B935" s="47" t="s">
        <v>59</v>
      </c>
      <c r="C935" s="7" t="s">
        <v>67</v>
      </c>
      <c r="D935" s="7" t="s">
        <v>12551</v>
      </c>
      <c r="E935" s="44">
        <v>5</v>
      </c>
      <c r="F935" s="7"/>
      <c r="G935" s="7"/>
      <c r="H935" s="2" t="s">
        <v>12552</v>
      </c>
      <c r="I935" s="7" t="s">
        <v>7385</v>
      </c>
      <c r="J935" s="7" t="s">
        <v>12553</v>
      </c>
      <c r="K935" s="7" t="s">
        <v>48</v>
      </c>
      <c r="L935" s="7" t="s">
        <v>12554</v>
      </c>
      <c r="M935" s="7" t="s">
        <v>12555</v>
      </c>
      <c r="N935" s="45" t="str">
        <f t="shared" ref="N935:N937" si="678">HYPERLINK("twitter.com/SamfordSB","@SamfordSB")</f>
        <v>@SamfordSB</v>
      </c>
      <c r="O935" s="74" t="str">
        <f t="shared" ref="O935:O937" si="679">HYPERLINK("https://samfordsports.com/documents/2012/8/20/Samford_Softball_Prospective_Player_Questionnaire.pdf","Questionnaire")</f>
        <v>Questionnaire</v>
      </c>
      <c r="P935" s="7" t="s">
        <v>12561</v>
      </c>
      <c r="Q935" s="47" t="s">
        <v>59</v>
      </c>
      <c r="R935" s="48" t="s">
        <v>12562</v>
      </c>
      <c r="S935" s="48" t="s">
        <v>468</v>
      </c>
      <c r="T935" s="49" t="s">
        <v>63</v>
      </c>
      <c r="U935" s="49" t="s">
        <v>2619</v>
      </c>
      <c r="V935" s="48"/>
      <c r="W935" s="61">
        <v>3.64</v>
      </c>
      <c r="X935" s="7" t="s">
        <v>1230</v>
      </c>
      <c r="Y935" s="49" t="s">
        <v>12565</v>
      </c>
      <c r="Z935" s="49" t="s">
        <v>2734</v>
      </c>
      <c r="AA935" s="61">
        <v>0.91</v>
      </c>
      <c r="AB935" s="71">
        <v>44896</v>
      </c>
      <c r="AC935" s="62" t="s">
        <v>12561</v>
      </c>
      <c r="AD935" s="53" t="str">
        <f t="shared" ref="AD935:AD937" si="680">HYPERLINK("https://www.samford.edu/programs/undergraduate/majors","Link")</f>
        <v>Link</v>
      </c>
      <c r="AE935" s="54">
        <v>3341</v>
      </c>
      <c r="AF935" s="55"/>
      <c r="AG935" s="55"/>
      <c r="AH935" s="56">
        <v>102049</v>
      </c>
    </row>
    <row r="936" spans="1:34" ht="15" x14ac:dyDescent="0.2">
      <c r="A936" s="43" t="s">
        <v>12362</v>
      </c>
      <c r="B936" s="47" t="s">
        <v>59</v>
      </c>
      <c r="C936" s="7" t="s">
        <v>67</v>
      </c>
      <c r="D936" s="7" t="s">
        <v>12569</v>
      </c>
      <c r="E936" s="44">
        <v>5</v>
      </c>
      <c r="F936" s="7"/>
      <c r="G936" s="7"/>
      <c r="H936" s="2" t="s">
        <v>12552</v>
      </c>
      <c r="I936" s="7" t="s">
        <v>6526</v>
      </c>
      <c r="J936" s="7" t="s">
        <v>3882</v>
      </c>
      <c r="K936" s="2" t="s">
        <v>55</v>
      </c>
      <c r="L936" s="7"/>
      <c r="M936" s="7"/>
      <c r="N936" s="45" t="str">
        <f t="shared" si="678"/>
        <v>@SamfordSB</v>
      </c>
      <c r="O936" s="74" t="str">
        <f t="shared" si="679"/>
        <v>Questionnaire</v>
      </c>
      <c r="P936" s="7" t="s">
        <v>12561</v>
      </c>
      <c r="Q936" s="47" t="s">
        <v>59</v>
      </c>
      <c r="R936" s="48" t="s">
        <v>12562</v>
      </c>
      <c r="S936" s="48" t="s">
        <v>468</v>
      </c>
      <c r="T936" s="49" t="s">
        <v>63</v>
      </c>
      <c r="U936" s="49" t="s">
        <v>2619</v>
      </c>
      <c r="V936" s="48"/>
      <c r="W936" s="61">
        <v>3.64</v>
      </c>
      <c r="X936" s="7" t="s">
        <v>1230</v>
      </c>
      <c r="Y936" s="49" t="s">
        <v>12565</v>
      </c>
      <c r="Z936" s="49" t="s">
        <v>2734</v>
      </c>
      <c r="AA936" s="61">
        <v>0.91</v>
      </c>
      <c r="AB936" s="71">
        <v>44896</v>
      </c>
      <c r="AC936" s="62" t="s">
        <v>12561</v>
      </c>
      <c r="AD936" s="53" t="str">
        <f t="shared" si="680"/>
        <v>Link</v>
      </c>
      <c r="AE936" s="54">
        <v>3341</v>
      </c>
      <c r="AF936" s="55"/>
      <c r="AG936" s="55"/>
      <c r="AH936" s="56">
        <v>102049</v>
      </c>
    </row>
    <row r="937" spans="1:34" ht="15" x14ac:dyDescent="0.2">
      <c r="A937" s="43" t="s">
        <v>12362</v>
      </c>
      <c r="B937" s="47" t="s">
        <v>59</v>
      </c>
      <c r="C937" s="7" t="s">
        <v>67</v>
      </c>
      <c r="D937" s="7" t="s">
        <v>12576</v>
      </c>
      <c r="E937" s="44">
        <v>5</v>
      </c>
      <c r="F937" s="7"/>
      <c r="G937" s="7"/>
      <c r="H937" s="2" t="s">
        <v>12552</v>
      </c>
      <c r="I937" s="7" t="s">
        <v>316</v>
      </c>
      <c r="J937" s="7" t="s">
        <v>12577</v>
      </c>
      <c r="K937" s="2" t="s">
        <v>55</v>
      </c>
      <c r="L937" s="7" t="s">
        <v>12578</v>
      </c>
      <c r="M937" s="7"/>
      <c r="N937" s="45" t="str">
        <f t="shared" si="678"/>
        <v>@SamfordSB</v>
      </c>
      <c r="O937" s="74" t="str">
        <f t="shared" si="679"/>
        <v>Questionnaire</v>
      </c>
      <c r="P937" s="7" t="s">
        <v>12561</v>
      </c>
      <c r="Q937" s="47" t="s">
        <v>59</v>
      </c>
      <c r="R937" s="48" t="s">
        <v>12562</v>
      </c>
      <c r="S937" s="48" t="s">
        <v>468</v>
      </c>
      <c r="T937" s="49" t="s">
        <v>63</v>
      </c>
      <c r="U937" s="49" t="s">
        <v>2619</v>
      </c>
      <c r="V937" s="48"/>
      <c r="W937" s="61">
        <v>3.64</v>
      </c>
      <c r="X937" s="7" t="s">
        <v>1230</v>
      </c>
      <c r="Y937" s="49" t="s">
        <v>12565</v>
      </c>
      <c r="Z937" s="49" t="s">
        <v>2734</v>
      </c>
      <c r="AA937" s="61">
        <v>0.91</v>
      </c>
      <c r="AB937" s="71">
        <v>44896</v>
      </c>
      <c r="AC937" s="62" t="s">
        <v>12561</v>
      </c>
      <c r="AD937" s="53" t="str">
        <f t="shared" si="680"/>
        <v>Link</v>
      </c>
      <c r="AE937" s="54">
        <v>3341</v>
      </c>
      <c r="AF937" s="55"/>
      <c r="AG937" s="55"/>
      <c r="AH937" s="56">
        <v>102049</v>
      </c>
    </row>
    <row r="938" spans="1:34" ht="13" x14ac:dyDescent="0.15">
      <c r="A938" s="88" t="s">
        <v>12362</v>
      </c>
      <c r="B938" s="47" t="s">
        <v>346</v>
      </c>
      <c r="C938" s="7" t="s">
        <v>67</v>
      </c>
      <c r="D938" s="7" t="s">
        <v>12583</v>
      </c>
      <c r="E938" s="44">
        <v>5</v>
      </c>
      <c r="F938" s="7"/>
      <c r="G938" s="7"/>
      <c r="H938" s="2" t="s">
        <v>12584</v>
      </c>
      <c r="I938" s="7" t="s">
        <v>2570</v>
      </c>
      <c r="J938" s="7" t="s">
        <v>3046</v>
      </c>
      <c r="K938" s="7" t="s">
        <v>48</v>
      </c>
      <c r="L938" s="7" t="s">
        <v>12585</v>
      </c>
      <c r="M938" s="7" t="s">
        <v>12586</v>
      </c>
      <c r="N938" s="74" t="str">
        <f t="shared" ref="N938:N940" si="681">HYPERLINK("twitter.com/gomocssb","@gomocssb")</f>
        <v>@gomocssb</v>
      </c>
      <c r="O938" s="74" t="str">
        <f t="shared" ref="O938:O940" si="682">HYPERLINK("https://questionnaires.armssoftware.com/8bde30e13bfa","Questionnaire")</f>
        <v>Questionnaire</v>
      </c>
      <c r="P938" s="7" t="s">
        <v>12592</v>
      </c>
      <c r="Q938" s="47" t="s">
        <v>346</v>
      </c>
      <c r="R938" s="48" t="s">
        <v>12593</v>
      </c>
      <c r="S938" s="48" t="s">
        <v>62</v>
      </c>
      <c r="T938" s="4" t="s">
        <v>74</v>
      </c>
      <c r="U938" s="5" t="s">
        <v>75</v>
      </c>
      <c r="V938" s="48"/>
      <c r="W938" s="65">
        <v>3.51</v>
      </c>
      <c r="X938" s="7" t="s">
        <v>2310</v>
      </c>
      <c r="Y938" s="49" t="s">
        <v>2046</v>
      </c>
      <c r="Z938" s="4" t="s">
        <v>1650</v>
      </c>
      <c r="AA938" s="65">
        <v>0.78</v>
      </c>
      <c r="AB938" s="48" t="s">
        <v>12596</v>
      </c>
      <c r="AC938" s="76" t="s">
        <v>12592</v>
      </c>
      <c r="AD938" s="67" t="str">
        <f t="shared" ref="AD938:AD940" si="683">HYPERLINK("https://www.utc.edu/records/academic-majors-minors.php","Link")</f>
        <v>Link</v>
      </c>
      <c r="AE938" s="42">
        <v>10170</v>
      </c>
      <c r="AF938" s="55"/>
      <c r="AG938" s="55"/>
      <c r="AH938" s="56">
        <v>221740</v>
      </c>
    </row>
    <row r="939" spans="1:34" ht="13" x14ac:dyDescent="0.15">
      <c r="A939" s="88" t="s">
        <v>12362</v>
      </c>
      <c r="B939" s="47" t="s">
        <v>346</v>
      </c>
      <c r="C939" s="7" t="s">
        <v>67</v>
      </c>
      <c r="D939" s="7" t="s">
        <v>12597</v>
      </c>
      <c r="E939" s="44">
        <v>5</v>
      </c>
      <c r="F939" s="7"/>
      <c r="G939" s="7"/>
      <c r="H939" s="2" t="s">
        <v>12584</v>
      </c>
      <c r="I939" s="7" t="s">
        <v>149</v>
      </c>
      <c r="J939" s="7" t="s">
        <v>12598</v>
      </c>
      <c r="K939" s="2" t="s">
        <v>55</v>
      </c>
      <c r="L939" s="7" t="s">
        <v>12599</v>
      </c>
      <c r="M939" s="7"/>
      <c r="N939" s="74" t="str">
        <f t="shared" si="681"/>
        <v>@gomocssb</v>
      </c>
      <c r="O939" s="74" t="str">
        <f t="shared" si="682"/>
        <v>Questionnaire</v>
      </c>
      <c r="P939" s="7" t="s">
        <v>12592</v>
      </c>
      <c r="Q939" s="47" t="s">
        <v>346</v>
      </c>
      <c r="R939" s="48" t="s">
        <v>12593</v>
      </c>
      <c r="S939" s="48" t="s">
        <v>62</v>
      </c>
      <c r="T939" s="4" t="s">
        <v>74</v>
      </c>
      <c r="U939" s="5" t="s">
        <v>75</v>
      </c>
      <c r="V939" s="48"/>
      <c r="W939" s="65">
        <v>3.51</v>
      </c>
      <c r="X939" s="7" t="s">
        <v>2310</v>
      </c>
      <c r="Y939" s="49" t="s">
        <v>2046</v>
      </c>
      <c r="Z939" s="4" t="s">
        <v>1650</v>
      </c>
      <c r="AA939" s="65">
        <v>0.78</v>
      </c>
      <c r="AB939" s="48" t="s">
        <v>12596</v>
      </c>
      <c r="AC939" s="76" t="s">
        <v>12592</v>
      </c>
      <c r="AD939" s="67" t="str">
        <f t="shared" si="683"/>
        <v>Link</v>
      </c>
      <c r="AE939" s="42">
        <v>10170</v>
      </c>
      <c r="AF939" s="55"/>
      <c r="AG939" s="55"/>
      <c r="AH939" s="56">
        <v>221740</v>
      </c>
    </row>
    <row r="940" spans="1:34" ht="13" x14ac:dyDescent="0.15">
      <c r="A940" s="88" t="s">
        <v>12362</v>
      </c>
      <c r="B940" s="47" t="s">
        <v>346</v>
      </c>
      <c r="C940" s="7" t="s">
        <v>67</v>
      </c>
      <c r="D940" s="7" t="s">
        <v>12604</v>
      </c>
      <c r="E940" s="44">
        <v>5</v>
      </c>
      <c r="F940" s="7" t="s">
        <v>116</v>
      </c>
      <c r="G940" s="7"/>
      <c r="H940" s="2" t="s">
        <v>12584</v>
      </c>
      <c r="I940" s="7" t="s">
        <v>3722</v>
      </c>
      <c r="J940" s="7" t="s">
        <v>12605</v>
      </c>
      <c r="K940" s="7" t="s">
        <v>55</v>
      </c>
      <c r="L940" s="7" t="s">
        <v>12606</v>
      </c>
      <c r="M940" s="7"/>
      <c r="N940" s="74" t="str">
        <f t="shared" si="681"/>
        <v>@gomocssb</v>
      </c>
      <c r="O940" s="74" t="str">
        <f t="shared" si="682"/>
        <v>Questionnaire</v>
      </c>
      <c r="P940" s="7" t="s">
        <v>12592</v>
      </c>
      <c r="Q940" s="47" t="s">
        <v>346</v>
      </c>
      <c r="R940" s="48" t="s">
        <v>12593</v>
      </c>
      <c r="S940" s="48" t="s">
        <v>62</v>
      </c>
      <c r="T940" s="4" t="s">
        <v>74</v>
      </c>
      <c r="U940" s="5" t="s">
        <v>75</v>
      </c>
      <c r="V940" s="48"/>
      <c r="W940" s="65">
        <v>3.51</v>
      </c>
      <c r="X940" s="7" t="s">
        <v>2310</v>
      </c>
      <c r="Y940" s="49" t="s">
        <v>2046</v>
      </c>
      <c r="Z940" s="4" t="s">
        <v>1650</v>
      </c>
      <c r="AA940" s="65">
        <v>0.78</v>
      </c>
      <c r="AB940" s="48" t="s">
        <v>12596</v>
      </c>
      <c r="AC940" s="76" t="s">
        <v>12592</v>
      </c>
      <c r="AD940" s="67" t="str">
        <f t="shared" si="683"/>
        <v>Link</v>
      </c>
      <c r="AE940" s="42">
        <v>10170</v>
      </c>
      <c r="AF940" s="55"/>
      <c r="AG940" s="55"/>
      <c r="AH940" s="56">
        <v>221740</v>
      </c>
    </row>
    <row r="941" spans="1:34" ht="15" x14ac:dyDescent="0.2">
      <c r="A941" s="43" t="s">
        <v>12362</v>
      </c>
      <c r="B941" s="47" t="s">
        <v>219</v>
      </c>
      <c r="C941" s="7" t="s">
        <v>67</v>
      </c>
      <c r="D941" s="7" t="s">
        <v>12610</v>
      </c>
      <c r="E941" s="44">
        <v>5</v>
      </c>
      <c r="F941" s="7"/>
      <c r="G941" s="7"/>
      <c r="H941" s="2" t="s">
        <v>12613</v>
      </c>
      <c r="I941" s="7" t="s">
        <v>991</v>
      </c>
      <c r="J941" s="7" t="s">
        <v>12614</v>
      </c>
      <c r="K941" s="7" t="s">
        <v>48</v>
      </c>
      <c r="L941" s="7" t="s">
        <v>12615</v>
      </c>
      <c r="M941" s="7" t="s">
        <v>12616</v>
      </c>
      <c r="N941" s="45" t="str">
        <f t="shared" ref="N941:N944" si="684">HYPERLINK("twitter.com/wcusoftball","@wcusoftball")</f>
        <v>@wcusoftball</v>
      </c>
      <c r="O941" s="74" t="str">
        <f t="shared" ref="O941:O944" si="685">HYPERLINK("http://www.catamountsports.com/quest/Questionaire.dbml?&amp;QID=417931&amp;DB_OEM_ID=12100","Questionnaire")</f>
        <v>Questionnaire</v>
      </c>
      <c r="P941" s="7" t="s">
        <v>12618</v>
      </c>
      <c r="Q941" s="47" t="s">
        <v>219</v>
      </c>
      <c r="R941" s="48" t="s">
        <v>12619</v>
      </c>
      <c r="S941" s="60" t="s">
        <v>205</v>
      </c>
      <c r="T941" s="49" t="s">
        <v>74</v>
      </c>
      <c r="U941" s="49" t="s">
        <v>75</v>
      </c>
      <c r="V941" s="48"/>
      <c r="W941" s="61">
        <v>3.78</v>
      </c>
      <c r="X941" s="7" t="s">
        <v>356</v>
      </c>
      <c r="Y941" s="49" t="s">
        <v>521</v>
      </c>
      <c r="Z941" s="49" t="s">
        <v>1994</v>
      </c>
      <c r="AA941" s="61">
        <v>0.41</v>
      </c>
      <c r="AB941" s="48" t="s">
        <v>12622</v>
      </c>
      <c r="AC941" s="62" t="s">
        <v>12618</v>
      </c>
      <c r="AD941" s="53" t="str">
        <f t="shared" ref="AD941:AD944" si="686">HYPERLINK("https://www.wcu.edu/learn/academic-enrichment/ccpd/student-resources/majors-and-careers.aspx","Link")</f>
        <v>Link</v>
      </c>
      <c r="AE941" s="54">
        <v>9171</v>
      </c>
      <c r="AF941" s="55"/>
      <c r="AG941" s="55"/>
      <c r="AH941" s="56">
        <v>200004</v>
      </c>
    </row>
    <row r="942" spans="1:34" ht="15" x14ac:dyDescent="0.2">
      <c r="A942" s="43" t="s">
        <v>12362</v>
      </c>
      <c r="B942" s="47" t="s">
        <v>219</v>
      </c>
      <c r="C942" s="7" t="s">
        <v>67</v>
      </c>
      <c r="D942" s="7" t="s">
        <v>12627</v>
      </c>
      <c r="E942" s="44">
        <v>5</v>
      </c>
      <c r="F942" s="7"/>
      <c r="G942" s="7" t="s">
        <v>126</v>
      </c>
      <c r="H942" s="2" t="s">
        <v>12613</v>
      </c>
      <c r="I942" s="7" t="s">
        <v>12628</v>
      </c>
      <c r="J942" s="7"/>
      <c r="K942" s="2"/>
      <c r="L942" s="7"/>
      <c r="M942" s="7"/>
      <c r="N942" s="45" t="str">
        <f t="shared" si="684"/>
        <v>@wcusoftball</v>
      </c>
      <c r="O942" s="74" t="str">
        <f t="shared" si="685"/>
        <v>Questionnaire</v>
      </c>
      <c r="P942" s="7" t="s">
        <v>12618</v>
      </c>
      <c r="Q942" s="47" t="s">
        <v>219</v>
      </c>
      <c r="R942" s="48" t="s">
        <v>12619</v>
      </c>
      <c r="S942" s="60" t="s">
        <v>205</v>
      </c>
      <c r="T942" s="49" t="s">
        <v>74</v>
      </c>
      <c r="U942" s="49" t="s">
        <v>75</v>
      </c>
      <c r="V942" s="48"/>
      <c r="W942" s="61">
        <v>3.78</v>
      </c>
      <c r="X942" s="7" t="s">
        <v>356</v>
      </c>
      <c r="Y942" s="49" t="s">
        <v>521</v>
      </c>
      <c r="Z942" s="49" t="s">
        <v>1994</v>
      </c>
      <c r="AA942" s="61">
        <v>0.41</v>
      </c>
      <c r="AB942" s="48" t="s">
        <v>12622</v>
      </c>
      <c r="AC942" s="62" t="s">
        <v>12618</v>
      </c>
      <c r="AD942" s="53" t="str">
        <f t="shared" si="686"/>
        <v>Link</v>
      </c>
      <c r="AE942" s="54">
        <v>9171</v>
      </c>
      <c r="AF942" s="55"/>
      <c r="AG942" s="55"/>
      <c r="AH942" s="56">
        <v>200004</v>
      </c>
    </row>
    <row r="943" spans="1:34" ht="15" x14ac:dyDescent="0.2">
      <c r="A943" s="43" t="s">
        <v>12362</v>
      </c>
      <c r="B943" s="47" t="s">
        <v>219</v>
      </c>
      <c r="C943" s="7" t="s">
        <v>67</v>
      </c>
      <c r="D943" s="7" t="s">
        <v>12633</v>
      </c>
      <c r="E943" s="44">
        <v>5</v>
      </c>
      <c r="F943" s="7"/>
      <c r="G943" s="7"/>
      <c r="H943" s="2" t="s">
        <v>12613</v>
      </c>
      <c r="I943" s="7" t="s">
        <v>9122</v>
      </c>
      <c r="J943" s="7" t="s">
        <v>977</v>
      </c>
      <c r="K943" s="7" t="s">
        <v>139</v>
      </c>
      <c r="L943" s="7"/>
      <c r="M943" s="7"/>
      <c r="N943" s="45" t="str">
        <f t="shared" si="684"/>
        <v>@wcusoftball</v>
      </c>
      <c r="O943" s="74" t="str">
        <f t="shared" si="685"/>
        <v>Questionnaire</v>
      </c>
      <c r="P943" s="7" t="s">
        <v>12618</v>
      </c>
      <c r="Q943" s="47" t="s">
        <v>219</v>
      </c>
      <c r="R943" s="48" t="s">
        <v>12619</v>
      </c>
      <c r="S943" s="60" t="s">
        <v>205</v>
      </c>
      <c r="T943" s="49" t="s">
        <v>74</v>
      </c>
      <c r="U943" s="49" t="s">
        <v>75</v>
      </c>
      <c r="V943" s="48"/>
      <c r="W943" s="61">
        <v>3.78</v>
      </c>
      <c r="X943" s="7" t="s">
        <v>356</v>
      </c>
      <c r="Y943" s="49" t="s">
        <v>521</v>
      </c>
      <c r="Z943" s="49" t="s">
        <v>1994</v>
      </c>
      <c r="AA943" s="61">
        <v>0.41</v>
      </c>
      <c r="AB943" s="48" t="s">
        <v>12622</v>
      </c>
      <c r="AC943" s="62" t="s">
        <v>12618</v>
      </c>
      <c r="AD943" s="53" t="str">
        <f t="shared" si="686"/>
        <v>Link</v>
      </c>
      <c r="AE943" s="54">
        <v>9171</v>
      </c>
      <c r="AF943" s="55"/>
      <c r="AG943" s="55"/>
      <c r="AH943" s="56">
        <v>200004</v>
      </c>
    </row>
    <row r="944" spans="1:34" ht="15" x14ac:dyDescent="0.2">
      <c r="A944" s="43" t="s">
        <v>12362</v>
      </c>
      <c r="B944" s="47" t="s">
        <v>219</v>
      </c>
      <c r="C944" s="7" t="s">
        <v>67</v>
      </c>
      <c r="D944" s="7" t="s">
        <v>12646</v>
      </c>
      <c r="E944" s="44">
        <v>5</v>
      </c>
      <c r="F944" s="7" t="s">
        <v>116</v>
      </c>
      <c r="G944" s="7"/>
      <c r="H944" s="2" t="s">
        <v>12613</v>
      </c>
      <c r="I944" s="7" t="s">
        <v>1905</v>
      </c>
      <c r="J944" s="7" t="s">
        <v>12649</v>
      </c>
      <c r="K944" s="7" t="s">
        <v>55</v>
      </c>
      <c r="L944" s="7" t="s">
        <v>12650</v>
      </c>
      <c r="M944" s="7" t="s">
        <v>12652</v>
      </c>
      <c r="N944" s="45" t="str">
        <f t="shared" si="684"/>
        <v>@wcusoftball</v>
      </c>
      <c r="O944" s="74" t="str">
        <f t="shared" si="685"/>
        <v>Questionnaire</v>
      </c>
      <c r="P944" s="7" t="s">
        <v>12618</v>
      </c>
      <c r="Q944" s="47" t="s">
        <v>219</v>
      </c>
      <c r="R944" s="48" t="s">
        <v>12619</v>
      </c>
      <c r="S944" s="60" t="s">
        <v>205</v>
      </c>
      <c r="T944" s="49" t="s">
        <v>74</v>
      </c>
      <c r="U944" s="49" t="s">
        <v>75</v>
      </c>
      <c r="V944" s="48"/>
      <c r="W944" s="61">
        <v>3.78</v>
      </c>
      <c r="X944" s="7" t="s">
        <v>356</v>
      </c>
      <c r="Y944" s="49" t="s">
        <v>521</v>
      </c>
      <c r="Z944" s="49" t="s">
        <v>1994</v>
      </c>
      <c r="AA944" s="61">
        <v>0.41</v>
      </c>
      <c r="AB944" s="48" t="s">
        <v>12622</v>
      </c>
      <c r="AC944" s="62" t="s">
        <v>12618</v>
      </c>
      <c r="AD944" s="53" t="str">
        <f t="shared" si="686"/>
        <v>Link</v>
      </c>
      <c r="AE944" s="54">
        <v>9171</v>
      </c>
      <c r="AF944" s="55"/>
      <c r="AG944" s="55"/>
      <c r="AH944" s="56">
        <v>200004</v>
      </c>
    </row>
    <row r="945" spans="1:34" ht="15" x14ac:dyDescent="0.2">
      <c r="A945" s="43" t="s">
        <v>12654</v>
      </c>
      <c r="B945" s="47" t="s">
        <v>280</v>
      </c>
      <c r="C945" s="7" t="s">
        <v>67</v>
      </c>
      <c r="D945" s="7" t="s">
        <v>12655</v>
      </c>
      <c r="E945" s="44">
        <v>5</v>
      </c>
      <c r="F945" s="7"/>
      <c r="G945" s="7"/>
      <c r="H945" s="2" t="s">
        <v>12657</v>
      </c>
      <c r="I945" s="7" t="s">
        <v>645</v>
      </c>
      <c r="J945" s="7" t="s">
        <v>12659</v>
      </c>
      <c r="K945" s="7" t="s">
        <v>48</v>
      </c>
      <c r="L945" s="7" t="s">
        <v>12661</v>
      </c>
      <c r="M945" s="7" t="s">
        <v>12662</v>
      </c>
      <c r="N945" s="45" t="str">
        <f t="shared" ref="N945:N948" si="687">HYPERLINK("twitter.com/ACU_Softball","@ACU_Softball")</f>
        <v>@ACU_Softball</v>
      </c>
      <c r="O945" s="45" t="str">
        <f t="shared" ref="O945:O948" si="688">HYPERLINK("https://acusports.com/sports/2017/2/8/recruits-prospect-questionnaires.aspx","Questionnaire")</f>
        <v>Questionnaire</v>
      </c>
      <c r="P945" s="48" t="s">
        <v>12674</v>
      </c>
      <c r="Q945" s="47" t="s">
        <v>280</v>
      </c>
      <c r="R945" s="48" t="s">
        <v>12675</v>
      </c>
      <c r="S945" s="48" t="s">
        <v>238</v>
      </c>
      <c r="T945" s="49" t="s">
        <v>63</v>
      </c>
      <c r="U945" s="49" t="s">
        <v>686</v>
      </c>
      <c r="V945" s="48"/>
      <c r="W945" s="61">
        <v>3.58</v>
      </c>
      <c r="X945" s="49" t="s">
        <v>276</v>
      </c>
      <c r="Y945" s="49" t="s">
        <v>2341</v>
      </c>
      <c r="Z945" s="49" t="s">
        <v>545</v>
      </c>
      <c r="AA945" s="51">
        <v>0.50800000000000001</v>
      </c>
      <c r="AB945" s="54">
        <v>45980</v>
      </c>
      <c r="AC945" s="52" t="s">
        <v>12674</v>
      </c>
      <c r="AD945" s="53" t="str">
        <f t="shared" ref="AD945:AD948" si="689">HYPERLINK("http://www.acu.edu/undergraduate/academics.html","Link")</f>
        <v>Link</v>
      </c>
      <c r="AE945" s="54">
        <v>3758</v>
      </c>
      <c r="AF945" s="55"/>
      <c r="AG945" s="55"/>
      <c r="AH945" s="56">
        <v>222178</v>
      </c>
    </row>
    <row r="946" spans="1:34" ht="15" x14ac:dyDescent="0.2">
      <c r="A946" s="43" t="s">
        <v>12654</v>
      </c>
      <c r="B946" s="47" t="s">
        <v>280</v>
      </c>
      <c r="C946" s="7" t="s">
        <v>67</v>
      </c>
      <c r="D946" s="7" t="s">
        <v>12678</v>
      </c>
      <c r="E946" s="44">
        <v>5</v>
      </c>
      <c r="F946" s="7"/>
      <c r="G946" s="7"/>
      <c r="H946" s="2" t="s">
        <v>12657</v>
      </c>
      <c r="I946" s="7" t="s">
        <v>201</v>
      </c>
      <c r="J946" s="7" t="s">
        <v>12681</v>
      </c>
      <c r="K946" s="2" t="s">
        <v>55</v>
      </c>
      <c r="L946" s="7" t="s">
        <v>12685</v>
      </c>
      <c r="M946" s="7"/>
      <c r="N946" s="45" t="str">
        <f t="shared" si="687"/>
        <v>@ACU_Softball</v>
      </c>
      <c r="O946" s="45" t="str">
        <f t="shared" si="688"/>
        <v>Questionnaire</v>
      </c>
      <c r="P946" s="48" t="s">
        <v>12674</v>
      </c>
      <c r="Q946" s="47" t="s">
        <v>280</v>
      </c>
      <c r="R946" s="48" t="s">
        <v>12675</v>
      </c>
      <c r="S946" s="48" t="s">
        <v>238</v>
      </c>
      <c r="T946" s="49" t="s">
        <v>63</v>
      </c>
      <c r="U946" s="49" t="s">
        <v>686</v>
      </c>
      <c r="V946" s="48"/>
      <c r="W946" s="61">
        <v>3.58</v>
      </c>
      <c r="X946" s="49" t="s">
        <v>276</v>
      </c>
      <c r="Y946" s="49" t="s">
        <v>2341</v>
      </c>
      <c r="Z946" s="49" t="s">
        <v>545</v>
      </c>
      <c r="AA946" s="51">
        <v>0.50800000000000001</v>
      </c>
      <c r="AB946" s="54">
        <v>45980</v>
      </c>
      <c r="AC946" s="52" t="s">
        <v>12674</v>
      </c>
      <c r="AD946" s="53" t="str">
        <f t="shared" si="689"/>
        <v>Link</v>
      </c>
      <c r="AE946" s="54">
        <v>3758</v>
      </c>
      <c r="AF946" s="55"/>
      <c r="AG946" s="55"/>
      <c r="AH946" s="56">
        <v>222178</v>
      </c>
    </row>
    <row r="947" spans="1:34" ht="15" x14ac:dyDescent="0.2">
      <c r="A947" s="43" t="s">
        <v>12654</v>
      </c>
      <c r="B947" s="47" t="s">
        <v>280</v>
      </c>
      <c r="C947" s="7" t="s">
        <v>67</v>
      </c>
      <c r="D947" s="7" t="s">
        <v>12691</v>
      </c>
      <c r="E947" s="44">
        <v>5</v>
      </c>
      <c r="F947" s="7" t="s">
        <v>116</v>
      </c>
      <c r="G947" s="7"/>
      <c r="H947" s="2" t="s">
        <v>12657</v>
      </c>
      <c r="I947" s="7" t="s">
        <v>12693</v>
      </c>
      <c r="J947" s="7" t="s">
        <v>2385</v>
      </c>
      <c r="K947" s="7" t="s">
        <v>55</v>
      </c>
      <c r="L947" s="7" t="s">
        <v>12695</v>
      </c>
      <c r="M947" s="7" t="s">
        <v>12696</v>
      </c>
      <c r="N947" s="45" t="str">
        <f t="shared" si="687"/>
        <v>@ACU_Softball</v>
      </c>
      <c r="O947" s="45" t="str">
        <f t="shared" si="688"/>
        <v>Questionnaire</v>
      </c>
      <c r="P947" s="48" t="s">
        <v>12674</v>
      </c>
      <c r="Q947" s="47" t="s">
        <v>280</v>
      </c>
      <c r="R947" s="48" t="s">
        <v>12675</v>
      </c>
      <c r="S947" s="48" t="s">
        <v>238</v>
      </c>
      <c r="T947" s="49" t="s">
        <v>63</v>
      </c>
      <c r="U947" s="49" t="s">
        <v>686</v>
      </c>
      <c r="V947" s="48"/>
      <c r="W947" s="61">
        <v>3.58</v>
      </c>
      <c r="X947" s="49" t="s">
        <v>276</v>
      </c>
      <c r="Y947" s="49" t="s">
        <v>2341</v>
      </c>
      <c r="Z947" s="49" t="s">
        <v>545</v>
      </c>
      <c r="AA947" s="51">
        <v>0.50800000000000001</v>
      </c>
      <c r="AB947" s="54">
        <v>45980</v>
      </c>
      <c r="AC947" s="52" t="s">
        <v>12674</v>
      </c>
      <c r="AD947" s="53" t="str">
        <f t="shared" si="689"/>
        <v>Link</v>
      </c>
      <c r="AE947" s="54">
        <v>3758</v>
      </c>
      <c r="AF947" s="55"/>
      <c r="AG947" s="55"/>
      <c r="AH947" s="56">
        <v>222178</v>
      </c>
    </row>
    <row r="948" spans="1:34" ht="15" x14ac:dyDescent="0.2">
      <c r="A948" s="43" t="s">
        <v>12654</v>
      </c>
      <c r="B948" s="47" t="s">
        <v>280</v>
      </c>
      <c r="C948" s="7" t="s">
        <v>67</v>
      </c>
      <c r="D948" s="7" t="s">
        <v>12700</v>
      </c>
      <c r="E948" s="44">
        <v>5</v>
      </c>
      <c r="F948" s="7"/>
      <c r="G948" s="7"/>
      <c r="H948" s="2" t="s">
        <v>12657</v>
      </c>
      <c r="I948" s="7" t="s">
        <v>1217</v>
      </c>
      <c r="J948" s="7" t="s">
        <v>12701</v>
      </c>
      <c r="K948" s="7" t="s">
        <v>139</v>
      </c>
      <c r="L948" s="7"/>
      <c r="M948" s="7"/>
      <c r="N948" s="45" t="str">
        <f t="shared" si="687"/>
        <v>@ACU_Softball</v>
      </c>
      <c r="O948" s="45" t="str">
        <f t="shared" si="688"/>
        <v>Questionnaire</v>
      </c>
      <c r="P948" s="48" t="s">
        <v>12674</v>
      </c>
      <c r="Q948" s="47" t="s">
        <v>280</v>
      </c>
      <c r="R948" s="48" t="s">
        <v>12675</v>
      </c>
      <c r="S948" s="48" t="s">
        <v>238</v>
      </c>
      <c r="T948" s="49" t="s">
        <v>63</v>
      </c>
      <c r="U948" s="49" t="s">
        <v>686</v>
      </c>
      <c r="V948" s="48"/>
      <c r="W948" s="61">
        <v>3.58</v>
      </c>
      <c r="X948" s="49" t="s">
        <v>276</v>
      </c>
      <c r="Y948" s="49" t="s">
        <v>2341</v>
      </c>
      <c r="Z948" s="49" t="s">
        <v>545</v>
      </c>
      <c r="AA948" s="51">
        <v>0.50800000000000001</v>
      </c>
      <c r="AB948" s="54">
        <v>45980</v>
      </c>
      <c r="AC948" s="52" t="s">
        <v>12674</v>
      </c>
      <c r="AD948" s="53" t="str">
        <f t="shared" si="689"/>
        <v>Link</v>
      </c>
      <c r="AE948" s="54">
        <v>3758</v>
      </c>
      <c r="AF948" s="55"/>
      <c r="AG948" s="55"/>
      <c r="AH948" s="56">
        <v>222178</v>
      </c>
    </row>
    <row r="949" spans="1:34" ht="15" x14ac:dyDescent="0.2">
      <c r="A949" s="43" t="s">
        <v>12654</v>
      </c>
      <c r="B949" s="47" t="s">
        <v>184</v>
      </c>
      <c r="C949" s="7" t="s">
        <v>67</v>
      </c>
      <c r="D949" s="7" t="s">
        <v>12708</v>
      </c>
      <c r="E949" s="44">
        <v>5</v>
      </c>
      <c r="F949" s="7"/>
      <c r="G949" s="7"/>
      <c r="H949" s="2" t="s">
        <v>12709</v>
      </c>
      <c r="I949" s="7" t="s">
        <v>728</v>
      </c>
      <c r="J949" s="7" t="s">
        <v>12710</v>
      </c>
      <c r="K949" s="7" t="s">
        <v>48</v>
      </c>
      <c r="L949" s="7" t="s">
        <v>12712</v>
      </c>
      <c r="M949" s="7" t="s">
        <v>12713</v>
      </c>
      <c r="N949" s="45" t="s">
        <v>12714</v>
      </c>
      <c r="O949" s="45" t="str">
        <f t="shared" ref="O949:O954" si="690">HYPERLINK("https://college.jumpforward.com/questionnaire.aspx?iid=324&amp;sportid=31","Questionnaire")</f>
        <v>Questionnaire</v>
      </c>
      <c r="P949" s="48" t="s">
        <v>12715</v>
      </c>
      <c r="Q949" s="47" t="s">
        <v>184</v>
      </c>
      <c r="R949" s="48" t="s">
        <v>185</v>
      </c>
      <c r="S949" s="48" t="s">
        <v>186</v>
      </c>
      <c r="T949" s="49" t="s">
        <v>74</v>
      </c>
      <c r="U949" s="49" t="s">
        <v>75</v>
      </c>
      <c r="V949" s="48"/>
      <c r="W949" s="61">
        <v>3.36</v>
      </c>
      <c r="X949" s="49" t="s">
        <v>3428</v>
      </c>
      <c r="Y949" s="49" t="s">
        <v>1578</v>
      </c>
      <c r="Z949" s="49" t="s">
        <v>2190</v>
      </c>
      <c r="AA949" s="51">
        <v>0.89780000000000004</v>
      </c>
      <c r="AB949" s="48" t="s">
        <v>12716</v>
      </c>
      <c r="AC949" s="52" t="s">
        <v>12715</v>
      </c>
      <c r="AD949" s="53" t="str">
        <f t="shared" ref="AD949:AD954" si="691">HYPERLINK("http://uca.edu/academicmaps/academic-program-guide-2017-2018/","Link")</f>
        <v>Link</v>
      </c>
      <c r="AE949" s="54">
        <v>9616</v>
      </c>
      <c r="AF949" s="55"/>
      <c r="AG949" s="55"/>
      <c r="AH949" s="56">
        <v>106704</v>
      </c>
    </row>
    <row r="950" spans="1:34" ht="15" x14ac:dyDescent="0.2">
      <c r="A950" s="43" t="s">
        <v>12654</v>
      </c>
      <c r="B950" s="47" t="s">
        <v>184</v>
      </c>
      <c r="C950" s="7" t="s">
        <v>67</v>
      </c>
      <c r="D950" s="7" t="s">
        <v>12722</v>
      </c>
      <c r="E950" s="44">
        <v>5</v>
      </c>
      <c r="F950" s="7"/>
      <c r="G950" s="7"/>
      <c r="H950" s="2" t="s">
        <v>12709</v>
      </c>
      <c r="I950" s="7" t="s">
        <v>5168</v>
      </c>
      <c r="J950" s="7" t="s">
        <v>12723</v>
      </c>
      <c r="K950" s="2" t="s">
        <v>55</v>
      </c>
      <c r="L950" s="7" t="s">
        <v>12724</v>
      </c>
      <c r="M950" s="7" t="s">
        <v>12725</v>
      </c>
      <c r="N950" s="45" t="s">
        <v>12726</v>
      </c>
      <c r="O950" s="45" t="str">
        <f t="shared" si="690"/>
        <v>Questionnaire</v>
      </c>
      <c r="P950" s="48" t="s">
        <v>12715</v>
      </c>
      <c r="Q950" s="47" t="s">
        <v>184</v>
      </c>
      <c r="R950" s="48" t="s">
        <v>185</v>
      </c>
      <c r="S950" s="48" t="s">
        <v>186</v>
      </c>
      <c r="T950" s="49" t="s">
        <v>74</v>
      </c>
      <c r="U950" s="49" t="s">
        <v>75</v>
      </c>
      <c r="V950" s="48"/>
      <c r="W950" s="61">
        <v>3.36</v>
      </c>
      <c r="X950" s="49" t="s">
        <v>3428</v>
      </c>
      <c r="Y950" s="49" t="s">
        <v>1578</v>
      </c>
      <c r="Z950" s="49" t="s">
        <v>2190</v>
      </c>
      <c r="AA950" s="51">
        <v>0.89780000000000004</v>
      </c>
      <c r="AB950" s="48" t="s">
        <v>12716</v>
      </c>
      <c r="AC950" s="52" t="s">
        <v>12715</v>
      </c>
      <c r="AD950" s="53" t="str">
        <f t="shared" si="691"/>
        <v>Link</v>
      </c>
      <c r="AE950" s="54">
        <v>9616</v>
      </c>
      <c r="AF950" s="55"/>
      <c r="AG950" s="55"/>
      <c r="AH950" s="56">
        <v>106704</v>
      </c>
    </row>
    <row r="951" spans="1:34" ht="15" x14ac:dyDescent="0.2">
      <c r="A951" s="43" t="s">
        <v>12654</v>
      </c>
      <c r="B951" s="47" t="s">
        <v>184</v>
      </c>
      <c r="C951" s="7" t="s">
        <v>67</v>
      </c>
      <c r="D951" s="7" t="s">
        <v>12727</v>
      </c>
      <c r="E951" s="44">
        <v>5</v>
      </c>
      <c r="F951" s="7"/>
      <c r="G951" s="7"/>
      <c r="H951" s="2" t="s">
        <v>12709</v>
      </c>
      <c r="I951" s="7" t="s">
        <v>1492</v>
      </c>
      <c r="J951" s="7" t="s">
        <v>12729</v>
      </c>
      <c r="K951" s="2" t="s">
        <v>55</v>
      </c>
      <c r="L951" s="7" t="s">
        <v>12731</v>
      </c>
      <c r="M951" s="7"/>
      <c r="N951" s="45" t="s">
        <v>12733</v>
      </c>
      <c r="O951" s="45" t="str">
        <f t="shared" si="690"/>
        <v>Questionnaire</v>
      </c>
      <c r="P951" s="48" t="s">
        <v>12715</v>
      </c>
      <c r="Q951" s="47" t="s">
        <v>184</v>
      </c>
      <c r="R951" s="48" t="s">
        <v>185</v>
      </c>
      <c r="S951" s="48" t="s">
        <v>186</v>
      </c>
      <c r="T951" s="49" t="s">
        <v>74</v>
      </c>
      <c r="U951" s="49" t="s">
        <v>75</v>
      </c>
      <c r="V951" s="48"/>
      <c r="W951" s="61">
        <v>3.36</v>
      </c>
      <c r="X951" s="49" t="s">
        <v>3428</v>
      </c>
      <c r="Y951" s="49" t="s">
        <v>1578</v>
      </c>
      <c r="Z951" s="49" t="s">
        <v>2190</v>
      </c>
      <c r="AA951" s="51">
        <v>0.89780000000000004</v>
      </c>
      <c r="AB951" s="48" t="s">
        <v>12716</v>
      </c>
      <c r="AC951" s="52" t="s">
        <v>12715</v>
      </c>
      <c r="AD951" s="53" t="str">
        <f t="shared" si="691"/>
        <v>Link</v>
      </c>
      <c r="AE951" s="54">
        <v>9616</v>
      </c>
      <c r="AF951" s="55"/>
      <c r="AG951" s="55"/>
      <c r="AH951" s="56">
        <v>106704</v>
      </c>
    </row>
    <row r="952" spans="1:34" ht="15" x14ac:dyDescent="0.2">
      <c r="A952" s="43" t="s">
        <v>12654</v>
      </c>
      <c r="B952" s="47" t="s">
        <v>184</v>
      </c>
      <c r="C952" s="7" t="s">
        <v>67</v>
      </c>
      <c r="D952" s="7" t="s">
        <v>12742</v>
      </c>
      <c r="E952" s="44">
        <v>5</v>
      </c>
      <c r="F952" s="7"/>
      <c r="G952" s="7"/>
      <c r="H952" s="2" t="s">
        <v>12709</v>
      </c>
      <c r="I952" s="7" t="s">
        <v>6327</v>
      </c>
      <c r="J952" s="7" t="s">
        <v>12710</v>
      </c>
      <c r="K952" s="7" t="s">
        <v>120</v>
      </c>
      <c r="L952" s="7"/>
      <c r="M952" s="7"/>
      <c r="N952" s="7"/>
      <c r="O952" s="45" t="str">
        <f t="shared" si="690"/>
        <v>Questionnaire</v>
      </c>
      <c r="P952" s="48" t="s">
        <v>12715</v>
      </c>
      <c r="Q952" s="47" t="s">
        <v>184</v>
      </c>
      <c r="R952" s="48" t="s">
        <v>185</v>
      </c>
      <c r="S952" s="48" t="s">
        <v>186</v>
      </c>
      <c r="T952" s="49" t="s">
        <v>74</v>
      </c>
      <c r="U952" s="49" t="s">
        <v>75</v>
      </c>
      <c r="V952" s="48"/>
      <c r="W952" s="61">
        <v>3.36</v>
      </c>
      <c r="X952" s="49" t="s">
        <v>3428</v>
      </c>
      <c r="Y952" s="49" t="s">
        <v>1578</v>
      </c>
      <c r="Z952" s="49" t="s">
        <v>2190</v>
      </c>
      <c r="AA952" s="51">
        <v>0.89780000000000004</v>
      </c>
      <c r="AB952" s="48" t="s">
        <v>12716</v>
      </c>
      <c r="AC952" s="52" t="s">
        <v>12715</v>
      </c>
      <c r="AD952" s="53" t="str">
        <f t="shared" si="691"/>
        <v>Link</v>
      </c>
      <c r="AE952" s="54">
        <v>9616</v>
      </c>
      <c r="AF952" s="55"/>
      <c r="AG952" s="55"/>
      <c r="AH952" s="56">
        <v>106704</v>
      </c>
    </row>
    <row r="953" spans="1:34" ht="15" x14ac:dyDescent="0.2">
      <c r="A953" s="43" t="s">
        <v>12654</v>
      </c>
      <c r="B953" s="47" t="s">
        <v>184</v>
      </c>
      <c r="C953" s="7" t="s">
        <v>67</v>
      </c>
      <c r="D953" s="7" t="s">
        <v>12748</v>
      </c>
      <c r="E953" s="44">
        <v>5</v>
      </c>
      <c r="F953" s="7"/>
      <c r="G953" s="7"/>
      <c r="H953" s="2" t="s">
        <v>12709</v>
      </c>
      <c r="I953" s="7" t="s">
        <v>12749</v>
      </c>
      <c r="J953" s="7" t="s">
        <v>12750</v>
      </c>
      <c r="K953" s="7" t="s">
        <v>120</v>
      </c>
      <c r="L953" s="7"/>
      <c r="M953" s="7"/>
      <c r="N953" s="7"/>
      <c r="O953" s="45" t="str">
        <f t="shared" si="690"/>
        <v>Questionnaire</v>
      </c>
      <c r="P953" s="48" t="s">
        <v>12715</v>
      </c>
      <c r="Q953" s="47" t="s">
        <v>184</v>
      </c>
      <c r="R953" s="48" t="s">
        <v>185</v>
      </c>
      <c r="S953" s="48" t="s">
        <v>186</v>
      </c>
      <c r="T953" s="49" t="s">
        <v>74</v>
      </c>
      <c r="U953" s="49" t="s">
        <v>75</v>
      </c>
      <c r="V953" s="48"/>
      <c r="W953" s="61">
        <v>3.36</v>
      </c>
      <c r="X953" s="49" t="s">
        <v>3428</v>
      </c>
      <c r="Y953" s="49" t="s">
        <v>1578</v>
      </c>
      <c r="Z953" s="49" t="s">
        <v>2190</v>
      </c>
      <c r="AA953" s="51">
        <v>0.89780000000000004</v>
      </c>
      <c r="AB953" s="48" t="s">
        <v>12716</v>
      </c>
      <c r="AC953" s="52" t="s">
        <v>12715</v>
      </c>
      <c r="AD953" s="53" t="str">
        <f t="shared" si="691"/>
        <v>Link</v>
      </c>
      <c r="AE953" s="54">
        <v>9616</v>
      </c>
      <c r="AF953" s="55"/>
      <c r="AG953" s="55"/>
      <c r="AH953" s="56">
        <v>106704</v>
      </c>
    </row>
    <row r="954" spans="1:34" ht="15" x14ac:dyDescent="0.2">
      <c r="A954" s="43" t="s">
        <v>12654</v>
      </c>
      <c r="B954" s="47" t="s">
        <v>184</v>
      </c>
      <c r="C954" s="7" t="s">
        <v>67</v>
      </c>
      <c r="D954" s="7" t="s">
        <v>12760</v>
      </c>
      <c r="E954" s="58">
        <v>5</v>
      </c>
      <c r="F954" s="7" t="s">
        <v>116</v>
      </c>
      <c r="G954" s="7"/>
      <c r="H954" s="2" t="s">
        <v>12709</v>
      </c>
      <c r="I954" s="7" t="s">
        <v>5820</v>
      </c>
      <c r="J954" s="7" t="s">
        <v>2470</v>
      </c>
      <c r="K954" s="7" t="s">
        <v>139</v>
      </c>
      <c r="L954" s="7"/>
      <c r="M954" s="7"/>
      <c r="N954" s="45" t="s">
        <v>12714</v>
      </c>
      <c r="O954" s="45" t="str">
        <f t="shared" si="690"/>
        <v>Questionnaire</v>
      </c>
      <c r="P954" s="48" t="s">
        <v>12715</v>
      </c>
      <c r="Q954" s="47" t="s">
        <v>184</v>
      </c>
      <c r="R954" s="48" t="s">
        <v>185</v>
      </c>
      <c r="S954" s="48" t="s">
        <v>186</v>
      </c>
      <c r="T954" s="49" t="s">
        <v>74</v>
      </c>
      <c r="U954" s="49" t="s">
        <v>75</v>
      </c>
      <c r="V954" s="48"/>
      <c r="W954" s="61">
        <v>3.36</v>
      </c>
      <c r="X954" s="49" t="s">
        <v>3428</v>
      </c>
      <c r="Y954" s="49" t="s">
        <v>1578</v>
      </c>
      <c r="Z954" s="49" t="s">
        <v>2190</v>
      </c>
      <c r="AA954" s="51">
        <v>0.89780000000000004</v>
      </c>
      <c r="AB954" s="48" t="s">
        <v>12716</v>
      </c>
      <c r="AC954" s="52" t="s">
        <v>12715</v>
      </c>
      <c r="AD954" s="53" t="str">
        <f t="shared" si="691"/>
        <v>Link</v>
      </c>
      <c r="AE954" s="54">
        <v>9616</v>
      </c>
      <c r="AF954" s="55"/>
      <c r="AG954" s="55"/>
      <c r="AH954" s="56">
        <v>106704</v>
      </c>
    </row>
    <row r="955" spans="1:34" ht="15" x14ac:dyDescent="0.2">
      <c r="A955" s="43" t="s">
        <v>12654</v>
      </c>
      <c r="B955" s="47" t="s">
        <v>280</v>
      </c>
      <c r="C955" s="7" t="s">
        <v>67</v>
      </c>
      <c r="D955" s="7" t="s">
        <v>12770</v>
      </c>
      <c r="E955" s="44">
        <v>5</v>
      </c>
      <c r="F955" s="7"/>
      <c r="G955" s="7"/>
      <c r="H955" s="2" t="s">
        <v>12772</v>
      </c>
      <c r="I955" s="7" t="s">
        <v>12773</v>
      </c>
      <c r="J955" s="7" t="s">
        <v>1267</v>
      </c>
      <c r="K955" s="7" t="s">
        <v>48</v>
      </c>
      <c r="L955" s="7" t="s">
        <v>12775</v>
      </c>
      <c r="M955" s="7" t="s">
        <v>12777</v>
      </c>
      <c r="N955" s="45" t="str">
        <f t="shared" ref="N955:N958" si="692">HYPERLINK("twitter.com/hbusoftball","@hbusoftball")</f>
        <v>@hbusoftball</v>
      </c>
      <c r="O955" s="45" t="str">
        <f t="shared" ref="O955:O958" si="693">HYPERLINK("https://hbuhuskies.com/sb_output.aspx?form=3","Questionnaire")</f>
        <v>Questionnaire</v>
      </c>
      <c r="P955" s="48" t="s">
        <v>12790</v>
      </c>
      <c r="Q955" s="47" t="s">
        <v>280</v>
      </c>
      <c r="R955" s="48" t="s">
        <v>287</v>
      </c>
      <c r="S955" s="48" t="s">
        <v>288</v>
      </c>
      <c r="T955" s="49" t="s">
        <v>63</v>
      </c>
      <c r="U955" s="49" t="s">
        <v>800</v>
      </c>
      <c r="V955" s="48"/>
      <c r="W955" s="61">
        <v>3.43</v>
      </c>
      <c r="X955" s="49" t="s">
        <v>522</v>
      </c>
      <c r="Y955" s="49" t="s">
        <v>522</v>
      </c>
      <c r="Z955" s="49" t="s">
        <v>1650</v>
      </c>
      <c r="AA955" s="61">
        <v>0.35</v>
      </c>
      <c r="AB955" s="71">
        <v>43832</v>
      </c>
      <c r="AC955" s="62" t="s">
        <v>12790</v>
      </c>
      <c r="AD955" s="53" t="str">
        <f t="shared" ref="AD955:AD958" si="694">HYPERLINK("https://www.hbu.edu/academics/majors-and-programs/","Link")</f>
        <v>Link</v>
      </c>
      <c r="AE955" s="54">
        <v>2332</v>
      </c>
      <c r="AF955" s="55"/>
      <c r="AG955" s="55"/>
      <c r="AH955" s="56">
        <v>225399</v>
      </c>
    </row>
    <row r="956" spans="1:34" ht="15" x14ac:dyDescent="0.2">
      <c r="A956" s="43" t="s">
        <v>12654</v>
      </c>
      <c r="B956" s="47" t="s">
        <v>280</v>
      </c>
      <c r="C956" s="7" t="s">
        <v>67</v>
      </c>
      <c r="D956" s="7" t="s">
        <v>12797</v>
      </c>
      <c r="E956" s="44">
        <v>5</v>
      </c>
      <c r="F956" s="7"/>
      <c r="G956" s="7"/>
      <c r="H956" s="2" t="s">
        <v>12772</v>
      </c>
      <c r="I956" s="7" t="s">
        <v>4118</v>
      </c>
      <c r="J956" s="7" t="s">
        <v>12799</v>
      </c>
      <c r="K956" s="2" t="s">
        <v>55</v>
      </c>
      <c r="L956" s="7" t="s">
        <v>12801</v>
      </c>
      <c r="M956" s="7" t="s">
        <v>12802</v>
      </c>
      <c r="N956" s="45" t="str">
        <f t="shared" si="692"/>
        <v>@hbusoftball</v>
      </c>
      <c r="O956" s="45" t="str">
        <f t="shared" si="693"/>
        <v>Questionnaire</v>
      </c>
      <c r="P956" s="48" t="s">
        <v>12790</v>
      </c>
      <c r="Q956" s="47" t="s">
        <v>280</v>
      </c>
      <c r="R956" s="48" t="s">
        <v>287</v>
      </c>
      <c r="S956" s="48" t="s">
        <v>288</v>
      </c>
      <c r="T956" s="49" t="s">
        <v>63</v>
      </c>
      <c r="U956" s="49" t="s">
        <v>800</v>
      </c>
      <c r="V956" s="48"/>
      <c r="W956" s="61">
        <v>3.43</v>
      </c>
      <c r="X956" s="49" t="s">
        <v>522</v>
      </c>
      <c r="Y956" s="49" t="s">
        <v>522</v>
      </c>
      <c r="Z956" s="49" t="s">
        <v>1650</v>
      </c>
      <c r="AA956" s="61">
        <v>0.35</v>
      </c>
      <c r="AB956" s="71">
        <v>43832</v>
      </c>
      <c r="AC956" s="62" t="s">
        <v>12790</v>
      </c>
      <c r="AD956" s="53" t="str">
        <f t="shared" si="694"/>
        <v>Link</v>
      </c>
      <c r="AE956" s="54">
        <v>2332</v>
      </c>
      <c r="AF956" s="55"/>
      <c r="AG956" s="55"/>
      <c r="AH956" s="56">
        <v>225399</v>
      </c>
    </row>
    <row r="957" spans="1:34" ht="15" x14ac:dyDescent="0.2">
      <c r="A957" s="43" t="s">
        <v>12654</v>
      </c>
      <c r="B957" s="47" t="s">
        <v>280</v>
      </c>
      <c r="C957" s="7" t="s">
        <v>67</v>
      </c>
      <c r="D957" s="7" t="s">
        <v>12811</v>
      </c>
      <c r="E957" s="44">
        <v>5</v>
      </c>
      <c r="F957" s="7"/>
      <c r="G957" s="7"/>
      <c r="H957" s="2" t="s">
        <v>12772</v>
      </c>
      <c r="I957" s="7" t="s">
        <v>12812</v>
      </c>
      <c r="J957" s="7" t="s">
        <v>12814</v>
      </c>
      <c r="K957" s="2" t="s">
        <v>55</v>
      </c>
      <c r="L957" s="7" t="s">
        <v>12816</v>
      </c>
      <c r="M957" s="7"/>
      <c r="N957" s="45" t="str">
        <f t="shared" si="692"/>
        <v>@hbusoftball</v>
      </c>
      <c r="O957" s="45" t="str">
        <f t="shared" si="693"/>
        <v>Questionnaire</v>
      </c>
      <c r="P957" s="48" t="s">
        <v>12790</v>
      </c>
      <c r="Q957" s="47" t="s">
        <v>280</v>
      </c>
      <c r="R957" s="48" t="s">
        <v>287</v>
      </c>
      <c r="S957" s="48" t="s">
        <v>288</v>
      </c>
      <c r="T957" s="49" t="s">
        <v>63</v>
      </c>
      <c r="U957" s="49" t="s">
        <v>800</v>
      </c>
      <c r="V957" s="48"/>
      <c r="W957" s="61">
        <v>3.43</v>
      </c>
      <c r="X957" s="49" t="s">
        <v>522</v>
      </c>
      <c r="Y957" s="49" t="s">
        <v>522</v>
      </c>
      <c r="Z957" s="49" t="s">
        <v>1650</v>
      </c>
      <c r="AA957" s="61">
        <v>0.35</v>
      </c>
      <c r="AB957" s="71">
        <v>43832</v>
      </c>
      <c r="AC957" s="62" t="s">
        <v>12790</v>
      </c>
      <c r="AD957" s="53" t="str">
        <f t="shared" si="694"/>
        <v>Link</v>
      </c>
      <c r="AE957" s="54">
        <v>2332</v>
      </c>
      <c r="AF957" s="55"/>
      <c r="AG957" s="55"/>
      <c r="AH957" s="56">
        <v>225399</v>
      </c>
    </row>
    <row r="958" spans="1:34" ht="15" x14ac:dyDescent="0.2">
      <c r="A958" s="43" t="s">
        <v>12654</v>
      </c>
      <c r="B958" s="47" t="s">
        <v>280</v>
      </c>
      <c r="C958" s="7" t="s">
        <v>67</v>
      </c>
      <c r="D958" s="7" t="s">
        <v>12822</v>
      </c>
      <c r="E958" s="44">
        <v>5</v>
      </c>
      <c r="F958" s="7"/>
      <c r="G958" s="7"/>
      <c r="H958" s="2" t="s">
        <v>12772</v>
      </c>
      <c r="I958" s="7" t="s">
        <v>3019</v>
      </c>
      <c r="J958" s="7" t="s">
        <v>7113</v>
      </c>
      <c r="K958" s="7" t="s">
        <v>120</v>
      </c>
      <c r="L958" s="7" t="s">
        <v>12825</v>
      </c>
      <c r="M958" s="7"/>
      <c r="N958" s="45" t="str">
        <f t="shared" si="692"/>
        <v>@hbusoftball</v>
      </c>
      <c r="O958" s="45" t="str">
        <f t="shared" si="693"/>
        <v>Questionnaire</v>
      </c>
      <c r="P958" s="48" t="s">
        <v>12790</v>
      </c>
      <c r="Q958" s="47" t="s">
        <v>280</v>
      </c>
      <c r="R958" s="48" t="s">
        <v>287</v>
      </c>
      <c r="S958" s="48" t="s">
        <v>288</v>
      </c>
      <c r="T958" s="49" t="s">
        <v>63</v>
      </c>
      <c r="U958" s="49" t="s">
        <v>800</v>
      </c>
      <c r="V958" s="48"/>
      <c r="W958" s="61">
        <v>3.43</v>
      </c>
      <c r="X958" s="49" t="s">
        <v>522</v>
      </c>
      <c r="Y958" s="49" t="s">
        <v>522</v>
      </c>
      <c r="Z958" s="49" t="s">
        <v>1650</v>
      </c>
      <c r="AA958" s="61">
        <v>0.35</v>
      </c>
      <c r="AB958" s="71">
        <v>43832</v>
      </c>
      <c r="AC958" s="62" t="s">
        <v>12790</v>
      </c>
      <c r="AD958" s="53" t="str">
        <f t="shared" si="694"/>
        <v>Link</v>
      </c>
      <c r="AE958" s="54">
        <v>2332</v>
      </c>
      <c r="AF958" s="55"/>
      <c r="AG958" s="55"/>
      <c r="AH958" s="56">
        <v>225399</v>
      </c>
    </row>
    <row r="959" spans="1:34" ht="15" x14ac:dyDescent="0.2">
      <c r="A959" s="43" t="s">
        <v>12654</v>
      </c>
      <c r="B959" s="47" t="s">
        <v>280</v>
      </c>
      <c r="C959" s="7" t="s">
        <v>67</v>
      </c>
      <c r="D959" s="7" t="s">
        <v>12829</v>
      </c>
      <c r="E959" s="44">
        <v>5</v>
      </c>
      <c r="F959" s="7"/>
      <c r="G959" s="7"/>
      <c r="H959" s="2" t="s">
        <v>12832</v>
      </c>
      <c r="I959" s="7" t="s">
        <v>1541</v>
      </c>
      <c r="J959" s="7" t="s">
        <v>12834</v>
      </c>
      <c r="K959" s="7" t="s">
        <v>48</v>
      </c>
      <c r="L959" s="7" t="s">
        <v>12835</v>
      </c>
      <c r="M959" s="7" t="s">
        <v>12836</v>
      </c>
      <c r="N959" s="45" t="str">
        <f t="shared" ref="N959:N960" si="695">HYPERLINK("twitter.com/uiwsoftball","@uiwsoftball")</f>
        <v>@uiwsoftball</v>
      </c>
      <c r="O959" s="45" t="str">
        <f t="shared" ref="O959:O960" si="696">HYPERLINK("https://uiwcardinals.com/sb_output.aspx?form=17","Questionnaire")</f>
        <v>Questionnaire</v>
      </c>
      <c r="P959" s="48" t="s">
        <v>12841</v>
      </c>
      <c r="Q959" s="47" t="s">
        <v>280</v>
      </c>
      <c r="R959" s="48" t="s">
        <v>6568</v>
      </c>
      <c r="S959" s="48" t="s">
        <v>288</v>
      </c>
      <c r="T959" s="49" t="s">
        <v>63</v>
      </c>
      <c r="U959" s="49" t="s">
        <v>343</v>
      </c>
      <c r="V959" s="48"/>
      <c r="W959" s="61">
        <v>3.5</v>
      </c>
      <c r="X959" s="49" t="s">
        <v>12845</v>
      </c>
      <c r="Y959" s="49" t="s">
        <v>10149</v>
      </c>
      <c r="Z959" s="49" t="s">
        <v>3544</v>
      </c>
      <c r="AA959" s="61">
        <v>0.92</v>
      </c>
      <c r="AB959" s="71">
        <v>44862</v>
      </c>
      <c r="AC959" s="62" t="s">
        <v>12841</v>
      </c>
      <c r="AD959" s="53" t="str">
        <f t="shared" ref="AD959:AD961" si="697">HYPERLINK("http://www.uiw.edu/academics/","Link")</f>
        <v>Link</v>
      </c>
      <c r="AE959" s="54">
        <v>6423</v>
      </c>
      <c r="AF959" s="55"/>
      <c r="AG959" s="55"/>
      <c r="AH959" s="56">
        <v>225627</v>
      </c>
    </row>
    <row r="960" spans="1:34" ht="15" x14ac:dyDescent="0.2">
      <c r="A960" s="43" t="s">
        <v>12654</v>
      </c>
      <c r="B960" s="47" t="s">
        <v>280</v>
      </c>
      <c r="C960" s="7" t="s">
        <v>67</v>
      </c>
      <c r="D960" s="7" t="s">
        <v>12850</v>
      </c>
      <c r="E960" s="44">
        <v>5</v>
      </c>
      <c r="F960" s="7"/>
      <c r="G960" s="7"/>
      <c r="H960" s="2" t="s">
        <v>12832</v>
      </c>
      <c r="I960" s="7" t="s">
        <v>539</v>
      </c>
      <c r="J960" s="7" t="s">
        <v>12852</v>
      </c>
      <c r="K960" s="2" t="s">
        <v>55</v>
      </c>
      <c r="L960" s="7" t="s">
        <v>12854</v>
      </c>
      <c r="M960" s="7"/>
      <c r="N960" s="45" t="str">
        <f t="shared" si="695"/>
        <v>@uiwsoftball</v>
      </c>
      <c r="O960" s="45" t="str">
        <f t="shared" si="696"/>
        <v>Questionnaire</v>
      </c>
      <c r="P960" s="48" t="s">
        <v>12841</v>
      </c>
      <c r="Q960" s="47" t="s">
        <v>280</v>
      </c>
      <c r="R960" s="48" t="s">
        <v>6568</v>
      </c>
      <c r="S960" s="48" t="s">
        <v>288</v>
      </c>
      <c r="T960" s="49" t="s">
        <v>63</v>
      </c>
      <c r="U960" s="49" t="s">
        <v>343</v>
      </c>
      <c r="V960" s="48"/>
      <c r="W960" s="61">
        <v>3.5</v>
      </c>
      <c r="X960" s="49" t="s">
        <v>12845</v>
      </c>
      <c r="Y960" s="49" t="s">
        <v>10149</v>
      </c>
      <c r="Z960" s="49" t="s">
        <v>3544</v>
      </c>
      <c r="AA960" s="61">
        <v>0.92</v>
      </c>
      <c r="AB960" s="71">
        <v>44862</v>
      </c>
      <c r="AC960" s="62" t="s">
        <v>12841</v>
      </c>
      <c r="AD960" s="53" t="str">
        <f t="shared" si="697"/>
        <v>Link</v>
      </c>
      <c r="AE960" s="54">
        <v>6423</v>
      </c>
      <c r="AF960" s="55"/>
      <c r="AG960" s="55"/>
      <c r="AH960" s="56">
        <v>225627</v>
      </c>
    </row>
    <row r="961" spans="1:34" ht="15" x14ac:dyDescent="0.2">
      <c r="A961" s="43" t="s">
        <v>12654</v>
      </c>
      <c r="B961" s="47" t="s">
        <v>280</v>
      </c>
      <c r="C961" s="7" t="s">
        <v>67</v>
      </c>
      <c r="D961" s="7" t="s">
        <v>12861</v>
      </c>
      <c r="E961" s="44">
        <v>5</v>
      </c>
      <c r="F961" s="7"/>
      <c r="G961" s="7"/>
      <c r="H961" s="2" t="s">
        <v>12832</v>
      </c>
      <c r="I961" s="7" t="s">
        <v>12862</v>
      </c>
      <c r="J961" s="7" t="s">
        <v>118</v>
      </c>
      <c r="K961" s="7" t="s">
        <v>55</v>
      </c>
      <c r="L961" s="7" t="s">
        <v>12863</v>
      </c>
      <c r="M961" s="7"/>
      <c r="N961" s="7"/>
      <c r="O961" s="7"/>
      <c r="P961" s="48" t="s">
        <v>12841</v>
      </c>
      <c r="Q961" s="47" t="s">
        <v>280</v>
      </c>
      <c r="R961" s="48" t="s">
        <v>6568</v>
      </c>
      <c r="S961" s="48" t="s">
        <v>288</v>
      </c>
      <c r="T961" s="49" t="s">
        <v>63</v>
      </c>
      <c r="U961" s="49" t="s">
        <v>343</v>
      </c>
      <c r="V961" s="48"/>
      <c r="W961" s="61">
        <v>3.5</v>
      </c>
      <c r="X961" s="49" t="s">
        <v>12845</v>
      </c>
      <c r="Y961" s="49" t="s">
        <v>10149</v>
      </c>
      <c r="Z961" s="49" t="s">
        <v>3544</v>
      </c>
      <c r="AA961" s="61">
        <v>0.92</v>
      </c>
      <c r="AB961" s="71">
        <v>44862</v>
      </c>
      <c r="AC961" s="62" t="s">
        <v>12841</v>
      </c>
      <c r="AD961" s="53" t="str">
        <f t="shared" si="697"/>
        <v>Link</v>
      </c>
      <c r="AE961" s="54">
        <v>6423</v>
      </c>
      <c r="AF961" s="55"/>
      <c r="AG961" s="55"/>
      <c r="AH961" s="56">
        <v>225627</v>
      </c>
    </row>
    <row r="962" spans="1:34" ht="15" x14ac:dyDescent="0.2">
      <c r="A962" s="43" t="s">
        <v>12654</v>
      </c>
      <c r="B962" s="47" t="s">
        <v>280</v>
      </c>
      <c r="C962" s="7" t="s">
        <v>67</v>
      </c>
      <c r="D962" s="7" t="s">
        <v>12871</v>
      </c>
      <c r="E962" s="44">
        <v>5</v>
      </c>
      <c r="F962" s="7"/>
      <c r="G962" s="7"/>
      <c r="H962" s="2" t="s">
        <v>12874</v>
      </c>
      <c r="I962" s="7" t="s">
        <v>206</v>
      </c>
      <c r="J962" s="7" t="s">
        <v>12876</v>
      </c>
      <c r="K962" s="7" t="s">
        <v>48</v>
      </c>
      <c r="L962" s="7" t="s">
        <v>12879</v>
      </c>
      <c r="M962" s="7" t="s">
        <v>12880</v>
      </c>
      <c r="N962" s="45" t="str">
        <f t="shared" ref="N962:N965" si="698">HYPERLINK("twitter.com/lamarsoftball","@lamarsoftball")</f>
        <v>@lamarsoftball</v>
      </c>
      <c r="O962" s="48" t="s">
        <v>22</v>
      </c>
      <c r="P962" s="48" t="s">
        <v>12881</v>
      </c>
      <c r="Q962" s="47" t="s">
        <v>280</v>
      </c>
      <c r="R962" s="48" t="s">
        <v>12882</v>
      </c>
      <c r="S962" s="48" t="s">
        <v>238</v>
      </c>
      <c r="T962" s="49" t="s">
        <v>74</v>
      </c>
      <c r="U962" s="49" t="s">
        <v>75</v>
      </c>
      <c r="V962" s="48"/>
      <c r="W962" s="61">
        <v>3.17</v>
      </c>
      <c r="X962" s="49" t="s">
        <v>1452</v>
      </c>
      <c r="Y962" s="49" t="s">
        <v>253</v>
      </c>
      <c r="Z962" s="49" t="s">
        <v>449</v>
      </c>
      <c r="AA962" s="61">
        <v>0.76</v>
      </c>
      <c r="AB962" s="48" t="s">
        <v>12887</v>
      </c>
      <c r="AC962" s="92" t="s">
        <v>12881</v>
      </c>
      <c r="AD962" s="53" t="str">
        <f t="shared" ref="AD962:AD965" si="699">HYPERLINK("https://www.lamar.edu/catalog/degrees-and-programs/index.html","Link")</f>
        <v>Link</v>
      </c>
      <c r="AE962" s="54">
        <v>9308</v>
      </c>
      <c r="AF962" s="55"/>
      <c r="AG962" s="55"/>
      <c r="AH962" s="56">
        <v>226091</v>
      </c>
    </row>
    <row r="963" spans="1:34" ht="15" x14ac:dyDescent="0.2">
      <c r="A963" s="43" t="s">
        <v>12654</v>
      </c>
      <c r="B963" s="47" t="s">
        <v>280</v>
      </c>
      <c r="C963" s="7" t="s">
        <v>67</v>
      </c>
      <c r="D963" s="7" t="s">
        <v>12890</v>
      </c>
      <c r="E963" s="44">
        <v>5</v>
      </c>
      <c r="F963" s="7"/>
      <c r="G963" s="7"/>
      <c r="H963" s="2" t="s">
        <v>12874</v>
      </c>
      <c r="I963" s="7" t="s">
        <v>12892</v>
      </c>
      <c r="J963" s="7" t="s">
        <v>12893</v>
      </c>
      <c r="K963" s="2" t="s">
        <v>55</v>
      </c>
      <c r="L963" s="7" t="s">
        <v>12894</v>
      </c>
      <c r="M963" s="7" t="s">
        <v>12895</v>
      </c>
      <c r="N963" s="45" t="str">
        <f t="shared" si="698"/>
        <v>@lamarsoftball</v>
      </c>
      <c r="O963" s="48" t="s">
        <v>22</v>
      </c>
      <c r="P963" s="48" t="s">
        <v>12881</v>
      </c>
      <c r="Q963" s="47" t="s">
        <v>280</v>
      </c>
      <c r="R963" s="48" t="s">
        <v>12882</v>
      </c>
      <c r="S963" s="48" t="s">
        <v>238</v>
      </c>
      <c r="T963" s="49" t="s">
        <v>74</v>
      </c>
      <c r="U963" s="49" t="s">
        <v>75</v>
      </c>
      <c r="V963" s="48"/>
      <c r="W963" s="61">
        <v>3.17</v>
      </c>
      <c r="X963" s="49" t="s">
        <v>1452</v>
      </c>
      <c r="Y963" s="49" t="s">
        <v>253</v>
      </c>
      <c r="Z963" s="49" t="s">
        <v>449</v>
      </c>
      <c r="AA963" s="61">
        <v>0.76</v>
      </c>
      <c r="AB963" s="48" t="s">
        <v>12887</v>
      </c>
      <c r="AC963" s="92" t="s">
        <v>12881</v>
      </c>
      <c r="AD963" s="53" t="str">
        <f t="shared" si="699"/>
        <v>Link</v>
      </c>
      <c r="AE963" s="54">
        <v>9308</v>
      </c>
      <c r="AF963" s="55"/>
      <c r="AG963" s="55"/>
      <c r="AH963" s="56">
        <v>226091</v>
      </c>
    </row>
    <row r="964" spans="1:34" ht="15" x14ac:dyDescent="0.2">
      <c r="A964" s="43" t="s">
        <v>12654</v>
      </c>
      <c r="B964" s="47" t="s">
        <v>280</v>
      </c>
      <c r="C964" s="7" t="s">
        <v>67</v>
      </c>
      <c r="D964" s="7" t="s">
        <v>12897</v>
      </c>
      <c r="E964" s="44">
        <v>5</v>
      </c>
      <c r="F964" s="7"/>
      <c r="G964" s="7"/>
      <c r="H964" s="2" t="s">
        <v>12874</v>
      </c>
      <c r="I964" s="7" t="s">
        <v>513</v>
      </c>
      <c r="J964" s="7" t="s">
        <v>12899</v>
      </c>
      <c r="K964" s="7" t="s">
        <v>139</v>
      </c>
      <c r="L964" s="7" t="s">
        <v>12900</v>
      </c>
      <c r="M964" s="7" t="s">
        <v>12901</v>
      </c>
      <c r="N964" s="45" t="str">
        <f t="shared" si="698"/>
        <v>@lamarsoftball</v>
      </c>
      <c r="O964" s="48" t="s">
        <v>22</v>
      </c>
      <c r="P964" s="48" t="s">
        <v>12881</v>
      </c>
      <c r="Q964" s="47" t="s">
        <v>280</v>
      </c>
      <c r="R964" s="48" t="s">
        <v>12882</v>
      </c>
      <c r="S964" s="48" t="s">
        <v>238</v>
      </c>
      <c r="T964" s="49" t="s">
        <v>74</v>
      </c>
      <c r="U964" s="49" t="s">
        <v>75</v>
      </c>
      <c r="V964" s="48"/>
      <c r="W964" s="61">
        <v>3.17</v>
      </c>
      <c r="X964" s="49" t="s">
        <v>1452</v>
      </c>
      <c r="Y964" s="49" t="s">
        <v>253</v>
      </c>
      <c r="Z964" s="49" t="s">
        <v>449</v>
      </c>
      <c r="AA964" s="61">
        <v>0.76</v>
      </c>
      <c r="AB964" s="48" t="s">
        <v>12887</v>
      </c>
      <c r="AC964" s="92" t="s">
        <v>12881</v>
      </c>
      <c r="AD964" s="53" t="str">
        <f t="shared" si="699"/>
        <v>Link</v>
      </c>
      <c r="AE964" s="54">
        <v>9308</v>
      </c>
      <c r="AF964" s="55"/>
      <c r="AG964" s="55"/>
      <c r="AH964" s="56">
        <v>226091</v>
      </c>
    </row>
    <row r="965" spans="1:34" ht="15" x14ac:dyDescent="0.2">
      <c r="A965" s="43" t="s">
        <v>12654</v>
      </c>
      <c r="B965" s="47" t="s">
        <v>280</v>
      </c>
      <c r="C965" s="7" t="s">
        <v>67</v>
      </c>
      <c r="D965" s="7" t="s">
        <v>12906</v>
      </c>
      <c r="E965" s="58">
        <v>5</v>
      </c>
      <c r="F965" s="7" t="s">
        <v>116</v>
      </c>
      <c r="G965" s="7"/>
      <c r="H965" s="2" t="s">
        <v>12874</v>
      </c>
      <c r="I965" s="7" t="s">
        <v>1630</v>
      </c>
      <c r="J965" s="7" t="s">
        <v>12907</v>
      </c>
      <c r="K965" s="7" t="s">
        <v>120</v>
      </c>
      <c r="L965" s="7"/>
      <c r="M965" s="7"/>
      <c r="N965" s="45" t="str">
        <f t="shared" si="698"/>
        <v>@lamarsoftball</v>
      </c>
      <c r="O965" s="48" t="s">
        <v>22</v>
      </c>
      <c r="P965" s="48" t="s">
        <v>12881</v>
      </c>
      <c r="Q965" s="47" t="s">
        <v>280</v>
      </c>
      <c r="R965" s="48" t="s">
        <v>12882</v>
      </c>
      <c r="S965" s="48" t="s">
        <v>238</v>
      </c>
      <c r="T965" s="49" t="s">
        <v>74</v>
      </c>
      <c r="U965" s="49" t="s">
        <v>75</v>
      </c>
      <c r="V965" s="48"/>
      <c r="W965" s="61">
        <v>3.17</v>
      </c>
      <c r="X965" s="49" t="s">
        <v>1452</v>
      </c>
      <c r="Y965" s="49" t="s">
        <v>253</v>
      </c>
      <c r="Z965" s="49" t="s">
        <v>449</v>
      </c>
      <c r="AA965" s="61">
        <v>0.76</v>
      </c>
      <c r="AB965" s="48" t="s">
        <v>12887</v>
      </c>
      <c r="AC965" s="92" t="s">
        <v>12881</v>
      </c>
      <c r="AD965" s="53" t="str">
        <f t="shared" si="699"/>
        <v>Link</v>
      </c>
      <c r="AE965" s="54">
        <v>9308</v>
      </c>
      <c r="AF965" s="55"/>
      <c r="AG965" s="55"/>
      <c r="AH965" s="56">
        <v>226091</v>
      </c>
    </row>
    <row r="966" spans="1:34" ht="15" x14ac:dyDescent="0.2">
      <c r="A966" s="43" t="s">
        <v>12654</v>
      </c>
      <c r="B966" s="47" t="s">
        <v>3623</v>
      </c>
      <c r="C966" s="7" t="s">
        <v>67</v>
      </c>
      <c r="D966" s="7" t="s">
        <v>12918</v>
      </c>
      <c r="E966" s="44">
        <v>5</v>
      </c>
      <c r="F966" s="7"/>
      <c r="G966" s="7"/>
      <c r="H966" s="2" t="s">
        <v>12920</v>
      </c>
      <c r="I966" s="7" t="s">
        <v>2816</v>
      </c>
      <c r="J966" s="7" t="s">
        <v>12922</v>
      </c>
      <c r="K966" s="7" t="s">
        <v>48</v>
      </c>
      <c r="L966" s="7" t="s">
        <v>12923</v>
      </c>
      <c r="M966" s="7" t="s">
        <v>12924</v>
      </c>
      <c r="N966" s="45" t="str">
        <f>HYPERLINK("twitter.com/LandreneauJames","@LandreneauJames")</f>
        <v>@LandreneauJames</v>
      </c>
      <c r="O966" s="45" t="str">
        <f t="shared" ref="O966:O972" si="700">HYPERLINK("https://mcneesesports.com/sports/2012/11/15/GEN_1115124854.aspx","Questionnaire")</f>
        <v>Questionnaire</v>
      </c>
      <c r="P966" s="48" t="s">
        <v>12934</v>
      </c>
      <c r="Q966" s="47" t="s">
        <v>3623</v>
      </c>
      <c r="R966" s="48" t="s">
        <v>12936</v>
      </c>
      <c r="S966" s="48" t="s">
        <v>238</v>
      </c>
      <c r="T966" s="49" t="s">
        <v>74</v>
      </c>
      <c r="U966" s="49" t="s">
        <v>75</v>
      </c>
      <c r="V966" s="48"/>
      <c r="W966" s="61">
        <v>3.4</v>
      </c>
      <c r="X966" s="49" t="s">
        <v>2522</v>
      </c>
      <c r="Y966" s="49" t="s">
        <v>2310</v>
      </c>
      <c r="Z966" s="49" t="s">
        <v>240</v>
      </c>
      <c r="AA966" s="61">
        <v>0.64</v>
      </c>
      <c r="AB966" s="48" t="s">
        <v>12941</v>
      </c>
      <c r="AC966" s="52" t="s">
        <v>12934</v>
      </c>
      <c r="AD966" s="53" t="str">
        <f t="shared" ref="AD966:AD972" si="701">HYPERLINK("https://www.mcneese.edu/academics","Link")</f>
        <v>Link</v>
      </c>
      <c r="AE966" s="54">
        <v>6894</v>
      </c>
      <c r="AF966" s="55"/>
      <c r="AG966" s="55"/>
      <c r="AH966" s="56">
        <v>159717</v>
      </c>
    </row>
    <row r="967" spans="1:34" ht="15" x14ac:dyDescent="0.2">
      <c r="A967" s="43" t="s">
        <v>12654</v>
      </c>
      <c r="B967" s="47" t="s">
        <v>3623</v>
      </c>
      <c r="C967" s="7" t="s">
        <v>67</v>
      </c>
      <c r="D967" s="7" t="s">
        <v>12949</v>
      </c>
      <c r="E967" s="44">
        <v>5</v>
      </c>
      <c r="F967" s="7"/>
      <c r="G967" s="7"/>
      <c r="H967" s="2" t="s">
        <v>12920</v>
      </c>
      <c r="I967" s="7" t="s">
        <v>12950</v>
      </c>
      <c r="J967" s="7" t="s">
        <v>9382</v>
      </c>
      <c r="K967" s="2" t="s">
        <v>55</v>
      </c>
      <c r="L967" s="7" t="s">
        <v>12951</v>
      </c>
      <c r="M967" s="7" t="s">
        <v>12924</v>
      </c>
      <c r="N967" s="45" t="str">
        <f t="shared" ref="N967:N971" si="702">HYPERLINK("twitter.com/@MCNEESESOFTBALL","@MCNEESESOFTBALL")</f>
        <v>@MCNEESESOFTBALL</v>
      </c>
      <c r="O967" s="45" t="str">
        <f t="shared" si="700"/>
        <v>Questionnaire</v>
      </c>
      <c r="P967" s="48" t="s">
        <v>12934</v>
      </c>
      <c r="Q967" s="47" t="s">
        <v>3623</v>
      </c>
      <c r="R967" s="48" t="s">
        <v>12936</v>
      </c>
      <c r="S967" s="48" t="s">
        <v>238</v>
      </c>
      <c r="T967" s="49" t="s">
        <v>74</v>
      </c>
      <c r="U967" s="49" t="s">
        <v>75</v>
      </c>
      <c r="V967" s="48"/>
      <c r="W967" s="61">
        <v>3.4</v>
      </c>
      <c r="X967" s="49" t="s">
        <v>2522</v>
      </c>
      <c r="Y967" s="49" t="s">
        <v>2310</v>
      </c>
      <c r="Z967" s="49" t="s">
        <v>240</v>
      </c>
      <c r="AA967" s="61">
        <v>0.64</v>
      </c>
      <c r="AB967" s="48" t="s">
        <v>12941</v>
      </c>
      <c r="AC967" s="52" t="s">
        <v>12934</v>
      </c>
      <c r="AD967" s="53" t="str">
        <f t="shared" si="701"/>
        <v>Link</v>
      </c>
      <c r="AE967" s="54">
        <v>6894</v>
      </c>
      <c r="AF967" s="55"/>
      <c r="AG967" s="55"/>
      <c r="AH967" s="56">
        <v>159717</v>
      </c>
    </row>
    <row r="968" spans="1:34" ht="15" x14ac:dyDescent="0.2">
      <c r="A968" s="43" t="s">
        <v>12654</v>
      </c>
      <c r="B968" s="47" t="s">
        <v>3623</v>
      </c>
      <c r="C968" s="7" t="s">
        <v>67</v>
      </c>
      <c r="D968" s="7" t="s">
        <v>12961</v>
      </c>
      <c r="E968" s="44">
        <v>5</v>
      </c>
      <c r="F968" s="7"/>
      <c r="G968" s="7"/>
      <c r="H968" s="2" t="s">
        <v>12920</v>
      </c>
      <c r="I968" s="7" t="s">
        <v>2594</v>
      </c>
      <c r="J968" s="7" t="s">
        <v>12965</v>
      </c>
      <c r="K968" s="2" t="s">
        <v>55</v>
      </c>
      <c r="L968" s="7" t="s">
        <v>12967</v>
      </c>
      <c r="M968" s="7" t="s">
        <v>12968</v>
      </c>
      <c r="N968" s="69" t="str">
        <f t="shared" si="702"/>
        <v>@MCNEESESOFTBALL</v>
      </c>
      <c r="O968" s="45" t="str">
        <f t="shared" si="700"/>
        <v>Questionnaire</v>
      </c>
      <c r="P968" s="48" t="s">
        <v>12934</v>
      </c>
      <c r="Q968" s="47" t="s">
        <v>3623</v>
      </c>
      <c r="R968" s="48" t="s">
        <v>12936</v>
      </c>
      <c r="S968" s="48" t="s">
        <v>238</v>
      </c>
      <c r="T968" s="49" t="s">
        <v>74</v>
      </c>
      <c r="U968" s="49" t="s">
        <v>75</v>
      </c>
      <c r="V968" s="48"/>
      <c r="W968" s="61">
        <v>3.4</v>
      </c>
      <c r="X968" s="49" t="s">
        <v>2522</v>
      </c>
      <c r="Y968" s="49" t="s">
        <v>2310</v>
      </c>
      <c r="Z968" s="49" t="s">
        <v>240</v>
      </c>
      <c r="AA968" s="61">
        <v>0.64</v>
      </c>
      <c r="AB968" s="48" t="s">
        <v>12941</v>
      </c>
      <c r="AC968" s="52" t="s">
        <v>12934</v>
      </c>
      <c r="AD968" s="53" t="str">
        <f t="shared" si="701"/>
        <v>Link</v>
      </c>
      <c r="AE968" s="54">
        <v>6894</v>
      </c>
      <c r="AF968" s="55"/>
      <c r="AG968" s="55"/>
      <c r="AH968" s="56">
        <v>159717</v>
      </c>
    </row>
    <row r="969" spans="1:34" ht="15" x14ac:dyDescent="0.2">
      <c r="A969" s="43" t="s">
        <v>12654</v>
      </c>
      <c r="B969" s="47" t="s">
        <v>3623</v>
      </c>
      <c r="C969" s="7" t="s">
        <v>67</v>
      </c>
      <c r="D969" s="7" t="s">
        <v>12976</v>
      </c>
      <c r="E969" s="44">
        <v>5</v>
      </c>
      <c r="F969" s="7"/>
      <c r="G969" s="7"/>
      <c r="H969" s="2" t="s">
        <v>12920</v>
      </c>
      <c r="I969" s="7" t="s">
        <v>53</v>
      </c>
      <c r="J969" s="7" t="s">
        <v>12977</v>
      </c>
      <c r="K969" s="7" t="s">
        <v>154</v>
      </c>
      <c r="L969" s="7" t="s">
        <v>12978</v>
      </c>
      <c r="M969" s="7" t="s">
        <v>12979</v>
      </c>
      <c r="N969" s="45" t="str">
        <f t="shared" si="702"/>
        <v>@MCNEESESOFTBALL</v>
      </c>
      <c r="O969" s="45" t="str">
        <f t="shared" si="700"/>
        <v>Questionnaire</v>
      </c>
      <c r="P969" s="48" t="s">
        <v>12934</v>
      </c>
      <c r="Q969" s="47" t="s">
        <v>3623</v>
      </c>
      <c r="R969" s="48" t="s">
        <v>12936</v>
      </c>
      <c r="S969" s="48" t="s">
        <v>238</v>
      </c>
      <c r="T969" s="49" t="s">
        <v>74</v>
      </c>
      <c r="U969" s="49" t="s">
        <v>75</v>
      </c>
      <c r="V969" s="48"/>
      <c r="W969" s="61">
        <v>3.4</v>
      </c>
      <c r="X969" s="49" t="s">
        <v>2522</v>
      </c>
      <c r="Y969" s="49" t="s">
        <v>2310</v>
      </c>
      <c r="Z969" s="49" t="s">
        <v>240</v>
      </c>
      <c r="AA969" s="61">
        <v>0.64</v>
      </c>
      <c r="AB969" s="48" t="s">
        <v>12941</v>
      </c>
      <c r="AC969" s="52" t="s">
        <v>12934</v>
      </c>
      <c r="AD969" s="53" t="str">
        <f t="shared" si="701"/>
        <v>Link</v>
      </c>
      <c r="AE969" s="54">
        <v>6894</v>
      </c>
      <c r="AF969" s="55"/>
      <c r="AG969" s="55"/>
      <c r="AH969" s="56">
        <v>159717</v>
      </c>
    </row>
    <row r="970" spans="1:34" ht="15" x14ac:dyDescent="0.2">
      <c r="A970" s="43" t="s">
        <v>12654</v>
      </c>
      <c r="B970" s="47" t="s">
        <v>3623</v>
      </c>
      <c r="C970" s="7" t="s">
        <v>67</v>
      </c>
      <c r="D970" s="7" t="s">
        <v>12984</v>
      </c>
      <c r="E970" s="44">
        <v>5</v>
      </c>
      <c r="F970" s="7"/>
      <c r="G970" s="7"/>
      <c r="H970" s="2" t="s">
        <v>12920</v>
      </c>
      <c r="I970" s="7" t="s">
        <v>539</v>
      </c>
      <c r="J970" s="7" t="s">
        <v>10332</v>
      </c>
      <c r="K970" s="7" t="s">
        <v>120</v>
      </c>
      <c r="L970" s="7" t="s">
        <v>12987</v>
      </c>
      <c r="M970" s="7" t="s">
        <v>12989</v>
      </c>
      <c r="N970" s="45" t="str">
        <f t="shared" si="702"/>
        <v>@MCNEESESOFTBALL</v>
      </c>
      <c r="O970" s="45" t="str">
        <f t="shared" si="700"/>
        <v>Questionnaire</v>
      </c>
      <c r="P970" s="48" t="s">
        <v>12934</v>
      </c>
      <c r="Q970" s="47" t="s">
        <v>3623</v>
      </c>
      <c r="R970" s="48" t="s">
        <v>12936</v>
      </c>
      <c r="S970" s="48" t="s">
        <v>238</v>
      </c>
      <c r="T970" s="49" t="s">
        <v>74</v>
      </c>
      <c r="U970" s="49" t="s">
        <v>75</v>
      </c>
      <c r="V970" s="48"/>
      <c r="W970" s="61">
        <v>3.4</v>
      </c>
      <c r="X970" s="49" t="s">
        <v>2522</v>
      </c>
      <c r="Y970" s="49" t="s">
        <v>2310</v>
      </c>
      <c r="Z970" s="49" t="s">
        <v>240</v>
      </c>
      <c r="AA970" s="61">
        <v>0.64</v>
      </c>
      <c r="AB970" s="48" t="s">
        <v>12941</v>
      </c>
      <c r="AC970" s="52" t="s">
        <v>12934</v>
      </c>
      <c r="AD970" s="53" t="str">
        <f t="shared" si="701"/>
        <v>Link</v>
      </c>
      <c r="AE970" s="54">
        <v>6894</v>
      </c>
      <c r="AF970" s="55"/>
      <c r="AG970" s="55"/>
      <c r="AH970" s="56">
        <v>159717</v>
      </c>
    </row>
    <row r="971" spans="1:34" ht="15" x14ac:dyDescent="0.2">
      <c r="A971" s="43" t="s">
        <v>12654</v>
      </c>
      <c r="B971" s="47" t="s">
        <v>3623</v>
      </c>
      <c r="C971" s="7" t="s">
        <v>67</v>
      </c>
      <c r="D971" s="7" t="s">
        <v>12993</v>
      </c>
      <c r="E971" s="58">
        <v>5</v>
      </c>
      <c r="F971" s="7" t="s">
        <v>116</v>
      </c>
      <c r="G971" s="7"/>
      <c r="H971" s="2" t="s">
        <v>12920</v>
      </c>
      <c r="I971" s="7" t="s">
        <v>10213</v>
      </c>
      <c r="J971" s="7" t="s">
        <v>2816</v>
      </c>
      <c r="K971" s="7" t="s">
        <v>139</v>
      </c>
      <c r="L971" s="7" t="s">
        <v>12996</v>
      </c>
      <c r="M971" s="7" t="s">
        <v>12997</v>
      </c>
      <c r="N971" s="45" t="str">
        <f t="shared" si="702"/>
        <v>@MCNEESESOFTBALL</v>
      </c>
      <c r="O971" s="45" t="str">
        <f t="shared" si="700"/>
        <v>Questionnaire</v>
      </c>
      <c r="P971" s="48" t="s">
        <v>12934</v>
      </c>
      <c r="Q971" s="47" t="s">
        <v>3623</v>
      </c>
      <c r="R971" s="48" t="s">
        <v>12936</v>
      </c>
      <c r="S971" s="48" t="s">
        <v>238</v>
      </c>
      <c r="T971" s="49" t="s">
        <v>74</v>
      </c>
      <c r="U971" s="49" t="s">
        <v>75</v>
      </c>
      <c r="V971" s="48"/>
      <c r="W971" s="61">
        <v>3.4</v>
      </c>
      <c r="X971" s="49" t="s">
        <v>2522</v>
      </c>
      <c r="Y971" s="49" t="s">
        <v>2310</v>
      </c>
      <c r="Z971" s="49" t="s">
        <v>240</v>
      </c>
      <c r="AA971" s="61">
        <v>0.64</v>
      </c>
      <c r="AB971" s="48" t="s">
        <v>12941</v>
      </c>
      <c r="AC971" s="52" t="s">
        <v>12934</v>
      </c>
      <c r="AD971" s="53" t="str">
        <f t="shared" si="701"/>
        <v>Link</v>
      </c>
      <c r="AE971" s="54">
        <v>6894</v>
      </c>
      <c r="AF971" s="55"/>
      <c r="AG971" s="55"/>
      <c r="AH971" s="56">
        <v>159717</v>
      </c>
    </row>
    <row r="972" spans="1:34" ht="15" x14ac:dyDescent="0.2">
      <c r="A972" s="43" t="s">
        <v>12654</v>
      </c>
      <c r="B972" s="47" t="s">
        <v>3623</v>
      </c>
      <c r="C972" s="7" t="s">
        <v>67</v>
      </c>
      <c r="D972" s="7" t="s">
        <v>13000</v>
      </c>
      <c r="E972" s="58">
        <v>5</v>
      </c>
      <c r="F972" s="7" t="s">
        <v>116</v>
      </c>
      <c r="G972" s="7"/>
      <c r="H972" s="2" t="s">
        <v>12920</v>
      </c>
      <c r="I972" s="7" t="s">
        <v>12950</v>
      </c>
      <c r="J972" s="7" t="s">
        <v>9382</v>
      </c>
      <c r="K972" s="7" t="s">
        <v>55</v>
      </c>
      <c r="L972" s="7" t="s">
        <v>12951</v>
      </c>
      <c r="M972" s="7" t="s">
        <v>12924</v>
      </c>
      <c r="N972" s="7" t="s">
        <v>13001</v>
      </c>
      <c r="O972" s="45" t="str">
        <f t="shared" si="700"/>
        <v>Questionnaire</v>
      </c>
      <c r="P972" s="48" t="s">
        <v>12934</v>
      </c>
      <c r="Q972" s="47" t="s">
        <v>3623</v>
      </c>
      <c r="R972" s="48" t="s">
        <v>12936</v>
      </c>
      <c r="S972" s="48" t="s">
        <v>238</v>
      </c>
      <c r="T972" s="49" t="s">
        <v>74</v>
      </c>
      <c r="U972" s="49" t="s">
        <v>75</v>
      </c>
      <c r="V972" s="48"/>
      <c r="W972" s="61">
        <v>3.4</v>
      </c>
      <c r="X972" s="49" t="s">
        <v>2522</v>
      </c>
      <c r="Y972" s="49" t="s">
        <v>2310</v>
      </c>
      <c r="Z972" s="49" t="s">
        <v>240</v>
      </c>
      <c r="AA972" s="61">
        <v>0.64</v>
      </c>
      <c r="AB972" s="48" t="s">
        <v>12941</v>
      </c>
      <c r="AC972" s="52" t="s">
        <v>12934</v>
      </c>
      <c r="AD972" s="53" t="str">
        <f t="shared" si="701"/>
        <v>Link</v>
      </c>
      <c r="AE972" s="54">
        <v>6894</v>
      </c>
      <c r="AF972" s="55"/>
      <c r="AG972" s="55"/>
      <c r="AH972" s="56">
        <v>159717</v>
      </c>
    </row>
    <row r="973" spans="1:34" ht="15" x14ac:dyDescent="0.2">
      <c r="A973" s="43" t="s">
        <v>12654</v>
      </c>
      <c r="B973" s="47" t="s">
        <v>3623</v>
      </c>
      <c r="C973" s="7" t="s">
        <v>67</v>
      </c>
      <c r="D973" s="7" t="s">
        <v>13003</v>
      </c>
      <c r="E973" s="44">
        <v>5</v>
      </c>
      <c r="F973" s="7"/>
      <c r="G973" s="7"/>
      <c r="H973" s="2" t="s">
        <v>13004</v>
      </c>
      <c r="I973" s="7" t="s">
        <v>431</v>
      </c>
      <c r="J973" s="7" t="s">
        <v>459</v>
      </c>
      <c r="K973" s="7" t="s">
        <v>48</v>
      </c>
      <c r="L973" s="7" t="s">
        <v>13006</v>
      </c>
      <c r="M973" s="7" t="s">
        <v>13007</v>
      </c>
      <c r="N973" s="45" t="str">
        <f t="shared" ref="N973:N975" si="703">HYPERLINK("twitter.com/nicholls_sb","@nicholls_sb")</f>
        <v>@nicholls_sb</v>
      </c>
      <c r="O973" s="45" t="str">
        <f t="shared" ref="O973:O975" si="704">HYPERLINK("https://geauxcolonels.com/sb_output.aspx?form=35&amp;path=softball","Questionnaire")</f>
        <v>Questionnaire</v>
      </c>
      <c r="P973" s="48" t="s">
        <v>13015</v>
      </c>
      <c r="Q973" s="47" t="s">
        <v>3623</v>
      </c>
      <c r="R973" s="48" t="s">
        <v>13016</v>
      </c>
      <c r="S973" s="48" t="s">
        <v>172</v>
      </c>
      <c r="T973" s="49" t="s">
        <v>74</v>
      </c>
      <c r="U973" s="49" t="s">
        <v>75</v>
      </c>
      <c r="V973" s="48"/>
      <c r="W973" s="61">
        <v>3.22</v>
      </c>
      <c r="X973" s="49" t="s">
        <v>13017</v>
      </c>
      <c r="Y973" s="49" t="s">
        <v>13018</v>
      </c>
      <c r="Z973" s="49" t="s">
        <v>240</v>
      </c>
      <c r="AA973" s="61">
        <v>0.83</v>
      </c>
      <c r="AB973" s="48" t="s">
        <v>13021</v>
      </c>
      <c r="AC973" s="62" t="s">
        <v>13015</v>
      </c>
      <c r="AD973" s="53" t="str">
        <f t="shared" ref="AD973:AD975" si="705">HYPERLINK("https://www.nicholls.edu/programs/","Link")</f>
        <v>Link</v>
      </c>
      <c r="AE973" s="54">
        <v>5636</v>
      </c>
      <c r="AF973" s="55"/>
      <c r="AG973" s="55"/>
      <c r="AH973" s="56">
        <v>159966</v>
      </c>
    </row>
    <row r="974" spans="1:34" ht="15" x14ac:dyDescent="0.2">
      <c r="A974" s="43" t="s">
        <v>12654</v>
      </c>
      <c r="B974" s="47" t="s">
        <v>3623</v>
      </c>
      <c r="C974" s="7" t="s">
        <v>67</v>
      </c>
      <c r="D974" s="7" t="s">
        <v>13024</v>
      </c>
      <c r="E974" s="44">
        <v>5</v>
      </c>
      <c r="F974" s="7"/>
      <c r="G974" s="7"/>
      <c r="H974" s="2" t="s">
        <v>13004</v>
      </c>
      <c r="I974" s="7" t="s">
        <v>201</v>
      </c>
      <c r="J974" s="7" t="s">
        <v>13025</v>
      </c>
      <c r="K974" s="2" t="s">
        <v>55</v>
      </c>
      <c r="L974" s="7" t="s">
        <v>13026</v>
      </c>
      <c r="M974" s="7" t="s">
        <v>13027</v>
      </c>
      <c r="N974" s="45" t="str">
        <f t="shared" si="703"/>
        <v>@nicholls_sb</v>
      </c>
      <c r="O974" s="45" t="str">
        <f t="shared" si="704"/>
        <v>Questionnaire</v>
      </c>
      <c r="P974" s="48" t="s">
        <v>13015</v>
      </c>
      <c r="Q974" s="47" t="s">
        <v>3623</v>
      </c>
      <c r="R974" s="48" t="s">
        <v>13016</v>
      </c>
      <c r="S974" s="48" t="s">
        <v>172</v>
      </c>
      <c r="T974" s="49" t="s">
        <v>74</v>
      </c>
      <c r="U974" s="49" t="s">
        <v>75</v>
      </c>
      <c r="V974" s="48"/>
      <c r="W974" s="61">
        <v>3.22</v>
      </c>
      <c r="X974" s="49" t="s">
        <v>13017</v>
      </c>
      <c r="Y974" s="49" t="s">
        <v>13018</v>
      </c>
      <c r="Z974" s="49" t="s">
        <v>240</v>
      </c>
      <c r="AA974" s="61">
        <v>0.83</v>
      </c>
      <c r="AB974" s="48" t="s">
        <v>13021</v>
      </c>
      <c r="AC974" s="62" t="s">
        <v>13015</v>
      </c>
      <c r="AD974" s="53" t="str">
        <f t="shared" si="705"/>
        <v>Link</v>
      </c>
      <c r="AE974" s="54">
        <v>5636</v>
      </c>
      <c r="AF974" s="55"/>
      <c r="AG974" s="55"/>
      <c r="AH974" s="56">
        <v>159966</v>
      </c>
    </row>
    <row r="975" spans="1:34" ht="15" x14ac:dyDescent="0.2">
      <c r="A975" s="43" t="s">
        <v>12654</v>
      </c>
      <c r="B975" s="47" t="s">
        <v>3623</v>
      </c>
      <c r="C975" s="7" t="s">
        <v>67</v>
      </c>
      <c r="D975" s="7" t="s">
        <v>13029</v>
      </c>
      <c r="E975" s="44">
        <v>5</v>
      </c>
      <c r="F975" s="7"/>
      <c r="G975" s="7"/>
      <c r="H975" s="2" t="s">
        <v>13004</v>
      </c>
      <c r="I975" s="7" t="s">
        <v>427</v>
      </c>
      <c r="J975" s="7" t="s">
        <v>12774</v>
      </c>
      <c r="K975" s="2" t="s">
        <v>55</v>
      </c>
      <c r="L975" s="7"/>
      <c r="M975" s="7"/>
      <c r="N975" s="45" t="str">
        <f t="shared" si="703"/>
        <v>@nicholls_sb</v>
      </c>
      <c r="O975" s="45" t="str">
        <f t="shared" si="704"/>
        <v>Questionnaire</v>
      </c>
      <c r="P975" s="48" t="s">
        <v>13015</v>
      </c>
      <c r="Q975" s="47" t="s">
        <v>3623</v>
      </c>
      <c r="R975" s="48" t="s">
        <v>13016</v>
      </c>
      <c r="S975" s="48" t="s">
        <v>172</v>
      </c>
      <c r="T975" s="49" t="s">
        <v>74</v>
      </c>
      <c r="U975" s="49" t="s">
        <v>75</v>
      </c>
      <c r="V975" s="48"/>
      <c r="W975" s="61">
        <v>3.22</v>
      </c>
      <c r="X975" s="49" t="s">
        <v>13017</v>
      </c>
      <c r="Y975" s="49" t="s">
        <v>13018</v>
      </c>
      <c r="Z975" s="49" t="s">
        <v>240</v>
      </c>
      <c r="AA975" s="61">
        <v>0.83</v>
      </c>
      <c r="AB975" s="48" t="s">
        <v>13021</v>
      </c>
      <c r="AC975" s="62" t="s">
        <v>13015</v>
      </c>
      <c r="AD975" s="53" t="str">
        <f t="shared" si="705"/>
        <v>Link</v>
      </c>
      <c r="AE975" s="54">
        <v>5636</v>
      </c>
      <c r="AF975" s="55"/>
      <c r="AG975" s="55"/>
      <c r="AH975" s="56">
        <v>159966</v>
      </c>
    </row>
    <row r="976" spans="1:34" ht="15" x14ac:dyDescent="0.2">
      <c r="A976" s="43" t="s">
        <v>12654</v>
      </c>
      <c r="B976" s="47" t="s">
        <v>3623</v>
      </c>
      <c r="C976" s="7" t="s">
        <v>67</v>
      </c>
      <c r="D976" s="7" t="s">
        <v>13037</v>
      </c>
      <c r="E976" s="44">
        <v>5</v>
      </c>
      <c r="F976" s="7"/>
      <c r="G976" s="7"/>
      <c r="H976" s="2" t="s">
        <v>13038</v>
      </c>
      <c r="I976" s="7" t="s">
        <v>13039</v>
      </c>
      <c r="J976" s="7" t="s">
        <v>5804</v>
      </c>
      <c r="K976" s="7" t="s">
        <v>48</v>
      </c>
      <c r="L976" s="7" t="s">
        <v>13040</v>
      </c>
      <c r="M976" s="7" t="s">
        <v>13042</v>
      </c>
      <c r="N976" s="45" t="str">
        <f>HYPERLINK("twitter.com/DonaldgPickett","@DonaldgPickett")</f>
        <v>@DonaldgPickett</v>
      </c>
      <c r="O976" s="45" t="str">
        <f t="shared" ref="O976:O978" si="706">HYPERLINK("https://nsudemons.com/sb_output.aspx?form=44","Questionnaire")</f>
        <v>Questionnaire</v>
      </c>
      <c r="P976" s="48" t="s">
        <v>13049</v>
      </c>
      <c r="Q976" s="47" t="s">
        <v>3623</v>
      </c>
      <c r="R976" s="48" t="s">
        <v>13050</v>
      </c>
      <c r="S976" s="48" t="s">
        <v>172</v>
      </c>
      <c r="T976" s="73" t="s">
        <v>74</v>
      </c>
      <c r="U976" s="49" t="s">
        <v>75</v>
      </c>
      <c r="V976" s="48"/>
      <c r="W976" s="61">
        <v>3.44</v>
      </c>
      <c r="X976" s="49" t="s">
        <v>1453</v>
      </c>
      <c r="Y976" s="49" t="s">
        <v>356</v>
      </c>
      <c r="Z976" s="49" t="s">
        <v>125</v>
      </c>
      <c r="AA976" s="61">
        <v>0.62</v>
      </c>
      <c r="AB976" s="48" t="s">
        <v>13053</v>
      </c>
      <c r="AC976" s="62" t="s">
        <v>13049</v>
      </c>
      <c r="AD976" s="53" t="str">
        <f t="shared" ref="AD976:AD978" si="707">HYPERLINK("https://www.nsula.edu/undergraduate-programs/","Link")</f>
        <v>Link</v>
      </c>
      <c r="AE976" s="54">
        <v>8832</v>
      </c>
      <c r="AF976" s="55"/>
      <c r="AG976" s="55"/>
      <c r="AH976" s="56">
        <v>160038</v>
      </c>
    </row>
    <row r="977" spans="1:34" ht="15" x14ac:dyDescent="0.2">
      <c r="A977" s="43" t="s">
        <v>12654</v>
      </c>
      <c r="B977" s="47" t="s">
        <v>3623</v>
      </c>
      <c r="C977" s="7" t="s">
        <v>67</v>
      </c>
      <c r="D977" s="7" t="s">
        <v>13058</v>
      </c>
      <c r="E977" s="44">
        <v>5</v>
      </c>
      <c r="F977" s="7"/>
      <c r="G977" s="7"/>
      <c r="H977" s="2" t="s">
        <v>13038</v>
      </c>
      <c r="I977" s="7" t="s">
        <v>1875</v>
      </c>
      <c r="J977" s="7" t="s">
        <v>13059</v>
      </c>
      <c r="K977" s="2" t="s">
        <v>55</v>
      </c>
      <c r="L977" s="7" t="s">
        <v>13060</v>
      </c>
      <c r="M977" s="7" t="s">
        <v>13062</v>
      </c>
      <c r="N977" s="45" t="str">
        <f>HYPERLINK("twitter.com/aslocke22","@aslocke22")</f>
        <v>@aslocke22</v>
      </c>
      <c r="O977" s="45" t="str">
        <f t="shared" si="706"/>
        <v>Questionnaire</v>
      </c>
      <c r="P977" s="48" t="s">
        <v>13049</v>
      </c>
      <c r="Q977" s="47" t="s">
        <v>3623</v>
      </c>
      <c r="R977" s="48" t="s">
        <v>13050</v>
      </c>
      <c r="S977" s="48" t="s">
        <v>172</v>
      </c>
      <c r="T977" s="73" t="s">
        <v>74</v>
      </c>
      <c r="U977" s="49" t="s">
        <v>75</v>
      </c>
      <c r="V977" s="48"/>
      <c r="W977" s="61">
        <v>3.44</v>
      </c>
      <c r="X977" s="49" t="s">
        <v>1453</v>
      </c>
      <c r="Y977" s="49" t="s">
        <v>356</v>
      </c>
      <c r="Z977" s="49" t="s">
        <v>125</v>
      </c>
      <c r="AA977" s="61">
        <v>0.62</v>
      </c>
      <c r="AB977" s="48" t="s">
        <v>13053</v>
      </c>
      <c r="AC977" s="62" t="s">
        <v>13049</v>
      </c>
      <c r="AD977" s="53" t="str">
        <f t="shared" si="707"/>
        <v>Link</v>
      </c>
      <c r="AE977" s="54">
        <v>8832</v>
      </c>
      <c r="AF977" s="55"/>
      <c r="AG977" s="55"/>
      <c r="AH977" s="56">
        <v>160038</v>
      </c>
    </row>
    <row r="978" spans="1:34" ht="15" x14ac:dyDescent="0.2">
      <c r="A978" s="43" t="s">
        <v>12654</v>
      </c>
      <c r="B978" s="47" t="s">
        <v>3623</v>
      </c>
      <c r="C978" s="7" t="s">
        <v>67</v>
      </c>
      <c r="D978" s="7" t="s">
        <v>13070</v>
      </c>
      <c r="E978" s="44">
        <v>5</v>
      </c>
      <c r="F978" s="7"/>
      <c r="G978" s="7"/>
      <c r="H978" s="2" t="s">
        <v>13038</v>
      </c>
      <c r="I978" s="7" t="s">
        <v>878</v>
      </c>
      <c r="J978" s="7" t="s">
        <v>13072</v>
      </c>
      <c r="K978" s="2" t="s">
        <v>55</v>
      </c>
      <c r="L978" s="7" t="s">
        <v>13073</v>
      </c>
      <c r="M978" s="7" t="s">
        <v>13074</v>
      </c>
      <c r="N978" s="45" t="str">
        <f>HYPERLINK("twitter.com/nsudemonssb","@nsudemonssb")</f>
        <v>@nsudemonssb</v>
      </c>
      <c r="O978" s="45" t="str">
        <f t="shared" si="706"/>
        <v>Questionnaire</v>
      </c>
      <c r="P978" s="48" t="s">
        <v>13049</v>
      </c>
      <c r="Q978" s="47" t="s">
        <v>3623</v>
      </c>
      <c r="R978" s="48" t="s">
        <v>13050</v>
      </c>
      <c r="S978" s="48" t="s">
        <v>172</v>
      </c>
      <c r="T978" s="73" t="s">
        <v>74</v>
      </c>
      <c r="U978" s="49" t="s">
        <v>75</v>
      </c>
      <c r="V978" s="48"/>
      <c r="W978" s="61">
        <v>3.44</v>
      </c>
      <c r="X978" s="49" t="s">
        <v>1453</v>
      </c>
      <c r="Y978" s="49" t="s">
        <v>356</v>
      </c>
      <c r="Z978" s="49" t="s">
        <v>125</v>
      </c>
      <c r="AA978" s="61">
        <v>0.62</v>
      </c>
      <c r="AB978" s="48" t="s">
        <v>13053</v>
      </c>
      <c r="AC978" s="62" t="s">
        <v>13049</v>
      </c>
      <c r="AD978" s="53" t="str">
        <f t="shared" si="707"/>
        <v>Link</v>
      </c>
      <c r="AE978" s="54">
        <v>8832</v>
      </c>
      <c r="AF978" s="55"/>
      <c r="AG978" s="55"/>
      <c r="AH978" s="56">
        <v>160038</v>
      </c>
    </row>
    <row r="979" spans="1:34" ht="15" x14ac:dyDescent="0.2">
      <c r="A979" s="43" t="s">
        <v>12654</v>
      </c>
      <c r="B979" s="47" t="s">
        <v>280</v>
      </c>
      <c r="C979" s="7" t="s">
        <v>67</v>
      </c>
      <c r="D979" s="7" t="s">
        <v>13083</v>
      </c>
      <c r="E979" s="44">
        <v>5</v>
      </c>
      <c r="F979" s="7"/>
      <c r="G979" s="7"/>
      <c r="H979" s="2" t="s">
        <v>13085</v>
      </c>
      <c r="I979" s="7" t="s">
        <v>7779</v>
      </c>
      <c r="J979" s="7" t="s">
        <v>13086</v>
      </c>
      <c r="K979" s="7" t="s">
        <v>48</v>
      </c>
      <c r="L979" s="7" t="s">
        <v>13087</v>
      </c>
      <c r="M979" s="7" t="s">
        <v>13088</v>
      </c>
      <c r="N979" s="45" t="str">
        <f t="shared" ref="N979:N983" si="708">HYPERLINK("twitter.com/bearkatssb","@bearkatssb")</f>
        <v>@bearkatssb</v>
      </c>
      <c r="O979" s="45" t="str">
        <f t="shared" ref="O979:O983" si="709">HYPERLINK("https://questionnaires.armssoftware.com/064f889d1fa3?DB_OEM_ID=19900","Questionnaire")</f>
        <v>Questionnaire</v>
      </c>
      <c r="P979" s="48" t="s">
        <v>13094</v>
      </c>
      <c r="Q979" s="47" t="s">
        <v>280</v>
      </c>
      <c r="R979" s="48" t="s">
        <v>73</v>
      </c>
      <c r="S979" s="48" t="s">
        <v>468</v>
      </c>
      <c r="T979" s="73" t="s">
        <v>74</v>
      </c>
      <c r="U979" s="49" t="s">
        <v>75</v>
      </c>
      <c r="V979" s="48"/>
      <c r="W979" s="61">
        <v>3.35</v>
      </c>
      <c r="X979" s="49" t="s">
        <v>2257</v>
      </c>
      <c r="Y979" s="49" t="s">
        <v>1453</v>
      </c>
      <c r="Z979" s="49" t="s">
        <v>125</v>
      </c>
      <c r="AA979" s="61">
        <v>0.72</v>
      </c>
      <c r="AB979" s="48" t="s">
        <v>13095</v>
      </c>
      <c r="AC979" s="52" t="s">
        <v>13094</v>
      </c>
      <c r="AD979" s="53" t="str">
        <f t="shared" ref="AD979:AD983" si="710">HYPERLINK("http://www.shsu.edu/academics/","Link")</f>
        <v>Link</v>
      </c>
      <c r="AE979" s="54">
        <v>17902</v>
      </c>
      <c r="AF979" s="55"/>
      <c r="AG979" s="55"/>
      <c r="AH979" s="56">
        <v>227881</v>
      </c>
    </row>
    <row r="980" spans="1:34" ht="15" x14ac:dyDescent="0.2">
      <c r="A980" s="43" t="s">
        <v>12654</v>
      </c>
      <c r="B980" s="47" t="s">
        <v>280</v>
      </c>
      <c r="C980" s="7" t="s">
        <v>67</v>
      </c>
      <c r="D980" s="7" t="s">
        <v>13098</v>
      </c>
      <c r="E980" s="44">
        <v>5</v>
      </c>
      <c r="F980" s="7"/>
      <c r="G980" s="7"/>
      <c r="H980" s="2" t="s">
        <v>13085</v>
      </c>
      <c r="I980" s="7" t="s">
        <v>1717</v>
      </c>
      <c r="J980" s="7" t="s">
        <v>2002</v>
      </c>
      <c r="K980" s="2" t="s">
        <v>55</v>
      </c>
      <c r="L980" s="7" t="s">
        <v>13099</v>
      </c>
      <c r="M980" s="7" t="s">
        <v>13100</v>
      </c>
      <c r="N980" s="45" t="str">
        <f t="shared" si="708"/>
        <v>@bearkatssb</v>
      </c>
      <c r="O980" s="45" t="str">
        <f t="shared" si="709"/>
        <v>Questionnaire</v>
      </c>
      <c r="P980" s="48" t="s">
        <v>13094</v>
      </c>
      <c r="Q980" s="47" t="s">
        <v>280</v>
      </c>
      <c r="R980" s="48" t="s">
        <v>73</v>
      </c>
      <c r="S980" s="48" t="s">
        <v>468</v>
      </c>
      <c r="T980" s="73" t="s">
        <v>74</v>
      </c>
      <c r="U980" s="49" t="s">
        <v>75</v>
      </c>
      <c r="V980" s="48"/>
      <c r="W980" s="61">
        <v>3.35</v>
      </c>
      <c r="X980" s="49" t="s">
        <v>2257</v>
      </c>
      <c r="Y980" s="49" t="s">
        <v>1453</v>
      </c>
      <c r="Z980" s="49" t="s">
        <v>125</v>
      </c>
      <c r="AA980" s="61">
        <v>0.72</v>
      </c>
      <c r="AB980" s="48" t="s">
        <v>13095</v>
      </c>
      <c r="AC980" s="52" t="s">
        <v>13094</v>
      </c>
      <c r="AD980" s="53" t="str">
        <f t="shared" si="710"/>
        <v>Link</v>
      </c>
      <c r="AE980" s="54">
        <v>17902</v>
      </c>
      <c r="AF980" s="55"/>
      <c r="AG980" s="55"/>
      <c r="AH980" s="56">
        <v>227881</v>
      </c>
    </row>
    <row r="981" spans="1:34" ht="15" x14ac:dyDescent="0.2">
      <c r="A981" s="43" t="s">
        <v>12654</v>
      </c>
      <c r="B981" s="47" t="s">
        <v>280</v>
      </c>
      <c r="C981" s="7" t="s">
        <v>67</v>
      </c>
      <c r="D981" s="7" t="s">
        <v>13102</v>
      </c>
      <c r="E981" s="44">
        <v>5</v>
      </c>
      <c r="F981" s="7"/>
      <c r="G981" s="7"/>
      <c r="H981" s="2" t="s">
        <v>13085</v>
      </c>
      <c r="I981" s="7" t="s">
        <v>13105</v>
      </c>
      <c r="J981" s="7" t="s">
        <v>13106</v>
      </c>
      <c r="K981" s="2" t="s">
        <v>55</v>
      </c>
      <c r="L981" s="7" t="s">
        <v>13109</v>
      </c>
      <c r="M981" s="7" t="s">
        <v>13110</v>
      </c>
      <c r="N981" s="45" t="str">
        <f t="shared" si="708"/>
        <v>@bearkatssb</v>
      </c>
      <c r="O981" s="45" t="str">
        <f t="shared" si="709"/>
        <v>Questionnaire</v>
      </c>
      <c r="P981" s="48" t="s">
        <v>13094</v>
      </c>
      <c r="Q981" s="47" t="s">
        <v>280</v>
      </c>
      <c r="R981" s="48" t="s">
        <v>73</v>
      </c>
      <c r="S981" s="48" t="s">
        <v>468</v>
      </c>
      <c r="T981" s="73" t="s">
        <v>74</v>
      </c>
      <c r="U981" s="49" t="s">
        <v>75</v>
      </c>
      <c r="V981" s="48"/>
      <c r="W981" s="61">
        <v>3.35</v>
      </c>
      <c r="X981" s="49" t="s">
        <v>2257</v>
      </c>
      <c r="Y981" s="49" t="s">
        <v>1453</v>
      </c>
      <c r="Z981" s="49" t="s">
        <v>125</v>
      </c>
      <c r="AA981" s="61">
        <v>0.72</v>
      </c>
      <c r="AB981" s="48" t="s">
        <v>13095</v>
      </c>
      <c r="AC981" s="52" t="s">
        <v>13094</v>
      </c>
      <c r="AD981" s="53" t="str">
        <f t="shared" si="710"/>
        <v>Link</v>
      </c>
      <c r="AE981" s="54">
        <v>17902</v>
      </c>
      <c r="AF981" s="55"/>
      <c r="AG981" s="55"/>
      <c r="AH981" s="56">
        <v>227881</v>
      </c>
    </row>
    <row r="982" spans="1:34" ht="15" x14ac:dyDescent="0.2">
      <c r="A982" s="43" t="s">
        <v>12654</v>
      </c>
      <c r="B982" s="47" t="s">
        <v>280</v>
      </c>
      <c r="C982" s="7" t="s">
        <v>67</v>
      </c>
      <c r="D982" s="7" t="s">
        <v>13114</v>
      </c>
      <c r="E982" s="44">
        <v>5</v>
      </c>
      <c r="F982" s="7"/>
      <c r="G982" s="7"/>
      <c r="H982" s="2" t="s">
        <v>13085</v>
      </c>
      <c r="I982" s="7" t="s">
        <v>481</v>
      </c>
      <c r="J982" s="7" t="s">
        <v>13115</v>
      </c>
      <c r="K982" s="7" t="s">
        <v>154</v>
      </c>
      <c r="L982" s="7"/>
      <c r="M982" s="7"/>
      <c r="N982" s="45" t="str">
        <f t="shared" si="708"/>
        <v>@bearkatssb</v>
      </c>
      <c r="O982" s="45" t="str">
        <f t="shared" si="709"/>
        <v>Questionnaire</v>
      </c>
      <c r="P982" s="48" t="s">
        <v>13094</v>
      </c>
      <c r="Q982" s="47" t="s">
        <v>280</v>
      </c>
      <c r="R982" s="48" t="s">
        <v>73</v>
      </c>
      <c r="S982" s="48" t="s">
        <v>468</v>
      </c>
      <c r="T982" s="73" t="s">
        <v>74</v>
      </c>
      <c r="U982" s="49" t="s">
        <v>75</v>
      </c>
      <c r="V982" s="48"/>
      <c r="W982" s="61">
        <v>3.35</v>
      </c>
      <c r="X982" s="49" t="s">
        <v>2257</v>
      </c>
      <c r="Y982" s="49" t="s">
        <v>1453</v>
      </c>
      <c r="Z982" s="49" t="s">
        <v>125</v>
      </c>
      <c r="AA982" s="61">
        <v>0.72</v>
      </c>
      <c r="AB982" s="48" t="s">
        <v>13095</v>
      </c>
      <c r="AC982" s="52" t="s">
        <v>13094</v>
      </c>
      <c r="AD982" s="53" t="str">
        <f t="shared" si="710"/>
        <v>Link</v>
      </c>
      <c r="AE982" s="54">
        <v>17902</v>
      </c>
      <c r="AF982" s="55"/>
      <c r="AG982" s="55"/>
      <c r="AH982" s="56">
        <v>227881</v>
      </c>
    </row>
    <row r="983" spans="1:34" ht="15" x14ac:dyDescent="0.2">
      <c r="A983" s="43" t="s">
        <v>12654</v>
      </c>
      <c r="B983" s="47" t="s">
        <v>280</v>
      </c>
      <c r="C983" s="7" t="s">
        <v>67</v>
      </c>
      <c r="D983" s="7" t="s">
        <v>13124</v>
      </c>
      <c r="E983" s="44">
        <v>5</v>
      </c>
      <c r="F983" s="7"/>
      <c r="G983" s="7"/>
      <c r="H983" s="2" t="s">
        <v>13085</v>
      </c>
      <c r="I983" s="7" t="s">
        <v>2150</v>
      </c>
      <c r="J983" s="7" t="s">
        <v>3060</v>
      </c>
      <c r="K983" s="7" t="s">
        <v>139</v>
      </c>
      <c r="L983" s="7"/>
      <c r="M983" s="7"/>
      <c r="N983" s="45" t="str">
        <f t="shared" si="708"/>
        <v>@bearkatssb</v>
      </c>
      <c r="O983" s="45" t="str">
        <f t="shared" si="709"/>
        <v>Questionnaire</v>
      </c>
      <c r="P983" s="48" t="s">
        <v>13094</v>
      </c>
      <c r="Q983" s="47" t="s">
        <v>280</v>
      </c>
      <c r="R983" s="48" t="s">
        <v>73</v>
      </c>
      <c r="S983" s="48" t="s">
        <v>468</v>
      </c>
      <c r="T983" s="73" t="s">
        <v>74</v>
      </c>
      <c r="U983" s="49" t="s">
        <v>75</v>
      </c>
      <c r="V983" s="48"/>
      <c r="W983" s="61">
        <v>3.35</v>
      </c>
      <c r="X983" s="49" t="s">
        <v>2257</v>
      </c>
      <c r="Y983" s="49" t="s">
        <v>1453</v>
      </c>
      <c r="Z983" s="49" t="s">
        <v>125</v>
      </c>
      <c r="AA983" s="61">
        <v>0.72</v>
      </c>
      <c r="AB983" s="48" t="s">
        <v>13095</v>
      </c>
      <c r="AC983" s="52" t="s">
        <v>13094</v>
      </c>
      <c r="AD983" s="53" t="str">
        <f t="shared" si="710"/>
        <v>Link</v>
      </c>
      <c r="AE983" s="54">
        <v>17902</v>
      </c>
      <c r="AF983" s="55"/>
      <c r="AG983" s="55"/>
      <c r="AH983" s="56">
        <v>227881</v>
      </c>
    </row>
    <row r="984" spans="1:34" ht="15" x14ac:dyDescent="0.2">
      <c r="A984" s="43" t="s">
        <v>12654</v>
      </c>
      <c r="B984" s="47" t="s">
        <v>3623</v>
      </c>
      <c r="C984" s="7" t="s">
        <v>67</v>
      </c>
      <c r="D984" s="7" t="s">
        <v>13132</v>
      </c>
      <c r="E984" s="44">
        <v>5</v>
      </c>
      <c r="F984" s="7"/>
      <c r="G984" s="7"/>
      <c r="H984" s="2" t="s">
        <v>13134</v>
      </c>
      <c r="I984" s="7" t="s">
        <v>3899</v>
      </c>
      <c r="J984" s="7" t="s">
        <v>13135</v>
      </c>
      <c r="K984" s="7" t="s">
        <v>48</v>
      </c>
      <c r="L984" s="7" t="s">
        <v>13136</v>
      </c>
      <c r="M984" s="7" t="s">
        <v>13137</v>
      </c>
      <c r="N984" s="45" t="str">
        <f>HYPERLINK("twitter.com/SLUlionsoftball","@SLUlionsoftball")</f>
        <v>@SLUlionsoftball</v>
      </c>
      <c r="O984" s="45" t="str">
        <f t="shared" ref="O984:O987" si="711">HYPERLINK("https://questionnaires.armssoftware.com/67eef011f3fa","Questionnaire")</f>
        <v>Questionnaire</v>
      </c>
      <c r="P984" s="48" t="s">
        <v>13141</v>
      </c>
      <c r="Q984" s="47" t="s">
        <v>3623</v>
      </c>
      <c r="R984" s="48" t="s">
        <v>4529</v>
      </c>
      <c r="S984" s="48" t="s">
        <v>172</v>
      </c>
      <c r="T984" s="73" t="s">
        <v>74</v>
      </c>
      <c r="U984" s="49" t="s">
        <v>75</v>
      </c>
      <c r="V984" s="48"/>
      <c r="W984" s="61">
        <v>3.23</v>
      </c>
      <c r="X984" s="49" t="s">
        <v>214</v>
      </c>
      <c r="Y984" s="49" t="s">
        <v>214</v>
      </c>
      <c r="Z984" s="49" t="s">
        <v>125</v>
      </c>
      <c r="AA984" s="61">
        <v>0.87</v>
      </c>
      <c r="AB984" s="48" t="s">
        <v>13143</v>
      </c>
      <c r="AC984" s="52" t="s">
        <v>13141</v>
      </c>
      <c r="AD984" s="53" t="str">
        <f t="shared" ref="AD984:AD987" si="712">HYPERLINK("https://www.southeastern.edu/acad_research/degrees/","Link")</f>
        <v>Link</v>
      </c>
      <c r="AE984" s="54">
        <v>13544</v>
      </c>
      <c r="AF984" s="55"/>
      <c r="AG984" s="55"/>
      <c r="AH984" s="56">
        <v>160612</v>
      </c>
    </row>
    <row r="985" spans="1:34" ht="15" x14ac:dyDescent="0.2">
      <c r="A985" s="43" t="s">
        <v>12654</v>
      </c>
      <c r="B985" s="47" t="s">
        <v>3623</v>
      </c>
      <c r="C985" s="7" t="s">
        <v>67</v>
      </c>
      <c r="D985" s="7" t="s">
        <v>13153</v>
      </c>
      <c r="E985" s="44">
        <v>5</v>
      </c>
      <c r="F985" s="7"/>
      <c r="G985" s="7"/>
      <c r="H985" s="2" t="s">
        <v>13134</v>
      </c>
      <c r="I985" s="7" t="s">
        <v>234</v>
      </c>
      <c r="J985" s="7" t="s">
        <v>13154</v>
      </c>
      <c r="K985" s="2" t="s">
        <v>55</v>
      </c>
      <c r="L985" s="7" t="s">
        <v>13157</v>
      </c>
      <c r="M985" s="7"/>
      <c r="N985" s="48"/>
      <c r="O985" s="45" t="str">
        <f t="shared" si="711"/>
        <v>Questionnaire</v>
      </c>
      <c r="P985" s="48" t="s">
        <v>13141</v>
      </c>
      <c r="Q985" s="47" t="s">
        <v>3623</v>
      </c>
      <c r="R985" s="48" t="s">
        <v>4529</v>
      </c>
      <c r="S985" s="48" t="s">
        <v>172</v>
      </c>
      <c r="T985" s="73" t="s">
        <v>74</v>
      </c>
      <c r="U985" s="49" t="s">
        <v>75</v>
      </c>
      <c r="V985" s="48"/>
      <c r="W985" s="61">
        <v>3.23</v>
      </c>
      <c r="X985" s="49" t="s">
        <v>214</v>
      </c>
      <c r="Y985" s="49" t="s">
        <v>214</v>
      </c>
      <c r="Z985" s="49" t="s">
        <v>125</v>
      </c>
      <c r="AA985" s="61">
        <v>0.87</v>
      </c>
      <c r="AB985" s="48" t="s">
        <v>13143</v>
      </c>
      <c r="AC985" s="52" t="s">
        <v>13141</v>
      </c>
      <c r="AD985" s="53" t="str">
        <f t="shared" si="712"/>
        <v>Link</v>
      </c>
      <c r="AE985" s="54">
        <v>13544</v>
      </c>
      <c r="AF985" s="55"/>
      <c r="AG985" s="55"/>
      <c r="AH985" s="56">
        <v>160612</v>
      </c>
    </row>
    <row r="986" spans="1:34" ht="15" x14ac:dyDescent="0.2">
      <c r="A986" s="43" t="s">
        <v>12654</v>
      </c>
      <c r="B986" s="47" t="s">
        <v>3623</v>
      </c>
      <c r="C986" s="7" t="s">
        <v>67</v>
      </c>
      <c r="D986" s="7" t="s">
        <v>13162</v>
      </c>
      <c r="E986" s="44">
        <v>5</v>
      </c>
      <c r="F986" s="7"/>
      <c r="G986" s="7"/>
      <c r="H986" s="2" t="s">
        <v>13134</v>
      </c>
      <c r="I986" s="7" t="s">
        <v>1524</v>
      </c>
      <c r="J986" s="7" t="s">
        <v>13163</v>
      </c>
      <c r="K986" s="2" t="s">
        <v>55</v>
      </c>
      <c r="L986" s="7" t="s">
        <v>13164</v>
      </c>
      <c r="M986" s="7"/>
      <c r="N986" s="48"/>
      <c r="O986" s="45" t="str">
        <f t="shared" si="711"/>
        <v>Questionnaire</v>
      </c>
      <c r="P986" s="48" t="s">
        <v>13141</v>
      </c>
      <c r="Q986" s="47" t="s">
        <v>3623</v>
      </c>
      <c r="R986" s="48" t="s">
        <v>4529</v>
      </c>
      <c r="S986" s="48" t="s">
        <v>172</v>
      </c>
      <c r="T986" s="73" t="s">
        <v>74</v>
      </c>
      <c r="U986" s="49" t="s">
        <v>75</v>
      </c>
      <c r="V986" s="48"/>
      <c r="W986" s="61">
        <v>3.23</v>
      </c>
      <c r="X986" s="49" t="s">
        <v>214</v>
      </c>
      <c r="Y986" s="49" t="s">
        <v>214</v>
      </c>
      <c r="Z986" s="49" t="s">
        <v>125</v>
      </c>
      <c r="AA986" s="61">
        <v>0.87</v>
      </c>
      <c r="AB986" s="48" t="s">
        <v>13143</v>
      </c>
      <c r="AC986" s="52" t="s">
        <v>13141</v>
      </c>
      <c r="AD986" s="53" t="str">
        <f t="shared" si="712"/>
        <v>Link</v>
      </c>
      <c r="AE986" s="54">
        <v>13544</v>
      </c>
      <c r="AF986" s="55"/>
      <c r="AG986" s="55"/>
      <c r="AH986" s="56">
        <v>160612</v>
      </c>
    </row>
    <row r="987" spans="1:34" ht="15" x14ac:dyDescent="0.2">
      <c r="A987" s="43" t="s">
        <v>12654</v>
      </c>
      <c r="B987" s="47" t="s">
        <v>3623</v>
      </c>
      <c r="C987" s="7" t="s">
        <v>67</v>
      </c>
      <c r="D987" s="7" t="s">
        <v>13174</v>
      </c>
      <c r="E987" s="44">
        <v>5</v>
      </c>
      <c r="F987" s="7"/>
      <c r="G987" s="7"/>
      <c r="H987" s="2" t="s">
        <v>13134</v>
      </c>
      <c r="I987" s="7" t="s">
        <v>9596</v>
      </c>
      <c r="J987" s="7" t="s">
        <v>13135</v>
      </c>
      <c r="K987" s="7" t="s">
        <v>139</v>
      </c>
      <c r="L987" s="7"/>
      <c r="M987" s="7"/>
      <c r="N987" s="48"/>
      <c r="O987" s="45" t="str">
        <f t="shared" si="711"/>
        <v>Questionnaire</v>
      </c>
      <c r="P987" s="48" t="s">
        <v>13141</v>
      </c>
      <c r="Q987" s="47" t="s">
        <v>3623</v>
      </c>
      <c r="R987" s="48" t="s">
        <v>4529</v>
      </c>
      <c r="S987" s="48" t="s">
        <v>172</v>
      </c>
      <c r="T987" s="73" t="s">
        <v>74</v>
      </c>
      <c r="U987" s="49" t="s">
        <v>75</v>
      </c>
      <c r="V987" s="48"/>
      <c r="W987" s="61">
        <v>3.23</v>
      </c>
      <c r="X987" s="49" t="s">
        <v>214</v>
      </c>
      <c r="Y987" s="49" t="s">
        <v>214</v>
      </c>
      <c r="Z987" s="49" t="s">
        <v>125</v>
      </c>
      <c r="AA987" s="61">
        <v>0.87</v>
      </c>
      <c r="AB987" s="48" t="s">
        <v>13143</v>
      </c>
      <c r="AC987" s="52" t="s">
        <v>13141</v>
      </c>
      <c r="AD987" s="53" t="str">
        <f t="shared" si="712"/>
        <v>Link</v>
      </c>
      <c r="AE987" s="54">
        <v>13544</v>
      </c>
      <c r="AF987" s="55"/>
      <c r="AG987" s="55"/>
      <c r="AH987" s="56">
        <v>160612</v>
      </c>
    </row>
    <row r="988" spans="1:34" ht="15" x14ac:dyDescent="0.2">
      <c r="A988" s="43" t="s">
        <v>12654</v>
      </c>
      <c r="B988" s="47" t="s">
        <v>280</v>
      </c>
      <c r="C988" s="7" t="s">
        <v>67</v>
      </c>
      <c r="D988" s="7" t="s">
        <v>13182</v>
      </c>
      <c r="E988" s="44">
        <v>5</v>
      </c>
      <c r="F988" s="7"/>
      <c r="G988" s="7"/>
      <c r="H988" s="2" t="s">
        <v>13184</v>
      </c>
      <c r="I988" s="7" t="s">
        <v>1052</v>
      </c>
      <c r="J988" s="7" t="s">
        <v>3398</v>
      </c>
      <c r="K988" s="7" t="s">
        <v>48</v>
      </c>
      <c r="L988" s="7" t="s">
        <v>13186</v>
      </c>
      <c r="M988" s="7" t="s">
        <v>13187</v>
      </c>
      <c r="N988" s="45" t="str">
        <f t="shared" ref="N988:N990" si="713">HYPERLINK("twitter.com/SFA_Softball","@SFA_Softball")</f>
        <v>@SFA_Softball</v>
      </c>
      <c r="O988" s="45" t="str">
        <f t="shared" ref="O988:O990" si="714">HYPERLINK("https://sfajacks.com/sb_output.aspx?form=3","Questionnaire")</f>
        <v>Questionnaire</v>
      </c>
      <c r="P988" s="48" t="s">
        <v>13198</v>
      </c>
      <c r="Q988" s="47" t="s">
        <v>280</v>
      </c>
      <c r="R988" s="48" t="s">
        <v>13199</v>
      </c>
      <c r="S988" s="48" t="s">
        <v>468</v>
      </c>
      <c r="T988" s="49" t="s">
        <v>74</v>
      </c>
      <c r="U988" s="49" t="s">
        <v>75</v>
      </c>
      <c r="V988" s="48"/>
      <c r="W988" s="61">
        <v>3.23</v>
      </c>
      <c r="X988" s="49" t="s">
        <v>1453</v>
      </c>
      <c r="Y988" s="49" t="s">
        <v>1144</v>
      </c>
      <c r="Z988" s="49" t="s">
        <v>125</v>
      </c>
      <c r="AA988" s="80">
        <v>0.62</v>
      </c>
      <c r="AB988" s="48" t="s">
        <v>13200</v>
      </c>
      <c r="AC988" s="62" t="s">
        <v>13198</v>
      </c>
      <c r="AD988" s="53" t="str">
        <f t="shared" ref="AD988:AD990" si="715">HYPERLINK("http://www.lumberjackexperience.com/5279.asp","Link")</f>
        <v>Link</v>
      </c>
      <c r="AE988" s="54">
        <v>11058</v>
      </c>
      <c r="AF988" s="55"/>
      <c r="AG988" s="55"/>
      <c r="AH988" s="56">
        <v>228431</v>
      </c>
    </row>
    <row r="989" spans="1:34" ht="15" x14ac:dyDescent="0.2">
      <c r="A989" s="43" t="s">
        <v>12654</v>
      </c>
      <c r="B989" s="47" t="s">
        <v>280</v>
      </c>
      <c r="C989" s="7" t="s">
        <v>67</v>
      </c>
      <c r="D989" s="7" t="s">
        <v>13209</v>
      </c>
      <c r="E989" s="44">
        <v>5</v>
      </c>
      <c r="F989" s="7" t="s">
        <v>116</v>
      </c>
      <c r="G989" s="7"/>
      <c r="H989" s="2" t="s">
        <v>13184</v>
      </c>
      <c r="I989" s="7" t="s">
        <v>13210</v>
      </c>
      <c r="J989" s="7" t="s">
        <v>13211</v>
      </c>
      <c r="K989" s="7" t="s">
        <v>55</v>
      </c>
      <c r="L989" s="7" t="s">
        <v>13212</v>
      </c>
      <c r="M989" s="7"/>
      <c r="N989" s="69" t="str">
        <f t="shared" si="713"/>
        <v>@SFA_Softball</v>
      </c>
      <c r="O989" s="45" t="str">
        <f t="shared" si="714"/>
        <v>Questionnaire</v>
      </c>
      <c r="P989" s="48" t="s">
        <v>13198</v>
      </c>
      <c r="Q989" s="47" t="s">
        <v>280</v>
      </c>
      <c r="R989" s="48" t="s">
        <v>13199</v>
      </c>
      <c r="S989" s="48" t="s">
        <v>468</v>
      </c>
      <c r="T989" s="49" t="s">
        <v>74</v>
      </c>
      <c r="U989" s="49" t="s">
        <v>75</v>
      </c>
      <c r="V989" s="48"/>
      <c r="W989" s="61">
        <v>3.23</v>
      </c>
      <c r="X989" s="49" t="s">
        <v>1453</v>
      </c>
      <c r="Y989" s="49" t="s">
        <v>1144</v>
      </c>
      <c r="Z989" s="49" t="s">
        <v>125</v>
      </c>
      <c r="AA989" s="80">
        <v>0.62</v>
      </c>
      <c r="AB989" s="48" t="s">
        <v>13200</v>
      </c>
      <c r="AC989" s="62" t="s">
        <v>13198</v>
      </c>
      <c r="AD989" s="53" t="str">
        <f t="shared" si="715"/>
        <v>Link</v>
      </c>
      <c r="AE989" s="54">
        <v>11058</v>
      </c>
      <c r="AF989" s="55"/>
      <c r="AG989" s="55"/>
      <c r="AH989" s="56">
        <v>228431</v>
      </c>
    </row>
    <row r="990" spans="1:34" ht="15" x14ac:dyDescent="0.2">
      <c r="A990" s="43" t="s">
        <v>12654</v>
      </c>
      <c r="B990" s="47" t="s">
        <v>280</v>
      </c>
      <c r="C990" s="7" t="s">
        <v>67</v>
      </c>
      <c r="D990" s="7" t="s">
        <v>13219</v>
      </c>
      <c r="E990" s="44">
        <v>5</v>
      </c>
      <c r="F990" s="7"/>
      <c r="G990" s="7"/>
      <c r="H990" s="2" t="s">
        <v>13184</v>
      </c>
      <c r="I990" s="7" t="s">
        <v>442</v>
      </c>
      <c r="J990" s="7" t="s">
        <v>13221</v>
      </c>
      <c r="K990" s="2" t="s">
        <v>55</v>
      </c>
      <c r="L990" s="7" t="s">
        <v>13222</v>
      </c>
      <c r="M990" s="7" t="s">
        <v>13223</v>
      </c>
      <c r="N990" s="69" t="str">
        <f t="shared" si="713"/>
        <v>@SFA_Softball</v>
      </c>
      <c r="O990" s="45" t="str">
        <f t="shared" si="714"/>
        <v>Questionnaire</v>
      </c>
      <c r="P990" s="48" t="s">
        <v>13198</v>
      </c>
      <c r="Q990" s="47" t="s">
        <v>280</v>
      </c>
      <c r="R990" s="48" t="s">
        <v>13199</v>
      </c>
      <c r="S990" s="48" t="s">
        <v>468</v>
      </c>
      <c r="T990" s="49" t="s">
        <v>74</v>
      </c>
      <c r="U990" s="49" t="s">
        <v>75</v>
      </c>
      <c r="V990" s="48"/>
      <c r="W990" s="61">
        <v>3.23</v>
      </c>
      <c r="X990" s="49" t="s">
        <v>1453</v>
      </c>
      <c r="Y990" s="49" t="s">
        <v>1144</v>
      </c>
      <c r="Z990" s="49" t="s">
        <v>125</v>
      </c>
      <c r="AA990" s="80">
        <v>0.62</v>
      </c>
      <c r="AB990" s="48" t="s">
        <v>13200</v>
      </c>
      <c r="AC990" s="62" t="s">
        <v>13198</v>
      </c>
      <c r="AD990" s="53" t="str">
        <f t="shared" si="715"/>
        <v>Link</v>
      </c>
      <c r="AE990" s="54">
        <v>11058</v>
      </c>
      <c r="AF990" s="55"/>
      <c r="AG990" s="55"/>
      <c r="AH990" s="56">
        <v>228431</v>
      </c>
    </row>
    <row r="991" spans="1:34" ht="15" x14ac:dyDescent="0.2">
      <c r="A991" s="43" t="s">
        <v>12654</v>
      </c>
      <c r="B991" s="47" t="s">
        <v>280</v>
      </c>
      <c r="C991" s="7" t="s">
        <v>67</v>
      </c>
      <c r="D991" s="7" t="s">
        <v>13234</v>
      </c>
      <c r="E991" s="44">
        <v>5</v>
      </c>
      <c r="F991" s="7"/>
      <c r="G991" s="7"/>
      <c r="H991" s="2" t="s">
        <v>13235</v>
      </c>
      <c r="I991" s="7" t="s">
        <v>435</v>
      </c>
      <c r="J991" s="7" t="s">
        <v>13237</v>
      </c>
      <c r="K991" s="7" t="s">
        <v>48</v>
      </c>
      <c r="L991" s="7" t="s">
        <v>13239</v>
      </c>
      <c r="M991" s="7" t="s">
        <v>13240</v>
      </c>
      <c r="N991" s="45" t="str">
        <f t="shared" ref="N991:N993" si="716">HYPERLINK("twitter.com/islanderssball","@islanderssball")</f>
        <v>@islanderssball</v>
      </c>
      <c r="O991" s="45" t="str">
        <f t="shared" ref="O991:O993" si="717">HYPERLINK("https://goislanders.com/sports/2016/8/24/information-Recruiting-PSAQuestionnaire.aspx","Questionnaire")</f>
        <v>Questionnaire</v>
      </c>
      <c r="P991" s="48" t="s">
        <v>13248</v>
      </c>
      <c r="Q991" s="47" t="s">
        <v>280</v>
      </c>
      <c r="R991" s="48" t="s">
        <v>13250</v>
      </c>
      <c r="S991" s="48" t="s">
        <v>354</v>
      </c>
      <c r="T991" s="49" t="s">
        <v>74</v>
      </c>
      <c r="U991" s="49" t="s">
        <v>75</v>
      </c>
      <c r="V991" s="48"/>
      <c r="W991" s="61">
        <v>3.26</v>
      </c>
      <c r="X991" s="49" t="s">
        <v>1338</v>
      </c>
      <c r="Y991" s="49" t="s">
        <v>253</v>
      </c>
      <c r="Z991" s="49" t="s">
        <v>1339</v>
      </c>
      <c r="AA991" s="61">
        <v>0.65</v>
      </c>
      <c r="AB991" s="48" t="s">
        <v>13252</v>
      </c>
      <c r="AC991" s="52" t="s">
        <v>13248</v>
      </c>
      <c r="AD991" s="53" t="str">
        <f t="shared" ref="AD991:AD993" si="718">HYPERLINK("https://www.tamucc.edu/academics/azdegrees.html","Link")</f>
        <v>Link</v>
      </c>
      <c r="AE991" s="54">
        <v>9960</v>
      </c>
      <c r="AF991" s="55"/>
      <c r="AG991" s="55"/>
      <c r="AH991" s="56">
        <v>224147</v>
      </c>
    </row>
    <row r="992" spans="1:34" ht="15" x14ac:dyDescent="0.2">
      <c r="A992" s="43" t="s">
        <v>12654</v>
      </c>
      <c r="B992" s="47" t="s">
        <v>280</v>
      </c>
      <c r="C992" s="7" t="s">
        <v>67</v>
      </c>
      <c r="D992" s="7" t="s">
        <v>13258</v>
      </c>
      <c r="E992" s="44">
        <v>5</v>
      </c>
      <c r="F992" s="7"/>
      <c r="G992" s="7"/>
      <c r="H992" s="2" t="s">
        <v>13235</v>
      </c>
      <c r="I992" s="7" t="s">
        <v>1954</v>
      </c>
      <c r="J992" s="7" t="s">
        <v>4184</v>
      </c>
      <c r="K992" s="2" t="s">
        <v>55</v>
      </c>
      <c r="L992" s="7" t="s">
        <v>13259</v>
      </c>
      <c r="M992" s="7" t="s">
        <v>13260</v>
      </c>
      <c r="N992" s="45" t="str">
        <f t="shared" si="716"/>
        <v>@islanderssball</v>
      </c>
      <c r="O992" s="45" t="str">
        <f t="shared" si="717"/>
        <v>Questionnaire</v>
      </c>
      <c r="P992" s="48" t="s">
        <v>13248</v>
      </c>
      <c r="Q992" s="47" t="s">
        <v>280</v>
      </c>
      <c r="R992" s="48" t="s">
        <v>13250</v>
      </c>
      <c r="S992" s="48" t="s">
        <v>354</v>
      </c>
      <c r="T992" s="49" t="s">
        <v>74</v>
      </c>
      <c r="U992" s="49" t="s">
        <v>75</v>
      </c>
      <c r="V992" s="48"/>
      <c r="W992" s="61">
        <v>3.26</v>
      </c>
      <c r="X992" s="49" t="s">
        <v>1338</v>
      </c>
      <c r="Y992" s="49" t="s">
        <v>253</v>
      </c>
      <c r="Z992" s="49" t="s">
        <v>1339</v>
      </c>
      <c r="AA992" s="61">
        <v>0.65</v>
      </c>
      <c r="AB992" s="48" t="s">
        <v>13252</v>
      </c>
      <c r="AC992" s="52" t="s">
        <v>13248</v>
      </c>
      <c r="AD992" s="53" t="str">
        <f t="shared" si="718"/>
        <v>Link</v>
      </c>
      <c r="AE992" s="54">
        <v>9960</v>
      </c>
      <c r="AF992" s="55"/>
      <c r="AG992" s="55"/>
      <c r="AH992" s="56">
        <v>224147</v>
      </c>
    </row>
    <row r="993" spans="1:36" ht="15" x14ac:dyDescent="0.2">
      <c r="A993" s="43" t="s">
        <v>12654</v>
      </c>
      <c r="B993" s="47" t="s">
        <v>280</v>
      </c>
      <c r="C993" s="7" t="s">
        <v>67</v>
      </c>
      <c r="D993" s="7" t="s">
        <v>13270</v>
      </c>
      <c r="E993" s="44">
        <v>5</v>
      </c>
      <c r="F993" s="7"/>
      <c r="G993" s="7"/>
      <c r="H993" s="2" t="s">
        <v>13235</v>
      </c>
      <c r="I993" s="7" t="s">
        <v>2747</v>
      </c>
      <c r="J993" s="7" t="s">
        <v>1906</v>
      </c>
      <c r="K993" s="2" t="s">
        <v>55</v>
      </c>
      <c r="L993" s="7" t="s">
        <v>13271</v>
      </c>
      <c r="M993" s="7" t="s">
        <v>13272</v>
      </c>
      <c r="N993" s="45" t="str">
        <f t="shared" si="716"/>
        <v>@islanderssball</v>
      </c>
      <c r="O993" s="45" t="str">
        <f t="shared" si="717"/>
        <v>Questionnaire</v>
      </c>
      <c r="P993" s="48" t="s">
        <v>13248</v>
      </c>
      <c r="Q993" s="47" t="s">
        <v>280</v>
      </c>
      <c r="R993" s="48" t="s">
        <v>13250</v>
      </c>
      <c r="S993" s="48" t="s">
        <v>354</v>
      </c>
      <c r="T993" s="49" t="s">
        <v>74</v>
      </c>
      <c r="U993" s="49" t="s">
        <v>75</v>
      </c>
      <c r="V993" s="48"/>
      <c r="W993" s="61">
        <v>3.26</v>
      </c>
      <c r="X993" s="49" t="s">
        <v>1338</v>
      </c>
      <c r="Y993" s="49" t="s">
        <v>253</v>
      </c>
      <c r="Z993" s="49" t="s">
        <v>1339</v>
      </c>
      <c r="AA993" s="61">
        <v>0.65</v>
      </c>
      <c r="AB993" s="48" t="s">
        <v>13252</v>
      </c>
      <c r="AC993" s="52" t="s">
        <v>13248</v>
      </c>
      <c r="AD993" s="53" t="str">
        <f t="shared" si="718"/>
        <v>Link</v>
      </c>
      <c r="AE993" s="54">
        <v>9960</v>
      </c>
      <c r="AF993" s="55"/>
      <c r="AG993" s="55"/>
      <c r="AH993" s="56">
        <v>224147</v>
      </c>
    </row>
    <row r="994" spans="1:36" ht="15" x14ac:dyDescent="0.2">
      <c r="A994" s="43" t="s">
        <v>13277</v>
      </c>
      <c r="B994" s="47" t="s">
        <v>59</v>
      </c>
      <c r="C994" s="7" t="s">
        <v>67</v>
      </c>
      <c r="D994" s="7" t="s">
        <v>13278</v>
      </c>
      <c r="E994" s="44">
        <v>5</v>
      </c>
      <c r="F994" s="7"/>
      <c r="G994" s="7"/>
      <c r="H994" s="2" t="s">
        <v>13280</v>
      </c>
      <c r="I994" s="7" t="s">
        <v>9786</v>
      </c>
      <c r="J994" s="7" t="s">
        <v>196</v>
      </c>
      <c r="K994" s="7" t="s">
        <v>48</v>
      </c>
      <c r="L994" s="7" t="s">
        <v>13284</v>
      </c>
      <c r="M994" s="7" t="s">
        <v>13285</v>
      </c>
      <c r="N994" s="45" t="str">
        <f t="shared" ref="N994:N995" si="719">HYPERLINK("twitter.com/aamu_softball","@aamu_softball")</f>
        <v>@aamu_softball</v>
      </c>
      <c r="O994" s="45" t="str">
        <f t="shared" ref="O994:O995" si="720">HYPERLINK("https://aamusports.com/sb_output.aspx?form=3","Questionnaire")</f>
        <v>Questionnaire</v>
      </c>
      <c r="P994" s="48" t="s">
        <v>13295</v>
      </c>
      <c r="Q994" s="47" t="s">
        <v>59</v>
      </c>
      <c r="R994" s="48" t="s">
        <v>73</v>
      </c>
      <c r="S994" s="48" t="s">
        <v>62</v>
      </c>
      <c r="T994" s="49" t="s">
        <v>74</v>
      </c>
      <c r="U994" s="7" t="s">
        <v>75</v>
      </c>
      <c r="V994" s="7" t="s">
        <v>212</v>
      </c>
      <c r="W994" s="44">
        <v>2.97</v>
      </c>
      <c r="X994" s="49" t="s">
        <v>3781</v>
      </c>
      <c r="Y994" s="49" t="s">
        <v>1194</v>
      </c>
      <c r="Z994" s="49" t="s">
        <v>1855</v>
      </c>
      <c r="AA994" s="51">
        <v>0.87370000000000003</v>
      </c>
      <c r="AB994" s="48" t="s">
        <v>13298</v>
      </c>
      <c r="AC994" s="52" t="s">
        <v>13295</v>
      </c>
      <c r="AD994" s="53" t="str">
        <f t="shared" ref="AD994:AD995" si="721">HYPERLINK("http://www.aamu.edu/Academics/Pages/default.aspx","Link")</f>
        <v>Link</v>
      </c>
      <c r="AE994" s="54">
        <v>4851</v>
      </c>
      <c r="AF994" s="55"/>
      <c r="AG994" s="7"/>
      <c r="AH994" s="56">
        <v>100654</v>
      </c>
      <c r="AI994" s="85"/>
      <c r="AJ994" s="56"/>
    </row>
    <row r="995" spans="1:36" ht="15" x14ac:dyDescent="0.2">
      <c r="A995" s="43" t="s">
        <v>13277</v>
      </c>
      <c r="B995" s="47" t="s">
        <v>59</v>
      </c>
      <c r="C995" s="7" t="s">
        <v>67</v>
      </c>
      <c r="D995" s="7" t="s">
        <v>13305</v>
      </c>
      <c r="E995" s="44">
        <v>5</v>
      </c>
      <c r="F995" s="7"/>
      <c r="G995" s="7"/>
      <c r="H995" s="2" t="s">
        <v>13280</v>
      </c>
      <c r="I995" s="7" t="s">
        <v>1585</v>
      </c>
      <c r="J995" s="7" t="s">
        <v>13307</v>
      </c>
      <c r="K995" s="7" t="s">
        <v>55</v>
      </c>
      <c r="L995" s="7" t="s">
        <v>13308</v>
      </c>
      <c r="M995" s="7"/>
      <c r="N995" s="45" t="str">
        <f t="shared" si="719"/>
        <v>@aamu_softball</v>
      </c>
      <c r="O995" s="45" t="str">
        <f t="shared" si="720"/>
        <v>Questionnaire</v>
      </c>
      <c r="P995" s="48" t="s">
        <v>13295</v>
      </c>
      <c r="Q995" s="47" t="s">
        <v>59</v>
      </c>
      <c r="R995" s="48" t="s">
        <v>73</v>
      </c>
      <c r="S995" s="48" t="s">
        <v>62</v>
      </c>
      <c r="T995" s="49" t="s">
        <v>74</v>
      </c>
      <c r="U995" s="7" t="s">
        <v>75</v>
      </c>
      <c r="V995" s="7" t="s">
        <v>212</v>
      </c>
      <c r="W995" s="44">
        <v>2.97</v>
      </c>
      <c r="X995" s="49" t="s">
        <v>3781</v>
      </c>
      <c r="Y995" s="49" t="s">
        <v>1194</v>
      </c>
      <c r="Z995" s="49" t="s">
        <v>1855</v>
      </c>
      <c r="AA995" s="51">
        <v>0.87370000000000003</v>
      </c>
      <c r="AB995" s="48" t="s">
        <v>13298</v>
      </c>
      <c r="AC995" s="52" t="s">
        <v>13295</v>
      </c>
      <c r="AD995" s="53" t="str">
        <f t="shared" si="721"/>
        <v>Link</v>
      </c>
      <c r="AE995" s="54">
        <v>4851</v>
      </c>
      <c r="AF995" s="55"/>
      <c r="AG995" s="7"/>
      <c r="AH995" s="56">
        <v>100654</v>
      </c>
      <c r="AI995" s="85"/>
      <c r="AJ995" s="56"/>
    </row>
    <row r="996" spans="1:36" ht="15" x14ac:dyDescent="0.2">
      <c r="A996" s="43" t="s">
        <v>13277</v>
      </c>
      <c r="B996" s="47" t="s">
        <v>59</v>
      </c>
      <c r="C996" s="7" t="s">
        <v>67</v>
      </c>
      <c r="D996" s="7" t="s">
        <v>13316</v>
      </c>
      <c r="E996" s="44">
        <v>5</v>
      </c>
      <c r="F996" s="7"/>
      <c r="G996" s="7"/>
      <c r="H996" s="2" t="s">
        <v>13318</v>
      </c>
      <c r="I996" s="7" t="s">
        <v>2200</v>
      </c>
      <c r="J996" s="7" t="s">
        <v>8727</v>
      </c>
      <c r="K996" s="7" t="s">
        <v>48</v>
      </c>
      <c r="L996" s="7" t="s">
        <v>13321</v>
      </c>
      <c r="M996" s="7" t="s">
        <v>13322</v>
      </c>
      <c r="N996" s="45" t="str">
        <f t="shared" ref="N996:N1000" si="722">HYPERLINK("twitter.com/bamastatesb","@bamastatesb")</f>
        <v>@bamastatesb</v>
      </c>
      <c r="O996" s="48" t="s">
        <v>22</v>
      </c>
      <c r="P996" s="48" t="s">
        <v>13323</v>
      </c>
      <c r="Q996" s="47" t="s">
        <v>59</v>
      </c>
      <c r="R996" s="48" t="s">
        <v>121</v>
      </c>
      <c r="S996" s="48" t="s">
        <v>62</v>
      </c>
      <c r="T996" s="49" t="s">
        <v>74</v>
      </c>
      <c r="U996" s="7" t="s">
        <v>75</v>
      </c>
      <c r="V996" s="7" t="s">
        <v>212</v>
      </c>
      <c r="W996" s="44">
        <v>2.8</v>
      </c>
      <c r="X996" s="49" t="s">
        <v>1193</v>
      </c>
      <c r="Y996" s="49" t="s">
        <v>13329</v>
      </c>
      <c r="Z996" s="49" t="s">
        <v>3784</v>
      </c>
      <c r="AA996" s="51">
        <v>0.45889999999999997</v>
      </c>
      <c r="AB996" s="48" t="s">
        <v>13333</v>
      </c>
      <c r="AC996" s="52" t="s">
        <v>13323</v>
      </c>
      <c r="AD996" s="53" t="str">
        <f t="shared" ref="AD996:AD1000" si="723">HYPERLINK("http://www.alasu.edu/academics/degrees--programs/index.aspx","Link")</f>
        <v>Link</v>
      </c>
      <c r="AE996" s="54">
        <v>4727</v>
      </c>
      <c r="AF996" s="55"/>
      <c r="AG996" s="7"/>
      <c r="AH996" s="56">
        <v>100724</v>
      </c>
      <c r="AI996" s="85"/>
      <c r="AJ996" s="56"/>
    </row>
    <row r="997" spans="1:36" ht="15" x14ac:dyDescent="0.2">
      <c r="A997" s="43" t="s">
        <v>13277</v>
      </c>
      <c r="B997" s="47" t="s">
        <v>59</v>
      </c>
      <c r="C997" s="7" t="s">
        <v>67</v>
      </c>
      <c r="D997" s="7" t="s">
        <v>13342</v>
      </c>
      <c r="E997" s="44">
        <v>5</v>
      </c>
      <c r="F997" s="7"/>
      <c r="G997" s="7"/>
      <c r="H997" s="2" t="s">
        <v>13318</v>
      </c>
      <c r="I997" s="7" t="s">
        <v>421</v>
      </c>
      <c r="J997" s="7"/>
      <c r="K997" s="7" t="s">
        <v>55</v>
      </c>
      <c r="L997" s="7"/>
      <c r="M997" s="7"/>
      <c r="N997" s="45" t="str">
        <f t="shared" si="722"/>
        <v>@bamastatesb</v>
      </c>
      <c r="O997" s="48" t="s">
        <v>22</v>
      </c>
      <c r="P997" s="48" t="s">
        <v>13323</v>
      </c>
      <c r="Q997" s="47" t="s">
        <v>59</v>
      </c>
      <c r="R997" s="48" t="s">
        <v>121</v>
      </c>
      <c r="S997" s="48" t="s">
        <v>62</v>
      </c>
      <c r="T997" s="49" t="s">
        <v>74</v>
      </c>
      <c r="U997" s="7" t="s">
        <v>75</v>
      </c>
      <c r="V997" s="7" t="s">
        <v>212</v>
      </c>
      <c r="W997" s="44">
        <v>2.8</v>
      </c>
      <c r="X997" s="49" t="s">
        <v>1193</v>
      </c>
      <c r="Y997" s="49" t="s">
        <v>13329</v>
      </c>
      <c r="Z997" s="49" t="s">
        <v>3784</v>
      </c>
      <c r="AA997" s="51">
        <v>0.45889999999999997</v>
      </c>
      <c r="AB997" s="48" t="s">
        <v>13333</v>
      </c>
      <c r="AC997" s="52" t="s">
        <v>13323</v>
      </c>
      <c r="AD997" s="53" t="str">
        <f t="shared" si="723"/>
        <v>Link</v>
      </c>
      <c r="AE997" s="54">
        <v>4727</v>
      </c>
      <c r="AF997" s="55"/>
      <c r="AG997" s="7"/>
      <c r="AH997" s="56">
        <v>100724</v>
      </c>
      <c r="AI997" s="85"/>
      <c r="AJ997" s="56"/>
    </row>
    <row r="998" spans="1:36" ht="15" x14ac:dyDescent="0.2">
      <c r="A998" s="43" t="s">
        <v>13277</v>
      </c>
      <c r="B998" s="47" t="s">
        <v>59</v>
      </c>
      <c r="C998" s="7" t="s">
        <v>67</v>
      </c>
      <c r="D998" s="57" t="s">
        <v>13349</v>
      </c>
      <c r="E998" s="58">
        <v>5</v>
      </c>
      <c r="F998" s="7" t="s">
        <v>116</v>
      </c>
      <c r="G998" s="7"/>
      <c r="H998" s="2" t="s">
        <v>13318</v>
      </c>
      <c r="I998" s="7" t="s">
        <v>111</v>
      </c>
      <c r="J998" s="7" t="s">
        <v>759</v>
      </c>
      <c r="K998" s="7" t="s">
        <v>55</v>
      </c>
      <c r="L998" s="7" t="s">
        <v>13350</v>
      </c>
      <c r="M998" s="7"/>
      <c r="N998" s="45" t="str">
        <f t="shared" si="722"/>
        <v>@bamastatesb</v>
      </c>
      <c r="O998" s="48" t="s">
        <v>22</v>
      </c>
      <c r="P998" s="48" t="s">
        <v>13323</v>
      </c>
      <c r="Q998" s="47" t="s">
        <v>59</v>
      </c>
      <c r="R998" s="48" t="s">
        <v>121</v>
      </c>
      <c r="S998" s="48" t="s">
        <v>62</v>
      </c>
      <c r="T998" s="49" t="s">
        <v>74</v>
      </c>
      <c r="U998" s="7" t="s">
        <v>75</v>
      </c>
      <c r="V998" s="7" t="s">
        <v>212</v>
      </c>
      <c r="W998" s="44">
        <v>2.8</v>
      </c>
      <c r="X998" s="49" t="s">
        <v>1193</v>
      </c>
      <c r="Y998" s="49" t="s">
        <v>13329</v>
      </c>
      <c r="Z998" s="49" t="s">
        <v>3784</v>
      </c>
      <c r="AA998" s="51">
        <v>0.45889999999999997</v>
      </c>
      <c r="AB998" s="48" t="s">
        <v>13333</v>
      </c>
      <c r="AC998" s="52" t="s">
        <v>13323</v>
      </c>
      <c r="AD998" s="53" t="str">
        <f t="shared" si="723"/>
        <v>Link</v>
      </c>
      <c r="AE998" s="54">
        <v>4727</v>
      </c>
      <c r="AF998" s="55"/>
      <c r="AG998" s="7"/>
      <c r="AH998" s="56">
        <v>100724</v>
      </c>
      <c r="AI998" s="59"/>
      <c r="AJ998" s="59"/>
    </row>
    <row r="999" spans="1:36" ht="15" x14ac:dyDescent="0.2">
      <c r="A999" s="43" t="s">
        <v>13277</v>
      </c>
      <c r="B999" s="47" t="s">
        <v>59</v>
      </c>
      <c r="C999" s="7" t="s">
        <v>67</v>
      </c>
      <c r="D999" s="57" t="s">
        <v>13358</v>
      </c>
      <c r="E999" s="58">
        <v>5</v>
      </c>
      <c r="F999" s="7" t="s">
        <v>116</v>
      </c>
      <c r="G999" s="7"/>
      <c r="H999" s="2" t="s">
        <v>13318</v>
      </c>
      <c r="I999" s="7" t="s">
        <v>8939</v>
      </c>
      <c r="J999" s="7" t="s">
        <v>13362</v>
      </c>
      <c r="K999" s="7" t="s">
        <v>55</v>
      </c>
      <c r="L999" s="7" t="s">
        <v>13363</v>
      </c>
      <c r="M999" s="7"/>
      <c r="N999" s="45" t="str">
        <f t="shared" si="722"/>
        <v>@bamastatesb</v>
      </c>
      <c r="O999" s="48" t="s">
        <v>22</v>
      </c>
      <c r="P999" s="48" t="s">
        <v>13323</v>
      </c>
      <c r="Q999" s="47" t="s">
        <v>59</v>
      </c>
      <c r="R999" s="48" t="s">
        <v>121</v>
      </c>
      <c r="S999" s="48" t="s">
        <v>62</v>
      </c>
      <c r="T999" s="49" t="s">
        <v>74</v>
      </c>
      <c r="U999" s="7" t="s">
        <v>75</v>
      </c>
      <c r="V999" s="7" t="s">
        <v>212</v>
      </c>
      <c r="W999" s="44">
        <v>2.8</v>
      </c>
      <c r="X999" s="49" t="s">
        <v>1193</v>
      </c>
      <c r="Y999" s="49" t="s">
        <v>13329</v>
      </c>
      <c r="Z999" s="49" t="s">
        <v>3784</v>
      </c>
      <c r="AA999" s="51">
        <v>0.45889999999999997</v>
      </c>
      <c r="AB999" s="48" t="s">
        <v>13333</v>
      </c>
      <c r="AC999" s="52" t="s">
        <v>13323</v>
      </c>
      <c r="AD999" s="53" t="str">
        <f t="shared" si="723"/>
        <v>Link</v>
      </c>
      <c r="AE999" s="54">
        <v>4727</v>
      </c>
      <c r="AF999" s="55"/>
      <c r="AG999" s="7"/>
      <c r="AH999" s="56">
        <v>100724</v>
      </c>
      <c r="AI999" s="59"/>
      <c r="AJ999" s="59"/>
    </row>
    <row r="1000" spans="1:36" ht="15" x14ac:dyDescent="0.2">
      <c r="A1000" s="43" t="s">
        <v>13277</v>
      </c>
      <c r="B1000" s="47" t="s">
        <v>59</v>
      </c>
      <c r="C1000" s="7" t="s">
        <v>67</v>
      </c>
      <c r="D1000" s="57" t="s">
        <v>13365</v>
      </c>
      <c r="E1000" s="58">
        <v>5</v>
      </c>
      <c r="F1000" s="7" t="s">
        <v>116</v>
      </c>
      <c r="G1000" s="7"/>
      <c r="H1000" s="2" t="s">
        <v>13318</v>
      </c>
      <c r="I1000" s="7" t="s">
        <v>2402</v>
      </c>
      <c r="J1000" s="7" t="s">
        <v>13369</v>
      </c>
      <c r="K1000" s="7" t="s">
        <v>120</v>
      </c>
      <c r="L1000" s="7"/>
      <c r="M1000" s="7"/>
      <c r="N1000" s="45" t="str">
        <f t="shared" si="722"/>
        <v>@bamastatesb</v>
      </c>
      <c r="O1000" s="48" t="s">
        <v>22</v>
      </c>
      <c r="P1000" s="48" t="s">
        <v>13323</v>
      </c>
      <c r="Q1000" s="47" t="s">
        <v>59</v>
      </c>
      <c r="R1000" s="48" t="s">
        <v>121</v>
      </c>
      <c r="S1000" s="48" t="s">
        <v>62</v>
      </c>
      <c r="T1000" s="49" t="s">
        <v>74</v>
      </c>
      <c r="U1000" s="7" t="s">
        <v>75</v>
      </c>
      <c r="V1000" s="7" t="s">
        <v>212</v>
      </c>
      <c r="W1000" s="44">
        <v>2.8</v>
      </c>
      <c r="X1000" s="49" t="s">
        <v>1193</v>
      </c>
      <c r="Y1000" s="49" t="s">
        <v>13329</v>
      </c>
      <c r="Z1000" s="49" t="s">
        <v>3784</v>
      </c>
      <c r="AA1000" s="51">
        <v>0.45889999999999997</v>
      </c>
      <c r="AB1000" s="48" t="s">
        <v>13333</v>
      </c>
      <c r="AC1000" s="52" t="s">
        <v>13323</v>
      </c>
      <c r="AD1000" s="53" t="str">
        <f t="shared" si="723"/>
        <v>Link</v>
      </c>
      <c r="AE1000" s="54">
        <v>4727</v>
      </c>
      <c r="AF1000" s="55"/>
      <c r="AG1000" s="7"/>
      <c r="AH1000" s="56">
        <v>100724</v>
      </c>
      <c r="AI1000" s="59"/>
      <c r="AJ1000" s="59"/>
    </row>
    <row r="1001" spans="1:36" ht="15" x14ac:dyDescent="0.2">
      <c r="A1001" s="43" t="s">
        <v>13277</v>
      </c>
      <c r="B1001" s="47" t="s">
        <v>6149</v>
      </c>
      <c r="C1001" s="7" t="s">
        <v>67</v>
      </c>
      <c r="D1001" s="7" t="s">
        <v>13376</v>
      </c>
      <c r="E1001" s="44">
        <v>5</v>
      </c>
      <c r="F1001" s="7"/>
      <c r="G1001" s="7"/>
      <c r="H1001" s="2" t="s">
        <v>13380</v>
      </c>
      <c r="I1001" s="7" t="s">
        <v>13382</v>
      </c>
      <c r="J1001" s="7" t="s">
        <v>3660</v>
      </c>
      <c r="K1001" s="7" t="s">
        <v>48</v>
      </c>
      <c r="L1001" s="7" t="s">
        <v>13383</v>
      </c>
      <c r="M1001" s="7" t="s">
        <v>13384</v>
      </c>
      <c r="N1001" s="45" t="str">
        <f>HYPERLINK("twitter.com/alcornsoftball","@alcornsoftball")</f>
        <v>@alcornsoftball</v>
      </c>
      <c r="O1001" s="45" t="str">
        <f>HYPERLINK("https://alcornsports.com/sb_output.aspx?form=3","Questionnaire")</f>
        <v>Questionnaire</v>
      </c>
      <c r="P1001" s="48" t="s">
        <v>13392</v>
      </c>
      <c r="Q1001" s="47" t="s">
        <v>6149</v>
      </c>
      <c r="R1001" s="48" t="s">
        <v>13393</v>
      </c>
      <c r="S1001" s="60" t="s">
        <v>205</v>
      </c>
      <c r="T1001" s="49" t="s">
        <v>74</v>
      </c>
      <c r="U1001" s="7" t="s">
        <v>75</v>
      </c>
      <c r="V1001" s="7" t="s">
        <v>212</v>
      </c>
      <c r="W1001" s="44">
        <v>2.98</v>
      </c>
      <c r="X1001" s="49" t="s">
        <v>1947</v>
      </c>
      <c r="Y1001" s="49" t="s">
        <v>2709</v>
      </c>
      <c r="Z1001" s="49" t="s">
        <v>1302</v>
      </c>
      <c r="AA1001" s="51">
        <v>0.78439999999999999</v>
      </c>
      <c r="AB1001" s="48" t="s">
        <v>13396</v>
      </c>
      <c r="AC1001" s="52" t="s">
        <v>13392</v>
      </c>
      <c r="AD1001" s="53" t="str">
        <f t="shared" ref="AD1001:AD1002" si="724">HYPERLINK("https://www.alcorn.edu/academics","Link")</f>
        <v>Link</v>
      </c>
      <c r="AE1001" s="54">
        <v>2825</v>
      </c>
      <c r="AF1001" s="55"/>
      <c r="AG1001" s="7"/>
      <c r="AH1001" s="56">
        <v>175342</v>
      </c>
      <c r="AI1001" s="85"/>
      <c r="AJ1001" s="56"/>
    </row>
    <row r="1002" spans="1:36" ht="15" x14ac:dyDescent="0.2">
      <c r="A1002" s="43" t="s">
        <v>13277</v>
      </c>
      <c r="B1002" s="47" t="s">
        <v>6149</v>
      </c>
      <c r="C1002" s="7" t="s">
        <v>67</v>
      </c>
      <c r="D1002" s="7" t="s">
        <v>13401</v>
      </c>
      <c r="E1002" s="44">
        <v>5</v>
      </c>
      <c r="F1002" s="7"/>
      <c r="G1002" s="7"/>
      <c r="H1002" s="2" t="s">
        <v>13380</v>
      </c>
      <c r="I1002" s="7" t="s">
        <v>1332</v>
      </c>
      <c r="J1002" s="7" t="s">
        <v>7709</v>
      </c>
      <c r="K1002" s="7" t="s">
        <v>120</v>
      </c>
      <c r="L1002" s="7"/>
      <c r="M1002" s="7"/>
      <c r="N1002" s="48"/>
      <c r="O1002" s="48"/>
      <c r="P1002" s="48" t="s">
        <v>13392</v>
      </c>
      <c r="Q1002" s="47" t="s">
        <v>6149</v>
      </c>
      <c r="R1002" s="48" t="s">
        <v>13393</v>
      </c>
      <c r="S1002" s="60" t="s">
        <v>205</v>
      </c>
      <c r="T1002" s="49" t="s">
        <v>74</v>
      </c>
      <c r="U1002" s="7" t="s">
        <v>75</v>
      </c>
      <c r="V1002" s="7" t="s">
        <v>212</v>
      </c>
      <c r="W1002" s="44">
        <v>2.98</v>
      </c>
      <c r="X1002" s="49" t="s">
        <v>1947</v>
      </c>
      <c r="Y1002" s="49" t="s">
        <v>2709</v>
      </c>
      <c r="Z1002" s="49" t="s">
        <v>1302</v>
      </c>
      <c r="AA1002" s="51">
        <v>0.78439999999999999</v>
      </c>
      <c r="AB1002" s="48" t="s">
        <v>13396</v>
      </c>
      <c r="AC1002" s="52" t="s">
        <v>13392</v>
      </c>
      <c r="AD1002" s="53" t="str">
        <f t="shared" si="724"/>
        <v>Link</v>
      </c>
      <c r="AE1002" s="54">
        <v>2825</v>
      </c>
      <c r="AF1002" s="55"/>
      <c r="AG1002" s="7"/>
      <c r="AH1002" s="56">
        <v>175342</v>
      </c>
      <c r="AI1002" s="85"/>
      <c r="AJ1002" s="56"/>
    </row>
    <row r="1003" spans="1:36" ht="15" x14ac:dyDescent="0.2">
      <c r="A1003" s="43" t="s">
        <v>13277</v>
      </c>
      <c r="B1003" s="47" t="s">
        <v>184</v>
      </c>
      <c r="C1003" s="7" t="s">
        <v>67</v>
      </c>
      <c r="D1003" s="7" t="s">
        <v>13406</v>
      </c>
      <c r="E1003" s="44">
        <v>5</v>
      </c>
      <c r="F1003" s="7"/>
      <c r="G1003" s="7"/>
      <c r="H1003" s="2" t="s">
        <v>13407</v>
      </c>
      <c r="I1003" s="7" t="s">
        <v>1351</v>
      </c>
      <c r="J1003" s="7" t="s">
        <v>13409</v>
      </c>
      <c r="K1003" s="7" t="s">
        <v>48</v>
      </c>
      <c r="L1003" s="7" t="s">
        <v>13410</v>
      </c>
      <c r="M1003" s="7" t="s">
        <v>13412</v>
      </c>
      <c r="N1003" s="45" t="str">
        <f t="shared" ref="N1003:N1004" si="725">HYPERLINK("twitter.com/UAPB_Softball","@UAPB_Softball")</f>
        <v>@UAPB_Softball</v>
      </c>
      <c r="O1003" s="45" t="str">
        <f t="shared" ref="O1003:O1004" si="726">HYPERLINK("https://uapblionsroar.com/sb_output.aspx?form=1","Questionnaire")</f>
        <v>Questionnaire</v>
      </c>
      <c r="P1003" s="48" t="s">
        <v>13421</v>
      </c>
      <c r="Q1003" s="47" t="s">
        <v>184</v>
      </c>
      <c r="R1003" s="48" t="s">
        <v>13422</v>
      </c>
      <c r="S1003" s="48" t="s">
        <v>468</v>
      </c>
      <c r="T1003" s="49" t="s">
        <v>74</v>
      </c>
      <c r="U1003" s="7" t="s">
        <v>75</v>
      </c>
      <c r="V1003" s="7" t="s">
        <v>212</v>
      </c>
      <c r="W1003" s="44">
        <v>2.9</v>
      </c>
      <c r="X1003" s="49" t="s">
        <v>13425</v>
      </c>
      <c r="Y1003" s="49" t="s">
        <v>13426</v>
      </c>
      <c r="Z1003" s="49" t="s">
        <v>1302</v>
      </c>
      <c r="AA1003" s="51">
        <v>0.41930000000000001</v>
      </c>
      <c r="AB1003" s="48" t="s">
        <v>13430</v>
      </c>
      <c r="AC1003" s="52" t="s">
        <v>13421</v>
      </c>
      <c r="AD1003" s="53" t="str">
        <f t="shared" ref="AD1003:AD1004" si="727">HYPERLINK("https://www.uapb.edu/academics/majors_minors.aspx","Link")</f>
        <v>Link</v>
      </c>
      <c r="AE1003" s="54">
        <v>2721</v>
      </c>
      <c r="AF1003" s="55"/>
      <c r="AG1003" s="7"/>
      <c r="AH1003" s="56">
        <v>106412</v>
      </c>
      <c r="AI1003" s="85"/>
      <c r="AJ1003" s="56"/>
    </row>
    <row r="1004" spans="1:36" ht="15" x14ac:dyDescent="0.2">
      <c r="A1004" s="43" t="s">
        <v>13277</v>
      </c>
      <c r="B1004" s="47" t="s">
        <v>184</v>
      </c>
      <c r="C1004" s="7" t="s">
        <v>67</v>
      </c>
      <c r="D1004" s="7" t="s">
        <v>13440</v>
      </c>
      <c r="E1004" s="44">
        <v>5</v>
      </c>
      <c r="F1004" s="7"/>
      <c r="G1004" s="7"/>
      <c r="H1004" s="2" t="s">
        <v>13407</v>
      </c>
      <c r="I1004" s="7" t="s">
        <v>5834</v>
      </c>
      <c r="J1004" s="7" t="s">
        <v>13442</v>
      </c>
      <c r="K1004" s="7" t="s">
        <v>154</v>
      </c>
      <c r="L1004" s="7"/>
      <c r="M1004" s="7"/>
      <c r="N1004" s="45" t="str">
        <f t="shared" si="725"/>
        <v>@UAPB_Softball</v>
      </c>
      <c r="O1004" s="45" t="str">
        <f t="shared" si="726"/>
        <v>Questionnaire</v>
      </c>
      <c r="P1004" s="48" t="s">
        <v>13421</v>
      </c>
      <c r="Q1004" s="47" t="s">
        <v>184</v>
      </c>
      <c r="R1004" s="48" t="s">
        <v>13422</v>
      </c>
      <c r="S1004" s="48" t="s">
        <v>468</v>
      </c>
      <c r="T1004" s="49" t="s">
        <v>74</v>
      </c>
      <c r="U1004" s="7" t="s">
        <v>75</v>
      </c>
      <c r="V1004" s="7" t="s">
        <v>212</v>
      </c>
      <c r="W1004" s="44">
        <v>2.9</v>
      </c>
      <c r="X1004" s="49" t="s">
        <v>13425</v>
      </c>
      <c r="Y1004" s="49" t="s">
        <v>13426</v>
      </c>
      <c r="Z1004" s="49" t="s">
        <v>1302</v>
      </c>
      <c r="AA1004" s="51">
        <v>0.41930000000000001</v>
      </c>
      <c r="AB1004" s="48" t="s">
        <v>13430</v>
      </c>
      <c r="AC1004" s="52" t="s">
        <v>13421</v>
      </c>
      <c r="AD1004" s="53" t="str">
        <f t="shared" si="727"/>
        <v>Link</v>
      </c>
      <c r="AE1004" s="54">
        <v>2721</v>
      </c>
      <c r="AF1004" s="55"/>
      <c r="AG1004" s="7"/>
      <c r="AH1004" s="56">
        <v>106412</v>
      </c>
      <c r="AI1004" s="85"/>
      <c r="AJ1004" s="56"/>
    </row>
    <row r="1005" spans="1:36" ht="15" x14ac:dyDescent="0.2">
      <c r="A1005" s="43" t="s">
        <v>13277</v>
      </c>
      <c r="B1005" s="47" t="s">
        <v>3623</v>
      </c>
      <c r="C1005" s="7" t="s">
        <v>67</v>
      </c>
      <c r="D1005" s="7" t="s">
        <v>13452</v>
      </c>
      <c r="E1005" s="44">
        <v>5</v>
      </c>
      <c r="F1005" s="7"/>
      <c r="G1005" s="7"/>
      <c r="H1005" s="2" t="s">
        <v>13453</v>
      </c>
      <c r="I1005" s="7" t="s">
        <v>13454</v>
      </c>
      <c r="J1005" s="7" t="s">
        <v>1267</v>
      </c>
      <c r="K1005" s="7" t="s">
        <v>48</v>
      </c>
      <c r="L1005" s="7" t="s">
        <v>13455</v>
      </c>
      <c r="M1005" s="7" t="s">
        <v>13456</v>
      </c>
      <c r="N1005" s="74" t="str">
        <f t="shared" ref="N1005:N1006" si="728">HYPERLINK("twitter.com/gsusoftball","@gsusoftball")</f>
        <v>@gsusoftball</v>
      </c>
      <c r="O1005" s="45" t="str">
        <f t="shared" ref="O1005:O1006" si="729">HYPERLINK("https://gsutigers.com/sb_output.aspx?form=3","Questionnaire")</f>
        <v>Questionnaire</v>
      </c>
      <c r="P1005" s="48" t="s">
        <v>13465</v>
      </c>
      <c r="Q1005" s="47" t="s">
        <v>3623</v>
      </c>
      <c r="R1005" s="48" t="s">
        <v>13466</v>
      </c>
      <c r="S1005" s="60" t="s">
        <v>205</v>
      </c>
      <c r="T1005" s="49" t="s">
        <v>74</v>
      </c>
      <c r="U1005" s="7" t="s">
        <v>75</v>
      </c>
      <c r="V1005" s="7" t="s">
        <v>212</v>
      </c>
      <c r="W1005" s="44">
        <v>2.9</v>
      </c>
      <c r="X1005" s="49" t="s">
        <v>7924</v>
      </c>
      <c r="Y1005" s="49" t="s">
        <v>3613</v>
      </c>
      <c r="Z1005" s="49" t="s">
        <v>1400</v>
      </c>
      <c r="AA1005" s="61">
        <v>0.45</v>
      </c>
      <c r="AB1005" s="48" t="s">
        <v>13469</v>
      </c>
      <c r="AC1005" s="62" t="s">
        <v>13465</v>
      </c>
      <c r="AD1005" s="53" t="str">
        <f t="shared" ref="AD1005:AD1006" si="730">HYPERLINK("http://www.gram.edu/degrees/","Link")</f>
        <v>Link</v>
      </c>
      <c r="AE1005" s="54">
        <v>3883</v>
      </c>
      <c r="AF1005" s="55"/>
      <c r="AG1005" s="7"/>
      <c r="AH1005" s="56">
        <v>159009</v>
      </c>
      <c r="AI1005" s="85"/>
      <c r="AJ1005" s="56"/>
    </row>
    <row r="1006" spans="1:36" ht="15" x14ac:dyDescent="0.2">
      <c r="A1006" s="43" t="s">
        <v>13277</v>
      </c>
      <c r="B1006" s="47" t="s">
        <v>3623</v>
      </c>
      <c r="C1006" s="7" t="s">
        <v>67</v>
      </c>
      <c r="D1006" s="7" t="s">
        <v>13471</v>
      </c>
      <c r="E1006" s="44">
        <v>5</v>
      </c>
      <c r="F1006" s="7"/>
      <c r="G1006" s="7"/>
      <c r="H1006" s="2" t="s">
        <v>13453</v>
      </c>
      <c r="I1006" s="7" t="s">
        <v>2168</v>
      </c>
      <c r="J1006" s="7" t="s">
        <v>13472</v>
      </c>
      <c r="K1006" s="7" t="s">
        <v>55</v>
      </c>
      <c r="L1006" s="7" t="s">
        <v>13473</v>
      </c>
      <c r="M1006" s="7"/>
      <c r="N1006" s="74" t="str">
        <f t="shared" si="728"/>
        <v>@gsusoftball</v>
      </c>
      <c r="O1006" s="45" t="str">
        <f t="shared" si="729"/>
        <v>Questionnaire</v>
      </c>
      <c r="P1006" s="48" t="s">
        <v>13465</v>
      </c>
      <c r="Q1006" s="47" t="s">
        <v>3623</v>
      </c>
      <c r="R1006" s="48" t="s">
        <v>13466</v>
      </c>
      <c r="S1006" s="60" t="s">
        <v>205</v>
      </c>
      <c r="T1006" s="49" t="s">
        <v>74</v>
      </c>
      <c r="U1006" s="7" t="s">
        <v>75</v>
      </c>
      <c r="V1006" s="7" t="s">
        <v>212</v>
      </c>
      <c r="W1006" s="44">
        <v>2.9</v>
      </c>
      <c r="X1006" s="49" t="s">
        <v>7924</v>
      </c>
      <c r="Y1006" s="49" t="s">
        <v>3613</v>
      </c>
      <c r="Z1006" s="49" t="s">
        <v>1400</v>
      </c>
      <c r="AA1006" s="61">
        <v>0.45</v>
      </c>
      <c r="AB1006" s="48" t="s">
        <v>13469</v>
      </c>
      <c r="AC1006" s="62" t="s">
        <v>13465</v>
      </c>
      <c r="AD1006" s="53" t="str">
        <f t="shared" si="730"/>
        <v>Link</v>
      </c>
      <c r="AE1006" s="54">
        <v>3883</v>
      </c>
      <c r="AF1006" s="55"/>
      <c r="AG1006" s="7"/>
      <c r="AH1006" s="56">
        <v>159009</v>
      </c>
      <c r="AI1006" s="85"/>
      <c r="AJ1006" s="56"/>
    </row>
    <row r="1007" spans="1:36" ht="15" x14ac:dyDescent="0.2">
      <c r="A1007" s="43" t="s">
        <v>13277</v>
      </c>
      <c r="B1007" s="47" t="s">
        <v>6149</v>
      </c>
      <c r="C1007" s="7" t="s">
        <v>67</v>
      </c>
      <c r="D1007" s="7" t="s">
        <v>13475</v>
      </c>
      <c r="E1007" s="44">
        <v>5</v>
      </c>
      <c r="F1007" s="7"/>
      <c r="G1007" s="7"/>
      <c r="H1007" s="2" t="s">
        <v>13476</v>
      </c>
      <c r="I1007" s="7" t="s">
        <v>3279</v>
      </c>
      <c r="J1007" s="7" t="s">
        <v>121</v>
      </c>
      <c r="K1007" s="7" t="s">
        <v>48</v>
      </c>
      <c r="L1007" s="7" t="s">
        <v>13477</v>
      </c>
      <c r="M1007" s="7" t="s">
        <v>13479</v>
      </c>
      <c r="N1007" s="45" t="str">
        <f t="shared" ref="N1007:N1009" si="731">HYPERLINK("twitter.com/gojsusoftball","@gojsusoftball")</f>
        <v>@gojsusoftball</v>
      </c>
      <c r="O1007" s="45" t="str">
        <f t="shared" ref="O1007:O1009" si="732">HYPERLINK("https://gojsutigers.com/sb_output.aspx?form=3","Questionnaire")</f>
        <v>Questionnaire</v>
      </c>
      <c r="P1007" s="48" t="s">
        <v>13481</v>
      </c>
      <c r="Q1007" s="47" t="s">
        <v>6149</v>
      </c>
      <c r="R1007" s="48" t="s">
        <v>773</v>
      </c>
      <c r="S1007" s="48" t="s">
        <v>62</v>
      </c>
      <c r="T1007" s="49" t="s">
        <v>74</v>
      </c>
      <c r="U1007" s="7" t="s">
        <v>75</v>
      </c>
      <c r="V1007" s="7" t="s">
        <v>212</v>
      </c>
      <c r="W1007" s="44">
        <v>2.9</v>
      </c>
      <c r="X1007" s="49" t="s">
        <v>3428</v>
      </c>
      <c r="Y1007" s="49" t="s">
        <v>3484</v>
      </c>
      <c r="Z1007" s="49" t="s">
        <v>3230</v>
      </c>
      <c r="AA1007" s="61">
        <v>0.63</v>
      </c>
      <c r="AB1007" s="48" t="s">
        <v>13489</v>
      </c>
      <c r="AC1007" s="92" t="s">
        <v>13481</v>
      </c>
      <c r="AD1007" s="53" t="str">
        <f t="shared" ref="AD1007:AD1009" si="733">HYPERLINK("http://www.jsums.edu/academicaffairs/departments/","Link")</f>
        <v>Link</v>
      </c>
      <c r="AE1007" s="54">
        <v>7492</v>
      </c>
      <c r="AF1007" s="55"/>
      <c r="AG1007" s="7"/>
      <c r="AH1007" s="56">
        <v>175856</v>
      </c>
      <c r="AI1007" s="85"/>
      <c r="AJ1007" s="56"/>
    </row>
    <row r="1008" spans="1:36" ht="15" x14ac:dyDescent="0.2">
      <c r="A1008" s="43" t="s">
        <v>13277</v>
      </c>
      <c r="B1008" s="47" t="s">
        <v>6149</v>
      </c>
      <c r="C1008" s="7" t="s">
        <v>67</v>
      </c>
      <c r="D1008" s="7" t="s">
        <v>13492</v>
      </c>
      <c r="E1008" s="44">
        <v>5</v>
      </c>
      <c r="F1008" s="7"/>
      <c r="G1008" s="7"/>
      <c r="H1008" s="2" t="s">
        <v>13476</v>
      </c>
      <c r="I1008" s="7" t="s">
        <v>161</v>
      </c>
      <c r="J1008" s="7" t="s">
        <v>314</v>
      </c>
      <c r="K1008" s="7" t="s">
        <v>55</v>
      </c>
      <c r="L1008" s="7" t="s">
        <v>13494</v>
      </c>
      <c r="M1008" s="7" t="s">
        <v>13497</v>
      </c>
      <c r="N1008" s="45" t="str">
        <f t="shared" si="731"/>
        <v>@gojsusoftball</v>
      </c>
      <c r="O1008" s="45" t="str">
        <f t="shared" si="732"/>
        <v>Questionnaire</v>
      </c>
      <c r="P1008" s="48" t="s">
        <v>13481</v>
      </c>
      <c r="Q1008" s="47" t="s">
        <v>6149</v>
      </c>
      <c r="R1008" s="48" t="s">
        <v>773</v>
      </c>
      <c r="S1008" s="48" t="s">
        <v>62</v>
      </c>
      <c r="T1008" s="49" t="s">
        <v>74</v>
      </c>
      <c r="U1008" s="7" t="s">
        <v>75</v>
      </c>
      <c r="V1008" s="7" t="s">
        <v>212</v>
      </c>
      <c r="W1008" s="44">
        <v>2.9</v>
      </c>
      <c r="X1008" s="49" t="s">
        <v>3428</v>
      </c>
      <c r="Y1008" s="49" t="s">
        <v>3484</v>
      </c>
      <c r="Z1008" s="49" t="s">
        <v>3230</v>
      </c>
      <c r="AA1008" s="61">
        <v>0.63</v>
      </c>
      <c r="AB1008" s="48" t="s">
        <v>13489</v>
      </c>
      <c r="AC1008" s="92" t="s">
        <v>13481</v>
      </c>
      <c r="AD1008" s="53" t="str">
        <f t="shared" si="733"/>
        <v>Link</v>
      </c>
      <c r="AE1008" s="54">
        <v>7492</v>
      </c>
      <c r="AF1008" s="55"/>
      <c r="AG1008" s="7"/>
      <c r="AH1008" s="56">
        <v>175856</v>
      </c>
      <c r="AI1008" s="85"/>
      <c r="AJ1008" s="56"/>
    </row>
    <row r="1009" spans="1:36" ht="15" x14ac:dyDescent="0.2">
      <c r="A1009" s="43" t="s">
        <v>13277</v>
      </c>
      <c r="B1009" s="47" t="s">
        <v>6149</v>
      </c>
      <c r="C1009" s="7" t="s">
        <v>67</v>
      </c>
      <c r="D1009" s="7" t="s">
        <v>13503</v>
      </c>
      <c r="E1009" s="44">
        <v>5</v>
      </c>
      <c r="F1009" s="7"/>
      <c r="G1009" s="7"/>
      <c r="H1009" s="2" t="s">
        <v>13476</v>
      </c>
      <c r="I1009" s="7" t="s">
        <v>13504</v>
      </c>
      <c r="J1009" s="7" t="s">
        <v>5478</v>
      </c>
      <c r="K1009" s="7" t="s">
        <v>120</v>
      </c>
      <c r="L1009" s="7"/>
      <c r="M1009" s="7"/>
      <c r="N1009" s="45" t="str">
        <f t="shared" si="731"/>
        <v>@gojsusoftball</v>
      </c>
      <c r="O1009" s="45" t="str">
        <f t="shared" si="732"/>
        <v>Questionnaire</v>
      </c>
      <c r="P1009" s="48" t="s">
        <v>13481</v>
      </c>
      <c r="Q1009" s="47" t="s">
        <v>6149</v>
      </c>
      <c r="R1009" s="48" t="s">
        <v>773</v>
      </c>
      <c r="S1009" s="48" t="s">
        <v>62</v>
      </c>
      <c r="T1009" s="49" t="s">
        <v>74</v>
      </c>
      <c r="U1009" s="7" t="s">
        <v>75</v>
      </c>
      <c r="V1009" s="7" t="s">
        <v>212</v>
      </c>
      <c r="W1009" s="44">
        <v>2.9</v>
      </c>
      <c r="X1009" s="49" t="s">
        <v>3428</v>
      </c>
      <c r="Y1009" s="49" t="s">
        <v>3484</v>
      </c>
      <c r="Z1009" s="49" t="s">
        <v>3230</v>
      </c>
      <c r="AA1009" s="61">
        <v>0.63</v>
      </c>
      <c r="AB1009" s="48" t="s">
        <v>13489</v>
      </c>
      <c r="AC1009" s="92" t="s">
        <v>13481</v>
      </c>
      <c r="AD1009" s="53" t="str">
        <f t="shared" si="733"/>
        <v>Link</v>
      </c>
      <c r="AE1009" s="54">
        <v>7492</v>
      </c>
      <c r="AF1009" s="55"/>
      <c r="AG1009" s="7"/>
      <c r="AH1009" s="56">
        <v>175856</v>
      </c>
      <c r="AI1009" s="85"/>
      <c r="AJ1009" s="56"/>
    </row>
    <row r="1010" spans="1:36" ht="15" x14ac:dyDescent="0.2">
      <c r="A1010" s="43" t="s">
        <v>13277</v>
      </c>
      <c r="B1010" s="47" t="s">
        <v>6149</v>
      </c>
      <c r="C1010" s="7" t="s">
        <v>67</v>
      </c>
      <c r="D1010" s="7" t="s">
        <v>13512</v>
      </c>
      <c r="E1010" s="44">
        <v>5</v>
      </c>
      <c r="F1010" s="7"/>
      <c r="G1010" s="7"/>
      <c r="H1010" s="2" t="s">
        <v>13513</v>
      </c>
      <c r="I1010" s="7" t="s">
        <v>3882</v>
      </c>
      <c r="J1010" s="7" t="s">
        <v>2919</v>
      </c>
      <c r="K1010" s="7" t="s">
        <v>48</v>
      </c>
      <c r="L1010" s="7" t="s">
        <v>13514</v>
      </c>
      <c r="M1010" s="7" t="s">
        <v>13515</v>
      </c>
      <c r="N1010" s="45" t="str">
        <f t="shared" ref="N1010:N1011" si="734">HYPERLINK("twitter.com/mvsusoftball","@mvsusoftball")</f>
        <v>@mvsusoftball</v>
      </c>
      <c r="O1010" s="45" t="str">
        <f t="shared" ref="O1010:O1011" si="735">HYPERLINK("https://mvsusports.com/sb_output.aspx?form=3","Questionnaire")</f>
        <v>Questionnaire</v>
      </c>
      <c r="P1010" s="48" t="s">
        <v>13520</v>
      </c>
      <c r="Q1010" s="47" t="s">
        <v>6149</v>
      </c>
      <c r="R1010" s="48" t="s">
        <v>13523</v>
      </c>
      <c r="S1010" s="60" t="s">
        <v>205</v>
      </c>
      <c r="T1010" s="49" t="s">
        <v>74</v>
      </c>
      <c r="U1010" s="7" t="s">
        <v>75</v>
      </c>
      <c r="V1010" s="7" t="s">
        <v>212</v>
      </c>
      <c r="W1010" s="44">
        <v>2.86</v>
      </c>
      <c r="X1010" s="49" t="s">
        <v>214</v>
      </c>
      <c r="Y1010" s="49" t="s">
        <v>214</v>
      </c>
      <c r="Z1010" s="49" t="s">
        <v>3784</v>
      </c>
      <c r="AA1010" s="61">
        <v>0.84</v>
      </c>
      <c r="AB1010" s="71">
        <v>19310</v>
      </c>
      <c r="AC1010" s="52" t="s">
        <v>13520</v>
      </c>
      <c r="AD1010" s="53" t="str">
        <f t="shared" ref="AD1010:AD1011" si="736">HYPERLINK("https://www.mvsu.edu/academics/majors","Link")</f>
        <v>Link</v>
      </c>
      <c r="AE1010" s="54">
        <v>2011</v>
      </c>
      <c r="AF1010" s="55"/>
      <c r="AG1010" s="7"/>
      <c r="AH1010" s="56">
        <v>176044</v>
      </c>
      <c r="AI1010" s="85"/>
      <c r="AJ1010" s="56"/>
    </row>
    <row r="1011" spans="1:36" ht="15" x14ac:dyDescent="0.2">
      <c r="A1011" s="43" t="s">
        <v>13277</v>
      </c>
      <c r="B1011" s="47" t="s">
        <v>6149</v>
      </c>
      <c r="C1011" s="7" t="s">
        <v>67</v>
      </c>
      <c r="D1011" s="7" t="s">
        <v>13532</v>
      </c>
      <c r="E1011" s="44">
        <v>5</v>
      </c>
      <c r="F1011" s="7"/>
      <c r="G1011" s="7"/>
      <c r="H1011" s="2" t="s">
        <v>13513</v>
      </c>
      <c r="I1011" s="7" t="s">
        <v>1075</v>
      </c>
      <c r="J1011" s="7" t="s">
        <v>13533</v>
      </c>
      <c r="K1011" s="7" t="s">
        <v>55</v>
      </c>
      <c r="L1011" s="7" t="s">
        <v>13534</v>
      </c>
      <c r="M1011" s="7" t="s">
        <v>13535</v>
      </c>
      <c r="N1011" s="45" t="str">
        <f t="shared" si="734"/>
        <v>@mvsusoftball</v>
      </c>
      <c r="O1011" s="45" t="str">
        <f t="shared" si="735"/>
        <v>Questionnaire</v>
      </c>
      <c r="P1011" s="48" t="s">
        <v>13520</v>
      </c>
      <c r="Q1011" s="47" t="s">
        <v>6149</v>
      </c>
      <c r="R1011" s="48" t="s">
        <v>13523</v>
      </c>
      <c r="S1011" s="60" t="s">
        <v>205</v>
      </c>
      <c r="T1011" s="49" t="s">
        <v>74</v>
      </c>
      <c r="U1011" s="7" t="s">
        <v>75</v>
      </c>
      <c r="V1011" s="7" t="s">
        <v>212</v>
      </c>
      <c r="W1011" s="44">
        <v>2.86</v>
      </c>
      <c r="X1011" s="49" t="s">
        <v>214</v>
      </c>
      <c r="Y1011" s="49" t="s">
        <v>214</v>
      </c>
      <c r="Z1011" s="49" t="s">
        <v>3784</v>
      </c>
      <c r="AA1011" s="61">
        <v>0.84</v>
      </c>
      <c r="AB1011" s="71">
        <v>19310</v>
      </c>
      <c r="AC1011" s="52" t="s">
        <v>13520</v>
      </c>
      <c r="AD1011" s="53" t="str">
        <f t="shared" si="736"/>
        <v>Link</v>
      </c>
      <c r="AE1011" s="54">
        <v>2011</v>
      </c>
      <c r="AF1011" s="55"/>
      <c r="AG1011" s="7"/>
      <c r="AH1011" s="56">
        <v>176044</v>
      </c>
      <c r="AI1011" s="85"/>
      <c r="AJ1011" s="56"/>
    </row>
    <row r="1012" spans="1:36" ht="15" x14ac:dyDescent="0.2">
      <c r="A1012" s="43" t="s">
        <v>13277</v>
      </c>
      <c r="B1012" s="47" t="s">
        <v>280</v>
      </c>
      <c r="C1012" s="7" t="s">
        <v>67</v>
      </c>
      <c r="D1012" s="7" t="s">
        <v>13544</v>
      </c>
      <c r="E1012" s="44">
        <v>5</v>
      </c>
      <c r="F1012" s="7"/>
      <c r="G1012" s="7"/>
      <c r="H1012" s="2" t="s">
        <v>13545</v>
      </c>
      <c r="I1012" s="7" t="s">
        <v>2255</v>
      </c>
      <c r="J1012" s="7" t="s">
        <v>13547</v>
      </c>
      <c r="K1012" s="7" t="s">
        <v>48</v>
      </c>
      <c r="L1012" s="7" t="s">
        <v>13549</v>
      </c>
      <c r="M1012" s="7" t="s">
        <v>13550</v>
      </c>
      <c r="N1012" s="45" t="str">
        <f t="shared" ref="N1012:N1014" si="737">HYPERLINK("twitter.com/pvamusoftball","@pvamusoftball")</f>
        <v>@pvamusoftball</v>
      </c>
      <c r="O1012" s="45" t="str">
        <f t="shared" ref="O1012:O1014" si="738">HYPERLINK("https://pvpanthers.com/sb_output.aspx?form=3","Questionnaire")</f>
        <v>Questionnaire</v>
      </c>
      <c r="P1012" s="48" t="s">
        <v>13555</v>
      </c>
      <c r="Q1012" s="47" t="s">
        <v>280</v>
      </c>
      <c r="R1012" s="48" t="s">
        <v>13556</v>
      </c>
      <c r="S1012" s="60" t="s">
        <v>205</v>
      </c>
      <c r="T1012" s="49" t="s">
        <v>74</v>
      </c>
      <c r="U1012" s="7" t="s">
        <v>75</v>
      </c>
      <c r="V1012" s="7" t="s">
        <v>212</v>
      </c>
      <c r="W1012" s="44">
        <v>3.04</v>
      </c>
      <c r="X1012" s="49" t="s">
        <v>1194</v>
      </c>
      <c r="Y1012" s="49" t="s">
        <v>3781</v>
      </c>
      <c r="Z1012" s="49" t="s">
        <v>3784</v>
      </c>
      <c r="AA1012" s="61">
        <v>0.85</v>
      </c>
      <c r="AB1012" s="48" t="s">
        <v>13558</v>
      </c>
      <c r="AC1012" s="62" t="s">
        <v>13555</v>
      </c>
      <c r="AD1012" s="53" t="str">
        <f t="shared" ref="AD1012:AD1014" si="739">HYPERLINK("http://www.pvamu.edu/academics/","Link")</f>
        <v>Link</v>
      </c>
      <c r="AE1012" s="54">
        <v>7417</v>
      </c>
      <c r="AF1012" s="55"/>
      <c r="AG1012" s="7"/>
      <c r="AH1012" s="56">
        <v>227526</v>
      </c>
      <c r="AI1012" s="85"/>
      <c r="AJ1012" s="56"/>
    </row>
    <row r="1013" spans="1:36" ht="15" x14ac:dyDescent="0.2">
      <c r="A1013" s="43" t="s">
        <v>13277</v>
      </c>
      <c r="B1013" s="47" t="s">
        <v>280</v>
      </c>
      <c r="C1013" s="7" t="s">
        <v>67</v>
      </c>
      <c r="D1013" s="7" t="s">
        <v>13567</v>
      </c>
      <c r="E1013" s="44">
        <v>5</v>
      </c>
      <c r="F1013" s="7"/>
      <c r="G1013" s="7"/>
      <c r="H1013" s="2" t="s">
        <v>13545</v>
      </c>
      <c r="I1013" s="7" t="s">
        <v>3393</v>
      </c>
      <c r="J1013" s="7" t="s">
        <v>982</v>
      </c>
      <c r="K1013" s="7" t="s">
        <v>55</v>
      </c>
      <c r="L1013" s="7"/>
      <c r="M1013" s="7"/>
      <c r="N1013" s="45" t="str">
        <f t="shared" si="737"/>
        <v>@pvamusoftball</v>
      </c>
      <c r="O1013" s="45" t="str">
        <f t="shared" si="738"/>
        <v>Questionnaire</v>
      </c>
      <c r="P1013" s="48" t="s">
        <v>13555</v>
      </c>
      <c r="Q1013" s="47" t="s">
        <v>280</v>
      </c>
      <c r="R1013" s="48" t="s">
        <v>13556</v>
      </c>
      <c r="S1013" s="60" t="s">
        <v>205</v>
      </c>
      <c r="T1013" s="49" t="s">
        <v>74</v>
      </c>
      <c r="U1013" s="7" t="s">
        <v>75</v>
      </c>
      <c r="V1013" s="7" t="s">
        <v>212</v>
      </c>
      <c r="W1013" s="44">
        <v>3.04</v>
      </c>
      <c r="X1013" s="49" t="s">
        <v>1194</v>
      </c>
      <c r="Y1013" s="49" t="s">
        <v>3781</v>
      </c>
      <c r="Z1013" s="49" t="s">
        <v>3784</v>
      </c>
      <c r="AA1013" s="61">
        <v>0.85</v>
      </c>
      <c r="AB1013" s="48" t="s">
        <v>13558</v>
      </c>
      <c r="AC1013" s="62" t="s">
        <v>13555</v>
      </c>
      <c r="AD1013" s="53" t="str">
        <f t="shared" si="739"/>
        <v>Link</v>
      </c>
      <c r="AE1013" s="54">
        <v>7417</v>
      </c>
      <c r="AF1013" s="55"/>
      <c r="AG1013" s="7"/>
      <c r="AH1013" s="56">
        <v>227526</v>
      </c>
      <c r="AI1013" s="85"/>
      <c r="AJ1013" s="56"/>
    </row>
    <row r="1014" spans="1:36" ht="15" x14ac:dyDescent="0.2">
      <c r="A1014" s="43" t="s">
        <v>13277</v>
      </c>
      <c r="B1014" s="47" t="s">
        <v>280</v>
      </c>
      <c r="C1014" s="7" t="s">
        <v>67</v>
      </c>
      <c r="D1014" s="7" t="s">
        <v>13579</v>
      </c>
      <c r="E1014" s="44">
        <v>5</v>
      </c>
      <c r="F1014" s="7"/>
      <c r="G1014" s="7"/>
      <c r="H1014" s="2" t="s">
        <v>13545</v>
      </c>
      <c r="I1014" s="7" t="s">
        <v>13580</v>
      </c>
      <c r="J1014" s="7" t="s">
        <v>13581</v>
      </c>
      <c r="K1014" s="7" t="s">
        <v>55</v>
      </c>
      <c r="L1014" s="7" t="s">
        <v>13582</v>
      </c>
      <c r="M1014" s="7" t="s">
        <v>13550</v>
      </c>
      <c r="N1014" s="45" t="str">
        <f t="shared" si="737"/>
        <v>@pvamusoftball</v>
      </c>
      <c r="O1014" s="45" t="str">
        <f t="shared" si="738"/>
        <v>Questionnaire</v>
      </c>
      <c r="P1014" s="48" t="s">
        <v>13555</v>
      </c>
      <c r="Q1014" s="47" t="s">
        <v>280</v>
      </c>
      <c r="R1014" s="48" t="s">
        <v>13556</v>
      </c>
      <c r="S1014" s="60" t="s">
        <v>205</v>
      </c>
      <c r="T1014" s="49" t="s">
        <v>74</v>
      </c>
      <c r="U1014" s="7" t="s">
        <v>75</v>
      </c>
      <c r="V1014" s="7" t="s">
        <v>212</v>
      </c>
      <c r="W1014" s="44">
        <v>3.04</v>
      </c>
      <c r="X1014" s="49" t="s">
        <v>1194</v>
      </c>
      <c r="Y1014" s="49" t="s">
        <v>3781</v>
      </c>
      <c r="Z1014" s="49" t="s">
        <v>3784</v>
      </c>
      <c r="AA1014" s="61">
        <v>0.85</v>
      </c>
      <c r="AB1014" s="48" t="s">
        <v>13558</v>
      </c>
      <c r="AC1014" s="62" t="s">
        <v>13555</v>
      </c>
      <c r="AD1014" s="53" t="str">
        <f t="shared" si="739"/>
        <v>Link</v>
      </c>
      <c r="AE1014" s="54">
        <v>7417</v>
      </c>
      <c r="AF1014" s="55"/>
      <c r="AG1014" s="7"/>
      <c r="AH1014" s="56">
        <v>227526</v>
      </c>
      <c r="AI1014" s="85"/>
      <c r="AJ1014" s="56"/>
    </row>
    <row r="1015" spans="1:36" ht="15" x14ac:dyDescent="0.2">
      <c r="A1015" s="43" t="s">
        <v>13277</v>
      </c>
      <c r="B1015" s="47" t="s">
        <v>3623</v>
      </c>
      <c r="C1015" s="7" t="s">
        <v>67</v>
      </c>
      <c r="D1015" s="7" t="s">
        <v>13584</v>
      </c>
      <c r="E1015" s="44">
        <v>5</v>
      </c>
      <c r="F1015" s="7"/>
      <c r="G1015" s="7"/>
      <c r="H1015" s="2" t="s">
        <v>13585</v>
      </c>
      <c r="I1015" s="95" t="s">
        <v>658</v>
      </c>
      <c r="J1015" s="2" t="s">
        <v>13607</v>
      </c>
      <c r="K1015" s="2" t="s">
        <v>48</v>
      </c>
      <c r="L1015" s="95" t="s">
        <v>13608</v>
      </c>
      <c r="M1015" s="2" t="s">
        <v>13620</v>
      </c>
      <c r="N1015" s="96" t="str">
        <f t="shared" ref="N1015:N1017" si="740">HYPERLINK("twitter.com/southernu_sb","@southernu_sb")</f>
        <v>@southernu_sb</v>
      </c>
      <c r="O1015" s="7"/>
      <c r="P1015" s="48" t="s">
        <v>13626</v>
      </c>
      <c r="Q1015" s="47" t="s">
        <v>3623</v>
      </c>
      <c r="R1015" s="48" t="s">
        <v>11837</v>
      </c>
      <c r="S1015" s="48" t="s">
        <v>62</v>
      </c>
      <c r="T1015" s="49" t="s">
        <v>74</v>
      </c>
      <c r="U1015" s="7" t="s">
        <v>75</v>
      </c>
      <c r="V1015" s="7" t="s">
        <v>212</v>
      </c>
      <c r="W1015" s="44">
        <v>2.9</v>
      </c>
      <c r="X1015" s="49" t="s">
        <v>4906</v>
      </c>
      <c r="Y1015" s="49" t="s">
        <v>13631</v>
      </c>
      <c r="Z1015" s="49" t="s">
        <v>2190</v>
      </c>
      <c r="AA1015" s="61">
        <v>0.99</v>
      </c>
      <c r="AB1015" s="48" t="s">
        <v>13632</v>
      </c>
      <c r="AC1015" s="97" t="s">
        <v>13626</v>
      </c>
      <c r="AD1015" s="53" t="str">
        <f t="shared" ref="AD1015:AD1017" si="741">HYPERLINK("http://www.subr.edu/page/schools-departments-programs","Link")</f>
        <v>Link</v>
      </c>
      <c r="AE1015" s="54">
        <v>4926</v>
      </c>
      <c r="AF1015" s="55"/>
      <c r="AG1015" s="7"/>
      <c r="AH1015" s="56">
        <v>160621</v>
      </c>
      <c r="AI1015" s="85"/>
      <c r="AJ1015" s="56"/>
    </row>
    <row r="1016" spans="1:36" ht="15" x14ac:dyDescent="0.2">
      <c r="A1016" s="43" t="s">
        <v>13277</v>
      </c>
      <c r="B1016" s="47" t="s">
        <v>3623</v>
      </c>
      <c r="C1016" s="7" t="s">
        <v>67</v>
      </c>
      <c r="D1016" s="7" t="s">
        <v>13642</v>
      </c>
      <c r="E1016" s="44">
        <v>5</v>
      </c>
      <c r="F1016" s="7"/>
      <c r="G1016" s="7"/>
      <c r="H1016" s="2" t="s">
        <v>13585</v>
      </c>
      <c r="I1016" s="95" t="s">
        <v>767</v>
      </c>
      <c r="J1016" s="2" t="s">
        <v>6439</v>
      </c>
      <c r="K1016" s="2" t="s">
        <v>55</v>
      </c>
      <c r="L1016" s="95" t="s">
        <v>13667</v>
      </c>
      <c r="M1016" s="2" t="s">
        <v>13620</v>
      </c>
      <c r="N1016" s="96" t="str">
        <f t="shared" si="740"/>
        <v>@southernu_sb</v>
      </c>
      <c r="O1016" s="7"/>
      <c r="P1016" s="48" t="s">
        <v>13626</v>
      </c>
      <c r="Q1016" s="47" t="s">
        <v>3623</v>
      </c>
      <c r="R1016" s="48" t="s">
        <v>11837</v>
      </c>
      <c r="S1016" s="48" t="s">
        <v>62</v>
      </c>
      <c r="T1016" s="49" t="s">
        <v>74</v>
      </c>
      <c r="U1016" s="7" t="s">
        <v>75</v>
      </c>
      <c r="V1016" s="7" t="s">
        <v>212</v>
      </c>
      <c r="W1016" s="44">
        <v>2.9</v>
      </c>
      <c r="X1016" s="49" t="s">
        <v>4906</v>
      </c>
      <c r="Y1016" s="49" t="s">
        <v>13631</v>
      </c>
      <c r="Z1016" s="49" t="s">
        <v>2190</v>
      </c>
      <c r="AA1016" s="61">
        <v>0.99</v>
      </c>
      <c r="AB1016" s="48" t="s">
        <v>13632</v>
      </c>
      <c r="AC1016" s="97" t="s">
        <v>13626</v>
      </c>
      <c r="AD1016" s="53" t="str">
        <f t="shared" si="741"/>
        <v>Link</v>
      </c>
      <c r="AE1016" s="54">
        <v>4926</v>
      </c>
      <c r="AF1016" s="55"/>
      <c r="AG1016" s="7"/>
      <c r="AH1016" s="56">
        <v>160621</v>
      </c>
      <c r="AI1016" s="85"/>
      <c r="AJ1016" s="56"/>
    </row>
    <row r="1017" spans="1:36" ht="15" x14ac:dyDescent="0.2">
      <c r="A1017" s="43" t="s">
        <v>13277</v>
      </c>
      <c r="B1017" s="47" t="s">
        <v>3623</v>
      </c>
      <c r="C1017" s="7" t="s">
        <v>67</v>
      </c>
      <c r="D1017" s="57" t="s">
        <v>13691</v>
      </c>
      <c r="E1017" s="44">
        <v>5</v>
      </c>
      <c r="F1017" s="7" t="s">
        <v>116</v>
      </c>
      <c r="G1017" s="7"/>
      <c r="H1017" s="2" t="s">
        <v>13585</v>
      </c>
      <c r="I1017" s="2" t="s">
        <v>10136</v>
      </c>
      <c r="J1017" s="2" t="s">
        <v>13695</v>
      </c>
      <c r="K1017" s="2" t="s">
        <v>120</v>
      </c>
      <c r="L1017" s="2"/>
      <c r="M1017" s="2" t="s">
        <v>13620</v>
      </c>
      <c r="N1017" s="96" t="str">
        <f t="shared" si="740"/>
        <v>@southernu_sb</v>
      </c>
      <c r="O1017" s="7"/>
      <c r="P1017" s="48" t="s">
        <v>13626</v>
      </c>
      <c r="Q1017" s="47" t="s">
        <v>3623</v>
      </c>
      <c r="R1017" s="48" t="s">
        <v>11837</v>
      </c>
      <c r="S1017" s="48" t="s">
        <v>62</v>
      </c>
      <c r="T1017" s="49" t="s">
        <v>74</v>
      </c>
      <c r="U1017" s="7" t="s">
        <v>75</v>
      </c>
      <c r="V1017" s="7" t="s">
        <v>212</v>
      </c>
      <c r="W1017" s="44">
        <v>2.9</v>
      </c>
      <c r="X1017" s="49" t="s">
        <v>4906</v>
      </c>
      <c r="Y1017" s="49" t="s">
        <v>13631</v>
      </c>
      <c r="Z1017" s="49" t="s">
        <v>2190</v>
      </c>
      <c r="AA1017" s="61">
        <v>0.99</v>
      </c>
      <c r="AB1017" s="48" t="s">
        <v>13632</v>
      </c>
      <c r="AC1017" s="97" t="s">
        <v>13626</v>
      </c>
      <c r="AD1017" s="53" t="str">
        <f t="shared" si="741"/>
        <v>Link</v>
      </c>
      <c r="AE1017" s="54">
        <v>4926</v>
      </c>
      <c r="AF1017" s="55"/>
      <c r="AG1017" s="7"/>
      <c r="AH1017" s="56">
        <v>160621</v>
      </c>
      <c r="AI1017" s="85"/>
      <c r="AJ1017" s="56"/>
    </row>
    <row r="1018" spans="1:36" ht="15" x14ac:dyDescent="0.2">
      <c r="A1018" s="43" t="s">
        <v>13277</v>
      </c>
      <c r="B1018" s="47" t="s">
        <v>280</v>
      </c>
      <c r="C1018" s="7" t="s">
        <v>67</v>
      </c>
      <c r="D1018" s="7" t="s">
        <v>13705</v>
      </c>
      <c r="E1018" s="44">
        <v>5</v>
      </c>
      <c r="F1018" s="7"/>
      <c r="G1018" s="7"/>
      <c r="H1018" s="2" t="s">
        <v>13706</v>
      </c>
      <c r="I1018" s="7" t="s">
        <v>13707</v>
      </c>
      <c r="J1018" s="7" t="s">
        <v>11375</v>
      </c>
      <c r="K1018" s="7" t="s">
        <v>48</v>
      </c>
      <c r="L1018" s="7" t="s">
        <v>13709</v>
      </c>
      <c r="M1018" s="7" t="s">
        <v>13711</v>
      </c>
      <c r="N1018" s="7"/>
      <c r="O1018" s="45" t="str">
        <f t="shared" ref="O1018:O1019" si="742">HYPERLINK("https://tsusports.com/sb_output.aspx?form=3","Questionnaire")</f>
        <v>Questionnaire</v>
      </c>
      <c r="P1018" s="48" t="s">
        <v>13714</v>
      </c>
      <c r="Q1018" s="47" t="s">
        <v>280</v>
      </c>
      <c r="R1018" s="48" t="s">
        <v>287</v>
      </c>
      <c r="S1018" s="48" t="s">
        <v>288</v>
      </c>
      <c r="T1018" s="49" t="s">
        <v>74</v>
      </c>
      <c r="U1018" s="7" t="s">
        <v>75</v>
      </c>
      <c r="V1018" s="7" t="s">
        <v>212</v>
      </c>
      <c r="W1018" s="44">
        <v>2.84</v>
      </c>
      <c r="X1018" s="49" t="s">
        <v>13715</v>
      </c>
      <c r="Y1018" s="49" t="s">
        <v>7880</v>
      </c>
      <c r="Z1018" s="49" t="s">
        <v>3784</v>
      </c>
      <c r="AA1018" s="61">
        <v>0.51</v>
      </c>
      <c r="AB1018" s="48" t="s">
        <v>13716</v>
      </c>
      <c r="AC1018" s="52" t="s">
        <v>13714</v>
      </c>
      <c r="AD1018" s="53" t="str">
        <f t="shared" ref="AD1018:AD1019" si="743">HYPERLINK("http://em.tsu.edu/catalog/ugdegrees.php","Link")</f>
        <v>Link</v>
      </c>
      <c r="AE1018" s="54">
        <v>6562</v>
      </c>
      <c r="AF1018" s="55"/>
      <c r="AG1018" s="7"/>
      <c r="AH1018" s="56">
        <v>229063</v>
      </c>
      <c r="AI1018" s="85"/>
      <c r="AJ1018" s="56"/>
    </row>
    <row r="1019" spans="1:36" ht="15" x14ac:dyDescent="0.2">
      <c r="A1019" s="43" t="s">
        <v>13277</v>
      </c>
      <c r="B1019" s="47" t="s">
        <v>280</v>
      </c>
      <c r="C1019" s="7" t="s">
        <v>67</v>
      </c>
      <c r="D1019" s="7" t="s">
        <v>13722</v>
      </c>
      <c r="E1019" s="44">
        <v>5</v>
      </c>
      <c r="F1019" s="7"/>
      <c r="G1019" s="7"/>
      <c r="H1019" s="2" t="s">
        <v>13706</v>
      </c>
      <c r="I1019" s="7" t="s">
        <v>13723</v>
      </c>
      <c r="J1019" s="7" t="s">
        <v>1934</v>
      </c>
      <c r="K1019" s="7" t="s">
        <v>55</v>
      </c>
      <c r="L1019" s="7" t="s">
        <v>13724</v>
      </c>
      <c r="M1019" s="7" t="s">
        <v>13711</v>
      </c>
      <c r="N1019" s="7"/>
      <c r="O1019" s="45" t="str">
        <f t="shared" si="742"/>
        <v>Questionnaire</v>
      </c>
      <c r="P1019" s="48" t="s">
        <v>13714</v>
      </c>
      <c r="Q1019" s="47" t="s">
        <v>280</v>
      </c>
      <c r="R1019" s="48" t="s">
        <v>287</v>
      </c>
      <c r="S1019" s="48" t="s">
        <v>288</v>
      </c>
      <c r="T1019" s="49" t="s">
        <v>74</v>
      </c>
      <c r="U1019" s="7" t="s">
        <v>75</v>
      </c>
      <c r="V1019" s="7" t="s">
        <v>212</v>
      </c>
      <c r="W1019" s="44">
        <v>2.84</v>
      </c>
      <c r="X1019" s="49" t="s">
        <v>13715</v>
      </c>
      <c r="Y1019" s="49" t="s">
        <v>7880</v>
      </c>
      <c r="Z1019" s="49" t="s">
        <v>3784</v>
      </c>
      <c r="AA1019" s="61">
        <v>0.51</v>
      </c>
      <c r="AB1019" s="48" t="s">
        <v>13716</v>
      </c>
      <c r="AC1019" s="52" t="s">
        <v>13714</v>
      </c>
      <c r="AD1019" s="53" t="str">
        <f t="shared" si="743"/>
        <v>Link</v>
      </c>
      <c r="AE1019" s="54">
        <v>6562</v>
      </c>
      <c r="AF1019" s="55"/>
      <c r="AG1019" s="7"/>
      <c r="AH1019" s="56">
        <v>229063</v>
      </c>
      <c r="AI1019" s="85"/>
      <c r="AJ1019" s="56"/>
    </row>
    <row r="1020" spans="1:36" ht="15" x14ac:dyDescent="0.2">
      <c r="A1020" s="43" t="s">
        <v>13733</v>
      </c>
      <c r="B1020" s="47" t="s">
        <v>3105</v>
      </c>
      <c r="C1020" s="7" t="s">
        <v>67</v>
      </c>
      <c r="D1020" s="7" t="s">
        <v>13735</v>
      </c>
      <c r="E1020" s="44">
        <v>5</v>
      </c>
      <c r="F1020" s="7"/>
      <c r="G1020" s="7"/>
      <c r="H1020" s="2" t="s">
        <v>13737</v>
      </c>
      <c r="I1020" s="7" t="s">
        <v>1875</v>
      </c>
      <c r="J1020" s="7" t="s">
        <v>13738</v>
      </c>
      <c r="K1020" s="7" t="s">
        <v>48</v>
      </c>
      <c r="L1020" s="7" t="s">
        <v>13740</v>
      </c>
      <c r="M1020" s="7" t="s">
        <v>13742</v>
      </c>
      <c r="N1020" s="45" t="str">
        <f>HYPERLINK("twitter.com/@rivie00","@rivie00")</f>
        <v>@rivie00</v>
      </c>
      <c r="O1020" s="45" t="str">
        <f t="shared" ref="O1020:O1023" si="744">HYPERLINK("https://college.jumpforward.com/questionnaire.aspx?DB_OEM_ID=31400&amp;iid=471&amp;sportid=31","Questionnaire")</f>
        <v>Questionnaire</v>
      </c>
      <c r="P1020" s="48" t="s">
        <v>13746</v>
      </c>
      <c r="Q1020" s="47" t="s">
        <v>3105</v>
      </c>
      <c r="R1020" s="48" t="s">
        <v>3117</v>
      </c>
      <c r="S1020" s="48" t="s">
        <v>354</v>
      </c>
      <c r="T1020" s="49" t="s">
        <v>74</v>
      </c>
      <c r="U1020" s="7" t="s">
        <v>75</v>
      </c>
      <c r="V1020" s="7"/>
      <c r="W1020" s="44">
        <v>3.4</v>
      </c>
      <c r="X1020" s="49" t="s">
        <v>3341</v>
      </c>
      <c r="Y1020" s="49" t="s">
        <v>7801</v>
      </c>
      <c r="Z1020" s="49" t="s">
        <v>1689</v>
      </c>
      <c r="AA1020" s="61">
        <v>0.86</v>
      </c>
      <c r="AB1020" s="48" t="s">
        <v>13748</v>
      </c>
      <c r="AC1020" s="52" t="s">
        <v>13746</v>
      </c>
      <c r="AD1020" s="53" t="str">
        <f t="shared" ref="AD1020:AD1023" si="745">HYPERLINK("https://www.unomaha.edu/academics/majors-and-programs/index.php","Link")</f>
        <v>Link</v>
      </c>
      <c r="AE1020" s="54">
        <v>12536</v>
      </c>
      <c r="AF1020" s="55"/>
      <c r="AG1020" s="7"/>
      <c r="AH1020" s="56">
        <v>181394</v>
      </c>
      <c r="AI1020" s="85"/>
      <c r="AJ1020" s="56"/>
    </row>
    <row r="1021" spans="1:36" ht="15" x14ac:dyDescent="0.2">
      <c r="A1021" s="43" t="s">
        <v>13733</v>
      </c>
      <c r="B1021" s="47" t="s">
        <v>3105</v>
      </c>
      <c r="C1021" s="7" t="s">
        <v>67</v>
      </c>
      <c r="D1021" s="7" t="s">
        <v>13754</v>
      </c>
      <c r="E1021" s="44">
        <v>5</v>
      </c>
      <c r="F1021" s="7"/>
      <c r="G1021" s="7"/>
      <c r="H1021" s="2" t="s">
        <v>13737</v>
      </c>
      <c r="I1021" s="7" t="s">
        <v>13755</v>
      </c>
      <c r="J1021" s="7" t="s">
        <v>2335</v>
      </c>
      <c r="K1021" s="7" t="s">
        <v>55</v>
      </c>
      <c r="L1021" s="7" t="s">
        <v>13756</v>
      </c>
      <c r="M1021" s="7" t="s">
        <v>13757</v>
      </c>
      <c r="N1021" s="45" t="str">
        <f>HYPERLINK("twitter.com/@tedwards212","@tedwards212")</f>
        <v>@tedwards212</v>
      </c>
      <c r="O1021" s="45" t="str">
        <f t="shared" si="744"/>
        <v>Questionnaire</v>
      </c>
      <c r="P1021" s="48" t="s">
        <v>13746</v>
      </c>
      <c r="Q1021" s="47" t="s">
        <v>3105</v>
      </c>
      <c r="R1021" s="48" t="s">
        <v>3117</v>
      </c>
      <c r="S1021" s="48" t="s">
        <v>354</v>
      </c>
      <c r="T1021" s="49" t="s">
        <v>74</v>
      </c>
      <c r="U1021" s="7" t="s">
        <v>75</v>
      </c>
      <c r="V1021" s="7"/>
      <c r="W1021" s="44">
        <v>3.4</v>
      </c>
      <c r="X1021" s="49" t="s">
        <v>3341</v>
      </c>
      <c r="Y1021" s="49" t="s">
        <v>7801</v>
      </c>
      <c r="Z1021" s="49" t="s">
        <v>1689</v>
      </c>
      <c r="AA1021" s="61">
        <v>0.86</v>
      </c>
      <c r="AB1021" s="48" t="s">
        <v>13748</v>
      </c>
      <c r="AC1021" s="52" t="s">
        <v>13746</v>
      </c>
      <c r="AD1021" s="53" t="str">
        <f t="shared" si="745"/>
        <v>Link</v>
      </c>
      <c r="AE1021" s="54">
        <v>12536</v>
      </c>
      <c r="AF1021" s="55"/>
      <c r="AG1021" s="7"/>
      <c r="AH1021" s="56">
        <v>181394</v>
      </c>
      <c r="AI1021" s="85"/>
      <c r="AJ1021" s="56"/>
    </row>
    <row r="1022" spans="1:36" ht="15" x14ac:dyDescent="0.2">
      <c r="A1022" s="43" t="s">
        <v>13733</v>
      </c>
      <c r="B1022" s="47" t="s">
        <v>3105</v>
      </c>
      <c r="C1022" s="7" t="s">
        <v>67</v>
      </c>
      <c r="D1022" s="7" t="s">
        <v>13762</v>
      </c>
      <c r="E1022" s="44">
        <v>5</v>
      </c>
      <c r="F1022" s="7"/>
      <c r="G1022" s="7"/>
      <c r="H1022" s="2" t="s">
        <v>13737</v>
      </c>
      <c r="I1022" s="7" t="s">
        <v>1052</v>
      </c>
      <c r="J1022" s="7" t="s">
        <v>3078</v>
      </c>
      <c r="K1022" s="7" t="s">
        <v>55</v>
      </c>
      <c r="L1022" s="7" t="s">
        <v>13764</v>
      </c>
      <c r="M1022" s="7"/>
      <c r="N1022" s="45" t="str">
        <f>HYPERLINK("twitter.com/@nicbutler_","@nicbutler_")</f>
        <v>@nicbutler_</v>
      </c>
      <c r="O1022" s="45" t="str">
        <f t="shared" si="744"/>
        <v>Questionnaire</v>
      </c>
      <c r="P1022" s="48" t="s">
        <v>13746</v>
      </c>
      <c r="Q1022" s="47" t="s">
        <v>3105</v>
      </c>
      <c r="R1022" s="48" t="s">
        <v>3117</v>
      </c>
      <c r="S1022" s="48" t="s">
        <v>354</v>
      </c>
      <c r="T1022" s="49" t="s">
        <v>74</v>
      </c>
      <c r="U1022" s="7" t="s">
        <v>75</v>
      </c>
      <c r="V1022" s="7"/>
      <c r="W1022" s="44">
        <v>3.4</v>
      </c>
      <c r="X1022" s="49" t="s">
        <v>3341</v>
      </c>
      <c r="Y1022" s="49" t="s">
        <v>7801</v>
      </c>
      <c r="Z1022" s="49" t="s">
        <v>1689</v>
      </c>
      <c r="AA1022" s="61">
        <v>0.86</v>
      </c>
      <c r="AB1022" s="48" t="s">
        <v>13748</v>
      </c>
      <c r="AC1022" s="52" t="s">
        <v>13746</v>
      </c>
      <c r="AD1022" s="53" t="str">
        <f t="shared" si="745"/>
        <v>Link</v>
      </c>
      <c r="AE1022" s="54">
        <v>12536</v>
      </c>
      <c r="AF1022" s="55"/>
      <c r="AG1022" s="7"/>
      <c r="AH1022" s="56">
        <v>181394</v>
      </c>
      <c r="AI1022" s="85"/>
      <c r="AJ1022" s="56"/>
    </row>
    <row r="1023" spans="1:36" ht="15" x14ac:dyDescent="0.2">
      <c r="A1023" s="43" t="s">
        <v>13733</v>
      </c>
      <c r="B1023" s="47" t="s">
        <v>3105</v>
      </c>
      <c r="C1023" s="7" t="s">
        <v>67</v>
      </c>
      <c r="D1023" s="7" t="s">
        <v>13775</v>
      </c>
      <c r="E1023" s="44">
        <v>5</v>
      </c>
      <c r="F1023" s="7"/>
      <c r="G1023" s="7" t="s">
        <v>126</v>
      </c>
      <c r="H1023" s="2" t="s">
        <v>13737</v>
      </c>
      <c r="I1023" s="7" t="s">
        <v>13776</v>
      </c>
      <c r="J1023" s="7"/>
      <c r="K1023" s="7"/>
      <c r="L1023" s="7"/>
      <c r="M1023" s="7"/>
      <c r="N1023" s="69" t="str">
        <f>HYPERLINK("twitter.com/omahasb","@omahasb")</f>
        <v>@omahasb</v>
      </c>
      <c r="O1023" s="45" t="str">
        <f t="shared" si="744"/>
        <v>Questionnaire</v>
      </c>
      <c r="P1023" s="48" t="s">
        <v>13746</v>
      </c>
      <c r="Q1023" s="47" t="s">
        <v>3105</v>
      </c>
      <c r="R1023" s="48" t="s">
        <v>3117</v>
      </c>
      <c r="S1023" s="48" t="s">
        <v>354</v>
      </c>
      <c r="T1023" s="49" t="s">
        <v>74</v>
      </c>
      <c r="U1023" s="7" t="s">
        <v>75</v>
      </c>
      <c r="V1023" s="7"/>
      <c r="W1023" s="44">
        <v>3.4</v>
      </c>
      <c r="X1023" s="49" t="s">
        <v>3341</v>
      </c>
      <c r="Y1023" s="49" t="s">
        <v>7801</v>
      </c>
      <c r="Z1023" s="49" t="s">
        <v>1689</v>
      </c>
      <c r="AA1023" s="61">
        <v>0.86</v>
      </c>
      <c r="AB1023" s="48" t="s">
        <v>13748</v>
      </c>
      <c r="AC1023" s="52" t="s">
        <v>13746</v>
      </c>
      <c r="AD1023" s="53" t="str">
        <f t="shared" si="745"/>
        <v>Link</v>
      </c>
      <c r="AE1023" s="54">
        <v>12536</v>
      </c>
      <c r="AF1023" s="55"/>
      <c r="AG1023" s="7"/>
      <c r="AH1023" s="56">
        <v>181394</v>
      </c>
      <c r="AI1023" s="85"/>
      <c r="AJ1023" s="56"/>
    </row>
    <row r="1024" spans="1:36" ht="15" x14ac:dyDescent="0.2">
      <c r="A1024" s="43" t="s">
        <v>13733</v>
      </c>
      <c r="B1024" s="47" t="s">
        <v>3564</v>
      </c>
      <c r="C1024" s="7" t="s">
        <v>67</v>
      </c>
      <c r="D1024" s="7" t="s">
        <v>13783</v>
      </c>
      <c r="E1024" s="44">
        <v>5</v>
      </c>
      <c r="F1024" s="7"/>
      <c r="G1024" s="7"/>
      <c r="H1024" s="2" t="s">
        <v>13785</v>
      </c>
      <c r="I1024" s="7" t="s">
        <v>8040</v>
      </c>
      <c r="J1024" s="7" t="s">
        <v>3412</v>
      </c>
      <c r="K1024" s="7" t="s">
        <v>48</v>
      </c>
      <c r="L1024" s="7" t="s">
        <v>13786</v>
      </c>
      <c r="M1024" s="7" t="s">
        <v>13788</v>
      </c>
      <c r="N1024" s="69" t="str">
        <f t="shared" ref="N1024:N1026" si="746">HYPERLINK("twitter.com/ndsusoftball","@ndsusoftball")</f>
        <v>@ndsusoftball</v>
      </c>
      <c r="O1024" s="48" t="s">
        <v>22</v>
      </c>
      <c r="P1024" s="48" t="s">
        <v>13789</v>
      </c>
      <c r="Q1024" s="47" t="s">
        <v>3564</v>
      </c>
      <c r="R1024" s="48" t="s">
        <v>13791</v>
      </c>
      <c r="S1024" s="48" t="s">
        <v>238</v>
      </c>
      <c r="T1024" s="49" t="s">
        <v>74</v>
      </c>
      <c r="U1024" s="7" t="s">
        <v>75</v>
      </c>
      <c r="V1024" s="7"/>
      <c r="W1024" s="44">
        <v>3.43</v>
      </c>
      <c r="X1024" s="49" t="s">
        <v>13792</v>
      </c>
      <c r="Y1024" s="49" t="s">
        <v>13793</v>
      </c>
      <c r="Z1024" s="49" t="s">
        <v>1650</v>
      </c>
      <c r="AA1024" s="61">
        <v>0.93</v>
      </c>
      <c r="AB1024" s="48" t="s">
        <v>13794</v>
      </c>
      <c r="AC1024" s="52" t="s">
        <v>13789</v>
      </c>
      <c r="AD1024" s="53" t="str">
        <f t="shared" ref="AD1024:AD1026" si="747">HYPERLINK("https://www.ndsu.edu/majors/","Link")</f>
        <v>Link</v>
      </c>
      <c r="AE1024" s="54">
        <v>12010</v>
      </c>
      <c r="AF1024" s="54">
        <v>198</v>
      </c>
      <c r="AG1024" s="7"/>
      <c r="AH1024" s="56">
        <v>200332</v>
      </c>
      <c r="AI1024" s="85"/>
      <c r="AJ1024" s="56"/>
    </row>
    <row r="1025" spans="1:36" ht="15" x14ac:dyDescent="0.2">
      <c r="A1025" s="43" t="s">
        <v>13733</v>
      </c>
      <c r="B1025" s="47" t="s">
        <v>3564</v>
      </c>
      <c r="C1025" s="7" t="s">
        <v>67</v>
      </c>
      <c r="D1025" s="7" t="s">
        <v>13797</v>
      </c>
      <c r="E1025" s="44">
        <v>5</v>
      </c>
      <c r="F1025" s="7"/>
      <c r="G1025" s="7"/>
      <c r="H1025" s="2" t="s">
        <v>13785</v>
      </c>
      <c r="I1025" s="7" t="s">
        <v>5624</v>
      </c>
      <c r="J1025" s="7" t="s">
        <v>13798</v>
      </c>
      <c r="K1025" s="7" t="s">
        <v>55</v>
      </c>
      <c r="L1025" s="7" t="s">
        <v>13799</v>
      </c>
      <c r="M1025" s="7" t="s">
        <v>13800</v>
      </c>
      <c r="N1025" s="69" t="str">
        <f t="shared" si="746"/>
        <v>@ndsusoftball</v>
      </c>
      <c r="O1025" s="48" t="s">
        <v>22</v>
      </c>
      <c r="P1025" s="48" t="s">
        <v>13789</v>
      </c>
      <c r="Q1025" s="47" t="s">
        <v>3564</v>
      </c>
      <c r="R1025" s="48" t="s">
        <v>13791</v>
      </c>
      <c r="S1025" s="48" t="s">
        <v>238</v>
      </c>
      <c r="T1025" s="49" t="s">
        <v>74</v>
      </c>
      <c r="U1025" s="7" t="s">
        <v>75</v>
      </c>
      <c r="V1025" s="7"/>
      <c r="W1025" s="44">
        <v>3.43</v>
      </c>
      <c r="X1025" s="49" t="s">
        <v>13792</v>
      </c>
      <c r="Y1025" s="49" t="s">
        <v>13793</v>
      </c>
      <c r="Z1025" s="49" t="s">
        <v>1650</v>
      </c>
      <c r="AA1025" s="61">
        <v>0.93</v>
      </c>
      <c r="AB1025" s="48" t="s">
        <v>13794</v>
      </c>
      <c r="AC1025" s="52" t="s">
        <v>13789</v>
      </c>
      <c r="AD1025" s="53" t="str">
        <f t="shared" si="747"/>
        <v>Link</v>
      </c>
      <c r="AE1025" s="54">
        <v>12010</v>
      </c>
      <c r="AF1025" s="54">
        <v>198</v>
      </c>
      <c r="AG1025" s="7"/>
      <c r="AH1025" s="56">
        <v>200332</v>
      </c>
      <c r="AI1025" s="85"/>
      <c r="AJ1025" s="56"/>
    </row>
    <row r="1026" spans="1:36" ht="15" x14ac:dyDescent="0.2">
      <c r="A1026" s="43" t="s">
        <v>13733</v>
      </c>
      <c r="B1026" s="47" t="s">
        <v>3564</v>
      </c>
      <c r="C1026" s="7" t="s">
        <v>67</v>
      </c>
      <c r="D1026" s="7" t="s">
        <v>13803</v>
      </c>
      <c r="E1026" s="44">
        <v>5</v>
      </c>
      <c r="F1026" s="7"/>
      <c r="G1026" s="7"/>
      <c r="H1026" s="2" t="s">
        <v>13785</v>
      </c>
      <c r="I1026" s="7" t="s">
        <v>13804</v>
      </c>
      <c r="J1026" s="7" t="s">
        <v>3082</v>
      </c>
      <c r="K1026" s="7" t="s">
        <v>55</v>
      </c>
      <c r="L1026" s="7" t="s">
        <v>13805</v>
      </c>
      <c r="M1026" s="7" t="s">
        <v>13807</v>
      </c>
      <c r="N1026" s="45" t="str">
        <f t="shared" si="746"/>
        <v>@ndsusoftball</v>
      </c>
      <c r="O1026" s="48" t="s">
        <v>22</v>
      </c>
      <c r="P1026" s="48" t="s">
        <v>13789</v>
      </c>
      <c r="Q1026" s="47" t="s">
        <v>3564</v>
      </c>
      <c r="R1026" s="48" t="s">
        <v>13791</v>
      </c>
      <c r="S1026" s="48" t="s">
        <v>238</v>
      </c>
      <c r="T1026" s="49" t="s">
        <v>74</v>
      </c>
      <c r="U1026" s="7" t="s">
        <v>75</v>
      </c>
      <c r="V1026" s="7"/>
      <c r="W1026" s="44">
        <v>3.43</v>
      </c>
      <c r="X1026" s="49" t="s">
        <v>13792</v>
      </c>
      <c r="Y1026" s="49" t="s">
        <v>13793</v>
      </c>
      <c r="Z1026" s="49" t="s">
        <v>1650</v>
      </c>
      <c r="AA1026" s="61">
        <v>0.93</v>
      </c>
      <c r="AB1026" s="48" t="s">
        <v>13794</v>
      </c>
      <c r="AC1026" s="52" t="s">
        <v>13789</v>
      </c>
      <c r="AD1026" s="53" t="str">
        <f t="shared" si="747"/>
        <v>Link</v>
      </c>
      <c r="AE1026" s="54">
        <v>12010</v>
      </c>
      <c r="AF1026" s="54">
        <v>198</v>
      </c>
      <c r="AG1026" s="7"/>
      <c r="AH1026" s="56">
        <v>200332</v>
      </c>
      <c r="AI1026" s="85"/>
      <c r="AJ1026" s="56"/>
    </row>
    <row r="1027" spans="1:36" ht="15" x14ac:dyDescent="0.2">
      <c r="A1027" s="43" t="s">
        <v>13733</v>
      </c>
      <c r="B1027" s="47" t="s">
        <v>1151</v>
      </c>
      <c r="C1027" s="7" t="s">
        <v>67</v>
      </c>
      <c r="D1027" s="7" t="s">
        <v>13814</v>
      </c>
      <c r="E1027" s="44">
        <v>5</v>
      </c>
      <c r="F1027" s="7"/>
      <c r="G1027" s="7"/>
      <c r="H1027" s="2" t="s">
        <v>13815</v>
      </c>
      <c r="I1027" s="7" t="s">
        <v>13816</v>
      </c>
      <c r="J1027" s="7" t="s">
        <v>13817</v>
      </c>
      <c r="K1027" s="7" t="s">
        <v>48</v>
      </c>
      <c r="L1027" s="7" t="s">
        <v>13818</v>
      </c>
      <c r="M1027" s="7" t="s">
        <v>13819</v>
      </c>
      <c r="N1027" s="45" t="str">
        <f t="shared" ref="N1027:N1028" si="748">HYPERLINK("twitter.com/mastodonsb","@mastodonsb")</f>
        <v>@mastodonsb</v>
      </c>
      <c r="O1027" s="45" t="str">
        <f t="shared" ref="O1027:O1028" si="749">HYPERLINK("https://college.jumpforward.com/questionnaire.aspx?iid=1743&amp;sportid=31","Questionnaire")</f>
        <v>Questionnaire</v>
      </c>
      <c r="P1027" s="48" t="s">
        <v>13823</v>
      </c>
      <c r="Q1027" s="47" t="s">
        <v>1151</v>
      </c>
      <c r="R1027" s="48" t="s">
        <v>13824</v>
      </c>
      <c r="S1027" s="48" t="s">
        <v>62</v>
      </c>
      <c r="T1027" s="49" t="s">
        <v>74</v>
      </c>
      <c r="U1027" s="7" t="s">
        <v>75</v>
      </c>
      <c r="V1027" s="7"/>
      <c r="W1027" s="44">
        <v>3.2</v>
      </c>
      <c r="X1027" s="49" t="s">
        <v>1453</v>
      </c>
      <c r="Y1027" s="49" t="s">
        <v>1453</v>
      </c>
      <c r="Z1027" s="49" t="s">
        <v>841</v>
      </c>
      <c r="AA1027" s="61">
        <v>0.93</v>
      </c>
      <c r="AB1027" s="48" t="s">
        <v>13827</v>
      </c>
      <c r="AC1027" s="84" t="s">
        <v>13828</v>
      </c>
      <c r="AD1027" s="53" t="str">
        <f t="shared" ref="AD1027:AD1029" si="750">HYPERLINK("http://www.ipfw.edu/admissions/areas/academic-programs/options.html","Link")</f>
        <v>Link</v>
      </c>
      <c r="AE1027" s="54">
        <v>11453</v>
      </c>
      <c r="AF1027" s="55"/>
      <c r="AG1027" s="7"/>
      <c r="AH1027" s="56">
        <v>243780</v>
      </c>
      <c r="AI1027" s="85"/>
      <c r="AJ1027" s="56"/>
    </row>
    <row r="1028" spans="1:36" ht="15" x14ac:dyDescent="0.2">
      <c r="A1028" s="43" t="s">
        <v>13733</v>
      </c>
      <c r="B1028" s="47" t="s">
        <v>1151</v>
      </c>
      <c r="C1028" s="7" t="s">
        <v>67</v>
      </c>
      <c r="D1028" s="7" t="s">
        <v>13836</v>
      </c>
      <c r="E1028" s="44">
        <v>5</v>
      </c>
      <c r="F1028" s="7"/>
      <c r="G1028" s="7"/>
      <c r="H1028" s="2" t="s">
        <v>13815</v>
      </c>
      <c r="I1028" s="7" t="s">
        <v>852</v>
      </c>
      <c r="J1028" s="7" t="s">
        <v>13839</v>
      </c>
      <c r="K1028" s="7" t="s">
        <v>120</v>
      </c>
      <c r="L1028" s="7" t="s">
        <v>13840</v>
      </c>
      <c r="M1028" s="7" t="s">
        <v>13841</v>
      </c>
      <c r="N1028" s="45" t="str">
        <f t="shared" si="748"/>
        <v>@mastodonsb</v>
      </c>
      <c r="O1028" s="45" t="str">
        <f t="shared" si="749"/>
        <v>Questionnaire</v>
      </c>
      <c r="P1028" s="48" t="s">
        <v>13823</v>
      </c>
      <c r="Q1028" s="47" t="s">
        <v>1151</v>
      </c>
      <c r="R1028" s="48" t="s">
        <v>13824</v>
      </c>
      <c r="S1028" s="48" t="s">
        <v>62</v>
      </c>
      <c r="T1028" s="49" t="s">
        <v>74</v>
      </c>
      <c r="U1028" s="7" t="s">
        <v>75</v>
      </c>
      <c r="V1028" s="7"/>
      <c r="W1028" s="44">
        <v>3.2</v>
      </c>
      <c r="X1028" s="49" t="s">
        <v>1453</v>
      </c>
      <c r="Y1028" s="49" t="s">
        <v>1453</v>
      </c>
      <c r="Z1028" s="49" t="s">
        <v>841</v>
      </c>
      <c r="AA1028" s="61">
        <v>0.93</v>
      </c>
      <c r="AB1028" s="48" t="s">
        <v>13827</v>
      </c>
      <c r="AC1028" s="84" t="s">
        <v>13828</v>
      </c>
      <c r="AD1028" s="53" t="str">
        <f t="shared" si="750"/>
        <v>Link</v>
      </c>
      <c r="AE1028" s="54">
        <v>11453</v>
      </c>
      <c r="AF1028" s="55"/>
      <c r="AG1028" s="7"/>
      <c r="AH1028" s="56">
        <v>243780</v>
      </c>
      <c r="AI1028" s="85"/>
      <c r="AJ1028" s="56"/>
    </row>
    <row r="1029" spans="1:36" ht="15" x14ac:dyDescent="0.2">
      <c r="A1029" s="43" t="s">
        <v>13733</v>
      </c>
      <c r="B1029" s="47" t="s">
        <v>1151</v>
      </c>
      <c r="C1029" s="7" t="s">
        <v>67</v>
      </c>
      <c r="D1029" s="7" t="s">
        <v>13848</v>
      </c>
      <c r="E1029" s="44">
        <v>5</v>
      </c>
      <c r="F1029" s="7"/>
      <c r="G1029" s="7" t="s">
        <v>126</v>
      </c>
      <c r="H1029" s="2" t="s">
        <v>13815</v>
      </c>
      <c r="I1029" s="7" t="s">
        <v>13849</v>
      </c>
      <c r="J1029" s="7"/>
      <c r="K1029" s="7"/>
      <c r="L1029" s="7"/>
      <c r="M1029" s="7"/>
      <c r="N1029" s="48"/>
      <c r="O1029" s="48"/>
      <c r="P1029" s="48" t="s">
        <v>13823</v>
      </c>
      <c r="Q1029" s="47" t="s">
        <v>1151</v>
      </c>
      <c r="R1029" s="48" t="s">
        <v>13824</v>
      </c>
      <c r="S1029" s="48" t="s">
        <v>62</v>
      </c>
      <c r="T1029" s="49" t="s">
        <v>74</v>
      </c>
      <c r="U1029" s="7" t="s">
        <v>75</v>
      </c>
      <c r="V1029" s="7"/>
      <c r="W1029" s="44">
        <v>3.2</v>
      </c>
      <c r="X1029" s="49" t="s">
        <v>1453</v>
      </c>
      <c r="Y1029" s="49" t="s">
        <v>1453</v>
      </c>
      <c r="Z1029" s="49" t="s">
        <v>841</v>
      </c>
      <c r="AA1029" s="61">
        <v>0.93</v>
      </c>
      <c r="AB1029" s="48" t="s">
        <v>13827</v>
      </c>
      <c r="AC1029" s="84" t="s">
        <v>13828</v>
      </c>
      <c r="AD1029" s="53" t="str">
        <f t="shared" si="750"/>
        <v>Link</v>
      </c>
      <c r="AE1029" s="54">
        <v>11453</v>
      </c>
      <c r="AF1029" s="55"/>
      <c r="AG1029" s="7"/>
      <c r="AH1029" s="56">
        <v>243780</v>
      </c>
      <c r="AI1029" s="85"/>
      <c r="AJ1029" s="56"/>
    </row>
    <row r="1030" spans="1:36" ht="15" x14ac:dyDescent="0.2">
      <c r="A1030" s="43" t="s">
        <v>13733</v>
      </c>
      <c r="B1030" s="60" t="s">
        <v>10518</v>
      </c>
      <c r="C1030" s="7" t="s">
        <v>67</v>
      </c>
      <c r="D1030" s="7" t="s">
        <v>13854</v>
      </c>
      <c r="E1030" s="44">
        <v>5</v>
      </c>
      <c r="F1030" s="7"/>
      <c r="G1030" s="7"/>
      <c r="H1030" s="2" t="s">
        <v>13857</v>
      </c>
      <c r="I1030" s="7" t="s">
        <v>135</v>
      </c>
      <c r="J1030" s="7" t="s">
        <v>3303</v>
      </c>
      <c r="K1030" s="7" t="s">
        <v>48</v>
      </c>
      <c r="L1030" s="7" t="s">
        <v>13859</v>
      </c>
      <c r="M1030" s="7" t="s">
        <v>13860</v>
      </c>
      <c r="N1030" s="45" t="str">
        <f t="shared" ref="N1030:N1034" si="751">HYPERLINK("twitter.com/sdcoyotessb","@sdcoyotessb")</f>
        <v>@sdcoyotessb</v>
      </c>
      <c r="O1030" s="45" t="str">
        <f t="shared" ref="O1030:O1034" si="752">HYPERLINK("http://college.jumpforward.com/questionnaire.aspx?iid=453&amp;sportid=31","Questionnaire")</f>
        <v>Questionnaire</v>
      </c>
      <c r="P1030" s="48" t="s">
        <v>10507</v>
      </c>
      <c r="Q1030" s="60" t="s">
        <v>10518</v>
      </c>
      <c r="R1030" s="48" t="s">
        <v>13868</v>
      </c>
      <c r="S1030" s="48" t="s">
        <v>172</v>
      </c>
      <c r="T1030" s="49" t="s">
        <v>74</v>
      </c>
      <c r="U1030" s="4" t="s">
        <v>75</v>
      </c>
      <c r="V1030" s="7"/>
      <c r="W1030" s="37">
        <v>3.03</v>
      </c>
      <c r="X1030" s="49" t="s">
        <v>5208</v>
      </c>
      <c r="Y1030" s="49" t="s">
        <v>2046</v>
      </c>
      <c r="Z1030" s="49" t="s">
        <v>1994</v>
      </c>
      <c r="AA1030" s="65">
        <v>0.88</v>
      </c>
      <c r="AB1030" s="48" t="s">
        <v>13869</v>
      </c>
      <c r="AC1030" s="76" t="s">
        <v>10507</v>
      </c>
      <c r="AD1030" s="67" t="str">
        <f t="shared" ref="AD1030:AD1034" si="753">HYPERLINK("http://www.usd.edu/admissions/majors-and-academic-programs","Link")</f>
        <v>Link</v>
      </c>
      <c r="AE1030" s="42">
        <v>7500</v>
      </c>
      <c r="AF1030" s="42">
        <v>223</v>
      </c>
      <c r="AG1030" s="7"/>
      <c r="AH1030" s="56">
        <v>219471</v>
      </c>
      <c r="AI1030" s="85"/>
      <c r="AJ1030" s="56"/>
    </row>
    <row r="1031" spans="1:36" ht="15" x14ac:dyDescent="0.2">
      <c r="A1031" s="43" t="s">
        <v>13733</v>
      </c>
      <c r="B1031" s="60" t="s">
        <v>10518</v>
      </c>
      <c r="C1031" s="7" t="s">
        <v>67</v>
      </c>
      <c r="D1031" s="7" t="s">
        <v>13875</v>
      </c>
      <c r="E1031" s="44">
        <v>5</v>
      </c>
      <c r="F1031" s="7"/>
      <c r="G1031" s="7"/>
      <c r="H1031" s="2" t="s">
        <v>13857</v>
      </c>
      <c r="I1031" s="7" t="s">
        <v>1052</v>
      </c>
      <c r="J1031" s="7" t="s">
        <v>13876</v>
      </c>
      <c r="K1031" s="7" t="s">
        <v>55</v>
      </c>
      <c r="L1031" s="7" t="s">
        <v>13877</v>
      </c>
      <c r="M1031" s="7" t="s">
        <v>13878</v>
      </c>
      <c r="N1031" s="45" t="str">
        <f t="shared" si="751"/>
        <v>@sdcoyotessb</v>
      </c>
      <c r="O1031" s="45" t="str">
        <f t="shared" si="752"/>
        <v>Questionnaire</v>
      </c>
      <c r="P1031" s="48" t="s">
        <v>10507</v>
      </c>
      <c r="Q1031" s="60" t="s">
        <v>10518</v>
      </c>
      <c r="R1031" s="48" t="s">
        <v>13868</v>
      </c>
      <c r="S1031" s="48" t="s">
        <v>172</v>
      </c>
      <c r="T1031" s="49" t="s">
        <v>74</v>
      </c>
      <c r="U1031" s="4" t="s">
        <v>75</v>
      </c>
      <c r="V1031" s="7"/>
      <c r="W1031" s="37">
        <v>3.03</v>
      </c>
      <c r="X1031" s="49" t="s">
        <v>5208</v>
      </c>
      <c r="Y1031" s="49" t="s">
        <v>2046</v>
      </c>
      <c r="Z1031" s="49" t="s">
        <v>1994</v>
      </c>
      <c r="AA1031" s="65">
        <v>0.88</v>
      </c>
      <c r="AB1031" s="48" t="s">
        <v>13869</v>
      </c>
      <c r="AC1031" s="76" t="s">
        <v>10507</v>
      </c>
      <c r="AD1031" s="67" t="str">
        <f t="shared" si="753"/>
        <v>Link</v>
      </c>
      <c r="AE1031" s="42">
        <v>7500</v>
      </c>
      <c r="AF1031" s="42">
        <v>223</v>
      </c>
      <c r="AG1031" s="7"/>
      <c r="AH1031" s="56">
        <v>219471</v>
      </c>
      <c r="AI1031" s="85"/>
      <c r="AJ1031" s="56"/>
    </row>
    <row r="1032" spans="1:36" ht="15" x14ac:dyDescent="0.2">
      <c r="A1032" s="43" t="s">
        <v>13733</v>
      </c>
      <c r="B1032" s="60" t="s">
        <v>10518</v>
      </c>
      <c r="C1032" s="7" t="s">
        <v>67</v>
      </c>
      <c r="D1032" s="7" t="s">
        <v>13883</v>
      </c>
      <c r="E1032" s="44">
        <v>5</v>
      </c>
      <c r="F1032" s="7"/>
      <c r="G1032" s="7"/>
      <c r="H1032" s="2" t="s">
        <v>13857</v>
      </c>
      <c r="I1032" s="7" t="s">
        <v>2249</v>
      </c>
      <c r="J1032" s="7" t="s">
        <v>13884</v>
      </c>
      <c r="K1032" s="7" t="s">
        <v>55</v>
      </c>
      <c r="L1032" s="7" t="s">
        <v>13885</v>
      </c>
      <c r="M1032" s="7" t="s">
        <v>13860</v>
      </c>
      <c r="N1032" s="45" t="str">
        <f t="shared" si="751"/>
        <v>@sdcoyotessb</v>
      </c>
      <c r="O1032" s="45" t="str">
        <f t="shared" si="752"/>
        <v>Questionnaire</v>
      </c>
      <c r="P1032" s="48" t="s">
        <v>10507</v>
      </c>
      <c r="Q1032" s="60" t="s">
        <v>10518</v>
      </c>
      <c r="R1032" s="48" t="s">
        <v>13868</v>
      </c>
      <c r="S1032" s="48" t="s">
        <v>172</v>
      </c>
      <c r="T1032" s="49" t="s">
        <v>74</v>
      </c>
      <c r="U1032" s="4" t="s">
        <v>75</v>
      </c>
      <c r="V1032" s="7"/>
      <c r="W1032" s="37">
        <v>3.03</v>
      </c>
      <c r="X1032" s="49" t="s">
        <v>5208</v>
      </c>
      <c r="Y1032" s="49" t="s">
        <v>2046</v>
      </c>
      <c r="Z1032" s="49" t="s">
        <v>1994</v>
      </c>
      <c r="AA1032" s="65">
        <v>0.88</v>
      </c>
      <c r="AB1032" s="48" t="s">
        <v>13869</v>
      </c>
      <c r="AC1032" s="76" t="s">
        <v>10507</v>
      </c>
      <c r="AD1032" s="67" t="str">
        <f t="shared" si="753"/>
        <v>Link</v>
      </c>
      <c r="AE1032" s="42">
        <v>7500</v>
      </c>
      <c r="AF1032" s="42">
        <v>223</v>
      </c>
      <c r="AG1032" s="7"/>
      <c r="AH1032" s="56">
        <v>219471</v>
      </c>
      <c r="AI1032" s="85"/>
      <c r="AJ1032" s="56"/>
    </row>
    <row r="1033" spans="1:36" ht="15" x14ac:dyDescent="0.2">
      <c r="A1033" s="43" t="s">
        <v>13733</v>
      </c>
      <c r="B1033" s="60" t="s">
        <v>10518</v>
      </c>
      <c r="C1033" s="7" t="s">
        <v>67</v>
      </c>
      <c r="D1033" s="7" t="s">
        <v>13892</v>
      </c>
      <c r="E1033" s="44">
        <v>5</v>
      </c>
      <c r="F1033" s="7"/>
      <c r="G1033" s="7"/>
      <c r="H1033" s="2" t="s">
        <v>13857</v>
      </c>
      <c r="I1033" s="7" t="s">
        <v>13894</v>
      </c>
      <c r="J1033" s="7" t="s">
        <v>3303</v>
      </c>
      <c r="K1033" s="7" t="s">
        <v>139</v>
      </c>
      <c r="L1033" s="7"/>
      <c r="M1033" s="7"/>
      <c r="N1033" s="45" t="str">
        <f t="shared" si="751"/>
        <v>@sdcoyotessb</v>
      </c>
      <c r="O1033" s="45" t="str">
        <f t="shared" si="752"/>
        <v>Questionnaire</v>
      </c>
      <c r="P1033" s="48" t="s">
        <v>10507</v>
      </c>
      <c r="Q1033" s="60" t="s">
        <v>10518</v>
      </c>
      <c r="R1033" s="48" t="s">
        <v>13868</v>
      </c>
      <c r="S1033" s="48" t="s">
        <v>172</v>
      </c>
      <c r="T1033" s="49" t="s">
        <v>74</v>
      </c>
      <c r="U1033" s="4" t="s">
        <v>75</v>
      </c>
      <c r="V1033" s="7"/>
      <c r="W1033" s="37">
        <v>3.03</v>
      </c>
      <c r="X1033" s="49" t="s">
        <v>5208</v>
      </c>
      <c r="Y1033" s="49" t="s">
        <v>2046</v>
      </c>
      <c r="Z1033" s="49" t="s">
        <v>1994</v>
      </c>
      <c r="AA1033" s="65">
        <v>0.88</v>
      </c>
      <c r="AB1033" s="48" t="s">
        <v>13869</v>
      </c>
      <c r="AC1033" s="76" t="s">
        <v>10507</v>
      </c>
      <c r="AD1033" s="67" t="str">
        <f t="shared" si="753"/>
        <v>Link</v>
      </c>
      <c r="AE1033" s="42">
        <v>7500</v>
      </c>
      <c r="AF1033" s="42">
        <v>223</v>
      </c>
      <c r="AG1033" s="7"/>
      <c r="AH1033" s="56">
        <v>219471</v>
      </c>
      <c r="AI1033" s="85"/>
      <c r="AJ1033" s="56"/>
    </row>
    <row r="1034" spans="1:36" ht="15" x14ac:dyDescent="0.2">
      <c r="A1034" s="43" t="s">
        <v>13733</v>
      </c>
      <c r="B1034" s="60" t="s">
        <v>10518</v>
      </c>
      <c r="C1034" s="7" t="s">
        <v>67</v>
      </c>
      <c r="D1034" s="7" t="s">
        <v>13898</v>
      </c>
      <c r="E1034" s="44">
        <v>5</v>
      </c>
      <c r="F1034" s="7"/>
      <c r="G1034" s="7"/>
      <c r="H1034" s="2" t="s">
        <v>13857</v>
      </c>
      <c r="I1034" s="7" t="s">
        <v>4434</v>
      </c>
      <c r="J1034" s="7" t="s">
        <v>13899</v>
      </c>
      <c r="K1034" s="7" t="s">
        <v>120</v>
      </c>
      <c r="L1034" s="7" t="s">
        <v>13900</v>
      </c>
      <c r="M1034" s="7"/>
      <c r="N1034" s="45" t="str">
        <f t="shared" si="751"/>
        <v>@sdcoyotessb</v>
      </c>
      <c r="O1034" s="45" t="str">
        <f t="shared" si="752"/>
        <v>Questionnaire</v>
      </c>
      <c r="P1034" s="48" t="s">
        <v>10507</v>
      </c>
      <c r="Q1034" s="60" t="s">
        <v>10518</v>
      </c>
      <c r="R1034" s="48" t="s">
        <v>13868</v>
      </c>
      <c r="S1034" s="48" t="s">
        <v>172</v>
      </c>
      <c r="T1034" s="49" t="s">
        <v>74</v>
      </c>
      <c r="U1034" s="4" t="s">
        <v>75</v>
      </c>
      <c r="V1034" s="7"/>
      <c r="W1034" s="37">
        <v>3.03</v>
      </c>
      <c r="X1034" s="49" t="s">
        <v>5208</v>
      </c>
      <c r="Y1034" s="49" t="s">
        <v>2046</v>
      </c>
      <c r="Z1034" s="49" t="s">
        <v>1994</v>
      </c>
      <c r="AA1034" s="65">
        <v>0.88</v>
      </c>
      <c r="AB1034" s="48" t="s">
        <v>13869</v>
      </c>
      <c r="AC1034" s="76" t="s">
        <v>10507</v>
      </c>
      <c r="AD1034" s="67" t="str">
        <f t="shared" si="753"/>
        <v>Link</v>
      </c>
      <c r="AE1034" s="42">
        <v>7500</v>
      </c>
      <c r="AF1034" s="42">
        <v>223</v>
      </c>
      <c r="AG1034" s="7"/>
      <c r="AH1034" s="56">
        <v>219471</v>
      </c>
      <c r="AI1034" s="85"/>
      <c r="AJ1034" s="56"/>
    </row>
    <row r="1035" spans="1:36" ht="15" x14ac:dyDescent="0.2">
      <c r="A1035" s="43" t="s">
        <v>13733</v>
      </c>
      <c r="B1035" s="47" t="s">
        <v>10518</v>
      </c>
      <c r="C1035" s="7" t="s">
        <v>67</v>
      </c>
      <c r="D1035" s="7" t="s">
        <v>13904</v>
      </c>
      <c r="E1035" s="44">
        <v>5</v>
      </c>
      <c r="F1035" s="7"/>
      <c r="G1035" s="7"/>
      <c r="H1035" s="2" t="s">
        <v>13907</v>
      </c>
      <c r="I1035" s="7" t="s">
        <v>5298</v>
      </c>
      <c r="J1035" s="7" t="s">
        <v>7256</v>
      </c>
      <c r="K1035" s="7" t="s">
        <v>48</v>
      </c>
      <c r="L1035" s="7" t="s">
        <v>13908</v>
      </c>
      <c r="M1035" s="7"/>
      <c r="N1035" s="45" t="str">
        <f t="shared" ref="N1035:N1037" si="754">HYPERLINK("twitter.com/GoJacksSB","@GoJacksSB")</f>
        <v>@GoJacksSB</v>
      </c>
      <c r="O1035" s="45" t="str">
        <f t="shared" ref="O1035:O1037" si="755">HYPERLINK("https://gojacks.com/sb_output.aspx?form=11&amp;path=softball","Questionnaire")</f>
        <v>Questionnaire</v>
      </c>
      <c r="P1035" s="48" t="s">
        <v>13916</v>
      </c>
      <c r="Q1035" s="47" t="s">
        <v>10518</v>
      </c>
      <c r="R1035" s="48" t="s">
        <v>13918</v>
      </c>
      <c r="S1035" s="48" t="s">
        <v>172</v>
      </c>
      <c r="T1035" s="49" t="s">
        <v>74</v>
      </c>
      <c r="U1035" s="7" t="s">
        <v>75</v>
      </c>
      <c r="V1035" s="7"/>
      <c r="W1035" s="44">
        <v>3.37</v>
      </c>
      <c r="X1035" s="49" t="s">
        <v>3853</v>
      </c>
      <c r="Y1035" s="49" t="s">
        <v>1622</v>
      </c>
      <c r="Z1035" s="49" t="s">
        <v>278</v>
      </c>
      <c r="AA1035" s="61">
        <v>0.91</v>
      </c>
      <c r="AB1035" s="48" t="s">
        <v>13921</v>
      </c>
      <c r="AC1035" s="62" t="s">
        <v>13916</v>
      </c>
      <c r="AD1035" s="53" t="str">
        <f t="shared" ref="AD1035:AD1037" si="756">HYPERLINK("https://www.sdstate.edu/academics/undergraduate-majors","Link")</f>
        <v>Link</v>
      </c>
      <c r="AE1035" s="54">
        <v>10946</v>
      </c>
      <c r="AF1035" s="54">
        <v>216</v>
      </c>
      <c r="AG1035" s="7"/>
      <c r="AH1035" s="56">
        <v>219356</v>
      </c>
      <c r="AI1035" s="85"/>
      <c r="AJ1035" s="56"/>
    </row>
    <row r="1036" spans="1:36" ht="15" x14ac:dyDescent="0.2">
      <c r="A1036" s="43" t="s">
        <v>13733</v>
      </c>
      <c r="B1036" s="47" t="s">
        <v>10518</v>
      </c>
      <c r="C1036" s="7" t="s">
        <v>67</v>
      </c>
      <c r="D1036" s="7" t="s">
        <v>13927</v>
      </c>
      <c r="E1036" s="44">
        <v>5</v>
      </c>
      <c r="F1036" s="7"/>
      <c r="G1036" s="7"/>
      <c r="H1036" s="2" t="s">
        <v>13907</v>
      </c>
      <c r="I1036" s="7" t="s">
        <v>531</v>
      </c>
      <c r="J1036" s="7" t="s">
        <v>13929</v>
      </c>
      <c r="K1036" s="7" t="s">
        <v>55</v>
      </c>
      <c r="L1036" s="7" t="s">
        <v>13930</v>
      </c>
      <c r="M1036" s="7"/>
      <c r="N1036" s="45" t="str">
        <f t="shared" si="754"/>
        <v>@GoJacksSB</v>
      </c>
      <c r="O1036" s="45" t="str">
        <f t="shared" si="755"/>
        <v>Questionnaire</v>
      </c>
      <c r="P1036" s="48" t="s">
        <v>13916</v>
      </c>
      <c r="Q1036" s="47" t="s">
        <v>10518</v>
      </c>
      <c r="R1036" s="48" t="s">
        <v>13918</v>
      </c>
      <c r="S1036" s="48" t="s">
        <v>172</v>
      </c>
      <c r="T1036" s="49" t="s">
        <v>74</v>
      </c>
      <c r="U1036" s="7" t="s">
        <v>75</v>
      </c>
      <c r="V1036" s="7"/>
      <c r="W1036" s="44">
        <v>3.37</v>
      </c>
      <c r="X1036" s="49" t="s">
        <v>3853</v>
      </c>
      <c r="Y1036" s="49" t="s">
        <v>1622</v>
      </c>
      <c r="Z1036" s="49" t="s">
        <v>278</v>
      </c>
      <c r="AA1036" s="61">
        <v>0.91</v>
      </c>
      <c r="AB1036" s="48" t="s">
        <v>13921</v>
      </c>
      <c r="AC1036" s="62" t="s">
        <v>13916</v>
      </c>
      <c r="AD1036" s="53" t="str">
        <f t="shared" si="756"/>
        <v>Link</v>
      </c>
      <c r="AE1036" s="54">
        <v>10946</v>
      </c>
      <c r="AF1036" s="54">
        <v>216</v>
      </c>
      <c r="AG1036" s="7"/>
      <c r="AH1036" s="56">
        <v>219356</v>
      </c>
      <c r="AI1036" s="85"/>
      <c r="AJ1036" s="56"/>
    </row>
    <row r="1037" spans="1:36" ht="15" x14ac:dyDescent="0.2">
      <c r="A1037" s="43" t="s">
        <v>13733</v>
      </c>
      <c r="B1037" s="47" t="s">
        <v>10518</v>
      </c>
      <c r="C1037" s="7" t="s">
        <v>67</v>
      </c>
      <c r="D1037" s="7" t="s">
        <v>13937</v>
      </c>
      <c r="E1037" s="44">
        <v>5</v>
      </c>
      <c r="F1037" s="7"/>
      <c r="G1037" s="7"/>
      <c r="H1037" s="2" t="s">
        <v>13907</v>
      </c>
      <c r="I1037" s="7" t="s">
        <v>13939</v>
      </c>
      <c r="J1037" s="7" t="s">
        <v>13942</v>
      </c>
      <c r="K1037" s="7" t="s">
        <v>55</v>
      </c>
      <c r="L1037" s="7" t="s">
        <v>13943</v>
      </c>
      <c r="M1037" s="7"/>
      <c r="N1037" s="45" t="str">
        <f t="shared" si="754"/>
        <v>@GoJacksSB</v>
      </c>
      <c r="O1037" s="45" t="str">
        <f t="shared" si="755"/>
        <v>Questionnaire</v>
      </c>
      <c r="P1037" s="48" t="s">
        <v>13916</v>
      </c>
      <c r="Q1037" s="47" t="s">
        <v>10518</v>
      </c>
      <c r="R1037" s="48" t="s">
        <v>13918</v>
      </c>
      <c r="S1037" s="48" t="s">
        <v>172</v>
      </c>
      <c r="T1037" s="49" t="s">
        <v>74</v>
      </c>
      <c r="U1037" s="7" t="s">
        <v>75</v>
      </c>
      <c r="V1037" s="7"/>
      <c r="W1037" s="44">
        <v>3.37</v>
      </c>
      <c r="X1037" s="49" t="s">
        <v>3853</v>
      </c>
      <c r="Y1037" s="49" t="s">
        <v>1622</v>
      </c>
      <c r="Z1037" s="49" t="s">
        <v>278</v>
      </c>
      <c r="AA1037" s="61">
        <v>0.91</v>
      </c>
      <c r="AB1037" s="48" t="s">
        <v>13921</v>
      </c>
      <c r="AC1037" s="62" t="s">
        <v>13916</v>
      </c>
      <c r="AD1037" s="53" t="str">
        <f t="shared" si="756"/>
        <v>Link</v>
      </c>
      <c r="AE1037" s="54">
        <v>10946</v>
      </c>
      <c r="AF1037" s="54">
        <v>216</v>
      </c>
      <c r="AG1037" s="7"/>
      <c r="AH1037" s="56">
        <v>219356</v>
      </c>
      <c r="AI1037" s="85"/>
      <c r="AJ1037" s="56"/>
    </row>
    <row r="1038" spans="1:36" ht="15" x14ac:dyDescent="0.2">
      <c r="A1038" s="43" t="s">
        <v>13733</v>
      </c>
      <c r="B1038" s="47" t="s">
        <v>1721</v>
      </c>
      <c r="C1038" s="7" t="s">
        <v>67</v>
      </c>
      <c r="D1038" s="7" t="s">
        <v>13946</v>
      </c>
      <c r="E1038" s="44">
        <v>5</v>
      </c>
      <c r="F1038" s="7"/>
      <c r="G1038" s="7"/>
      <c r="H1038" s="2" t="s">
        <v>13947</v>
      </c>
      <c r="I1038" s="7" t="s">
        <v>13949</v>
      </c>
      <c r="J1038" s="7" t="s">
        <v>13950</v>
      </c>
      <c r="K1038" s="7" t="s">
        <v>120</v>
      </c>
      <c r="L1038" s="7" t="s">
        <v>13951</v>
      </c>
      <c r="M1038" s="7"/>
      <c r="N1038" s="45" t="str">
        <f>HYPERLINK("twitter.com/WIUSoftball","@WIUSoftball")</f>
        <v>@WIUSoftball</v>
      </c>
      <c r="O1038" s="45" t="str">
        <f>HYPERLINK("https://college.jumpforward.com/questionnaire.aspx?iid=1680&amp;sportid=31","Questionnaire")</f>
        <v>Questionnaire</v>
      </c>
      <c r="P1038" s="48" t="s">
        <v>13953</v>
      </c>
      <c r="Q1038" s="47" t="s">
        <v>1721</v>
      </c>
      <c r="R1038" s="48" t="s">
        <v>13954</v>
      </c>
      <c r="S1038" s="48" t="s">
        <v>172</v>
      </c>
      <c r="T1038" s="49" t="s">
        <v>74</v>
      </c>
      <c r="U1038" s="7" t="s">
        <v>75</v>
      </c>
      <c r="V1038" s="7"/>
      <c r="W1038" s="44">
        <v>3.2</v>
      </c>
      <c r="X1038" s="49" t="s">
        <v>214</v>
      </c>
      <c r="Y1038" s="49" t="s">
        <v>214</v>
      </c>
      <c r="Z1038" s="49" t="s">
        <v>449</v>
      </c>
      <c r="AA1038" s="61">
        <v>0.59</v>
      </c>
      <c r="AB1038" s="48" t="s">
        <v>13959</v>
      </c>
      <c r="AC1038" s="62" t="s">
        <v>13953</v>
      </c>
      <c r="AD1038" s="53" t="str">
        <f>HYPERLINK("http://www.wiu.edu/academics/majors/","Link")</f>
        <v>Link</v>
      </c>
      <c r="AE1038" s="54">
        <v>8543</v>
      </c>
      <c r="AF1038" s="55"/>
      <c r="AG1038" s="7"/>
      <c r="AH1038" s="56">
        <v>149772</v>
      </c>
      <c r="AI1038" s="85"/>
      <c r="AJ1038" s="56"/>
    </row>
    <row r="1039" spans="1:36" ht="15" x14ac:dyDescent="0.2">
      <c r="A1039" s="43" t="s">
        <v>13963</v>
      </c>
      <c r="B1039" s="47" t="s">
        <v>219</v>
      </c>
      <c r="C1039" s="7" t="s">
        <v>67</v>
      </c>
      <c r="D1039" s="7" t="s">
        <v>13966</v>
      </c>
      <c r="E1039" s="44">
        <v>5</v>
      </c>
      <c r="F1039" s="7"/>
      <c r="G1039" s="7"/>
      <c r="H1039" s="2" t="s">
        <v>13967</v>
      </c>
      <c r="I1039" s="7" t="s">
        <v>10979</v>
      </c>
      <c r="J1039" s="7" t="s">
        <v>13968</v>
      </c>
      <c r="K1039" s="7" t="s">
        <v>48</v>
      </c>
      <c r="L1039" s="7" t="s">
        <v>13969</v>
      </c>
      <c r="M1039" s="7" t="s">
        <v>13970</v>
      </c>
      <c r="N1039" s="45" t="str">
        <f t="shared" ref="N1039:N1042" si="757">HYPERLINK("twitter.com/appstatesb","@appstatesb")</f>
        <v>@appstatesb</v>
      </c>
      <c r="O1039" s="45" t="str">
        <f t="shared" ref="O1039:O1042" si="758">HYPERLINK("https://college.jumpforward.com/questionnaire.aspx?iid=346&amp;sportid=31","Questionnaire")</f>
        <v>Questionnaire</v>
      </c>
      <c r="P1039" s="48" t="s">
        <v>13976</v>
      </c>
      <c r="Q1039" s="47" t="s">
        <v>219</v>
      </c>
      <c r="R1039" s="48" t="s">
        <v>8903</v>
      </c>
      <c r="S1039" s="48" t="s">
        <v>172</v>
      </c>
      <c r="T1039" s="49" t="s">
        <v>74</v>
      </c>
      <c r="U1039" s="7" t="s">
        <v>75</v>
      </c>
      <c r="V1039" s="7"/>
      <c r="W1039" s="44">
        <v>4.05</v>
      </c>
      <c r="X1039" s="49" t="s">
        <v>1723</v>
      </c>
      <c r="Y1039" s="49" t="s">
        <v>1230</v>
      </c>
      <c r="Z1039" s="49" t="s">
        <v>3287</v>
      </c>
      <c r="AA1039" s="51">
        <v>0.68320000000000003</v>
      </c>
      <c r="AB1039" s="48" t="s">
        <v>13979</v>
      </c>
      <c r="AC1039" s="52" t="s">
        <v>13976</v>
      </c>
      <c r="AD1039" s="53" t="str">
        <f t="shared" ref="AD1039:AD1042" si="759">HYPERLINK("http://www.appstate.edu/academics/majors/","Link")</f>
        <v>Link</v>
      </c>
      <c r="AE1039" s="54">
        <v>16595</v>
      </c>
      <c r="AF1039" s="55"/>
      <c r="AG1039" s="7"/>
      <c r="AH1039" s="56">
        <v>197869</v>
      </c>
      <c r="AI1039" s="85"/>
      <c r="AJ1039" s="56"/>
    </row>
    <row r="1040" spans="1:36" ht="15" x14ac:dyDescent="0.2">
      <c r="A1040" s="43" t="s">
        <v>13963</v>
      </c>
      <c r="B1040" s="47" t="s">
        <v>219</v>
      </c>
      <c r="C1040" s="7" t="s">
        <v>67</v>
      </c>
      <c r="D1040" s="7" t="s">
        <v>13985</v>
      </c>
      <c r="E1040" s="44">
        <v>5</v>
      </c>
      <c r="F1040" s="7"/>
      <c r="G1040" s="7"/>
      <c r="H1040" s="2" t="s">
        <v>13967</v>
      </c>
      <c r="I1040" s="7" t="s">
        <v>1985</v>
      </c>
      <c r="J1040" s="7" t="s">
        <v>13986</v>
      </c>
      <c r="K1040" s="7" t="s">
        <v>55</v>
      </c>
      <c r="L1040" s="7" t="s">
        <v>13987</v>
      </c>
      <c r="M1040" s="7"/>
      <c r="N1040" s="45" t="str">
        <f t="shared" si="757"/>
        <v>@appstatesb</v>
      </c>
      <c r="O1040" s="45" t="str">
        <f t="shared" si="758"/>
        <v>Questionnaire</v>
      </c>
      <c r="P1040" s="48" t="s">
        <v>13976</v>
      </c>
      <c r="Q1040" s="47" t="s">
        <v>219</v>
      </c>
      <c r="R1040" s="48" t="s">
        <v>8903</v>
      </c>
      <c r="S1040" s="48" t="s">
        <v>172</v>
      </c>
      <c r="T1040" s="49" t="s">
        <v>74</v>
      </c>
      <c r="U1040" s="7" t="s">
        <v>75</v>
      </c>
      <c r="V1040" s="7"/>
      <c r="W1040" s="44">
        <v>4.05</v>
      </c>
      <c r="X1040" s="49" t="s">
        <v>1723</v>
      </c>
      <c r="Y1040" s="49" t="s">
        <v>1230</v>
      </c>
      <c r="Z1040" s="49" t="s">
        <v>3287</v>
      </c>
      <c r="AA1040" s="51">
        <v>0.68320000000000003</v>
      </c>
      <c r="AB1040" s="48" t="s">
        <v>13979</v>
      </c>
      <c r="AC1040" s="52" t="s">
        <v>13976</v>
      </c>
      <c r="AD1040" s="53" t="str">
        <f t="shared" si="759"/>
        <v>Link</v>
      </c>
      <c r="AE1040" s="54">
        <v>16595</v>
      </c>
      <c r="AF1040" s="55"/>
      <c r="AG1040" s="7"/>
      <c r="AH1040" s="56">
        <v>197869</v>
      </c>
      <c r="AI1040" s="85"/>
      <c r="AJ1040" s="56"/>
    </row>
    <row r="1041" spans="1:36" ht="15" x14ac:dyDescent="0.2">
      <c r="A1041" s="43" t="s">
        <v>13963</v>
      </c>
      <c r="B1041" s="47" t="s">
        <v>219</v>
      </c>
      <c r="C1041" s="7" t="s">
        <v>67</v>
      </c>
      <c r="D1041" s="7" t="s">
        <v>13995</v>
      </c>
      <c r="E1041" s="44">
        <v>5</v>
      </c>
      <c r="F1041" s="7" t="s">
        <v>116</v>
      </c>
      <c r="G1041" s="7"/>
      <c r="H1041" s="2" t="s">
        <v>13967</v>
      </c>
      <c r="I1041" s="7" t="s">
        <v>1875</v>
      </c>
      <c r="J1041" s="7" t="s">
        <v>13997</v>
      </c>
      <c r="K1041" s="7" t="s">
        <v>55</v>
      </c>
      <c r="L1041" s="7" t="s">
        <v>14000</v>
      </c>
      <c r="M1041" s="7"/>
      <c r="N1041" s="45" t="str">
        <f t="shared" si="757"/>
        <v>@appstatesb</v>
      </c>
      <c r="O1041" s="45" t="str">
        <f t="shared" si="758"/>
        <v>Questionnaire</v>
      </c>
      <c r="P1041" s="48" t="s">
        <v>13976</v>
      </c>
      <c r="Q1041" s="47" t="s">
        <v>219</v>
      </c>
      <c r="R1041" s="48" t="s">
        <v>8903</v>
      </c>
      <c r="S1041" s="48" t="s">
        <v>172</v>
      </c>
      <c r="T1041" s="49" t="s">
        <v>74</v>
      </c>
      <c r="U1041" s="7" t="s">
        <v>75</v>
      </c>
      <c r="V1041" s="7"/>
      <c r="W1041" s="44">
        <v>4.05</v>
      </c>
      <c r="X1041" s="49" t="s">
        <v>1723</v>
      </c>
      <c r="Y1041" s="49" t="s">
        <v>1230</v>
      </c>
      <c r="Z1041" s="49" t="s">
        <v>3287</v>
      </c>
      <c r="AA1041" s="51">
        <v>0.68320000000000003</v>
      </c>
      <c r="AB1041" s="48" t="s">
        <v>13979</v>
      </c>
      <c r="AC1041" s="52" t="s">
        <v>13976</v>
      </c>
      <c r="AD1041" s="53" t="str">
        <f t="shared" si="759"/>
        <v>Link</v>
      </c>
      <c r="AE1041" s="54">
        <v>16595</v>
      </c>
      <c r="AF1041" s="55"/>
      <c r="AG1041" s="7"/>
      <c r="AH1041" s="56">
        <v>197869</v>
      </c>
      <c r="AI1041" s="85"/>
      <c r="AJ1041" s="56"/>
    </row>
    <row r="1042" spans="1:36" ht="15" x14ac:dyDescent="0.2">
      <c r="A1042" s="43" t="s">
        <v>13963</v>
      </c>
      <c r="B1042" s="47" t="s">
        <v>219</v>
      </c>
      <c r="C1042" s="7" t="s">
        <v>67</v>
      </c>
      <c r="D1042" s="7" t="s">
        <v>14006</v>
      </c>
      <c r="E1042" s="44">
        <v>5</v>
      </c>
      <c r="F1042" s="7"/>
      <c r="G1042" s="7"/>
      <c r="H1042" s="2" t="s">
        <v>13967</v>
      </c>
      <c r="I1042" s="7" t="s">
        <v>7130</v>
      </c>
      <c r="J1042" s="7" t="s">
        <v>14011</v>
      </c>
      <c r="K1042" s="7" t="s">
        <v>139</v>
      </c>
      <c r="L1042" s="7" t="s">
        <v>14012</v>
      </c>
      <c r="M1042" s="7"/>
      <c r="N1042" s="45" t="str">
        <f t="shared" si="757"/>
        <v>@appstatesb</v>
      </c>
      <c r="O1042" s="45" t="str">
        <f t="shared" si="758"/>
        <v>Questionnaire</v>
      </c>
      <c r="P1042" s="48" t="s">
        <v>13976</v>
      </c>
      <c r="Q1042" s="47" t="s">
        <v>219</v>
      </c>
      <c r="R1042" s="48" t="s">
        <v>8903</v>
      </c>
      <c r="S1042" s="48" t="s">
        <v>172</v>
      </c>
      <c r="T1042" s="49" t="s">
        <v>74</v>
      </c>
      <c r="U1042" s="7" t="s">
        <v>75</v>
      </c>
      <c r="V1042" s="7"/>
      <c r="W1042" s="44">
        <v>4.05</v>
      </c>
      <c r="X1042" s="49" t="s">
        <v>1723</v>
      </c>
      <c r="Y1042" s="49" t="s">
        <v>1230</v>
      </c>
      <c r="Z1042" s="49" t="s">
        <v>3287</v>
      </c>
      <c r="AA1042" s="51">
        <v>0.68320000000000003</v>
      </c>
      <c r="AB1042" s="48" t="s">
        <v>13979</v>
      </c>
      <c r="AC1042" s="52" t="s">
        <v>13976</v>
      </c>
      <c r="AD1042" s="53" t="str">
        <f t="shared" si="759"/>
        <v>Link</v>
      </c>
      <c r="AE1042" s="54">
        <v>16595</v>
      </c>
      <c r="AF1042" s="55"/>
      <c r="AG1042" s="7"/>
      <c r="AH1042" s="56">
        <v>197869</v>
      </c>
      <c r="AI1042" s="85"/>
      <c r="AJ1042" s="56"/>
    </row>
    <row r="1043" spans="1:36" ht="15" x14ac:dyDescent="0.2">
      <c r="A1043" s="43" t="s">
        <v>13963</v>
      </c>
      <c r="B1043" s="47" t="s">
        <v>653</v>
      </c>
      <c r="C1043" s="7" t="s">
        <v>67</v>
      </c>
      <c r="D1043" s="7" t="s">
        <v>14018</v>
      </c>
      <c r="E1043" s="44">
        <v>5</v>
      </c>
      <c r="F1043" s="7"/>
      <c r="G1043" s="7"/>
      <c r="H1043" s="2" t="s">
        <v>14019</v>
      </c>
      <c r="I1043" s="7" t="s">
        <v>6634</v>
      </c>
      <c r="J1043" s="7" t="s">
        <v>1349</v>
      </c>
      <c r="K1043" s="7" t="s">
        <v>48</v>
      </c>
      <c r="L1043" s="7" t="s">
        <v>14020</v>
      </c>
      <c r="M1043" s="7" t="s">
        <v>14021</v>
      </c>
      <c r="N1043" s="45" t="str">
        <f t="shared" ref="N1043:N1047" si="760">HYPERLINK("twitter.com/CoastalSoftball","@CoastalSoftball")</f>
        <v>@CoastalSoftball</v>
      </c>
      <c r="O1043" s="45" t="str">
        <f t="shared" ref="O1043:O1047" si="761">HYPERLINK("https://goccusports.com/news/2013/10/18/Prospective_Student_Athlete_Forms.aspx","Questionnaire")</f>
        <v>Questionnaire</v>
      </c>
      <c r="P1043" s="48" t="s">
        <v>14029</v>
      </c>
      <c r="Q1043" s="47" t="s">
        <v>653</v>
      </c>
      <c r="R1043" s="48" t="s">
        <v>185</v>
      </c>
      <c r="S1043" s="48" t="s">
        <v>172</v>
      </c>
      <c r="T1043" s="49" t="s">
        <v>74</v>
      </c>
      <c r="U1043" s="7" t="s">
        <v>75</v>
      </c>
      <c r="V1043" s="7"/>
      <c r="W1043" s="44">
        <v>3.48</v>
      </c>
      <c r="X1043" s="49" t="s">
        <v>1578</v>
      </c>
      <c r="Y1043" s="49" t="s">
        <v>1577</v>
      </c>
      <c r="Z1043" s="49" t="s">
        <v>1994</v>
      </c>
      <c r="AA1043" s="51">
        <v>0.61180000000000001</v>
      </c>
      <c r="AB1043" s="48" t="s">
        <v>14031</v>
      </c>
      <c r="AC1043" s="52" t="s">
        <v>14029</v>
      </c>
      <c r="AD1043" s="53" t="str">
        <f t="shared" ref="AD1043:AD1047" si="762">HYPERLINK("https://www.coastal.edu/admissions/majors/","Link")</f>
        <v>Link</v>
      </c>
      <c r="AE1043" s="54">
        <v>9747</v>
      </c>
      <c r="AF1043" s="55"/>
      <c r="AG1043" s="7"/>
      <c r="AH1043" s="56">
        <v>218724</v>
      </c>
      <c r="AI1043" s="85"/>
      <c r="AJ1043" s="56"/>
    </row>
    <row r="1044" spans="1:36" ht="15" x14ac:dyDescent="0.2">
      <c r="A1044" s="43" t="s">
        <v>13963</v>
      </c>
      <c r="B1044" s="47" t="s">
        <v>653</v>
      </c>
      <c r="C1044" s="7" t="s">
        <v>67</v>
      </c>
      <c r="D1044" s="7" t="s">
        <v>14039</v>
      </c>
      <c r="E1044" s="44">
        <v>5</v>
      </c>
      <c r="F1044" s="7"/>
      <c r="G1044" s="7"/>
      <c r="H1044" s="2" t="s">
        <v>14019</v>
      </c>
      <c r="I1044" s="7" t="s">
        <v>283</v>
      </c>
      <c r="J1044" s="7" t="s">
        <v>14040</v>
      </c>
      <c r="K1044" s="7" t="s">
        <v>55</v>
      </c>
      <c r="L1044" s="7" t="s">
        <v>14041</v>
      </c>
      <c r="M1044" s="7" t="s">
        <v>14042</v>
      </c>
      <c r="N1044" s="45" t="str">
        <f t="shared" si="760"/>
        <v>@CoastalSoftball</v>
      </c>
      <c r="O1044" s="45" t="str">
        <f t="shared" si="761"/>
        <v>Questionnaire</v>
      </c>
      <c r="P1044" s="48" t="s">
        <v>14029</v>
      </c>
      <c r="Q1044" s="47" t="s">
        <v>653</v>
      </c>
      <c r="R1044" s="48" t="s">
        <v>185</v>
      </c>
      <c r="S1044" s="48" t="s">
        <v>172</v>
      </c>
      <c r="T1044" s="49" t="s">
        <v>74</v>
      </c>
      <c r="U1044" s="7" t="s">
        <v>75</v>
      </c>
      <c r="V1044" s="7"/>
      <c r="W1044" s="44">
        <v>3.48</v>
      </c>
      <c r="X1044" s="49" t="s">
        <v>1578</v>
      </c>
      <c r="Y1044" s="49" t="s">
        <v>1577</v>
      </c>
      <c r="Z1044" s="49" t="s">
        <v>1994</v>
      </c>
      <c r="AA1044" s="51">
        <v>0.61180000000000001</v>
      </c>
      <c r="AB1044" s="48" t="s">
        <v>14031</v>
      </c>
      <c r="AC1044" s="52" t="s">
        <v>14029</v>
      </c>
      <c r="AD1044" s="53" t="str">
        <f t="shared" si="762"/>
        <v>Link</v>
      </c>
      <c r="AE1044" s="54">
        <v>9747</v>
      </c>
      <c r="AF1044" s="55"/>
      <c r="AG1044" s="7"/>
      <c r="AH1044" s="56">
        <v>218724</v>
      </c>
      <c r="AI1044" s="85"/>
      <c r="AJ1044" s="56"/>
    </row>
    <row r="1045" spans="1:36" ht="15" x14ac:dyDescent="0.2">
      <c r="A1045" s="43" t="s">
        <v>13963</v>
      </c>
      <c r="B1045" s="47" t="s">
        <v>653</v>
      </c>
      <c r="C1045" s="7" t="s">
        <v>67</v>
      </c>
      <c r="D1045" s="7" t="s">
        <v>14047</v>
      </c>
      <c r="E1045" s="44">
        <v>5</v>
      </c>
      <c r="F1045" s="7"/>
      <c r="G1045" s="7"/>
      <c r="H1045" s="2" t="s">
        <v>14019</v>
      </c>
      <c r="I1045" s="7" t="s">
        <v>1726</v>
      </c>
      <c r="J1045" s="7" t="s">
        <v>14048</v>
      </c>
      <c r="K1045" s="7" t="s">
        <v>55</v>
      </c>
      <c r="L1045" s="7" t="s">
        <v>14049</v>
      </c>
      <c r="M1045" s="7" t="s">
        <v>14050</v>
      </c>
      <c r="N1045" s="45" t="str">
        <f t="shared" si="760"/>
        <v>@CoastalSoftball</v>
      </c>
      <c r="O1045" s="45" t="str">
        <f t="shared" si="761"/>
        <v>Questionnaire</v>
      </c>
      <c r="P1045" s="48" t="s">
        <v>14029</v>
      </c>
      <c r="Q1045" s="47" t="s">
        <v>653</v>
      </c>
      <c r="R1045" s="48" t="s">
        <v>185</v>
      </c>
      <c r="S1045" s="48" t="s">
        <v>172</v>
      </c>
      <c r="T1045" s="49" t="s">
        <v>74</v>
      </c>
      <c r="U1045" s="7" t="s">
        <v>75</v>
      </c>
      <c r="V1045" s="7"/>
      <c r="W1045" s="44">
        <v>3.48</v>
      </c>
      <c r="X1045" s="49" t="s">
        <v>1578</v>
      </c>
      <c r="Y1045" s="49" t="s">
        <v>1577</v>
      </c>
      <c r="Z1045" s="49" t="s">
        <v>1994</v>
      </c>
      <c r="AA1045" s="51">
        <v>0.61180000000000001</v>
      </c>
      <c r="AB1045" s="48" t="s">
        <v>14031</v>
      </c>
      <c r="AC1045" s="52" t="s">
        <v>14029</v>
      </c>
      <c r="AD1045" s="53" t="str">
        <f t="shared" si="762"/>
        <v>Link</v>
      </c>
      <c r="AE1045" s="54">
        <v>9747</v>
      </c>
      <c r="AF1045" s="55"/>
      <c r="AG1045" s="7"/>
      <c r="AH1045" s="56">
        <v>218724</v>
      </c>
      <c r="AI1045" s="85"/>
      <c r="AJ1045" s="56"/>
    </row>
    <row r="1046" spans="1:36" ht="15" x14ac:dyDescent="0.2">
      <c r="A1046" s="43" t="s">
        <v>13963</v>
      </c>
      <c r="B1046" s="47" t="s">
        <v>653</v>
      </c>
      <c r="C1046" s="7" t="s">
        <v>67</v>
      </c>
      <c r="D1046" s="7" t="s">
        <v>14058</v>
      </c>
      <c r="E1046" s="44">
        <v>5</v>
      </c>
      <c r="F1046" s="7"/>
      <c r="G1046" s="7"/>
      <c r="H1046" s="2" t="s">
        <v>14019</v>
      </c>
      <c r="I1046" s="7" t="s">
        <v>14059</v>
      </c>
      <c r="J1046" s="7" t="s">
        <v>2210</v>
      </c>
      <c r="K1046" s="7" t="s">
        <v>154</v>
      </c>
      <c r="L1046" s="7" t="s">
        <v>14062</v>
      </c>
      <c r="M1046" s="7" t="s">
        <v>14063</v>
      </c>
      <c r="N1046" s="45" t="str">
        <f t="shared" si="760"/>
        <v>@CoastalSoftball</v>
      </c>
      <c r="O1046" s="45" t="str">
        <f t="shared" si="761"/>
        <v>Questionnaire</v>
      </c>
      <c r="P1046" s="48" t="s">
        <v>14029</v>
      </c>
      <c r="Q1046" s="47" t="s">
        <v>653</v>
      </c>
      <c r="R1046" s="48" t="s">
        <v>185</v>
      </c>
      <c r="S1046" s="48" t="s">
        <v>172</v>
      </c>
      <c r="T1046" s="49" t="s">
        <v>74</v>
      </c>
      <c r="U1046" s="7" t="s">
        <v>75</v>
      </c>
      <c r="V1046" s="7"/>
      <c r="W1046" s="44">
        <v>3.48</v>
      </c>
      <c r="X1046" s="49" t="s">
        <v>1578</v>
      </c>
      <c r="Y1046" s="49" t="s">
        <v>1577</v>
      </c>
      <c r="Z1046" s="49" t="s">
        <v>1994</v>
      </c>
      <c r="AA1046" s="51">
        <v>0.61180000000000001</v>
      </c>
      <c r="AB1046" s="48" t="s">
        <v>14031</v>
      </c>
      <c r="AC1046" s="52" t="s">
        <v>14029</v>
      </c>
      <c r="AD1046" s="53" t="str">
        <f t="shared" si="762"/>
        <v>Link</v>
      </c>
      <c r="AE1046" s="54">
        <v>9747</v>
      </c>
      <c r="AF1046" s="55"/>
      <c r="AG1046" s="7"/>
      <c r="AH1046" s="56">
        <v>218724</v>
      </c>
      <c r="AI1046" s="85"/>
      <c r="AJ1046" s="56"/>
    </row>
    <row r="1047" spans="1:36" ht="15" x14ac:dyDescent="0.2">
      <c r="A1047" s="43" t="s">
        <v>13963</v>
      </c>
      <c r="B1047" s="47" t="s">
        <v>653</v>
      </c>
      <c r="C1047" s="7" t="s">
        <v>67</v>
      </c>
      <c r="D1047" s="7" t="s">
        <v>14067</v>
      </c>
      <c r="E1047" s="44">
        <v>5</v>
      </c>
      <c r="F1047" s="7"/>
      <c r="G1047" s="7"/>
      <c r="H1047" s="2" t="s">
        <v>14019</v>
      </c>
      <c r="I1047" s="7" t="s">
        <v>1875</v>
      </c>
      <c r="J1047" s="7" t="s">
        <v>14070</v>
      </c>
      <c r="K1047" s="7" t="s">
        <v>139</v>
      </c>
      <c r="L1047" s="7" t="s">
        <v>14073</v>
      </c>
      <c r="M1047" s="7"/>
      <c r="N1047" s="45" t="str">
        <f t="shared" si="760"/>
        <v>@CoastalSoftball</v>
      </c>
      <c r="O1047" s="45" t="str">
        <f t="shared" si="761"/>
        <v>Questionnaire</v>
      </c>
      <c r="P1047" s="48" t="s">
        <v>14029</v>
      </c>
      <c r="Q1047" s="47" t="s">
        <v>653</v>
      </c>
      <c r="R1047" s="48" t="s">
        <v>185</v>
      </c>
      <c r="S1047" s="48" t="s">
        <v>172</v>
      </c>
      <c r="T1047" s="49" t="s">
        <v>74</v>
      </c>
      <c r="U1047" s="7" t="s">
        <v>75</v>
      </c>
      <c r="V1047" s="7"/>
      <c r="W1047" s="44">
        <v>3.48</v>
      </c>
      <c r="X1047" s="49" t="s">
        <v>1578</v>
      </c>
      <c r="Y1047" s="49" t="s">
        <v>1577</v>
      </c>
      <c r="Z1047" s="49" t="s">
        <v>1994</v>
      </c>
      <c r="AA1047" s="51">
        <v>0.61180000000000001</v>
      </c>
      <c r="AB1047" s="48" t="s">
        <v>14031</v>
      </c>
      <c r="AC1047" s="52" t="s">
        <v>14029</v>
      </c>
      <c r="AD1047" s="53" t="str">
        <f t="shared" si="762"/>
        <v>Link</v>
      </c>
      <c r="AE1047" s="54">
        <v>9747</v>
      </c>
      <c r="AF1047" s="55"/>
      <c r="AG1047" s="7"/>
      <c r="AH1047" s="56">
        <v>218724</v>
      </c>
      <c r="AI1047" s="85"/>
      <c r="AJ1047" s="56"/>
    </row>
    <row r="1048" spans="1:36" ht="15" x14ac:dyDescent="0.2">
      <c r="A1048" s="43" t="s">
        <v>13963</v>
      </c>
      <c r="B1048" s="47" t="s">
        <v>871</v>
      </c>
      <c r="C1048" s="7" t="s">
        <v>67</v>
      </c>
      <c r="D1048" s="7" t="s">
        <v>14081</v>
      </c>
      <c r="E1048" s="44">
        <v>5</v>
      </c>
      <c r="F1048" s="7"/>
      <c r="G1048" s="7"/>
      <c r="H1048" s="2" t="s">
        <v>14082</v>
      </c>
      <c r="I1048" s="7" t="s">
        <v>1159</v>
      </c>
      <c r="J1048" s="7" t="s">
        <v>790</v>
      </c>
      <c r="K1048" s="7" t="s">
        <v>48</v>
      </c>
      <c r="L1048" s="7" t="s">
        <v>14083</v>
      </c>
      <c r="M1048" s="7" t="s">
        <v>14085</v>
      </c>
      <c r="N1048" s="45" t="str">
        <f t="shared" ref="N1048:N1053" si="763">HYPERLINK("twitter.com/GSAthletics_SB","@GSAthletics_SB")</f>
        <v>@GSAthletics_SB</v>
      </c>
      <c r="O1048" s="45" t="str">
        <f t="shared" ref="O1048:O1053" si="764">HYPERLINK("https://gseagles.com/sports/2013/7/24/GEN_0724134314.aspx","Questionnaire")</f>
        <v>Questionnaire</v>
      </c>
      <c r="P1048" s="48" t="s">
        <v>14089</v>
      </c>
      <c r="Q1048" s="47" t="s">
        <v>871</v>
      </c>
      <c r="R1048" s="48" t="s">
        <v>14090</v>
      </c>
      <c r="S1048" s="48" t="s">
        <v>468</v>
      </c>
      <c r="T1048" s="49" t="s">
        <v>74</v>
      </c>
      <c r="U1048" s="7" t="s">
        <v>75</v>
      </c>
      <c r="V1048" s="7"/>
      <c r="W1048" s="44">
        <v>3.33</v>
      </c>
      <c r="X1048" s="49" t="s">
        <v>8075</v>
      </c>
      <c r="Y1048" s="49" t="s">
        <v>5022</v>
      </c>
      <c r="Z1048" s="49" t="s">
        <v>1510</v>
      </c>
      <c r="AA1048" s="61">
        <v>0.65</v>
      </c>
      <c r="AB1048" s="48" t="s">
        <v>14094</v>
      </c>
      <c r="AC1048" s="62" t="s">
        <v>14089</v>
      </c>
      <c r="AD1048" s="53" t="str">
        <f t="shared" ref="AD1048:AD1053" si="765">HYPERLINK("http://www.georgiasouthern.edu/majors/","Link")</f>
        <v>Link</v>
      </c>
      <c r="AE1048" s="54">
        <v>18005</v>
      </c>
      <c r="AF1048" s="55"/>
      <c r="AG1048" s="7"/>
      <c r="AH1048" s="56">
        <v>139931</v>
      </c>
      <c r="AI1048" s="85"/>
      <c r="AJ1048" s="56"/>
    </row>
    <row r="1049" spans="1:36" ht="15" x14ac:dyDescent="0.2">
      <c r="A1049" s="43" t="s">
        <v>13963</v>
      </c>
      <c r="B1049" s="47" t="s">
        <v>871</v>
      </c>
      <c r="C1049" s="7" t="s">
        <v>67</v>
      </c>
      <c r="D1049" s="7" t="s">
        <v>14099</v>
      </c>
      <c r="E1049" s="44">
        <v>5</v>
      </c>
      <c r="F1049" s="7"/>
      <c r="G1049" s="7"/>
      <c r="H1049" s="2" t="s">
        <v>14082</v>
      </c>
      <c r="I1049" s="7" t="s">
        <v>4894</v>
      </c>
      <c r="J1049" s="7" t="s">
        <v>3363</v>
      </c>
      <c r="K1049" s="7" t="s">
        <v>55</v>
      </c>
      <c r="L1049" s="7" t="s">
        <v>14100</v>
      </c>
      <c r="M1049" s="7" t="s">
        <v>14101</v>
      </c>
      <c r="N1049" s="45" t="str">
        <f t="shared" si="763"/>
        <v>@GSAthletics_SB</v>
      </c>
      <c r="O1049" s="45" t="str">
        <f t="shared" si="764"/>
        <v>Questionnaire</v>
      </c>
      <c r="P1049" s="48" t="s">
        <v>14089</v>
      </c>
      <c r="Q1049" s="47" t="s">
        <v>871</v>
      </c>
      <c r="R1049" s="48" t="s">
        <v>14090</v>
      </c>
      <c r="S1049" s="48" t="s">
        <v>468</v>
      </c>
      <c r="T1049" s="49" t="s">
        <v>74</v>
      </c>
      <c r="U1049" s="7" t="s">
        <v>75</v>
      </c>
      <c r="V1049" s="7"/>
      <c r="W1049" s="44">
        <v>3.33</v>
      </c>
      <c r="X1049" s="49" t="s">
        <v>8075</v>
      </c>
      <c r="Y1049" s="49" t="s">
        <v>5022</v>
      </c>
      <c r="Z1049" s="49" t="s">
        <v>1510</v>
      </c>
      <c r="AA1049" s="61">
        <v>0.65</v>
      </c>
      <c r="AB1049" s="48" t="s">
        <v>14094</v>
      </c>
      <c r="AC1049" s="62" t="s">
        <v>14089</v>
      </c>
      <c r="AD1049" s="53" t="str">
        <f t="shared" si="765"/>
        <v>Link</v>
      </c>
      <c r="AE1049" s="54">
        <v>18005</v>
      </c>
      <c r="AF1049" s="55"/>
      <c r="AG1049" s="7"/>
      <c r="AH1049" s="56">
        <v>139931</v>
      </c>
      <c r="AI1049" s="85"/>
      <c r="AJ1049" s="56"/>
    </row>
    <row r="1050" spans="1:36" ht="15" x14ac:dyDescent="0.2">
      <c r="A1050" s="43" t="s">
        <v>13963</v>
      </c>
      <c r="B1050" s="47" t="s">
        <v>871</v>
      </c>
      <c r="C1050" s="7" t="s">
        <v>67</v>
      </c>
      <c r="D1050" s="7" t="s">
        <v>14108</v>
      </c>
      <c r="E1050" s="44">
        <v>5</v>
      </c>
      <c r="F1050" s="7"/>
      <c r="G1050" s="7"/>
      <c r="H1050" s="2" t="s">
        <v>14082</v>
      </c>
      <c r="I1050" s="7" t="s">
        <v>3715</v>
      </c>
      <c r="J1050" s="7" t="s">
        <v>9738</v>
      </c>
      <c r="K1050" s="7" t="s">
        <v>55</v>
      </c>
      <c r="L1050" s="7"/>
      <c r="M1050" s="7"/>
      <c r="N1050" s="45" t="str">
        <f t="shared" si="763"/>
        <v>@GSAthletics_SB</v>
      </c>
      <c r="O1050" s="45" t="str">
        <f t="shared" si="764"/>
        <v>Questionnaire</v>
      </c>
      <c r="P1050" s="48" t="s">
        <v>14089</v>
      </c>
      <c r="Q1050" s="47" t="s">
        <v>871</v>
      </c>
      <c r="R1050" s="48" t="s">
        <v>14090</v>
      </c>
      <c r="S1050" s="48" t="s">
        <v>468</v>
      </c>
      <c r="T1050" s="49" t="s">
        <v>74</v>
      </c>
      <c r="U1050" s="7" t="s">
        <v>75</v>
      </c>
      <c r="V1050" s="7"/>
      <c r="W1050" s="44">
        <v>3.33</v>
      </c>
      <c r="X1050" s="49" t="s">
        <v>8075</v>
      </c>
      <c r="Y1050" s="49" t="s">
        <v>5022</v>
      </c>
      <c r="Z1050" s="49" t="s">
        <v>1510</v>
      </c>
      <c r="AA1050" s="61">
        <v>0.65</v>
      </c>
      <c r="AB1050" s="48" t="s">
        <v>14094</v>
      </c>
      <c r="AC1050" s="62" t="s">
        <v>14089</v>
      </c>
      <c r="AD1050" s="53" t="str">
        <f t="shared" si="765"/>
        <v>Link</v>
      </c>
      <c r="AE1050" s="54">
        <v>18005</v>
      </c>
      <c r="AF1050" s="55"/>
      <c r="AG1050" s="7"/>
      <c r="AH1050" s="56">
        <v>139931</v>
      </c>
      <c r="AI1050" s="85"/>
      <c r="AJ1050" s="56"/>
    </row>
    <row r="1051" spans="1:36" ht="15" x14ac:dyDescent="0.2">
      <c r="A1051" s="43" t="s">
        <v>13963</v>
      </c>
      <c r="B1051" s="47" t="s">
        <v>871</v>
      </c>
      <c r="C1051" s="7" t="s">
        <v>67</v>
      </c>
      <c r="D1051" s="7" t="s">
        <v>14114</v>
      </c>
      <c r="E1051" s="44">
        <v>5</v>
      </c>
      <c r="F1051" s="7"/>
      <c r="G1051" s="7"/>
      <c r="H1051" s="2" t="s">
        <v>14082</v>
      </c>
      <c r="I1051" s="7" t="s">
        <v>635</v>
      </c>
      <c r="J1051" s="7" t="s">
        <v>14115</v>
      </c>
      <c r="K1051" s="7" t="s">
        <v>120</v>
      </c>
      <c r="L1051" s="7"/>
      <c r="M1051" s="7"/>
      <c r="N1051" s="45" t="str">
        <f t="shared" si="763"/>
        <v>@GSAthletics_SB</v>
      </c>
      <c r="O1051" s="45" t="str">
        <f t="shared" si="764"/>
        <v>Questionnaire</v>
      </c>
      <c r="P1051" s="48" t="s">
        <v>14089</v>
      </c>
      <c r="Q1051" s="47" t="s">
        <v>871</v>
      </c>
      <c r="R1051" s="48" t="s">
        <v>14090</v>
      </c>
      <c r="S1051" s="48" t="s">
        <v>468</v>
      </c>
      <c r="T1051" s="49" t="s">
        <v>74</v>
      </c>
      <c r="U1051" s="7" t="s">
        <v>75</v>
      </c>
      <c r="V1051" s="7"/>
      <c r="W1051" s="44">
        <v>3.33</v>
      </c>
      <c r="X1051" s="49" t="s">
        <v>8075</v>
      </c>
      <c r="Y1051" s="49" t="s">
        <v>5022</v>
      </c>
      <c r="Z1051" s="49" t="s">
        <v>1510</v>
      </c>
      <c r="AA1051" s="61">
        <v>0.65</v>
      </c>
      <c r="AB1051" s="48" t="s">
        <v>14094</v>
      </c>
      <c r="AC1051" s="62" t="s">
        <v>14089</v>
      </c>
      <c r="AD1051" s="53" t="str">
        <f t="shared" si="765"/>
        <v>Link</v>
      </c>
      <c r="AE1051" s="54">
        <v>18005</v>
      </c>
      <c r="AF1051" s="55"/>
      <c r="AG1051" s="7"/>
      <c r="AH1051" s="56">
        <v>139931</v>
      </c>
      <c r="AI1051" s="85"/>
      <c r="AJ1051" s="56"/>
    </row>
    <row r="1052" spans="1:36" ht="15" x14ac:dyDescent="0.2">
      <c r="A1052" s="43" t="s">
        <v>13963</v>
      </c>
      <c r="B1052" s="47" t="s">
        <v>871</v>
      </c>
      <c r="C1052" s="7" t="s">
        <v>67</v>
      </c>
      <c r="D1052" s="7" t="s">
        <v>14119</v>
      </c>
      <c r="E1052" s="44">
        <v>5</v>
      </c>
      <c r="F1052" s="7"/>
      <c r="G1052" s="7"/>
      <c r="H1052" s="2" t="s">
        <v>14082</v>
      </c>
      <c r="I1052" s="7" t="s">
        <v>3715</v>
      </c>
      <c r="J1052" s="7" t="s">
        <v>14120</v>
      </c>
      <c r="K1052" s="7" t="s">
        <v>55</v>
      </c>
      <c r="L1052" s="7" t="s">
        <v>14121</v>
      </c>
      <c r="M1052" s="7" t="s">
        <v>14122</v>
      </c>
      <c r="N1052" s="45" t="str">
        <f t="shared" si="763"/>
        <v>@GSAthletics_SB</v>
      </c>
      <c r="O1052" s="45" t="str">
        <f t="shared" si="764"/>
        <v>Questionnaire</v>
      </c>
      <c r="P1052" s="48" t="s">
        <v>14089</v>
      </c>
      <c r="Q1052" s="47" t="s">
        <v>871</v>
      </c>
      <c r="R1052" s="48" t="s">
        <v>14090</v>
      </c>
      <c r="S1052" s="48" t="s">
        <v>468</v>
      </c>
      <c r="T1052" s="49" t="s">
        <v>74</v>
      </c>
      <c r="U1052" s="7" t="s">
        <v>75</v>
      </c>
      <c r="V1052" s="7"/>
      <c r="W1052" s="44">
        <v>3.33</v>
      </c>
      <c r="X1052" s="49" t="s">
        <v>8075</v>
      </c>
      <c r="Y1052" s="49" t="s">
        <v>5022</v>
      </c>
      <c r="Z1052" s="49" t="s">
        <v>1510</v>
      </c>
      <c r="AA1052" s="61">
        <v>0.65</v>
      </c>
      <c r="AB1052" s="48" t="s">
        <v>14094</v>
      </c>
      <c r="AC1052" s="62" t="s">
        <v>14089</v>
      </c>
      <c r="AD1052" s="53" t="str">
        <f t="shared" si="765"/>
        <v>Link</v>
      </c>
      <c r="AE1052" s="54">
        <v>18005</v>
      </c>
      <c r="AF1052" s="55"/>
      <c r="AG1052" s="7"/>
      <c r="AH1052" s="56">
        <v>139931</v>
      </c>
      <c r="AI1052" s="85"/>
      <c r="AJ1052" s="56"/>
    </row>
    <row r="1053" spans="1:36" ht="15" x14ac:dyDescent="0.2">
      <c r="A1053" s="43" t="s">
        <v>13963</v>
      </c>
      <c r="B1053" s="47" t="s">
        <v>871</v>
      </c>
      <c r="C1053" s="7" t="s">
        <v>67</v>
      </c>
      <c r="D1053" s="57" t="s">
        <v>14126</v>
      </c>
      <c r="E1053" s="58">
        <v>5</v>
      </c>
      <c r="F1053" s="7" t="s">
        <v>116</v>
      </c>
      <c r="G1053" s="7"/>
      <c r="H1053" s="2" t="s">
        <v>14082</v>
      </c>
      <c r="I1053" s="7" t="s">
        <v>14128</v>
      </c>
      <c r="J1053" s="7" t="s">
        <v>14129</v>
      </c>
      <c r="K1053" s="7" t="s">
        <v>120</v>
      </c>
      <c r="L1053" s="7"/>
      <c r="M1053" s="7"/>
      <c r="N1053" s="45" t="str">
        <f t="shared" si="763"/>
        <v>@GSAthletics_SB</v>
      </c>
      <c r="O1053" s="45" t="str">
        <f t="shared" si="764"/>
        <v>Questionnaire</v>
      </c>
      <c r="P1053" s="48" t="s">
        <v>14089</v>
      </c>
      <c r="Q1053" s="47" t="s">
        <v>871</v>
      </c>
      <c r="R1053" s="48" t="s">
        <v>14090</v>
      </c>
      <c r="S1053" s="48" t="s">
        <v>468</v>
      </c>
      <c r="T1053" s="49" t="s">
        <v>74</v>
      </c>
      <c r="U1053" s="7" t="s">
        <v>75</v>
      </c>
      <c r="V1053" s="7"/>
      <c r="W1053" s="44">
        <v>3.33</v>
      </c>
      <c r="X1053" s="49" t="s">
        <v>8075</v>
      </c>
      <c r="Y1053" s="49" t="s">
        <v>5022</v>
      </c>
      <c r="Z1053" s="49" t="s">
        <v>1510</v>
      </c>
      <c r="AA1053" s="61">
        <v>0.65</v>
      </c>
      <c r="AB1053" s="48" t="s">
        <v>14094</v>
      </c>
      <c r="AC1053" s="62" t="s">
        <v>14089</v>
      </c>
      <c r="AD1053" s="53" t="str">
        <f t="shared" si="765"/>
        <v>Link</v>
      </c>
      <c r="AE1053" s="54">
        <v>18005</v>
      </c>
      <c r="AF1053" s="55"/>
      <c r="AG1053" s="7"/>
      <c r="AH1053" s="56">
        <v>139931</v>
      </c>
      <c r="AI1053" s="59"/>
      <c r="AJ1053" s="59"/>
    </row>
    <row r="1054" spans="1:36" ht="15" x14ac:dyDescent="0.2">
      <c r="A1054" s="43" t="s">
        <v>13963</v>
      </c>
      <c r="B1054" s="47" t="s">
        <v>871</v>
      </c>
      <c r="C1054" s="7" t="s">
        <v>67</v>
      </c>
      <c r="D1054" s="7" t="s">
        <v>14140</v>
      </c>
      <c r="E1054" s="44">
        <v>5</v>
      </c>
      <c r="F1054" s="7"/>
      <c r="G1054" s="7"/>
      <c r="H1054" s="2" t="s">
        <v>14144</v>
      </c>
      <c r="I1054" s="7" t="s">
        <v>14147</v>
      </c>
      <c r="J1054" s="7" t="s">
        <v>14148</v>
      </c>
      <c r="K1054" s="7" t="s">
        <v>48</v>
      </c>
      <c r="L1054" s="7" t="s">
        <v>14149</v>
      </c>
      <c r="M1054" s="7" t="s">
        <v>14150</v>
      </c>
      <c r="N1054" s="45" t="str">
        <f t="shared" ref="N1054:N1056" si="766">HYPERLINK("twitter.com/GSU_Softball","@GSU_Softball")</f>
        <v>@GSU_Softball</v>
      </c>
      <c r="O1054" s="45" t="str">
        <f t="shared" ref="O1054:O1056" si="767">HYPERLINK("http://www.georgiastatesports.com/ViewArticle.dbml?DB_OEM_ID=12700&amp;ATCLID=204887909","Questionnaire")</f>
        <v>Questionnaire</v>
      </c>
      <c r="P1054" s="48" t="s">
        <v>14156</v>
      </c>
      <c r="Q1054" s="47" t="s">
        <v>871</v>
      </c>
      <c r="R1054" s="48" t="s">
        <v>887</v>
      </c>
      <c r="S1054" s="48" t="s">
        <v>354</v>
      </c>
      <c r="T1054" s="49" t="s">
        <v>74</v>
      </c>
      <c r="U1054" s="7" t="s">
        <v>75</v>
      </c>
      <c r="V1054" s="7"/>
      <c r="W1054" s="44">
        <v>3.4</v>
      </c>
      <c r="X1054" s="49" t="s">
        <v>675</v>
      </c>
      <c r="Y1054" s="49" t="s">
        <v>1648</v>
      </c>
      <c r="Z1054" s="49" t="s">
        <v>278</v>
      </c>
      <c r="AA1054" s="61">
        <v>0.59</v>
      </c>
      <c r="AB1054" s="48" t="s">
        <v>14157</v>
      </c>
      <c r="AC1054" s="62" t="s">
        <v>14156</v>
      </c>
      <c r="AD1054" s="53" t="str">
        <f t="shared" ref="AD1054:AD1056" si="768">HYPERLINK("http://www.gsu.edu/program-cards/","Link")</f>
        <v>Link</v>
      </c>
      <c r="AE1054" s="54">
        <v>25228</v>
      </c>
      <c r="AF1054" s="54">
        <v>223</v>
      </c>
      <c r="AG1054" s="7"/>
      <c r="AH1054" s="56">
        <v>139940</v>
      </c>
      <c r="AI1054" s="85"/>
      <c r="AJ1054" s="56"/>
    </row>
    <row r="1055" spans="1:36" ht="15" x14ac:dyDescent="0.2">
      <c r="A1055" s="43" t="s">
        <v>13963</v>
      </c>
      <c r="B1055" s="47" t="s">
        <v>871</v>
      </c>
      <c r="C1055" s="7" t="s">
        <v>67</v>
      </c>
      <c r="D1055" s="7" t="s">
        <v>14162</v>
      </c>
      <c r="E1055" s="44">
        <v>5</v>
      </c>
      <c r="F1055" s="7"/>
      <c r="G1055" s="7"/>
      <c r="H1055" s="2" t="s">
        <v>14144</v>
      </c>
      <c r="I1055" s="7" t="s">
        <v>2200</v>
      </c>
      <c r="J1055" s="7" t="s">
        <v>14165</v>
      </c>
      <c r="K1055" s="7" t="s">
        <v>55</v>
      </c>
      <c r="L1055" s="7" t="s">
        <v>14166</v>
      </c>
      <c r="M1055" s="7" t="s">
        <v>14150</v>
      </c>
      <c r="N1055" s="45" t="str">
        <f t="shared" si="766"/>
        <v>@GSU_Softball</v>
      </c>
      <c r="O1055" s="45" t="str">
        <f t="shared" si="767"/>
        <v>Questionnaire</v>
      </c>
      <c r="P1055" s="48" t="s">
        <v>14156</v>
      </c>
      <c r="Q1055" s="47" t="s">
        <v>871</v>
      </c>
      <c r="R1055" s="48" t="s">
        <v>887</v>
      </c>
      <c r="S1055" s="48" t="s">
        <v>354</v>
      </c>
      <c r="T1055" s="49" t="s">
        <v>74</v>
      </c>
      <c r="U1055" s="7" t="s">
        <v>75</v>
      </c>
      <c r="V1055" s="7"/>
      <c r="W1055" s="44">
        <v>3.4</v>
      </c>
      <c r="X1055" s="49" t="s">
        <v>675</v>
      </c>
      <c r="Y1055" s="49" t="s">
        <v>1648</v>
      </c>
      <c r="Z1055" s="49" t="s">
        <v>278</v>
      </c>
      <c r="AA1055" s="61">
        <v>0.59</v>
      </c>
      <c r="AB1055" s="48" t="s">
        <v>14157</v>
      </c>
      <c r="AC1055" s="62" t="s">
        <v>14156</v>
      </c>
      <c r="AD1055" s="53" t="str">
        <f t="shared" si="768"/>
        <v>Link</v>
      </c>
      <c r="AE1055" s="54">
        <v>25228</v>
      </c>
      <c r="AF1055" s="54">
        <v>223</v>
      </c>
      <c r="AG1055" s="7"/>
      <c r="AH1055" s="56">
        <v>139940</v>
      </c>
      <c r="AI1055" s="85"/>
      <c r="AJ1055" s="56"/>
    </row>
    <row r="1056" spans="1:36" ht="15" x14ac:dyDescent="0.2">
      <c r="A1056" s="43" t="s">
        <v>13963</v>
      </c>
      <c r="B1056" s="47" t="s">
        <v>871</v>
      </c>
      <c r="C1056" s="7" t="s">
        <v>67</v>
      </c>
      <c r="D1056" s="7" t="s">
        <v>14171</v>
      </c>
      <c r="E1056" s="44">
        <v>5</v>
      </c>
      <c r="F1056" s="7"/>
      <c r="G1056" s="7"/>
      <c r="H1056" s="2" t="s">
        <v>14144</v>
      </c>
      <c r="I1056" s="7" t="s">
        <v>338</v>
      </c>
      <c r="J1056" s="7" t="s">
        <v>14174</v>
      </c>
      <c r="K1056" s="7" t="s">
        <v>55</v>
      </c>
      <c r="L1056" s="7"/>
      <c r="M1056" s="7"/>
      <c r="N1056" s="45" t="str">
        <f t="shared" si="766"/>
        <v>@GSU_Softball</v>
      </c>
      <c r="O1056" s="45" t="str">
        <f t="shared" si="767"/>
        <v>Questionnaire</v>
      </c>
      <c r="P1056" s="48" t="s">
        <v>14156</v>
      </c>
      <c r="Q1056" s="47" t="s">
        <v>871</v>
      </c>
      <c r="R1056" s="48" t="s">
        <v>887</v>
      </c>
      <c r="S1056" s="48" t="s">
        <v>354</v>
      </c>
      <c r="T1056" s="49" t="s">
        <v>74</v>
      </c>
      <c r="U1056" s="7" t="s">
        <v>75</v>
      </c>
      <c r="V1056" s="7"/>
      <c r="W1056" s="44">
        <v>3.4</v>
      </c>
      <c r="X1056" s="49" t="s">
        <v>675</v>
      </c>
      <c r="Y1056" s="49" t="s">
        <v>1648</v>
      </c>
      <c r="Z1056" s="49" t="s">
        <v>278</v>
      </c>
      <c r="AA1056" s="61">
        <v>0.59</v>
      </c>
      <c r="AB1056" s="48" t="s">
        <v>14157</v>
      </c>
      <c r="AC1056" s="62" t="s">
        <v>14156</v>
      </c>
      <c r="AD1056" s="53" t="str">
        <f t="shared" si="768"/>
        <v>Link</v>
      </c>
      <c r="AE1056" s="54">
        <v>25228</v>
      </c>
      <c r="AF1056" s="54">
        <v>223</v>
      </c>
      <c r="AG1056" s="7"/>
      <c r="AH1056" s="56">
        <v>139940</v>
      </c>
      <c r="AI1056" s="85"/>
      <c r="AJ1056" s="56"/>
    </row>
    <row r="1057" spans="1:36" ht="15" x14ac:dyDescent="0.2">
      <c r="A1057" s="43" t="s">
        <v>13963</v>
      </c>
      <c r="B1057" s="47" t="s">
        <v>3623</v>
      </c>
      <c r="C1057" s="7" t="s">
        <v>67</v>
      </c>
      <c r="D1057" s="7" t="s">
        <v>14179</v>
      </c>
      <c r="E1057" s="44">
        <v>5</v>
      </c>
      <c r="F1057" s="7"/>
      <c r="G1057" s="7"/>
      <c r="H1057" s="2" t="s">
        <v>14180</v>
      </c>
      <c r="I1057" s="7" t="s">
        <v>7956</v>
      </c>
      <c r="J1057" s="7" t="s">
        <v>14181</v>
      </c>
      <c r="K1057" s="7" t="s">
        <v>48</v>
      </c>
      <c r="L1057" s="7" t="s">
        <v>14182</v>
      </c>
      <c r="M1057" s="7" t="s">
        <v>14185</v>
      </c>
      <c r="N1057" s="45" t="str">
        <f t="shared" ref="N1057:N1060" si="769">HYPERLINK("twitter.com/@RAGINCAJUNSSB","@RAGINCAJUNSSB")</f>
        <v>@RAGINCAJUNSSB</v>
      </c>
      <c r="O1057" s="45" t="str">
        <f t="shared" ref="O1057:O1060" si="770">HYPERLINK("https://questionnaires.armssoftware.com/b5f46b4e9a65","Questionnaire")</f>
        <v>Questionnaire</v>
      </c>
      <c r="P1057" s="48" t="s">
        <v>14188</v>
      </c>
      <c r="Q1057" s="47" t="s">
        <v>3623</v>
      </c>
      <c r="R1057" s="48" t="s">
        <v>14189</v>
      </c>
      <c r="S1057" s="48" t="s">
        <v>238</v>
      </c>
      <c r="T1057" s="49" t="s">
        <v>74</v>
      </c>
      <c r="U1057" s="7" t="s">
        <v>75</v>
      </c>
      <c r="V1057" s="7"/>
      <c r="W1057" s="44">
        <v>3.3</v>
      </c>
      <c r="X1057" s="49" t="s">
        <v>2341</v>
      </c>
      <c r="Y1057" s="49" t="s">
        <v>2310</v>
      </c>
      <c r="Z1057" s="49" t="s">
        <v>1650</v>
      </c>
      <c r="AA1057" s="61">
        <v>0.51</v>
      </c>
      <c r="AB1057" s="48" t="s">
        <v>14193</v>
      </c>
      <c r="AC1057" s="62" t="s">
        <v>14188</v>
      </c>
      <c r="AD1057" s="53" t="str">
        <f t="shared" ref="AD1057:AD1060" si="771">HYPERLINK("https://louisiana.edu/academics/majors-degrees/alphabetical","Link")</f>
        <v>Link</v>
      </c>
      <c r="AE1057" s="54">
        <v>15998</v>
      </c>
      <c r="AF1057" s="55"/>
      <c r="AG1057" s="7"/>
      <c r="AH1057" s="56">
        <v>160658</v>
      </c>
      <c r="AI1057" s="85"/>
      <c r="AJ1057" s="56"/>
    </row>
    <row r="1058" spans="1:36" ht="15" x14ac:dyDescent="0.2">
      <c r="A1058" s="43" t="s">
        <v>13963</v>
      </c>
      <c r="B1058" s="47" t="s">
        <v>3623</v>
      </c>
      <c r="C1058" s="7" t="s">
        <v>67</v>
      </c>
      <c r="D1058" s="7" t="s">
        <v>14199</v>
      </c>
      <c r="E1058" s="44">
        <v>5</v>
      </c>
      <c r="F1058" s="7"/>
      <c r="G1058" s="7"/>
      <c r="H1058" s="2" t="s">
        <v>14180</v>
      </c>
      <c r="I1058" s="7" t="s">
        <v>7255</v>
      </c>
      <c r="J1058" s="7" t="s">
        <v>14200</v>
      </c>
      <c r="K1058" s="7" t="s">
        <v>55</v>
      </c>
      <c r="L1058" s="7"/>
      <c r="M1058" s="7" t="s">
        <v>14185</v>
      </c>
      <c r="N1058" s="45" t="str">
        <f t="shared" si="769"/>
        <v>@RAGINCAJUNSSB</v>
      </c>
      <c r="O1058" s="45" t="str">
        <f t="shared" si="770"/>
        <v>Questionnaire</v>
      </c>
      <c r="P1058" s="48" t="s">
        <v>14188</v>
      </c>
      <c r="Q1058" s="47" t="s">
        <v>3623</v>
      </c>
      <c r="R1058" s="48" t="s">
        <v>14189</v>
      </c>
      <c r="S1058" s="48" t="s">
        <v>238</v>
      </c>
      <c r="T1058" s="49" t="s">
        <v>74</v>
      </c>
      <c r="U1058" s="7" t="s">
        <v>75</v>
      </c>
      <c r="V1058" s="7"/>
      <c r="W1058" s="44">
        <v>3.3</v>
      </c>
      <c r="X1058" s="49" t="s">
        <v>2341</v>
      </c>
      <c r="Y1058" s="49" t="s">
        <v>2310</v>
      </c>
      <c r="Z1058" s="49" t="s">
        <v>1650</v>
      </c>
      <c r="AA1058" s="61">
        <v>0.51</v>
      </c>
      <c r="AB1058" s="48" t="s">
        <v>14193</v>
      </c>
      <c r="AC1058" s="62" t="s">
        <v>14188</v>
      </c>
      <c r="AD1058" s="53" t="str">
        <f t="shared" si="771"/>
        <v>Link</v>
      </c>
      <c r="AE1058" s="54">
        <v>15998</v>
      </c>
      <c r="AF1058" s="55"/>
      <c r="AG1058" s="7"/>
      <c r="AH1058" s="56">
        <v>160658</v>
      </c>
      <c r="AI1058" s="85"/>
      <c r="AJ1058" s="56"/>
    </row>
    <row r="1059" spans="1:36" ht="15" x14ac:dyDescent="0.2">
      <c r="A1059" s="43" t="s">
        <v>13963</v>
      </c>
      <c r="B1059" s="47" t="s">
        <v>3623</v>
      </c>
      <c r="C1059" s="7" t="s">
        <v>67</v>
      </c>
      <c r="D1059" s="7" t="s">
        <v>14207</v>
      </c>
      <c r="E1059" s="44">
        <v>5</v>
      </c>
      <c r="F1059" s="7"/>
      <c r="G1059" s="7"/>
      <c r="H1059" s="2" t="s">
        <v>14180</v>
      </c>
      <c r="I1059" s="7" t="s">
        <v>754</v>
      </c>
      <c r="J1059" s="7" t="s">
        <v>509</v>
      </c>
      <c r="K1059" s="7" t="s">
        <v>55</v>
      </c>
      <c r="L1059" s="7"/>
      <c r="M1059" s="7" t="s">
        <v>14185</v>
      </c>
      <c r="N1059" s="45" t="str">
        <f t="shared" si="769"/>
        <v>@RAGINCAJUNSSB</v>
      </c>
      <c r="O1059" s="45" t="str">
        <f t="shared" si="770"/>
        <v>Questionnaire</v>
      </c>
      <c r="P1059" s="48" t="s">
        <v>14188</v>
      </c>
      <c r="Q1059" s="47" t="s">
        <v>3623</v>
      </c>
      <c r="R1059" s="48" t="s">
        <v>14189</v>
      </c>
      <c r="S1059" s="48" t="s">
        <v>238</v>
      </c>
      <c r="T1059" s="49" t="s">
        <v>74</v>
      </c>
      <c r="U1059" s="7" t="s">
        <v>75</v>
      </c>
      <c r="V1059" s="7"/>
      <c r="W1059" s="44">
        <v>3.3</v>
      </c>
      <c r="X1059" s="49" t="s">
        <v>2341</v>
      </c>
      <c r="Y1059" s="49" t="s">
        <v>2310</v>
      </c>
      <c r="Z1059" s="49" t="s">
        <v>1650</v>
      </c>
      <c r="AA1059" s="61">
        <v>0.51</v>
      </c>
      <c r="AB1059" s="48" t="s">
        <v>14193</v>
      </c>
      <c r="AC1059" s="62" t="s">
        <v>14188</v>
      </c>
      <c r="AD1059" s="53" t="str">
        <f t="shared" si="771"/>
        <v>Link</v>
      </c>
      <c r="AE1059" s="54">
        <v>15998</v>
      </c>
      <c r="AF1059" s="55"/>
      <c r="AG1059" s="7"/>
      <c r="AH1059" s="56">
        <v>160658</v>
      </c>
      <c r="AI1059" s="85"/>
      <c r="AJ1059" s="56"/>
    </row>
    <row r="1060" spans="1:36" ht="15" x14ac:dyDescent="0.2">
      <c r="A1060" s="43" t="s">
        <v>13963</v>
      </c>
      <c r="B1060" s="47" t="s">
        <v>3623</v>
      </c>
      <c r="C1060" s="7" t="s">
        <v>67</v>
      </c>
      <c r="D1060" s="7" t="s">
        <v>14212</v>
      </c>
      <c r="E1060" s="44">
        <v>5</v>
      </c>
      <c r="F1060" s="7"/>
      <c r="G1060" s="7"/>
      <c r="H1060" s="2" t="s">
        <v>14180</v>
      </c>
      <c r="I1060" s="7" t="s">
        <v>14215</v>
      </c>
      <c r="J1060" s="7" t="s">
        <v>14216</v>
      </c>
      <c r="K1060" s="7" t="s">
        <v>139</v>
      </c>
      <c r="L1060" s="7"/>
      <c r="M1060" s="7"/>
      <c r="N1060" s="45" t="str">
        <f t="shared" si="769"/>
        <v>@RAGINCAJUNSSB</v>
      </c>
      <c r="O1060" s="45" t="str">
        <f t="shared" si="770"/>
        <v>Questionnaire</v>
      </c>
      <c r="P1060" s="48" t="s">
        <v>14188</v>
      </c>
      <c r="Q1060" s="47" t="s">
        <v>3623</v>
      </c>
      <c r="R1060" s="48" t="s">
        <v>14189</v>
      </c>
      <c r="S1060" s="48" t="s">
        <v>238</v>
      </c>
      <c r="T1060" s="49" t="s">
        <v>74</v>
      </c>
      <c r="U1060" s="7" t="s">
        <v>75</v>
      </c>
      <c r="V1060" s="7"/>
      <c r="W1060" s="44">
        <v>3.3</v>
      </c>
      <c r="X1060" s="49" t="s">
        <v>2341</v>
      </c>
      <c r="Y1060" s="49" t="s">
        <v>2310</v>
      </c>
      <c r="Z1060" s="49" t="s">
        <v>1650</v>
      </c>
      <c r="AA1060" s="61">
        <v>0.51</v>
      </c>
      <c r="AB1060" s="48" t="s">
        <v>14193</v>
      </c>
      <c r="AC1060" s="62" t="s">
        <v>14188</v>
      </c>
      <c r="AD1060" s="53" t="str">
        <f t="shared" si="771"/>
        <v>Link</v>
      </c>
      <c r="AE1060" s="54">
        <v>15998</v>
      </c>
      <c r="AF1060" s="55"/>
      <c r="AG1060" s="7"/>
      <c r="AH1060" s="56">
        <v>160658</v>
      </c>
      <c r="AI1060" s="85"/>
      <c r="AJ1060" s="56"/>
    </row>
    <row r="1061" spans="1:36" ht="15" x14ac:dyDescent="0.2">
      <c r="A1061" s="43" t="s">
        <v>13963</v>
      </c>
      <c r="B1061" s="47" t="s">
        <v>3623</v>
      </c>
      <c r="C1061" s="7" t="s">
        <v>67</v>
      </c>
      <c r="D1061" s="7" t="s">
        <v>14223</v>
      </c>
      <c r="E1061" s="44">
        <v>5</v>
      </c>
      <c r="F1061" s="7"/>
      <c r="G1061" s="7"/>
      <c r="H1061" s="2" t="s">
        <v>14225</v>
      </c>
      <c r="I1061" s="7" t="s">
        <v>1056</v>
      </c>
      <c r="J1061" s="7" t="s">
        <v>14227</v>
      </c>
      <c r="K1061" s="7" t="s">
        <v>48</v>
      </c>
      <c r="L1061" s="7" t="s">
        <v>14229</v>
      </c>
      <c r="M1061" s="36" t="s">
        <v>14230</v>
      </c>
      <c r="N1061" s="74" t="str">
        <f t="shared" ref="N1061:N1065" si="772">HYPERLINK("twitter.com/ULM_Softball","@ULM_Softball")</f>
        <v>@ULM_Softball</v>
      </c>
      <c r="O1061" s="48" t="s">
        <v>22</v>
      </c>
      <c r="P1061" s="48" t="s">
        <v>14232</v>
      </c>
      <c r="Q1061" s="47" t="s">
        <v>3623</v>
      </c>
      <c r="R1061" s="48" t="s">
        <v>6439</v>
      </c>
      <c r="S1061" s="48" t="s">
        <v>468</v>
      </c>
      <c r="T1061" s="49" t="s">
        <v>74</v>
      </c>
      <c r="U1061" s="7" t="s">
        <v>75</v>
      </c>
      <c r="V1061" s="7"/>
      <c r="W1061" s="44">
        <v>3.41</v>
      </c>
      <c r="X1061" s="49" t="s">
        <v>14236</v>
      </c>
      <c r="Y1061" s="49" t="s">
        <v>14237</v>
      </c>
      <c r="Z1061" s="49" t="s">
        <v>1994</v>
      </c>
      <c r="AA1061" s="61">
        <v>0.76</v>
      </c>
      <c r="AB1061" s="48" t="s">
        <v>14239</v>
      </c>
      <c r="AC1061" s="62" t="s">
        <v>14232</v>
      </c>
      <c r="AD1061" s="53" t="str">
        <f t="shared" ref="AD1061:AD1065" si="773">HYPERLINK("http://www.ulm.edu/majors/","Link")</f>
        <v>Link</v>
      </c>
      <c r="AE1061" s="54">
        <v>7778</v>
      </c>
      <c r="AF1061" s="55"/>
      <c r="AG1061" s="7"/>
      <c r="AH1061" s="56">
        <v>159993</v>
      </c>
      <c r="AI1061" s="85"/>
      <c r="AJ1061" s="56"/>
    </row>
    <row r="1062" spans="1:36" ht="15" x14ac:dyDescent="0.2">
      <c r="A1062" s="43" t="s">
        <v>13963</v>
      </c>
      <c r="B1062" s="47" t="s">
        <v>3623</v>
      </c>
      <c r="C1062" s="7" t="s">
        <v>67</v>
      </c>
      <c r="D1062" s="7" t="s">
        <v>14245</v>
      </c>
      <c r="E1062" s="44">
        <v>5</v>
      </c>
      <c r="F1062" s="7"/>
      <c r="G1062" s="7"/>
      <c r="H1062" s="2" t="s">
        <v>14225</v>
      </c>
      <c r="I1062" s="7" t="s">
        <v>201</v>
      </c>
      <c r="J1062" s="7" t="s">
        <v>2583</v>
      </c>
      <c r="K1062" s="7" t="s">
        <v>55</v>
      </c>
      <c r="L1062" s="7" t="s">
        <v>14246</v>
      </c>
      <c r="M1062" s="7" t="s">
        <v>14247</v>
      </c>
      <c r="N1062" s="74" t="str">
        <f t="shared" si="772"/>
        <v>@ULM_Softball</v>
      </c>
      <c r="O1062" s="48" t="s">
        <v>22</v>
      </c>
      <c r="P1062" s="48" t="s">
        <v>14232</v>
      </c>
      <c r="Q1062" s="47" t="s">
        <v>3623</v>
      </c>
      <c r="R1062" s="48" t="s">
        <v>6439</v>
      </c>
      <c r="S1062" s="48" t="s">
        <v>468</v>
      </c>
      <c r="T1062" s="49" t="s">
        <v>74</v>
      </c>
      <c r="U1062" s="7" t="s">
        <v>75</v>
      </c>
      <c r="V1062" s="7"/>
      <c r="W1062" s="44">
        <v>3.41</v>
      </c>
      <c r="X1062" s="49" t="s">
        <v>14236</v>
      </c>
      <c r="Y1062" s="49" t="s">
        <v>14237</v>
      </c>
      <c r="Z1062" s="49" t="s">
        <v>1994</v>
      </c>
      <c r="AA1062" s="61">
        <v>0.76</v>
      </c>
      <c r="AB1062" s="48" t="s">
        <v>14239</v>
      </c>
      <c r="AC1062" s="62" t="s">
        <v>14232</v>
      </c>
      <c r="AD1062" s="53" t="str">
        <f t="shared" si="773"/>
        <v>Link</v>
      </c>
      <c r="AE1062" s="54">
        <v>7778</v>
      </c>
      <c r="AF1062" s="55"/>
      <c r="AG1062" s="7"/>
      <c r="AH1062" s="56">
        <v>159993</v>
      </c>
      <c r="AI1062" s="85"/>
      <c r="AJ1062" s="56"/>
    </row>
    <row r="1063" spans="1:36" ht="15" x14ac:dyDescent="0.2">
      <c r="A1063" s="43" t="s">
        <v>13963</v>
      </c>
      <c r="B1063" s="47" t="s">
        <v>3623</v>
      </c>
      <c r="C1063" s="7" t="s">
        <v>67</v>
      </c>
      <c r="D1063" s="7" t="s">
        <v>14255</v>
      </c>
      <c r="E1063" s="44">
        <v>5</v>
      </c>
      <c r="F1063" s="7"/>
      <c r="G1063" s="7"/>
      <c r="H1063" s="2" t="s">
        <v>14225</v>
      </c>
      <c r="I1063" s="7" t="s">
        <v>14256</v>
      </c>
      <c r="J1063" s="7" t="s">
        <v>14257</v>
      </c>
      <c r="K1063" s="7" t="s">
        <v>55</v>
      </c>
      <c r="L1063" s="7" t="s">
        <v>14258</v>
      </c>
      <c r="M1063" s="7" t="s">
        <v>14247</v>
      </c>
      <c r="N1063" s="74" t="str">
        <f t="shared" si="772"/>
        <v>@ULM_Softball</v>
      </c>
      <c r="O1063" s="48" t="s">
        <v>22</v>
      </c>
      <c r="P1063" s="48" t="s">
        <v>14232</v>
      </c>
      <c r="Q1063" s="47" t="s">
        <v>3623</v>
      </c>
      <c r="R1063" s="48" t="s">
        <v>6439</v>
      </c>
      <c r="S1063" s="48" t="s">
        <v>468</v>
      </c>
      <c r="T1063" s="49" t="s">
        <v>74</v>
      </c>
      <c r="U1063" s="7" t="s">
        <v>75</v>
      </c>
      <c r="V1063" s="7"/>
      <c r="W1063" s="44">
        <v>3.41</v>
      </c>
      <c r="X1063" s="49" t="s">
        <v>14236</v>
      </c>
      <c r="Y1063" s="49" t="s">
        <v>14237</v>
      </c>
      <c r="Z1063" s="49" t="s">
        <v>1994</v>
      </c>
      <c r="AA1063" s="61">
        <v>0.76</v>
      </c>
      <c r="AB1063" s="48" t="s">
        <v>14239</v>
      </c>
      <c r="AC1063" s="62" t="s">
        <v>14232</v>
      </c>
      <c r="AD1063" s="53" t="str">
        <f t="shared" si="773"/>
        <v>Link</v>
      </c>
      <c r="AE1063" s="54">
        <v>7778</v>
      </c>
      <c r="AF1063" s="55"/>
      <c r="AG1063" s="7"/>
      <c r="AH1063" s="56">
        <v>159993</v>
      </c>
      <c r="AI1063" s="85"/>
      <c r="AJ1063" s="56"/>
    </row>
    <row r="1064" spans="1:36" ht="15" x14ac:dyDescent="0.2">
      <c r="A1064" s="43" t="s">
        <v>13963</v>
      </c>
      <c r="B1064" s="47" t="s">
        <v>3623</v>
      </c>
      <c r="C1064" s="7" t="s">
        <v>67</v>
      </c>
      <c r="D1064" s="7" t="s">
        <v>14266</v>
      </c>
      <c r="E1064" s="44">
        <v>5</v>
      </c>
      <c r="F1064" s="7"/>
      <c r="G1064" s="7"/>
      <c r="H1064" s="2" t="s">
        <v>14225</v>
      </c>
      <c r="I1064" s="7" t="s">
        <v>4123</v>
      </c>
      <c r="J1064" s="7" t="s">
        <v>3984</v>
      </c>
      <c r="K1064" s="7" t="s">
        <v>154</v>
      </c>
      <c r="L1064" s="7" t="s">
        <v>14267</v>
      </c>
      <c r="M1064" s="7" t="s">
        <v>14247</v>
      </c>
      <c r="N1064" s="74" t="str">
        <f t="shared" si="772"/>
        <v>@ULM_Softball</v>
      </c>
      <c r="O1064" s="48" t="s">
        <v>22</v>
      </c>
      <c r="P1064" s="48" t="s">
        <v>14232</v>
      </c>
      <c r="Q1064" s="47" t="s">
        <v>3623</v>
      </c>
      <c r="R1064" s="48" t="s">
        <v>6439</v>
      </c>
      <c r="S1064" s="48" t="s">
        <v>468</v>
      </c>
      <c r="T1064" s="49" t="s">
        <v>74</v>
      </c>
      <c r="U1064" s="7" t="s">
        <v>75</v>
      </c>
      <c r="V1064" s="7"/>
      <c r="W1064" s="44">
        <v>3.41</v>
      </c>
      <c r="X1064" s="49" t="s">
        <v>14236</v>
      </c>
      <c r="Y1064" s="49" t="s">
        <v>14237</v>
      </c>
      <c r="Z1064" s="49" t="s">
        <v>1994</v>
      </c>
      <c r="AA1064" s="61">
        <v>0.76</v>
      </c>
      <c r="AB1064" s="48" t="s">
        <v>14239</v>
      </c>
      <c r="AC1064" s="62" t="s">
        <v>14232</v>
      </c>
      <c r="AD1064" s="53" t="str">
        <f t="shared" si="773"/>
        <v>Link</v>
      </c>
      <c r="AE1064" s="54">
        <v>7778</v>
      </c>
      <c r="AF1064" s="55"/>
      <c r="AG1064" s="7"/>
      <c r="AH1064" s="56">
        <v>159993</v>
      </c>
      <c r="AI1064" s="85"/>
      <c r="AJ1064" s="56"/>
    </row>
    <row r="1065" spans="1:36" ht="15" x14ac:dyDescent="0.2">
      <c r="A1065" s="43" t="s">
        <v>13963</v>
      </c>
      <c r="B1065" s="47" t="s">
        <v>3623</v>
      </c>
      <c r="C1065" s="7" t="s">
        <v>67</v>
      </c>
      <c r="D1065" s="57" t="s">
        <v>14279</v>
      </c>
      <c r="E1065" s="58">
        <v>5</v>
      </c>
      <c r="F1065" s="7" t="s">
        <v>116</v>
      </c>
      <c r="G1065" s="7"/>
      <c r="H1065" s="2" t="s">
        <v>14225</v>
      </c>
      <c r="I1065" s="7" t="s">
        <v>306</v>
      </c>
      <c r="J1065" s="7" t="s">
        <v>5025</v>
      </c>
      <c r="K1065" s="7" t="s">
        <v>120</v>
      </c>
      <c r="L1065" s="7"/>
      <c r="M1065" s="7"/>
      <c r="N1065" s="74" t="str">
        <f t="shared" si="772"/>
        <v>@ULM_Softball</v>
      </c>
      <c r="O1065" s="48" t="s">
        <v>22</v>
      </c>
      <c r="P1065" s="48" t="s">
        <v>14232</v>
      </c>
      <c r="Q1065" s="47" t="s">
        <v>3623</v>
      </c>
      <c r="R1065" s="48" t="s">
        <v>6439</v>
      </c>
      <c r="S1065" s="48" t="s">
        <v>468</v>
      </c>
      <c r="T1065" s="49" t="s">
        <v>74</v>
      </c>
      <c r="U1065" s="7" t="s">
        <v>75</v>
      </c>
      <c r="V1065" s="7"/>
      <c r="W1065" s="44">
        <v>3.41</v>
      </c>
      <c r="X1065" s="49" t="s">
        <v>14236</v>
      </c>
      <c r="Y1065" s="49" t="s">
        <v>14237</v>
      </c>
      <c r="Z1065" s="49" t="s">
        <v>1994</v>
      </c>
      <c r="AA1065" s="61">
        <v>0.76</v>
      </c>
      <c r="AB1065" s="48" t="s">
        <v>14239</v>
      </c>
      <c r="AC1065" s="62" t="s">
        <v>14232</v>
      </c>
      <c r="AD1065" s="53" t="str">
        <f t="shared" si="773"/>
        <v>Link</v>
      </c>
      <c r="AE1065" s="54">
        <v>7778</v>
      </c>
      <c r="AF1065" s="55"/>
      <c r="AG1065" s="7"/>
      <c r="AH1065" s="56">
        <v>159993</v>
      </c>
      <c r="AI1065" s="59"/>
      <c r="AJ1065" s="59"/>
    </row>
    <row r="1066" spans="1:36" ht="15" x14ac:dyDescent="0.2">
      <c r="A1066" s="43" t="s">
        <v>13963</v>
      </c>
      <c r="B1066" s="47" t="s">
        <v>59</v>
      </c>
      <c r="C1066" s="7" t="s">
        <v>67</v>
      </c>
      <c r="D1066" s="7" t="s">
        <v>14285</v>
      </c>
      <c r="E1066" s="44">
        <v>5</v>
      </c>
      <c r="F1066" s="7"/>
      <c r="G1066" s="7"/>
      <c r="H1066" s="2" t="s">
        <v>14287</v>
      </c>
      <c r="I1066" s="7" t="s">
        <v>4419</v>
      </c>
      <c r="J1066" s="7" t="s">
        <v>3498</v>
      </c>
      <c r="K1066" s="7" t="s">
        <v>48</v>
      </c>
      <c r="L1066" s="7" t="s">
        <v>14288</v>
      </c>
      <c r="M1066" s="7" t="s">
        <v>14289</v>
      </c>
      <c r="N1066" s="45" t="str">
        <f t="shared" ref="N1066:N1070" si="774">HYPERLINK("twitter.com/wearesouth_sb","@wearesouth_sb")</f>
        <v>@wearesouth_sb</v>
      </c>
      <c r="O1066" s="45" t="str">
        <f t="shared" ref="O1066:O1070" si="775">HYPERLINK("https://questionnaires.armssoftware.com/911a581ba5f8","Questionnaire")</f>
        <v>Questionnaire</v>
      </c>
      <c r="P1066" s="48" t="s">
        <v>14299</v>
      </c>
      <c r="Q1066" s="47" t="s">
        <v>59</v>
      </c>
      <c r="R1066" s="48" t="s">
        <v>342</v>
      </c>
      <c r="S1066" s="48" t="s">
        <v>62</v>
      </c>
      <c r="T1066" s="49" t="s">
        <v>74</v>
      </c>
      <c r="U1066" s="7" t="s">
        <v>75</v>
      </c>
      <c r="V1066" s="7"/>
      <c r="W1066" s="44">
        <v>3.48</v>
      </c>
      <c r="X1066" s="49" t="s">
        <v>3013</v>
      </c>
      <c r="Y1066" s="49" t="s">
        <v>1029</v>
      </c>
      <c r="Z1066" s="49" t="s">
        <v>3995</v>
      </c>
      <c r="AA1066" s="61">
        <v>0.81</v>
      </c>
      <c r="AB1066" s="48" t="s">
        <v>14300</v>
      </c>
      <c r="AC1066" s="52" t="s">
        <v>14299</v>
      </c>
      <c r="AD1066" s="53" t="str">
        <f t="shared" ref="AD1066:AD1070" si="776">HYPERLINK("http://www.southalabama.edu/undergraduatemajors/","Link")</f>
        <v>Link</v>
      </c>
      <c r="AE1066" s="54">
        <v>11761</v>
      </c>
      <c r="AF1066" s="55"/>
      <c r="AG1066" s="7"/>
      <c r="AH1066" s="56">
        <v>102094</v>
      </c>
      <c r="AI1066" s="85"/>
      <c r="AJ1066" s="56"/>
    </row>
    <row r="1067" spans="1:36" ht="15" x14ac:dyDescent="0.2">
      <c r="A1067" s="43" t="s">
        <v>13963</v>
      </c>
      <c r="B1067" s="47" t="s">
        <v>59</v>
      </c>
      <c r="C1067" s="7" t="s">
        <v>67</v>
      </c>
      <c r="D1067" s="7" t="s">
        <v>14305</v>
      </c>
      <c r="E1067" s="44">
        <v>5</v>
      </c>
      <c r="F1067" s="7"/>
      <c r="G1067" s="7"/>
      <c r="H1067" s="2" t="s">
        <v>14287</v>
      </c>
      <c r="I1067" s="7" t="s">
        <v>557</v>
      </c>
      <c r="J1067" s="7" t="s">
        <v>14306</v>
      </c>
      <c r="K1067" s="7" t="s">
        <v>55</v>
      </c>
      <c r="L1067" s="7" t="s">
        <v>14308</v>
      </c>
      <c r="M1067" s="7" t="s">
        <v>14309</v>
      </c>
      <c r="N1067" s="45" t="str">
        <f t="shared" si="774"/>
        <v>@wearesouth_sb</v>
      </c>
      <c r="O1067" s="45" t="str">
        <f t="shared" si="775"/>
        <v>Questionnaire</v>
      </c>
      <c r="P1067" s="48" t="s">
        <v>14299</v>
      </c>
      <c r="Q1067" s="47" t="s">
        <v>59</v>
      </c>
      <c r="R1067" s="48" t="s">
        <v>342</v>
      </c>
      <c r="S1067" s="48" t="s">
        <v>62</v>
      </c>
      <c r="T1067" s="49" t="s">
        <v>74</v>
      </c>
      <c r="U1067" s="7" t="s">
        <v>75</v>
      </c>
      <c r="V1067" s="7"/>
      <c r="W1067" s="44">
        <v>3.48</v>
      </c>
      <c r="X1067" s="49" t="s">
        <v>3013</v>
      </c>
      <c r="Y1067" s="49" t="s">
        <v>1029</v>
      </c>
      <c r="Z1067" s="49" t="s">
        <v>3995</v>
      </c>
      <c r="AA1067" s="61">
        <v>0.81</v>
      </c>
      <c r="AB1067" s="48" t="s">
        <v>14300</v>
      </c>
      <c r="AC1067" s="52" t="s">
        <v>14299</v>
      </c>
      <c r="AD1067" s="53" t="str">
        <f t="shared" si="776"/>
        <v>Link</v>
      </c>
      <c r="AE1067" s="54">
        <v>11761</v>
      </c>
      <c r="AF1067" s="55"/>
      <c r="AG1067" s="7"/>
      <c r="AH1067" s="56">
        <v>102094</v>
      </c>
      <c r="AI1067" s="85"/>
      <c r="AJ1067" s="56"/>
    </row>
    <row r="1068" spans="1:36" ht="15" x14ac:dyDescent="0.2">
      <c r="A1068" s="43" t="s">
        <v>13963</v>
      </c>
      <c r="B1068" s="47" t="s">
        <v>59</v>
      </c>
      <c r="C1068" s="7" t="s">
        <v>67</v>
      </c>
      <c r="D1068" s="7" t="s">
        <v>14313</v>
      </c>
      <c r="E1068" s="44">
        <v>5</v>
      </c>
      <c r="F1068" s="7"/>
      <c r="G1068" s="7"/>
      <c r="H1068" s="2" t="s">
        <v>14287</v>
      </c>
      <c r="I1068" s="7" t="s">
        <v>1629</v>
      </c>
      <c r="J1068" s="7" t="s">
        <v>1448</v>
      </c>
      <c r="K1068" s="7" t="s">
        <v>55</v>
      </c>
      <c r="L1068" s="7" t="s">
        <v>14315</v>
      </c>
      <c r="M1068" s="7" t="s">
        <v>14316</v>
      </c>
      <c r="N1068" s="45" t="str">
        <f t="shared" si="774"/>
        <v>@wearesouth_sb</v>
      </c>
      <c r="O1068" s="45" t="str">
        <f t="shared" si="775"/>
        <v>Questionnaire</v>
      </c>
      <c r="P1068" s="48" t="s">
        <v>14299</v>
      </c>
      <c r="Q1068" s="47" t="s">
        <v>59</v>
      </c>
      <c r="R1068" s="48" t="s">
        <v>342</v>
      </c>
      <c r="S1068" s="48" t="s">
        <v>62</v>
      </c>
      <c r="T1068" s="49" t="s">
        <v>74</v>
      </c>
      <c r="U1068" s="7" t="s">
        <v>75</v>
      </c>
      <c r="V1068" s="7"/>
      <c r="W1068" s="44">
        <v>3.48</v>
      </c>
      <c r="X1068" s="49" t="s">
        <v>3013</v>
      </c>
      <c r="Y1068" s="49" t="s">
        <v>1029</v>
      </c>
      <c r="Z1068" s="49" t="s">
        <v>3995</v>
      </c>
      <c r="AA1068" s="61">
        <v>0.81</v>
      </c>
      <c r="AB1068" s="48" t="s">
        <v>14300</v>
      </c>
      <c r="AC1068" s="52" t="s">
        <v>14299</v>
      </c>
      <c r="AD1068" s="53" t="str">
        <f t="shared" si="776"/>
        <v>Link</v>
      </c>
      <c r="AE1068" s="54">
        <v>11761</v>
      </c>
      <c r="AF1068" s="55"/>
      <c r="AG1068" s="7"/>
      <c r="AH1068" s="56">
        <v>102094</v>
      </c>
      <c r="AI1068" s="85"/>
      <c r="AJ1068" s="56"/>
    </row>
    <row r="1069" spans="1:36" ht="15" x14ac:dyDescent="0.2">
      <c r="A1069" s="43" t="s">
        <v>13963</v>
      </c>
      <c r="B1069" s="47" t="s">
        <v>59</v>
      </c>
      <c r="C1069" s="7" t="s">
        <v>67</v>
      </c>
      <c r="D1069" s="7" t="s">
        <v>14326</v>
      </c>
      <c r="E1069" s="44">
        <v>5</v>
      </c>
      <c r="F1069" s="7"/>
      <c r="G1069" s="7"/>
      <c r="H1069" s="2" t="s">
        <v>14287</v>
      </c>
      <c r="I1069" s="7" t="s">
        <v>14327</v>
      </c>
      <c r="J1069" s="7" t="s">
        <v>12129</v>
      </c>
      <c r="K1069" s="7" t="s">
        <v>139</v>
      </c>
      <c r="L1069" s="7"/>
      <c r="M1069" s="7"/>
      <c r="N1069" s="45" t="str">
        <f t="shared" si="774"/>
        <v>@wearesouth_sb</v>
      </c>
      <c r="O1069" s="45" t="str">
        <f t="shared" si="775"/>
        <v>Questionnaire</v>
      </c>
      <c r="P1069" s="48" t="s">
        <v>14299</v>
      </c>
      <c r="Q1069" s="47" t="s">
        <v>59</v>
      </c>
      <c r="R1069" s="48" t="s">
        <v>342</v>
      </c>
      <c r="S1069" s="48" t="s">
        <v>62</v>
      </c>
      <c r="T1069" s="49" t="s">
        <v>74</v>
      </c>
      <c r="U1069" s="7" t="s">
        <v>75</v>
      </c>
      <c r="V1069" s="7"/>
      <c r="W1069" s="44">
        <v>3.48</v>
      </c>
      <c r="X1069" s="49" t="s">
        <v>3013</v>
      </c>
      <c r="Y1069" s="49" t="s">
        <v>1029</v>
      </c>
      <c r="Z1069" s="49" t="s">
        <v>3995</v>
      </c>
      <c r="AA1069" s="61">
        <v>0.81</v>
      </c>
      <c r="AB1069" s="48" t="s">
        <v>14300</v>
      </c>
      <c r="AC1069" s="52" t="s">
        <v>14299</v>
      </c>
      <c r="AD1069" s="53" t="str">
        <f t="shared" si="776"/>
        <v>Link</v>
      </c>
      <c r="AE1069" s="54">
        <v>11761</v>
      </c>
      <c r="AF1069" s="55"/>
      <c r="AG1069" s="7"/>
      <c r="AH1069" s="56">
        <v>102094</v>
      </c>
      <c r="AI1069" s="85"/>
      <c r="AJ1069" s="56"/>
    </row>
    <row r="1070" spans="1:36" ht="15" x14ac:dyDescent="0.2">
      <c r="A1070" s="43" t="s">
        <v>13963</v>
      </c>
      <c r="B1070" s="47" t="s">
        <v>59</v>
      </c>
      <c r="C1070" s="7" t="s">
        <v>67</v>
      </c>
      <c r="D1070" s="7" t="s">
        <v>14332</v>
      </c>
      <c r="E1070" s="44">
        <v>5</v>
      </c>
      <c r="F1070" s="7"/>
      <c r="G1070" s="7"/>
      <c r="H1070" s="2" t="s">
        <v>14287</v>
      </c>
      <c r="I1070" s="7" t="s">
        <v>8357</v>
      </c>
      <c r="J1070" s="7" t="s">
        <v>12690</v>
      </c>
      <c r="K1070" s="7" t="s">
        <v>154</v>
      </c>
      <c r="L1070" s="7" t="s">
        <v>14336</v>
      </c>
      <c r="M1070" s="7" t="s">
        <v>14338</v>
      </c>
      <c r="N1070" s="45" t="str">
        <f t="shared" si="774"/>
        <v>@wearesouth_sb</v>
      </c>
      <c r="O1070" s="45" t="str">
        <f t="shared" si="775"/>
        <v>Questionnaire</v>
      </c>
      <c r="P1070" s="48" t="s">
        <v>14299</v>
      </c>
      <c r="Q1070" s="47" t="s">
        <v>59</v>
      </c>
      <c r="R1070" s="48" t="s">
        <v>342</v>
      </c>
      <c r="S1070" s="48" t="s">
        <v>62</v>
      </c>
      <c r="T1070" s="49" t="s">
        <v>74</v>
      </c>
      <c r="U1070" s="7" t="s">
        <v>75</v>
      </c>
      <c r="V1070" s="7"/>
      <c r="W1070" s="44">
        <v>3.48</v>
      </c>
      <c r="X1070" s="49" t="s">
        <v>3013</v>
      </c>
      <c r="Y1070" s="49" t="s">
        <v>1029</v>
      </c>
      <c r="Z1070" s="49" t="s">
        <v>3995</v>
      </c>
      <c r="AA1070" s="61">
        <v>0.81</v>
      </c>
      <c r="AB1070" s="48" t="s">
        <v>14300</v>
      </c>
      <c r="AC1070" s="52" t="s">
        <v>14299</v>
      </c>
      <c r="AD1070" s="53" t="str">
        <f t="shared" si="776"/>
        <v>Link</v>
      </c>
      <c r="AE1070" s="54">
        <v>11761</v>
      </c>
      <c r="AF1070" s="55"/>
      <c r="AG1070" s="7"/>
      <c r="AH1070" s="56">
        <v>102094</v>
      </c>
      <c r="AI1070" s="85"/>
      <c r="AJ1070" s="56"/>
    </row>
    <row r="1071" spans="1:36" ht="15" x14ac:dyDescent="0.2">
      <c r="A1071" s="43" t="s">
        <v>13963</v>
      </c>
      <c r="B1071" s="47" t="s">
        <v>280</v>
      </c>
      <c r="C1071" s="7" t="s">
        <v>67</v>
      </c>
      <c r="D1071" s="7" t="s">
        <v>14342</v>
      </c>
      <c r="E1071" s="44">
        <v>5</v>
      </c>
      <c r="F1071" s="7"/>
      <c r="G1071" s="7"/>
      <c r="H1071" s="2" t="s">
        <v>14344</v>
      </c>
      <c r="I1071" s="7" t="s">
        <v>14346</v>
      </c>
      <c r="J1071" s="7" t="s">
        <v>14347</v>
      </c>
      <c r="K1071" s="7" t="s">
        <v>48</v>
      </c>
      <c r="L1071" s="7" t="s">
        <v>14349</v>
      </c>
      <c r="M1071" s="7" t="s">
        <v>14350</v>
      </c>
      <c r="N1071" s="45" t="str">
        <f t="shared" ref="N1071:N1075" si="777">HYPERLINK("twitter.com/TXStateSoftball","@TXStateSoftball")</f>
        <v>@TXStateSoftball</v>
      </c>
      <c r="O1071" s="45" t="str">
        <f t="shared" ref="O1071:O1075" si="778">HYPERLINK("https://college.jumpforward.com/questionnaire.aspx?iid=326&amp;sportid=31","Questionnaire")</f>
        <v>Questionnaire</v>
      </c>
      <c r="P1071" s="48" t="s">
        <v>14353</v>
      </c>
      <c r="Q1071" s="47" t="s">
        <v>280</v>
      </c>
      <c r="R1071" s="48" t="s">
        <v>1450</v>
      </c>
      <c r="S1071" s="48" t="s">
        <v>186</v>
      </c>
      <c r="T1071" s="49" t="s">
        <v>74</v>
      </c>
      <c r="U1071" s="7" t="s">
        <v>75</v>
      </c>
      <c r="V1071" s="7"/>
      <c r="W1071" s="44">
        <v>3.28</v>
      </c>
      <c r="X1071" s="49" t="s">
        <v>521</v>
      </c>
      <c r="Y1071" s="49" t="s">
        <v>3013</v>
      </c>
      <c r="Z1071" s="49" t="s">
        <v>1994</v>
      </c>
      <c r="AA1071" s="61">
        <v>0.71</v>
      </c>
      <c r="AB1071" s="48" t="s">
        <v>14358</v>
      </c>
      <c r="AC1071" s="52" t="s">
        <v>14353</v>
      </c>
      <c r="AD1071" s="53" t="str">
        <f t="shared" ref="AD1071:AD1075" si="779">HYPERLINK("http://www.admissions.txstate.edu/academics/undergraduate-degree-list","Link")</f>
        <v>Link</v>
      </c>
      <c r="AE1071" s="54">
        <v>34244</v>
      </c>
      <c r="AF1071" s="55"/>
      <c r="AG1071" s="7"/>
      <c r="AH1071" s="56">
        <v>228459</v>
      </c>
      <c r="AI1071" s="85"/>
      <c r="AJ1071" s="56"/>
    </row>
    <row r="1072" spans="1:36" ht="15" x14ac:dyDescent="0.2">
      <c r="A1072" s="43" t="s">
        <v>13963</v>
      </c>
      <c r="B1072" s="47" t="s">
        <v>280</v>
      </c>
      <c r="C1072" s="7" t="s">
        <v>67</v>
      </c>
      <c r="D1072" s="7" t="s">
        <v>14362</v>
      </c>
      <c r="E1072" s="44">
        <v>5</v>
      </c>
      <c r="F1072" s="7"/>
      <c r="G1072" s="7"/>
      <c r="H1072" s="2" t="s">
        <v>14344</v>
      </c>
      <c r="I1072" s="7" t="s">
        <v>694</v>
      </c>
      <c r="J1072" s="7" t="s">
        <v>1697</v>
      </c>
      <c r="K1072" s="7" t="s">
        <v>55</v>
      </c>
      <c r="L1072" s="7" t="s">
        <v>14363</v>
      </c>
      <c r="M1072" s="7"/>
      <c r="N1072" s="45" t="str">
        <f t="shared" si="777"/>
        <v>@TXStateSoftball</v>
      </c>
      <c r="O1072" s="45" t="str">
        <f t="shared" si="778"/>
        <v>Questionnaire</v>
      </c>
      <c r="P1072" s="48" t="s">
        <v>14353</v>
      </c>
      <c r="Q1072" s="47" t="s">
        <v>280</v>
      </c>
      <c r="R1072" s="48" t="s">
        <v>1450</v>
      </c>
      <c r="S1072" s="48" t="s">
        <v>186</v>
      </c>
      <c r="T1072" s="49" t="s">
        <v>74</v>
      </c>
      <c r="U1072" s="7" t="s">
        <v>75</v>
      </c>
      <c r="V1072" s="7"/>
      <c r="W1072" s="44">
        <v>3.28</v>
      </c>
      <c r="X1072" s="49" t="s">
        <v>521</v>
      </c>
      <c r="Y1072" s="49" t="s">
        <v>3013</v>
      </c>
      <c r="Z1072" s="49" t="s">
        <v>1994</v>
      </c>
      <c r="AA1072" s="61">
        <v>0.71</v>
      </c>
      <c r="AB1072" s="48" t="s">
        <v>14358</v>
      </c>
      <c r="AC1072" s="52" t="s">
        <v>14353</v>
      </c>
      <c r="AD1072" s="53" t="str">
        <f t="shared" si="779"/>
        <v>Link</v>
      </c>
      <c r="AE1072" s="54">
        <v>34244</v>
      </c>
      <c r="AF1072" s="55"/>
      <c r="AG1072" s="7"/>
      <c r="AH1072" s="56">
        <v>228459</v>
      </c>
      <c r="AI1072" s="85"/>
      <c r="AJ1072" s="56"/>
    </row>
    <row r="1073" spans="1:36" ht="15" x14ac:dyDescent="0.2">
      <c r="A1073" s="43" t="s">
        <v>13963</v>
      </c>
      <c r="B1073" s="47" t="s">
        <v>280</v>
      </c>
      <c r="C1073" s="7" t="s">
        <v>67</v>
      </c>
      <c r="D1073" s="7" t="s">
        <v>14369</v>
      </c>
      <c r="E1073" s="58">
        <v>5</v>
      </c>
      <c r="F1073" s="7" t="s">
        <v>116</v>
      </c>
      <c r="G1073" s="7"/>
      <c r="H1073" s="2" t="s">
        <v>14344</v>
      </c>
      <c r="I1073" s="7" t="s">
        <v>5029</v>
      </c>
      <c r="J1073" s="7" t="s">
        <v>14370</v>
      </c>
      <c r="K1073" s="7" t="s">
        <v>154</v>
      </c>
      <c r="L1073" s="7" t="s">
        <v>14371</v>
      </c>
      <c r="M1073" s="7"/>
      <c r="N1073" s="45" t="str">
        <f t="shared" si="777"/>
        <v>@TXStateSoftball</v>
      </c>
      <c r="O1073" s="45" t="str">
        <f t="shared" si="778"/>
        <v>Questionnaire</v>
      </c>
      <c r="P1073" s="48" t="s">
        <v>14353</v>
      </c>
      <c r="Q1073" s="47" t="s">
        <v>280</v>
      </c>
      <c r="R1073" s="48" t="s">
        <v>1450</v>
      </c>
      <c r="S1073" s="48" t="s">
        <v>186</v>
      </c>
      <c r="T1073" s="49" t="s">
        <v>74</v>
      </c>
      <c r="U1073" s="7" t="s">
        <v>75</v>
      </c>
      <c r="V1073" s="7"/>
      <c r="W1073" s="44">
        <v>3.28</v>
      </c>
      <c r="X1073" s="49" t="s">
        <v>521</v>
      </c>
      <c r="Y1073" s="49" t="s">
        <v>3013</v>
      </c>
      <c r="Z1073" s="49" t="s">
        <v>1994</v>
      </c>
      <c r="AA1073" s="61">
        <v>0.71</v>
      </c>
      <c r="AB1073" s="48" t="s">
        <v>14358</v>
      </c>
      <c r="AC1073" s="52" t="s">
        <v>14353</v>
      </c>
      <c r="AD1073" s="53" t="str">
        <f t="shared" si="779"/>
        <v>Link</v>
      </c>
      <c r="AE1073" s="54">
        <v>34244</v>
      </c>
      <c r="AF1073" s="55"/>
      <c r="AG1073" s="7"/>
      <c r="AH1073" s="56">
        <v>228459</v>
      </c>
      <c r="AI1073" s="85"/>
      <c r="AJ1073" s="56"/>
    </row>
    <row r="1074" spans="1:36" ht="15" x14ac:dyDescent="0.2">
      <c r="A1074" s="43" t="s">
        <v>13963</v>
      </c>
      <c r="B1074" s="47" t="s">
        <v>280</v>
      </c>
      <c r="C1074" s="7" t="s">
        <v>67</v>
      </c>
      <c r="D1074" s="7" t="s">
        <v>14374</v>
      </c>
      <c r="E1074" s="44">
        <v>5</v>
      </c>
      <c r="F1074" s="7" t="s">
        <v>116</v>
      </c>
      <c r="G1074" s="7"/>
      <c r="H1074" s="2" t="s">
        <v>14344</v>
      </c>
      <c r="I1074" s="7" t="s">
        <v>2747</v>
      </c>
      <c r="J1074" s="7" t="s">
        <v>14376</v>
      </c>
      <c r="K1074" s="7" t="s">
        <v>55</v>
      </c>
      <c r="L1074" s="7" t="s">
        <v>14377</v>
      </c>
      <c r="M1074" s="7"/>
      <c r="N1074" s="45" t="str">
        <f t="shared" si="777"/>
        <v>@TXStateSoftball</v>
      </c>
      <c r="O1074" s="45" t="str">
        <f t="shared" si="778"/>
        <v>Questionnaire</v>
      </c>
      <c r="P1074" s="48" t="s">
        <v>14353</v>
      </c>
      <c r="Q1074" s="47" t="s">
        <v>280</v>
      </c>
      <c r="R1074" s="48" t="s">
        <v>1450</v>
      </c>
      <c r="S1074" s="48" t="s">
        <v>186</v>
      </c>
      <c r="T1074" s="49" t="s">
        <v>74</v>
      </c>
      <c r="U1074" s="7" t="s">
        <v>75</v>
      </c>
      <c r="V1074" s="7"/>
      <c r="W1074" s="44">
        <v>3.28</v>
      </c>
      <c r="X1074" s="49" t="s">
        <v>521</v>
      </c>
      <c r="Y1074" s="49" t="s">
        <v>3013</v>
      </c>
      <c r="Z1074" s="49" t="s">
        <v>1994</v>
      </c>
      <c r="AA1074" s="61">
        <v>0.71</v>
      </c>
      <c r="AB1074" s="48" t="s">
        <v>14358</v>
      </c>
      <c r="AC1074" s="52" t="s">
        <v>14353</v>
      </c>
      <c r="AD1074" s="53" t="str">
        <f t="shared" si="779"/>
        <v>Link</v>
      </c>
      <c r="AE1074" s="54">
        <v>34244</v>
      </c>
      <c r="AF1074" s="55"/>
      <c r="AG1074" s="7"/>
      <c r="AH1074" s="56">
        <v>228459</v>
      </c>
      <c r="AI1074" s="85"/>
      <c r="AJ1074" s="56"/>
    </row>
    <row r="1075" spans="1:36" ht="15" x14ac:dyDescent="0.2">
      <c r="A1075" s="43" t="s">
        <v>13963</v>
      </c>
      <c r="B1075" s="47" t="s">
        <v>280</v>
      </c>
      <c r="C1075" s="7" t="s">
        <v>67</v>
      </c>
      <c r="D1075" s="57" t="s">
        <v>14381</v>
      </c>
      <c r="E1075" s="58">
        <v>5</v>
      </c>
      <c r="F1075" s="7" t="s">
        <v>116</v>
      </c>
      <c r="G1075" s="7"/>
      <c r="H1075" s="2" t="s">
        <v>14344</v>
      </c>
      <c r="I1075" s="7" t="s">
        <v>501</v>
      </c>
      <c r="J1075" s="7" t="s">
        <v>14383</v>
      </c>
      <c r="K1075" s="7" t="s">
        <v>139</v>
      </c>
      <c r="L1075" s="7"/>
      <c r="M1075" s="7"/>
      <c r="N1075" s="45" t="str">
        <f t="shared" si="777"/>
        <v>@TXStateSoftball</v>
      </c>
      <c r="O1075" s="45" t="str">
        <f t="shared" si="778"/>
        <v>Questionnaire</v>
      </c>
      <c r="P1075" s="48" t="s">
        <v>14353</v>
      </c>
      <c r="Q1075" s="47" t="s">
        <v>280</v>
      </c>
      <c r="R1075" s="48" t="s">
        <v>1450</v>
      </c>
      <c r="S1075" s="48" t="s">
        <v>186</v>
      </c>
      <c r="T1075" s="49" t="s">
        <v>74</v>
      </c>
      <c r="U1075" s="7" t="s">
        <v>75</v>
      </c>
      <c r="V1075" s="7"/>
      <c r="W1075" s="44">
        <v>3.28</v>
      </c>
      <c r="X1075" s="49" t="s">
        <v>521</v>
      </c>
      <c r="Y1075" s="49" t="s">
        <v>3013</v>
      </c>
      <c r="Z1075" s="49" t="s">
        <v>1994</v>
      </c>
      <c r="AA1075" s="61">
        <v>0.71</v>
      </c>
      <c r="AB1075" s="48" t="s">
        <v>14358</v>
      </c>
      <c r="AC1075" s="52" t="s">
        <v>14353</v>
      </c>
      <c r="AD1075" s="53" t="str">
        <f t="shared" si="779"/>
        <v>Link</v>
      </c>
      <c r="AE1075" s="54">
        <v>34244</v>
      </c>
      <c r="AF1075" s="55"/>
      <c r="AG1075" s="7"/>
      <c r="AH1075" s="56">
        <v>228459</v>
      </c>
      <c r="AI1075" s="59"/>
      <c r="AJ1075" s="59"/>
    </row>
    <row r="1076" spans="1:36" ht="15" x14ac:dyDescent="0.2">
      <c r="A1076" s="43" t="s">
        <v>13963</v>
      </c>
      <c r="B1076" s="47" t="s">
        <v>280</v>
      </c>
      <c r="C1076" s="7" t="s">
        <v>67</v>
      </c>
      <c r="D1076" s="7" t="s">
        <v>14392</v>
      </c>
      <c r="E1076" s="44">
        <v>5</v>
      </c>
      <c r="F1076" s="7"/>
      <c r="G1076" s="7"/>
      <c r="H1076" s="2" t="s">
        <v>14393</v>
      </c>
      <c r="I1076" s="7" t="s">
        <v>14395</v>
      </c>
      <c r="J1076" s="7" t="s">
        <v>14396</v>
      </c>
      <c r="K1076" s="7" t="s">
        <v>48</v>
      </c>
      <c r="L1076" s="7" t="s">
        <v>14398</v>
      </c>
      <c r="M1076" s="7" t="s">
        <v>14399</v>
      </c>
      <c r="N1076" s="45" t="s">
        <v>14400</v>
      </c>
      <c r="O1076" s="45" t="str">
        <f t="shared" ref="O1076:O1081" si="780">HYPERLINK("https://college.jumpforward.com/questionnaire.aspx?iid=551&amp;sportid=31","Questionnaire")</f>
        <v>Questionnaire</v>
      </c>
      <c r="P1076" s="48" t="s">
        <v>14401</v>
      </c>
      <c r="Q1076" s="47" t="s">
        <v>280</v>
      </c>
      <c r="R1076" s="48" t="s">
        <v>14403</v>
      </c>
      <c r="S1076" s="48" t="s">
        <v>354</v>
      </c>
      <c r="T1076" s="49" t="s">
        <v>74</v>
      </c>
      <c r="U1076" s="7" t="s">
        <v>75</v>
      </c>
      <c r="V1076" s="7"/>
      <c r="W1076" s="44">
        <v>3.32</v>
      </c>
      <c r="X1076" s="49" t="s">
        <v>276</v>
      </c>
      <c r="Y1076" s="49" t="s">
        <v>2853</v>
      </c>
      <c r="Z1076" s="49" t="s">
        <v>278</v>
      </c>
      <c r="AA1076" s="61">
        <v>0.7</v>
      </c>
      <c r="AB1076" s="48" t="s">
        <v>14408</v>
      </c>
      <c r="AC1076" s="52" t="s">
        <v>14401</v>
      </c>
      <c r="AD1076" s="53" t="str">
        <f t="shared" ref="AD1076:AD1081" si="781">HYPERLINK("http://catalog.uta.edu/aboututa/programs/","Link")</f>
        <v>Link</v>
      </c>
      <c r="AE1076" s="54">
        <v>32775</v>
      </c>
      <c r="AF1076" s="55"/>
      <c r="AG1076" s="7"/>
      <c r="AH1076" s="56">
        <v>228769</v>
      </c>
      <c r="AI1076" s="85"/>
      <c r="AJ1076" s="56"/>
    </row>
    <row r="1077" spans="1:36" ht="15" x14ac:dyDescent="0.2">
      <c r="A1077" s="43" t="s">
        <v>13963</v>
      </c>
      <c r="B1077" s="47" t="s">
        <v>280</v>
      </c>
      <c r="C1077" s="7" t="s">
        <v>67</v>
      </c>
      <c r="D1077" s="7" t="s">
        <v>14412</v>
      </c>
      <c r="E1077" s="44">
        <v>5</v>
      </c>
      <c r="F1077" s="7"/>
      <c r="G1077" s="7"/>
      <c r="H1077" s="2" t="s">
        <v>14393</v>
      </c>
      <c r="I1077" s="7" t="s">
        <v>7478</v>
      </c>
      <c r="J1077" s="7" t="s">
        <v>11567</v>
      </c>
      <c r="K1077" s="7" t="s">
        <v>55</v>
      </c>
      <c r="L1077" s="7" t="s">
        <v>14414</v>
      </c>
      <c r="M1077" s="7" t="s">
        <v>14415</v>
      </c>
      <c r="N1077" s="45" t="str">
        <f t="shared" ref="N1077:N1081" si="782">HYPERLINK("twitter.com/utamavssoftball","@utamavssoftball")</f>
        <v>@utamavssoftball</v>
      </c>
      <c r="O1077" s="45" t="str">
        <f t="shared" si="780"/>
        <v>Questionnaire</v>
      </c>
      <c r="P1077" s="48" t="s">
        <v>14401</v>
      </c>
      <c r="Q1077" s="47" t="s">
        <v>280</v>
      </c>
      <c r="R1077" s="48" t="s">
        <v>14403</v>
      </c>
      <c r="S1077" s="48" t="s">
        <v>354</v>
      </c>
      <c r="T1077" s="49" t="s">
        <v>74</v>
      </c>
      <c r="U1077" s="7" t="s">
        <v>75</v>
      </c>
      <c r="V1077" s="7"/>
      <c r="W1077" s="44">
        <v>3.32</v>
      </c>
      <c r="X1077" s="49" t="s">
        <v>276</v>
      </c>
      <c r="Y1077" s="49" t="s">
        <v>2853</v>
      </c>
      <c r="Z1077" s="49" t="s">
        <v>278</v>
      </c>
      <c r="AA1077" s="61">
        <v>0.7</v>
      </c>
      <c r="AB1077" s="48" t="s">
        <v>14408</v>
      </c>
      <c r="AC1077" s="52" t="s">
        <v>14401</v>
      </c>
      <c r="AD1077" s="53" t="str">
        <f t="shared" si="781"/>
        <v>Link</v>
      </c>
      <c r="AE1077" s="54">
        <v>32775</v>
      </c>
      <c r="AF1077" s="55"/>
      <c r="AG1077" s="7"/>
      <c r="AH1077" s="56">
        <v>228769</v>
      </c>
      <c r="AI1077" s="85"/>
      <c r="AJ1077" s="56"/>
    </row>
    <row r="1078" spans="1:36" ht="15" x14ac:dyDescent="0.2">
      <c r="A1078" s="43" t="s">
        <v>13963</v>
      </c>
      <c r="B1078" s="47" t="s">
        <v>280</v>
      </c>
      <c r="C1078" s="7" t="s">
        <v>67</v>
      </c>
      <c r="D1078" s="7" t="s">
        <v>14419</v>
      </c>
      <c r="E1078" s="44">
        <v>5</v>
      </c>
      <c r="F1078" s="7"/>
      <c r="G1078" s="7"/>
      <c r="H1078" s="2" t="s">
        <v>14393</v>
      </c>
      <c r="I1078" s="7" t="s">
        <v>597</v>
      </c>
      <c r="J1078" s="7" t="s">
        <v>3355</v>
      </c>
      <c r="K1078" s="7" t="s">
        <v>55</v>
      </c>
      <c r="L1078" s="7" t="s">
        <v>14420</v>
      </c>
      <c r="M1078" s="7"/>
      <c r="N1078" s="45" t="str">
        <f t="shared" si="782"/>
        <v>@utamavssoftball</v>
      </c>
      <c r="O1078" s="45" t="str">
        <f t="shared" si="780"/>
        <v>Questionnaire</v>
      </c>
      <c r="P1078" s="48" t="s">
        <v>14401</v>
      </c>
      <c r="Q1078" s="47" t="s">
        <v>280</v>
      </c>
      <c r="R1078" s="48" t="s">
        <v>14403</v>
      </c>
      <c r="S1078" s="48" t="s">
        <v>354</v>
      </c>
      <c r="T1078" s="49" t="s">
        <v>74</v>
      </c>
      <c r="U1078" s="7" t="s">
        <v>75</v>
      </c>
      <c r="V1078" s="7"/>
      <c r="W1078" s="44">
        <v>3.32</v>
      </c>
      <c r="X1078" s="49" t="s">
        <v>276</v>
      </c>
      <c r="Y1078" s="49" t="s">
        <v>2853</v>
      </c>
      <c r="Z1078" s="49" t="s">
        <v>278</v>
      </c>
      <c r="AA1078" s="61">
        <v>0.7</v>
      </c>
      <c r="AB1078" s="48" t="s">
        <v>14408</v>
      </c>
      <c r="AC1078" s="52" t="s">
        <v>14401</v>
      </c>
      <c r="AD1078" s="53" t="str">
        <f t="shared" si="781"/>
        <v>Link</v>
      </c>
      <c r="AE1078" s="54">
        <v>32775</v>
      </c>
      <c r="AF1078" s="55"/>
      <c r="AG1078" s="7"/>
      <c r="AH1078" s="56">
        <v>228769</v>
      </c>
      <c r="AI1078" s="85"/>
      <c r="AJ1078" s="56"/>
    </row>
    <row r="1079" spans="1:36" ht="15" x14ac:dyDescent="0.2">
      <c r="A1079" s="43" t="s">
        <v>13963</v>
      </c>
      <c r="B1079" s="47" t="s">
        <v>280</v>
      </c>
      <c r="C1079" s="7" t="s">
        <v>67</v>
      </c>
      <c r="D1079" s="7" t="s">
        <v>14425</v>
      </c>
      <c r="E1079" s="44">
        <v>5</v>
      </c>
      <c r="F1079" s="7"/>
      <c r="G1079" s="7"/>
      <c r="H1079" s="2" t="s">
        <v>14393</v>
      </c>
      <c r="I1079" s="7" t="s">
        <v>306</v>
      </c>
      <c r="J1079" s="7" t="s">
        <v>14427</v>
      </c>
      <c r="K1079" s="7" t="s">
        <v>139</v>
      </c>
      <c r="L1079" s="7" t="s">
        <v>14428</v>
      </c>
      <c r="M1079" s="7"/>
      <c r="N1079" s="45" t="str">
        <f t="shared" si="782"/>
        <v>@utamavssoftball</v>
      </c>
      <c r="O1079" s="45" t="str">
        <f t="shared" si="780"/>
        <v>Questionnaire</v>
      </c>
      <c r="P1079" s="48" t="s">
        <v>14401</v>
      </c>
      <c r="Q1079" s="47" t="s">
        <v>280</v>
      </c>
      <c r="R1079" s="48" t="s">
        <v>14403</v>
      </c>
      <c r="S1079" s="48" t="s">
        <v>354</v>
      </c>
      <c r="T1079" s="49" t="s">
        <v>74</v>
      </c>
      <c r="U1079" s="7" t="s">
        <v>75</v>
      </c>
      <c r="V1079" s="7"/>
      <c r="W1079" s="44">
        <v>3.32</v>
      </c>
      <c r="X1079" s="49" t="s">
        <v>276</v>
      </c>
      <c r="Y1079" s="49" t="s">
        <v>2853</v>
      </c>
      <c r="Z1079" s="49" t="s">
        <v>278</v>
      </c>
      <c r="AA1079" s="61">
        <v>0.7</v>
      </c>
      <c r="AB1079" s="48" t="s">
        <v>14408</v>
      </c>
      <c r="AC1079" s="52" t="s">
        <v>14401</v>
      </c>
      <c r="AD1079" s="53" t="str">
        <f t="shared" si="781"/>
        <v>Link</v>
      </c>
      <c r="AE1079" s="54">
        <v>32775</v>
      </c>
      <c r="AF1079" s="55"/>
      <c r="AG1079" s="7"/>
      <c r="AH1079" s="56">
        <v>228769</v>
      </c>
      <c r="AI1079" s="85"/>
      <c r="AJ1079" s="56"/>
    </row>
    <row r="1080" spans="1:36" ht="15" x14ac:dyDescent="0.2">
      <c r="A1080" s="43" t="s">
        <v>13963</v>
      </c>
      <c r="B1080" s="47" t="s">
        <v>280</v>
      </c>
      <c r="C1080" s="7" t="s">
        <v>67</v>
      </c>
      <c r="D1080" s="7" t="s">
        <v>14433</v>
      </c>
      <c r="E1080" s="44">
        <v>5</v>
      </c>
      <c r="F1080" s="7"/>
      <c r="G1080" s="7"/>
      <c r="H1080" s="2" t="s">
        <v>14393</v>
      </c>
      <c r="I1080" s="7" t="s">
        <v>14435</v>
      </c>
      <c r="J1080" s="7" t="s">
        <v>4016</v>
      </c>
      <c r="K1080" s="7" t="s">
        <v>120</v>
      </c>
      <c r="L1080" s="7"/>
      <c r="M1080" s="7"/>
      <c r="N1080" s="45" t="str">
        <f t="shared" si="782"/>
        <v>@utamavssoftball</v>
      </c>
      <c r="O1080" s="45" t="str">
        <f t="shared" si="780"/>
        <v>Questionnaire</v>
      </c>
      <c r="P1080" s="48" t="s">
        <v>14401</v>
      </c>
      <c r="Q1080" s="47" t="s">
        <v>280</v>
      </c>
      <c r="R1080" s="48" t="s">
        <v>14403</v>
      </c>
      <c r="S1080" s="48" t="s">
        <v>354</v>
      </c>
      <c r="T1080" s="49" t="s">
        <v>74</v>
      </c>
      <c r="U1080" s="7" t="s">
        <v>75</v>
      </c>
      <c r="V1080" s="7"/>
      <c r="W1080" s="44">
        <v>3.32</v>
      </c>
      <c r="X1080" s="49" t="s">
        <v>276</v>
      </c>
      <c r="Y1080" s="49" t="s">
        <v>2853</v>
      </c>
      <c r="Z1080" s="49" t="s">
        <v>278</v>
      </c>
      <c r="AA1080" s="61">
        <v>0.7</v>
      </c>
      <c r="AB1080" s="48" t="s">
        <v>14408</v>
      </c>
      <c r="AC1080" s="52" t="s">
        <v>14401</v>
      </c>
      <c r="AD1080" s="53" t="str">
        <f t="shared" si="781"/>
        <v>Link</v>
      </c>
      <c r="AE1080" s="54">
        <v>32775</v>
      </c>
      <c r="AF1080" s="55"/>
      <c r="AG1080" s="7"/>
      <c r="AH1080" s="56">
        <v>228769</v>
      </c>
      <c r="AI1080" s="85"/>
      <c r="AJ1080" s="56"/>
    </row>
    <row r="1081" spans="1:36" ht="15" x14ac:dyDescent="0.2">
      <c r="A1081" s="43" t="s">
        <v>13963</v>
      </c>
      <c r="B1081" s="47" t="s">
        <v>280</v>
      </c>
      <c r="C1081" s="7" t="s">
        <v>67</v>
      </c>
      <c r="D1081" s="7" t="s">
        <v>14443</v>
      </c>
      <c r="E1081" s="44">
        <v>5</v>
      </c>
      <c r="F1081" s="7"/>
      <c r="G1081" s="7"/>
      <c r="H1081" s="2" t="s">
        <v>14393</v>
      </c>
      <c r="I1081" s="7" t="s">
        <v>14446</v>
      </c>
      <c r="J1081" s="7"/>
      <c r="K1081" s="7" t="s">
        <v>3472</v>
      </c>
      <c r="L1081" s="7" t="s">
        <v>14447</v>
      </c>
      <c r="M1081" s="7"/>
      <c r="N1081" s="45" t="str">
        <f t="shared" si="782"/>
        <v>@utamavssoftball</v>
      </c>
      <c r="O1081" s="45" t="str">
        <f t="shared" si="780"/>
        <v>Questionnaire</v>
      </c>
      <c r="P1081" s="48" t="s">
        <v>14401</v>
      </c>
      <c r="Q1081" s="47" t="s">
        <v>280</v>
      </c>
      <c r="R1081" s="48" t="s">
        <v>14403</v>
      </c>
      <c r="S1081" s="48" t="s">
        <v>354</v>
      </c>
      <c r="T1081" s="49" t="s">
        <v>74</v>
      </c>
      <c r="U1081" s="7" t="s">
        <v>75</v>
      </c>
      <c r="V1081" s="7"/>
      <c r="W1081" s="44">
        <v>3.32</v>
      </c>
      <c r="X1081" s="49" t="s">
        <v>276</v>
      </c>
      <c r="Y1081" s="49" t="s">
        <v>2853</v>
      </c>
      <c r="Z1081" s="49" t="s">
        <v>278</v>
      </c>
      <c r="AA1081" s="61">
        <v>0.7</v>
      </c>
      <c r="AB1081" s="48" t="s">
        <v>14408</v>
      </c>
      <c r="AC1081" s="52" t="s">
        <v>14401</v>
      </c>
      <c r="AD1081" s="53" t="str">
        <f t="shared" si="781"/>
        <v>Link</v>
      </c>
      <c r="AE1081" s="54">
        <v>32775</v>
      </c>
      <c r="AF1081" s="55"/>
      <c r="AG1081" s="7"/>
      <c r="AH1081" s="56">
        <v>228769</v>
      </c>
      <c r="AI1081" s="85"/>
      <c r="AJ1081" s="56"/>
    </row>
    <row r="1082" spans="1:36" ht="15" x14ac:dyDescent="0.2">
      <c r="A1082" s="43" t="s">
        <v>13963</v>
      </c>
      <c r="B1082" s="47" t="s">
        <v>59</v>
      </c>
      <c r="C1082" s="7" t="s">
        <v>67</v>
      </c>
      <c r="D1082" s="7" t="s">
        <v>14451</v>
      </c>
      <c r="E1082" s="44">
        <v>5</v>
      </c>
      <c r="F1082" s="7"/>
      <c r="G1082" s="7"/>
      <c r="H1082" s="2" t="s">
        <v>14454</v>
      </c>
      <c r="I1082" s="7" t="s">
        <v>772</v>
      </c>
      <c r="J1082" s="7" t="s">
        <v>14456</v>
      </c>
      <c r="K1082" s="7" t="s">
        <v>48</v>
      </c>
      <c r="L1082" s="7" t="s">
        <v>14457</v>
      </c>
      <c r="M1082" s="7" t="s">
        <v>14458</v>
      </c>
      <c r="N1082" s="45" t="str">
        <f>HYPERLINK("twitter.com/TroySBCoach","@TroySBCoach")</f>
        <v>@TroySBCoach</v>
      </c>
      <c r="O1082" s="45" t="str">
        <f t="shared" ref="O1082:O1085" si="783">HYPERLINK("https://troytrojans.com/sb_output.aspx?form=3","Questionnaire")</f>
        <v>Questionnaire</v>
      </c>
      <c r="P1082" s="48" t="s">
        <v>855</v>
      </c>
      <c r="Q1082" s="47" t="s">
        <v>59</v>
      </c>
      <c r="R1082" s="48" t="s">
        <v>855</v>
      </c>
      <c r="S1082" s="48" t="s">
        <v>172</v>
      </c>
      <c r="T1082" s="73" t="s">
        <v>74</v>
      </c>
      <c r="U1082" s="7" t="s">
        <v>75</v>
      </c>
      <c r="V1082" s="7"/>
      <c r="W1082" s="44">
        <v>3.19</v>
      </c>
      <c r="X1082" s="49" t="s">
        <v>14463</v>
      </c>
      <c r="Y1082" s="49" t="s">
        <v>801</v>
      </c>
      <c r="Z1082" s="49" t="s">
        <v>841</v>
      </c>
      <c r="AA1082" s="61">
        <v>0.91</v>
      </c>
      <c r="AB1082" s="48" t="s">
        <v>14465</v>
      </c>
      <c r="AC1082" s="62" t="s">
        <v>855</v>
      </c>
      <c r="AD1082" s="53" t="str">
        <f t="shared" ref="AD1082:AD1086" si="784">HYPERLINK("https://www.troy.edu/academicprograms/","Link")</f>
        <v>Link</v>
      </c>
      <c r="AE1082" s="54">
        <v>14144</v>
      </c>
      <c r="AF1082" s="55"/>
      <c r="AG1082" s="7"/>
      <c r="AH1082" s="56">
        <v>102368</v>
      </c>
      <c r="AI1082" s="85"/>
      <c r="AJ1082" s="56"/>
    </row>
    <row r="1083" spans="1:36" ht="15" x14ac:dyDescent="0.2">
      <c r="A1083" s="43" t="s">
        <v>13963</v>
      </c>
      <c r="B1083" s="47" t="s">
        <v>59</v>
      </c>
      <c r="C1083" s="7" t="s">
        <v>67</v>
      </c>
      <c r="D1083" s="7" t="s">
        <v>14472</v>
      </c>
      <c r="E1083" s="44">
        <v>5</v>
      </c>
      <c r="F1083" s="7"/>
      <c r="G1083" s="7"/>
      <c r="H1083" s="2" t="s">
        <v>14454</v>
      </c>
      <c r="I1083" s="7" t="s">
        <v>1124</v>
      </c>
      <c r="J1083" s="7" t="s">
        <v>14475</v>
      </c>
      <c r="K1083" s="7" t="s">
        <v>55</v>
      </c>
      <c r="L1083" s="7" t="s">
        <v>14477</v>
      </c>
      <c r="M1083" s="7" t="s">
        <v>14478</v>
      </c>
      <c r="N1083" s="45" t="str">
        <f>HYPERLINK("twitter.com/TSmartt14","@TSmartt14")</f>
        <v>@TSmartt14</v>
      </c>
      <c r="O1083" s="45" t="str">
        <f t="shared" si="783"/>
        <v>Questionnaire</v>
      </c>
      <c r="P1083" s="48" t="s">
        <v>855</v>
      </c>
      <c r="Q1083" s="47" t="s">
        <v>59</v>
      </c>
      <c r="R1083" s="48" t="s">
        <v>855</v>
      </c>
      <c r="S1083" s="48" t="s">
        <v>172</v>
      </c>
      <c r="T1083" s="73" t="s">
        <v>74</v>
      </c>
      <c r="U1083" s="7" t="s">
        <v>75</v>
      </c>
      <c r="V1083" s="7"/>
      <c r="W1083" s="44">
        <v>3.19</v>
      </c>
      <c r="X1083" s="49" t="s">
        <v>14463</v>
      </c>
      <c r="Y1083" s="49" t="s">
        <v>801</v>
      </c>
      <c r="Z1083" s="49" t="s">
        <v>841</v>
      </c>
      <c r="AA1083" s="61">
        <v>0.91</v>
      </c>
      <c r="AB1083" s="48" t="s">
        <v>14465</v>
      </c>
      <c r="AC1083" s="62" t="s">
        <v>855</v>
      </c>
      <c r="AD1083" s="53" t="str">
        <f t="shared" si="784"/>
        <v>Link</v>
      </c>
      <c r="AE1083" s="54">
        <v>14144</v>
      </c>
      <c r="AF1083" s="55"/>
      <c r="AG1083" s="7"/>
      <c r="AH1083" s="56">
        <v>102368</v>
      </c>
      <c r="AI1083" s="85"/>
      <c r="AJ1083" s="56"/>
    </row>
    <row r="1084" spans="1:36" ht="15" x14ac:dyDescent="0.2">
      <c r="A1084" s="43" t="s">
        <v>13963</v>
      </c>
      <c r="B1084" s="47" t="s">
        <v>59</v>
      </c>
      <c r="C1084" s="7" t="s">
        <v>67</v>
      </c>
      <c r="D1084" s="7" t="s">
        <v>14483</v>
      </c>
      <c r="E1084" s="44">
        <v>5</v>
      </c>
      <c r="F1084" s="7"/>
      <c r="G1084" s="7"/>
      <c r="H1084" s="2" t="s">
        <v>14454</v>
      </c>
      <c r="I1084" s="7" t="s">
        <v>939</v>
      </c>
      <c r="J1084" s="7" t="s">
        <v>8744</v>
      </c>
      <c r="K1084" s="7" t="s">
        <v>55</v>
      </c>
      <c r="L1084" s="7" t="s">
        <v>14484</v>
      </c>
      <c r="M1084" s="7" t="s">
        <v>14485</v>
      </c>
      <c r="N1084" s="45" t="str">
        <f t="shared" ref="N1084:N1085" si="785">HYPERLINK("twitter.com/troytrojanssb","@troytrojanssb")</f>
        <v>@troytrojanssb</v>
      </c>
      <c r="O1084" s="45" t="str">
        <f t="shared" si="783"/>
        <v>Questionnaire</v>
      </c>
      <c r="P1084" s="48" t="s">
        <v>855</v>
      </c>
      <c r="Q1084" s="47" t="s">
        <v>59</v>
      </c>
      <c r="R1084" s="48" t="s">
        <v>855</v>
      </c>
      <c r="S1084" s="48" t="s">
        <v>172</v>
      </c>
      <c r="T1084" s="73" t="s">
        <v>74</v>
      </c>
      <c r="U1084" s="7" t="s">
        <v>75</v>
      </c>
      <c r="V1084" s="7"/>
      <c r="W1084" s="44">
        <v>3.19</v>
      </c>
      <c r="X1084" s="49" t="s">
        <v>14463</v>
      </c>
      <c r="Y1084" s="49" t="s">
        <v>801</v>
      </c>
      <c r="Z1084" s="49" t="s">
        <v>841</v>
      </c>
      <c r="AA1084" s="61">
        <v>0.91</v>
      </c>
      <c r="AB1084" s="48" t="s">
        <v>14465</v>
      </c>
      <c r="AC1084" s="62" t="s">
        <v>855</v>
      </c>
      <c r="AD1084" s="53" t="str">
        <f t="shared" si="784"/>
        <v>Link</v>
      </c>
      <c r="AE1084" s="54">
        <v>14144</v>
      </c>
      <c r="AF1084" s="55"/>
      <c r="AG1084" s="7"/>
      <c r="AH1084" s="56">
        <v>102368</v>
      </c>
      <c r="AI1084" s="85"/>
      <c r="AJ1084" s="56"/>
    </row>
    <row r="1085" spans="1:36" ht="15" x14ac:dyDescent="0.2">
      <c r="A1085" s="43" t="s">
        <v>13963</v>
      </c>
      <c r="B1085" s="47" t="s">
        <v>59</v>
      </c>
      <c r="C1085" s="7" t="s">
        <v>67</v>
      </c>
      <c r="D1085" s="7" t="s">
        <v>14492</v>
      </c>
      <c r="E1085" s="44">
        <v>5</v>
      </c>
      <c r="F1085" s="7"/>
      <c r="G1085" s="7"/>
      <c r="H1085" s="2" t="s">
        <v>14454</v>
      </c>
      <c r="I1085" s="7" t="s">
        <v>5834</v>
      </c>
      <c r="J1085" s="7" t="s">
        <v>2731</v>
      </c>
      <c r="K1085" s="7" t="s">
        <v>154</v>
      </c>
      <c r="L1085" s="7" t="s">
        <v>14493</v>
      </c>
      <c r="M1085" s="7" t="s">
        <v>14494</v>
      </c>
      <c r="N1085" s="45" t="str">
        <f t="shared" si="785"/>
        <v>@troytrojanssb</v>
      </c>
      <c r="O1085" s="45" t="str">
        <f t="shared" si="783"/>
        <v>Questionnaire</v>
      </c>
      <c r="P1085" s="48" t="s">
        <v>855</v>
      </c>
      <c r="Q1085" s="47" t="s">
        <v>59</v>
      </c>
      <c r="R1085" s="48" t="s">
        <v>855</v>
      </c>
      <c r="S1085" s="48" t="s">
        <v>172</v>
      </c>
      <c r="T1085" s="73" t="s">
        <v>74</v>
      </c>
      <c r="U1085" s="7" t="s">
        <v>75</v>
      </c>
      <c r="V1085" s="7"/>
      <c r="W1085" s="44">
        <v>3.19</v>
      </c>
      <c r="X1085" s="49" t="s">
        <v>14463</v>
      </c>
      <c r="Y1085" s="49" t="s">
        <v>801</v>
      </c>
      <c r="Z1085" s="49" t="s">
        <v>841</v>
      </c>
      <c r="AA1085" s="61">
        <v>0.91</v>
      </c>
      <c r="AB1085" s="48" t="s">
        <v>14465</v>
      </c>
      <c r="AC1085" s="62" t="s">
        <v>855</v>
      </c>
      <c r="AD1085" s="53" t="str">
        <f t="shared" si="784"/>
        <v>Link</v>
      </c>
      <c r="AE1085" s="54">
        <v>14144</v>
      </c>
      <c r="AF1085" s="55"/>
      <c r="AG1085" s="7"/>
      <c r="AH1085" s="56">
        <v>102368</v>
      </c>
      <c r="AI1085" s="85"/>
      <c r="AJ1085" s="56"/>
    </row>
    <row r="1086" spans="1:36" ht="15" x14ac:dyDescent="0.2">
      <c r="A1086" s="43" t="s">
        <v>13963</v>
      </c>
      <c r="B1086" s="47" t="s">
        <v>59</v>
      </c>
      <c r="C1086" s="7" t="s">
        <v>67</v>
      </c>
      <c r="D1086" s="57" t="s">
        <v>14502</v>
      </c>
      <c r="E1086" s="58">
        <v>5</v>
      </c>
      <c r="F1086" s="7" t="s">
        <v>116</v>
      </c>
      <c r="G1086" s="7"/>
      <c r="H1086" s="2" t="s">
        <v>14454</v>
      </c>
      <c r="I1086" s="7" t="s">
        <v>6729</v>
      </c>
      <c r="J1086" s="7" t="s">
        <v>14503</v>
      </c>
      <c r="K1086" s="7" t="s">
        <v>139</v>
      </c>
      <c r="L1086" s="7"/>
      <c r="M1086" s="7"/>
      <c r="N1086" s="7"/>
      <c r="O1086" s="7"/>
      <c r="P1086" s="48" t="s">
        <v>855</v>
      </c>
      <c r="Q1086" s="47" t="s">
        <v>59</v>
      </c>
      <c r="R1086" s="48" t="s">
        <v>855</v>
      </c>
      <c r="S1086" s="48" t="s">
        <v>172</v>
      </c>
      <c r="T1086" s="73" t="s">
        <v>74</v>
      </c>
      <c r="U1086" s="7" t="s">
        <v>75</v>
      </c>
      <c r="V1086" s="7"/>
      <c r="W1086" s="44">
        <v>3.19</v>
      </c>
      <c r="X1086" s="49" t="s">
        <v>14463</v>
      </c>
      <c r="Y1086" s="49" t="s">
        <v>801</v>
      </c>
      <c r="Z1086" s="49" t="s">
        <v>841</v>
      </c>
      <c r="AA1086" s="61">
        <v>0.91</v>
      </c>
      <c r="AB1086" s="48" t="s">
        <v>14465</v>
      </c>
      <c r="AC1086" s="62" t="s">
        <v>855</v>
      </c>
      <c r="AD1086" s="53" t="str">
        <f t="shared" si="784"/>
        <v>Link</v>
      </c>
      <c r="AE1086" s="54">
        <v>14144</v>
      </c>
      <c r="AF1086" s="55"/>
      <c r="AG1086" s="7"/>
      <c r="AH1086" s="56">
        <v>102368</v>
      </c>
      <c r="AI1086" s="59"/>
      <c r="AJ1086" s="59"/>
    </row>
    <row r="1087" spans="1:36" ht="15" x14ac:dyDescent="0.2">
      <c r="A1087" s="43" t="s">
        <v>14506</v>
      </c>
      <c r="B1087" s="47" t="s">
        <v>312</v>
      </c>
      <c r="C1087" s="7" t="s">
        <v>67</v>
      </c>
      <c r="D1087" s="7" t="s">
        <v>14507</v>
      </c>
      <c r="E1087" s="44">
        <v>5</v>
      </c>
      <c r="F1087" s="7"/>
      <c r="G1087" s="7"/>
      <c r="H1087" s="2" t="s">
        <v>14508</v>
      </c>
      <c r="I1087" s="7" t="s">
        <v>475</v>
      </c>
      <c r="J1087" s="7" t="s">
        <v>14509</v>
      </c>
      <c r="K1087" s="7" t="s">
        <v>48</v>
      </c>
      <c r="L1087" s="7" t="s">
        <v>14510</v>
      </c>
      <c r="M1087" s="7" t="s">
        <v>14512</v>
      </c>
      <c r="N1087" s="45" t="str">
        <f>HYPERLINK("twitter.com/Buck_ziegler","@Buck_ziegler")</f>
        <v>@Buck_ziegler</v>
      </c>
      <c r="O1087" s="45" t="str">
        <f t="shared" ref="O1087:O1089" si="786">HYPERLINK("https://gorunners.com/sb_output.aspx?form=15","Questionnaire")</f>
        <v>Questionnaire</v>
      </c>
      <c r="P1087" s="48" t="s">
        <v>14514</v>
      </c>
      <c r="Q1087" s="47" t="s">
        <v>312</v>
      </c>
      <c r="R1087" s="48" t="s">
        <v>13612</v>
      </c>
      <c r="S1087" s="48" t="s">
        <v>354</v>
      </c>
      <c r="T1087" s="49" t="s">
        <v>74</v>
      </c>
      <c r="U1087" s="7" t="s">
        <v>75</v>
      </c>
      <c r="V1087" s="7"/>
      <c r="W1087" s="44">
        <v>3.2</v>
      </c>
      <c r="X1087" s="49" t="s">
        <v>14515</v>
      </c>
      <c r="Y1087" s="49" t="s">
        <v>14515</v>
      </c>
      <c r="Z1087" s="49" t="s">
        <v>3952</v>
      </c>
      <c r="AA1087" s="51">
        <v>0.67820000000000003</v>
      </c>
      <c r="AB1087" s="48" t="s">
        <v>14516</v>
      </c>
      <c r="AC1087" s="90" t="s">
        <v>14514</v>
      </c>
      <c r="AD1087" s="53" t="str">
        <f t="shared" ref="AD1087:AD1090" si="787">HYPERLINK("http://www.csub.edu/academics/majors_degrees/index.html","Link")</f>
        <v>Link</v>
      </c>
      <c r="AE1087" s="54">
        <v>8179</v>
      </c>
      <c r="AF1087" s="55"/>
      <c r="AG1087" s="7"/>
      <c r="AH1087" s="56">
        <v>110486</v>
      </c>
      <c r="AI1087" s="85"/>
      <c r="AJ1087" s="56"/>
    </row>
    <row r="1088" spans="1:36" ht="15" x14ac:dyDescent="0.2">
      <c r="A1088" s="43" t="s">
        <v>14506</v>
      </c>
      <c r="B1088" s="47" t="s">
        <v>312</v>
      </c>
      <c r="C1088" s="7" t="s">
        <v>67</v>
      </c>
      <c r="D1088" s="7" t="s">
        <v>14522</v>
      </c>
      <c r="E1088" s="44">
        <v>5</v>
      </c>
      <c r="F1088" s="7"/>
      <c r="G1088" s="7"/>
      <c r="H1088" s="2" t="s">
        <v>14508</v>
      </c>
      <c r="I1088" s="7" t="s">
        <v>14523</v>
      </c>
      <c r="J1088" s="7" t="s">
        <v>14524</v>
      </c>
      <c r="K1088" s="7" t="s">
        <v>55</v>
      </c>
      <c r="L1088" s="7" t="s">
        <v>14526</v>
      </c>
      <c r="M1088" s="7" t="s">
        <v>14528</v>
      </c>
      <c r="N1088" s="45" t="str">
        <f t="shared" ref="N1088:N1089" si="788">HYPERLINK("twitter.com/csub_softball","@csub_softball")</f>
        <v>@csub_softball</v>
      </c>
      <c r="O1088" s="45" t="str">
        <f t="shared" si="786"/>
        <v>Questionnaire</v>
      </c>
      <c r="P1088" s="48" t="s">
        <v>14514</v>
      </c>
      <c r="Q1088" s="47" t="s">
        <v>312</v>
      </c>
      <c r="R1088" s="48" t="s">
        <v>13612</v>
      </c>
      <c r="S1088" s="48" t="s">
        <v>354</v>
      </c>
      <c r="T1088" s="49" t="s">
        <v>74</v>
      </c>
      <c r="U1088" s="7" t="s">
        <v>75</v>
      </c>
      <c r="V1088" s="7"/>
      <c r="W1088" s="44">
        <v>3.2</v>
      </c>
      <c r="X1088" s="49" t="s">
        <v>14515</v>
      </c>
      <c r="Y1088" s="49" t="s">
        <v>14515</v>
      </c>
      <c r="Z1088" s="49" t="s">
        <v>3952</v>
      </c>
      <c r="AA1088" s="51">
        <v>0.67820000000000003</v>
      </c>
      <c r="AB1088" s="48" t="s">
        <v>14516</v>
      </c>
      <c r="AC1088" s="90" t="s">
        <v>14514</v>
      </c>
      <c r="AD1088" s="53" t="str">
        <f t="shared" si="787"/>
        <v>Link</v>
      </c>
      <c r="AE1088" s="54">
        <v>8179</v>
      </c>
      <c r="AF1088" s="55"/>
      <c r="AG1088" s="7"/>
      <c r="AH1088" s="56">
        <v>110486</v>
      </c>
      <c r="AI1088" s="85"/>
      <c r="AJ1088" s="56"/>
    </row>
    <row r="1089" spans="1:36" ht="15" x14ac:dyDescent="0.2">
      <c r="A1089" s="43" t="s">
        <v>14506</v>
      </c>
      <c r="B1089" s="47" t="s">
        <v>312</v>
      </c>
      <c r="C1089" s="7" t="s">
        <v>67</v>
      </c>
      <c r="D1089" s="7" t="s">
        <v>14534</v>
      </c>
      <c r="E1089" s="44">
        <v>5</v>
      </c>
      <c r="F1089" s="7"/>
      <c r="G1089" s="7"/>
      <c r="H1089" s="2" t="s">
        <v>14508</v>
      </c>
      <c r="I1089" s="7" t="s">
        <v>930</v>
      </c>
      <c r="J1089" s="7" t="s">
        <v>14535</v>
      </c>
      <c r="K1089" s="7" t="s">
        <v>139</v>
      </c>
      <c r="L1089" s="7"/>
      <c r="M1089" s="7"/>
      <c r="N1089" s="45" t="str">
        <f t="shared" si="788"/>
        <v>@csub_softball</v>
      </c>
      <c r="O1089" s="45" t="str">
        <f t="shared" si="786"/>
        <v>Questionnaire</v>
      </c>
      <c r="P1089" s="48" t="s">
        <v>14514</v>
      </c>
      <c r="Q1089" s="47" t="s">
        <v>312</v>
      </c>
      <c r="R1089" s="48" t="s">
        <v>13612</v>
      </c>
      <c r="S1089" s="48" t="s">
        <v>354</v>
      </c>
      <c r="T1089" s="49" t="s">
        <v>74</v>
      </c>
      <c r="U1089" s="7" t="s">
        <v>75</v>
      </c>
      <c r="V1089" s="7"/>
      <c r="W1089" s="44">
        <v>3.2</v>
      </c>
      <c r="X1089" s="49" t="s">
        <v>14515</v>
      </c>
      <c r="Y1089" s="49" t="s">
        <v>14515</v>
      </c>
      <c r="Z1089" s="49" t="s">
        <v>3952</v>
      </c>
      <c r="AA1089" s="51">
        <v>0.67820000000000003</v>
      </c>
      <c r="AB1089" s="48" t="s">
        <v>14516</v>
      </c>
      <c r="AC1089" s="90" t="s">
        <v>14514</v>
      </c>
      <c r="AD1089" s="53" t="str">
        <f t="shared" si="787"/>
        <v>Link</v>
      </c>
      <c r="AE1089" s="54">
        <v>8179</v>
      </c>
      <c r="AF1089" s="55"/>
      <c r="AG1089" s="7"/>
      <c r="AH1089" s="56">
        <v>110486</v>
      </c>
      <c r="AI1089" s="85"/>
      <c r="AJ1089" s="56"/>
    </row>
    <row r="1090" spans="1:36" ht="15" x14ac:dyDescent="0.2">
      <c r="A1090" s="43" t="s">
        <v>14506</v>
      </c>
      <c r="B1090" s="47" t="s">
        <v>312</v>
      </c>
      <c r="C1090" s="7" t="s">
        <v>67</v>
      </c>
      <c r="D1090" s="7" t="s">
        <v>14544</v>
      </c>
      <c r="E1090" s="44">
        <v>5</v>
      </c>
      <c r="F1090" s="7"/>
      <c r="G1090" s="7"/>
      <c r="H1090" s="2" t="s">
        <v>14508</v>
      </c>
      <c r="I1090" s="7" t="s">
        <v>1905</v>
      </c>
      <c r="J1090" s="7" t="s">
        <v>14545</v>
      </c>
      <c r="K1090" s="7" t="s">
        <v>55</v>
      </c>
      <c r="L1090" s="7" t="s">
        <v>14546</v>
      </c>
      <c r="M1090" s="7"/>
      <c r="N1090" s="48"/>
      <c r="O1090" s="48"/>
      <c r="P1090" s="48" t="s">
        <v>14514</v>
      </c>
      <c r="Q1090" s="47" t="s">
        <v>312</v>
      </c>
      <c r="R1090" s="48" t="s">
        <v>13612</v>
      </c>
      <c r="S1090" s="48" t="s">
        <v>354</v>
      </c>
      <c r="T1090" s="49" t="s">
        <v>74</v>
      </c>
      <c r="U1090" s="7" t="s">
        <v>75</v>
      </c>
      <c r="V1090" s="7"/>
      <c r="W1090" s="44">
        <v>3.2</v>
      </c>
      <c r="X1090" s="49" t="s">
        <v>14515</v>
      </c>
      <c r="Y1090" s="49" t="s">
        <v>14515</v>
      </c>
      <c r="Z1090" s="49" t="s">
        <v>3952</v>
      </c>
      <c r="AA1090" s="51">
        <v>0.67820000000000003</v>
      </c>
      <c r="AB1090" s="48" t="s">
        <v>14516</v>
      </c>
      <c r="AC1090" s="90" t="s">
        <v>14514</v>
      </c>
      <c r="AD1090" s="53" t="str">
        <f t="shared" si="787"/>
        <v>Link</v>
      </c>
      <c r="AE1090" s="54">
        <v>8179</v>
      </c>
      <c r="AF1090" s="55"/>
      <c r="AG1090" s="7"/>
      <c r="AH1090" s="56">
        <v>110486</v>
      </c>
      <c r="AI1090" s="85"/>
      <c r="AJ1090" s="56"/>
    </row>
    <row r="1091" spans="1:36" ht="15" x14ac:dyDescent="0.2">
      <c r="A1091" s="43" t="s">
        <v>14506</v>
      </c>
      <c r="B1091" s="47" t="s">
        <v>312</v>
      </c>
      <c r="C1091" s="7" t="s">
        <v>67</v>
      </c>
      <c r="D1091" s="7" t="s">
        <v>14551</v>
      </c>
      <c r="E1091" s="44">
        <v>5</v>
      </c>
      <c r="F1091" s="7"/>
      <c r="G1091" s="7"/>
      <c r="H1091" s="2" t="s">
        <v>14552</v>
      </c>
      <c r="I1091" s="7" t="s">
        <v>2806</v>
      </c>
      <c r="J1091" s="7" t="s">
        <v>14553</v>
      </c>
      <c r="K1091" s="7" t="s">
        <v>48</v>
      </c>
      <c r="L1091" s="7" t="s">
        <v>14554</v>
      </c>
      <c r="M1091" s="7" t="s">
        <v>14555</v>
      </c>
      <c r="N1091" s="45" t="str">
        <f t="shared" ref="N1091:N1095" si="789">HYPERLINK("twitter.com/CBUSoftball","@CBUSoftball")</f>
        <v>@CBUSoftball</v>
      </c>
      <c r="O1091" s="45" t="str">
        <f t="shared" ref="O1091:O1095" si="790">HYPERLINK("https://questionnaires.armssoftware.com/49f230c87956","Questionnaire")</f>
        <v>Questionnaire</v>
      </c>
      <c r="P1091" s="48" t="s">
        <v>14559</v>
      </c>
      <c r="Q1091" s="47" t="s">
        <v>312</v>
      </c>
      <c r="R1091" s="48" t="s">
        <v>5374</v>
      </c>
      <c r="S1091" s="48" t="s">
        <v>354</v>
      </c>
      <c r="T1091" s="49" t="s">
        <v>63</v>
      </c>
      <c r="U1091" s="7" t="s">
        <v>800</v>
      </c>
      <c r="V1091" s="7"/>
      <c r="W1091" s="44">
        <v>3.32</v>
      </c>
      <c r="X1091" s="49" t="s">
        <v>1628</v>
      </c>
      <c r="Y1091" s="49" t="s">
        <v>1008</v>
      </c>
      <c r="Z1091" s="49" t="s">
        <v>125</v>
      </c>
      <c r="AA1091" s="51">
        <v>0.63990000000000002</v>
      </c>
      <c r="AB1091" s="71">
        <v>44538</v>
      </c>
      <c r="AC1091" s="52" t="s">
        <v>14559</v>
      </c>
      <c r="AD1091" s="53" t="str">
        <f t="shared" ref="AD1091:AD1095" si="791">HYPERLINK("https://calbaptist.edu/programs/undergraduate","Link")</f>
        <v>Link</v>
      </c>
      <c r="AE1091" s="54">
        <v>6937</v>
      </c>
      <c r="AF1091" s="55"/>
      <c r="AG1091" s="7"/>
      <c r="AH1091" s="56">
        <v>110361</v>
      </c>
      <c r="AI1091" s="85"/>
      <c r="AJ1091" s="56"/>
    </row>
    <row r="1092" spans="1:36" ht="15" x14ac:dyDescent="0.2">
      <c r="A1092" s="43" t="s">
        <v>14506</v>
      </c>
      <c r="B1092" s="47" t="s">
        <v>312</v>
      </c>
      <c r="C1092" s="7" t="s">
        <v>67</v>
      </c>
      <c r="D1092" s="7" t="s">
        <v>14565</v>
      </c>
      <c r="E1092" s="44">
        <v>5</v>
      </c>
      <c r="F1092" s="7"/>
      <c r="G1092" s="7"/>
      <c r="H1092" s="2" t="s">
        <v>14552</v>
      </c>
      <c r="I1092" s="7" t="s">
        <v>14566</v>
      </c>
      <c r="J1092" s="7" t="s">
        <v>695</v>
      </c>
      <c r="K1092" s="7" t="s">
        <v>55</v>
      </c>
      <c r="L1092" s="7" t="s">
        <v>14567</v>
      </c>
      <c r="M1092" s="7" t="s">
        <v>14568</v>
      </c>
      <c r="N1092" s="45" t="str">
        <f t="shared" si="789"/>
        <v>@CBUSoftball</v>
      </c>
      <c r="O1092" s="45" t="str">
        <f t="shared" si="790"/>
        <v>Questionnaire</v>
      </c>
      <c r="P1092" s="48" t="s">
        <v>14559</v>
      </c>
      <c r="Q1092" s="47" t="s">
        <v>312</v>
      </c>
      <c r="R1092" s="48" t="s">
        <v>5374</v>
      </c>
      <c r="S1092" s="48" t="s">
        <v>354</v>
      </c>
      <c r="T1092" s="49" t="s">
        <v>63</v>
      </c>
      <c r="U1092" s="7" t="s">
        <v>800</v>
      </c>
      <c r="V1092" s="7"/>
      <c r="W1092" s="44">
        <v>3.32</v>
      </c>
      <c r="X1092" s="49" t="s">
        <v>1628</v>
      </c>
      <c r="Y1092" s="49" t="s">
        <v>1008</v>
      </c>
      <c r="Z1092" s="49" t="s">
        <v>125</v>
      </c>
      <c r="AA1092" s="51">
        <v>0.63990000000000002</v>
      </c>
      <c r="AB1092" s="71">
        <v>44538</v>
      </c>
      <c r="AC1092" s="52" t="s">
        <v>14559</v>
      </c>
      <c r="AD1092" s="53" t="str">
        <f t="shared" si="791"/>
        <v>Link</v>
      </c>
      <c r="AE1092" s="54">
        <v>6937</v>
      </c>
      <c r="AF1092" s="55"/>
      <c r="AG1092" s="7"/>
      <c r="AH1092" s="56">
        <v>110361</v>
      </c>
      <c r="AI1092" s="85"/>
      <c r="AJ1092" s="56"/>
    </row>
    <row r="1093" spans="1:36" ht="15" x14ac:dyDescent="0.2">
      <c r="A1093" s="43" t="s">
        <v>14506</v>
      </c>
      <c r="B1093" s="47" t="s">
        <v>312</v>
      </c>
      <c r="C1093" s="7" t="s">
        <v>67</v>
      </c>
      <c r="D1093" s="7" t="s">
        <v>14581</v>
      </c>
      <c r="E1093" s="44">
        <v>5</v>
      </c>
      <c r="F1093" s="7"/>
      <c r="G1093" s="7"/>
      <c r="H1093" s="2" t="s">
        <v>14552</v>
      </c>
      <c r="I1093" s="7" t="s">
        <v>2028</v>
      </c>
      <c r="J1093" s="7" t="s">
        <v>14583</v>
      </c>
      <c r="K1093" s="7" t="s">
        <v>55</v>
      </c>
      <c r="L1093" s="7" t="s">
        <v>14584</v>
      </c>
      <c r="M1093" s="7" t="s">
        <v>14585</v>
      </c>
      <c r="N1093" s="45" t="str">
        <f t="shared" si="789"/>
        <v>@CBUSoftball</v>
      </c>
      <c r="O1093" s="45" t="str">
        <f t="shared" si="790"/>
        <v>Questionnaire</v>
      </c>
      <c r="P1093" s="48" t="s">
        <v>14559</v>
      </c>
      <c r="Q1093" s="47" t="s">
        <v>312</v>
      </c>
      <c r="R1093" s="48" t="s">
        <v>5374</v>
      </c>
      <c r="S1093" s="48" t="s">
        <v>354</v>
      </c>
      <c r="T1093" s="49" t="s">
        <v>63</v>
      </c>
      <c r="U1093" s="7" t="s">
        <v>800</v>
      </c>
      <c r="V1093" s="7"/>
      <c r="W1093" s="44">
        <v>3.32</v>
      </c>
      <c r="X1093" s="49" t="s">
        <v>1628</v>
      </c>
      <c r="Y1093" s="49" t="s">
        <v>1008</v>
      </c>
      <c r="Z1093" s="49" t="s">
        <v>125</v>
      </c>
      <c r="AA1093" s="51">
        <v>0.63990000000000002</v>
      </c>
      <c r="AB1093" s="71">
        <v>44538</v>
      </c>
      <c r="AC1093" s="52" t="s">
        <v>14559</v>
      </c>
      <c r="AD1093" s="53" t="str">
        <f t="shared" si="791"/>
        <v>Link</v>
      </c>
      <c r="AE1093" s="54">
        <v>6937</v>
      </c>
      <c r="AF1093" s="55"/>
      <c r="AG1093" s="7"/>
      <c r="AH1093" s="56">
        <v>110361</v>
      </c>
      <c r="AI1093" s="85"/>
      <c r="AJ1093" s="56"/>
    </row>
    <row r="1094" spans="1:36" ht="15" x14ac:dyDescent="0.2">
      <c r="A1094" s="43" t="s">
        <v>14506</v>
      </c>
      <c r="B1094" s="47" t="s">
        <v>312</v>
      </c>
      <c r="C1094" s="7" t="s">
        <v>67</v>
      </c>
      <c r="D1094" s="7" t="s">
        <v>14591</v>
      </c>
      <c r="E1094" s="44">
        <v>5</v>
      </c>
      <c r="F1094" s="7"/>
      <c r="G1094" s="7"/>
      <c r="H1094" s="2" t="s">
        <v>14552</v>
      </c>
      <c r="I1094" s="7" t="s">
        <v>206</v>
      </c>
      <c r="J1094" s="7" t="s">
        <v>1810</v>
      </c>
      <c r="K1094" s="7" t="s">
        <v>154</v>
      </c>
      <c r="L1094" s="7" t="s">
        <v>14593</v>
      </c>
      <c r="M1094" s="7" t="s">
        <v>14594</v>
      </c>
      <c r="N1094" s="45" t="str">
        <f t="shared" si="789"/>
        <v>@CBUSoftball</v>
      </c>
      <c r="O1094" s="45" t="str">
        <f t="shared" si="790"/>
        <v>Questionnaire</v>
      </c>
      <c r="P1094" s="48" t="s">
        <v>14559</v>
      </c>
      <c r="Q1094" s="47" t="s">
        <v>312</v>
      </c>
      <c r="R1094" s="48" t="s">
        <v>5374</v>
      </c>
      <c r="S1094" s="48" t="s">
        <v>354</v>
      </c>
      <c r="T1094" s="49" t="s">
        <v>63</v>
      </c>
      <c r="U1094" s="7" t="s">
        <v>800</v>
      </c>
      <c r="V1094" s="7"/>
      <c r="W1094" s="44">
        <v>3.32</v>
      </c>
      <c r="X1094" s="49" t="s">
        <v>1628</v>
      </c>
      <c r="Y1094" s="49" t="s">
        <v>1008</v>
      </c>
      <c r="Z1094" s="49" t="s">
        <v>125</v>
      </c>
      <c r="AA1094" s="51">
        <v>0.63990000000000002</v>
      </c>
      <c r="AB1094" s="71">
        <v>44538</v>
      </c>
      <c r="AC1094" s="52" t="s">
        <v>14559</v>
      </c>
      <c r="AD1094" s="53" t="str">
        <f t="shared" si="791"/>
        <v>Link</v>
      </c>
      <c r="AE1094" s="54">
        <v>6937</v>
      </c>
      <c r="AF1094" s="55"/>
      <c r="AG1094" s="7"/>
      <c r="AH1094" s="56">
        <v>110361</v>
      </c>
      <c r="AI1094" s="85"/>
      <c r="AJ1094" s="56"/>
    </row>
    <row r="1095" spans="1:36" ht="15" x14ac:dyDescent="0.2">
      <c r="A1095" s="43" t="s">
        <v>14506</v>
      </c>
      <c r="B1095" s="47" t="s">
        <v>312</v>
      </c>
      <c r="C1095" s="7" t="s">
        <v>67</v>
      </c>
      <c r="D1095" s="7" t="s">
        <v>14599</v>
      </c>
      <c r="E1095" s="44">
        <v>5</v>
      </c>
      <c r="F1095" s="7"/>
      <c r="G1095" s="7"/>
      <c r="H1095" s="2" t="s">
        <v>14552</v>
      </c>
      <c r="I1095" s="7" t="s">
        <v>14600</v>
      </c>
      <c r="J1095" s="7" t="s">
        <v>14601</v>
      </c>
      <c r="K1095" s="7" t="s">
        <v>139</v>
      </c>
      <c r="L1095" s="7"/>
      <c r="M1095" s="7"/>
      <c r="N1095" s="45" t="str">
        <f t="shared" si="789"/>
        <v>@CBUSoftball</v>
      </c>
      <c r="O1095" s="45" t="str">
        <f t="shared" si="790"/>
        <v>Questionnaire</v>
      </c>
      <c r="P1095" s="48" t="s">
        <v>14559</v>
      </c>
      <c r="Q1095" s="47" t="s">
        <v>312</v>
      </c>
      <c r="R1095" s="48" t="s">
        <v>5374</v>
      </c>
      <c r="S1095" s="48" t="s">
        <v>354</v>
      </c>
      <c r="T1095" s="49" t="s">
        <v>63</v>
      </c>
      <c r="U1095" s="7" t="s">
        <v>800</v>
      </c>
      <c r="V1095" s="7"/>
      <c r="W1095" s="44">
        <v>3.32</v>
      </c>
      <c r="X1095" s="49" t="s">
        <v>1628</v>
      </c>
      <c r="Y1095" s="49" t="s">
        <v>1008</v>
      </c>
      <c r="Z1095" s="49" t="s">
        <v>125</v>
      </c>
      <c r="AA1095" s="51">
        <v>0.63990000000000002</v>
      </c>
      <c r="AB1095" s="71">
        <v>44538</v>
      </c>
      <c r="AC1095" s="52" t="s">
        <v>14559</v>
      </c>
      <c r="AD1095" s="53" t="str">
        <f t="shared" si="791"/>
        <v>Link</v>
      </c>
      <c r="AE1095" s="54">
        <v>6937</v>
      </c>
      <c r="AF1095" s="55"/>
      <c r="AG1095" s="7"/>
      <c r="AH1095" s="56">
        <v>110361</v>
      </c>
      <c r="AI1095" s="85"/>
      <c r="AJ1095" s="56"/>
    </row>
    <row r="1096" spans="1:36" ht="15" x14ac:dyDescent="0.2">
      <c r="A1096" s="43" t="s">
        <v>14506</v>
      </c>
      <c r="B1096" s="47" t="s">
        <v>10678</v>
      </c>
      <c r="C1096" s="7" t="s">
        <v>67</v>
      </c>
      <c r="D1096" s="7" t="s">
        <v>14608</v>
      </c>
      <c r="E1096" s="44">
        <v>5</v>
      </c>
      <c r="F1096" s="7"/>
      <c r="G1096" s="7"/>
      <c r="H1096" s="2" t="s">
        <v>14610</v>
      </c>
      <c r="I1096" s="7" t="s">
        <v>8327</v>
      </c>
      <c r="J1096" s="7" t="s">
        <v>14612</v>
      </c>
      <c r="K1096" s="7" t="s">
        <v>48</v>
      </c>
      <c r="L1096" s="7" t="s">
        <v>14614</v>
      </c>
      <c r="M1096" s="7" t="s">
        <v>14615</v>
      </c>
      <c r="N1096" s="45" t="str">
        <f t="shared" ref="N1096:N1100" si="792">HYPERLINK("twitter.com/gcu_softball","@gcu_softball")</f>
        <v>@gcu_softball</v>
      </c>
      <c r="O1096" s="45" t="str">
        <f t="shared" ref="O1096:O1100" si="793">HYPERLINK("https://questionnaire.acsathletics.com/Questionnaire/Questionnaire.aspx?%2fW8k1TcppQxvDvdMQDrEsrrWESTqxlIZ46lPyx0lZtcjwM28Puogzmf%2fLL1LWOiA","Questionnaire")</f>
        <v>Questionnaire</v>
      </c>
      <c r="P1096" s="48" t="s">
        <v>14625</v>
      </c>
      <c r="Q1096" s="47" t="s">
        <v>10678</v>
      </c>
      <c r="R1096" s="48" t="s">
        <v>13273</v>
      </c>
      <c r="S1096" s="48" t="s">
        <v>288</v>
      </c>
      <c r="T1096" s="49" t="s">
        <v>974</v>
      </c>
      <c r="U1096" s="7" t="s">
        <v>75</v>
      </c>
      <c r="V1096" s="7"/>
      <c r="W1096" s="7" t="s">
        <v>14626</v>
      </c>
      <c r="X1096" s="49" t="s">
        <v>214</v>
      </c>
      <c r="Y1096" s="49" t="s">
        <v>214</v>
      </c>
      <c r="Z1096" s="49" t="s">
        <v>214</v>
      </c>
      <c r="AA1096" s="61">
        <v>0.56999999999999995</v>
      </c>
      <c r="AB1096" s="71">
        <v>32100</v>
      </c>
      <c r="AC1096" s="62" t="s">
        <v>14625</v>
      </c>
      <c r="AD1096" s="53" t="str">
        <f t="shared" ref="AD1096:AD1100" si="794">HYPERLINK("https://www.gcu.edu/degree-programs/","Link")</f>
        <v>Link</v>
      </c>
      <c r="AE1096" s="54">
        <v>46297</v>
      </c>
      <c r="AF1096" s="55"/>
      <c r="AG1096" s="7"/>
      <c r="AH1096" s="56">
        <v>104717</v>
      </c>
      <c r="AI1096" s="85"/>
      <c r="AJ1096" s="56"/>
    </row>
    <row r="1097" spans="1:36" ht="15" x14ac:dyDescent="0.2">
      <c r="A1097" s="43" t="s">
        <v>14506</v>
      </c>
      <c r="B1097" s="47" t="s">
        <v>10678</v>
      </c>
      <c r="C1097" s="7" t="s">
        <v>67</v>
      </c>
      <c r="D1097" s="7" t="s">
        <v>14628</v>
      </c>
      <c r="E1097" s="44">
        <v>5</v>
      </c>
      <c r="F1097" s="7"/>
      <c r="G1097" s="7"/>
      <c r="H1097" s="2" t="s">
        <v>14610</v>
      </c>
      <c r="I1097" s="7" t="s">
        <v>7385</v>
      </c>
      <c r="J1097" s="7" t="s">
        <v>14196</v>
      </c>
      <c r="K1097" s="7" t="s">
        <v>55</v>
      </c>
      <c r="L1097" s="7" t="s">
        <v>14631</v>
      </c>
      <c r="M1097" s="7"/>
      <c r="N1097" s="45" t="str">
        <f t="shared" si="792"/>
        <v>@gcu_softball</v>
      </c>
      <c r="O1097" s="45" t="str">
        <f t="shared" si="793"/>
        <v>Questionnaire</v>
      </c>
      <c r="P1097" s="48" t="s">
        <v>14625</v>
      </c>
      <c r="Q1097" s="47" t="s">
        <v>10678</v>
      </c>
      <c r="R1097" s="48" t="s">
        <v>13273</v>
      </c>
      <c r="S1097" s="48" t="s">
        <v>288</v>
      </c>
      <c r="T1097" s="49" t="s">
        <v>974</v>
      </c>
      <c r="U1097" s="7" t="s">
        <v>75</v>
      </c>
      <c r="V1097" s="7"/>
      <c r="W1097" s="7" t="s">
        <v>14626</v>
      </c>
      <c r="X1097" s="49" t="s">
        <v>214</v>
      </c>
      <c r="Y1097" s="49" t="s">
        <v>214</v>
      </c>
      <c r="Z1097" s="49" t="s">
        <v>214</v>
      </c>
      <c r="AA1097" s="61">
        <v>0.56999999999999995</v>
      </c>
      <c r="AB1097" s="71">
        <v>32100</v>
      </c>
      <c r="AC1097" s="62" t="s">
        <v>14625</v>
      </c>
      <c r="AD1097" s="53" t="str">
        <f t="shared" si="794"/>
        <v>Link</v>
      </c>
      <c r="AE1097" s="54">
        <v>46297</v>
      </c>
      <c r="AF1097" s="55"/>
      <c r="AG1097" s="7"/>
      <c r="AH1097" s="56">
        <v>104717</v>
      </c>
      <c r="AI1097" s="85"/>
      <c r="AJ1097" s="56"/>
    </row>
    <row r="1098" spans="1:36" ht="15" x14ac:dyDescent="0.2">
      <c r="A1098" s="43" t="s">
        <v>14506</v>
      </c>
      <c r="B1098" s="47" t="s">
        <v>10678</v>
      </c>
      <c r="C1098" s="7" t="s">
        <v>67</v>
      </c>
      <c r="D1098" s="7" t="s">
        <v>14635</v>
      </c>
      <c r="E1098" s="44">
        <v>5</v>
      </c>
      <c r="F1098" s="7"/>
      <c r="G1098" s="7"/>
      <c r="H1098" s="2" t="s">
        <v>14610</v>
      </c>
      <c r="I1098" s="7" t="s">
        <v>9560</v>
      </c>
      <c r="J1098" s="7" t="s">
        <v>14638</v>
      </c>
      <c r="K1098" s="7" t="s">
        <v>55</v>
      </c>
      <c r="L1098" s="7" t="s">
        <v>14639</v>
      </c>
      <c r="M1098" s="7" t="s">
        <v>14640</v>
      </c>
      <c r="N1098" s="45" t="str">
        <f t="shared" si="792"/>
        <v>@gcu_softball</v>
      </c>
      <c r="O1098" s="45" t="str">
        <f t="shared" si="793"/>
        <v>Questionnaire</v>
      </c>
      <c r="P1098" s="48" t="s">
        <v>14625</v>
      </c>
      <c r="Q1098" s="47" t="s">
        <v>10678</v>
      </c>
      <c r="R1098" s="48" t="s">
        <v>13273</v>
      </c>
      <c r="S1098" s="48" t="s">
        <v>288</v>
      </c>
      <c r="T1098" s="49" t="s">
        <v>974</v>
      </c>
      <c r="U1098" s="7" t="s">
        <v>75</v>
      </c>
      <c r="V1098" s="7"/>
      <c r="W1098" s="7" t="s">
        <v>14626</v>
      </c>
      <c r="X1098" s="49" t="s">
        <v>214</v>
      </c>
      <c r="Y1098" s="49" t="s">
        <v>214</v>
      </c>
      <c r="Z1098" s="49" t="s">
        <v>214</v>
      </c>
      <c r="AA1098" s="61">
        <v>0.56999999999999995</v>
      </c>
      <c r="AB1098" s="71">
        <v>32100</v>
      </c>
      <c r="AC1098" s="62" t="s">
        <v>14625</v>
      </c>
      <c r="AD1098" s="53" t="str">
        <f t="shared" si="794"/>
        <v>Link</v>
      </c>
      <c r="AE1098" s="54">
        <v>46297</v>
      </c>
      <c r="AF1098" s="55"/>
      <c r="AG1098" s="7"/>
      <c r="AH1098" s="56">
        <v>104717</v>
      </c>
      <c r="AI1098" s="85"/>
      <c r="AJ1098" s="56"/>
    </row>
    <row r="1099" spans="1:36" ht="15" x14ac:dyDescent="0.2">
      <c r="A1099" s="43" t="s">
        <v>14506</v>
      </c>
      <c r="B1099" s="47" t="s">
        <v>10678</v>
      </c>
      <c r="C1099" s="7" t="s">
        <v>67</v>
      </c>
      <c r="D1099" s="7" t="s">
        <v>14649</v>
      </c>
      <c r="E1099" s="44">
        <v>5</v>
      </c>
      <c r="F1099" s="7"/>
      <c r="G1099" s="7"/>
      <c r="H1099" s="2" t="s">
        <v>14610</v>
      </c>
      <c r="I1099" s="7" t="s">
        <v>1041</v>
      </c>
      <c r="J1099" s="7" t="s">
        <v>14651</v>
      </c>
      <c r="K1099" s="7" t="s">
        <v>139</v>
      </c>
      <c r="L1099" s="7" t="s">
        <v>14652</v>
      </c>
      <c r="M1099" s="7"/>
      <c r="N1099" s="45" t="str">
        <f t="shared" si="792"/>
        <v>@gcu_softball</v>
      </c>
      <c r="O1099" s="45" t="str">
        <f t="shared" si="793"/>
        <v>Questionnaire</v>
      </c>
      <c r="P1099" s="48" t="s">
        <v>14625</v>
      </c>
      <c r="Q1099" s="47" t="s">
        <v>10678</v>
      </c>
      <c r="R1099" s="48" t="s">
        <v>13273</v>
      </c>
      <c r="S1099" s="48" t="s">
        <v>288</v>
      </c>
      <c r="T1099" s="49" t="s">
        <v>974</v>
      </c>
      <c r="U1099" s="7" t="s">
        <v>75</v>
      </c>
      <c r="V1099" s="7"/>
      <c r="W1099" s="7" t="s">
        <v>14626</v>
      </c>
      <c r="X1099" s="49" t="s">
        <v>214</v>
      </c>
      <c r="Y1099" s="49" t="s">
        <v>214</v>
      </c>
      <c r="Z1099" s="49" t="s">
        <v>214</v>
      </c>
      <c r="AA1099" s="61">
        <v>0.56999999999999995</v>
      </c>
      <c r="AB1099" s="71">
        <v>32100</v>
      </c>
      <c r="AC1099" s="62" t="s">
        <v>14625</v>
      </c>
      <c r="AD1099" s="53" t="str">
        <f t="shared" si="794"/>
        <v>Link</v>
      </c>
      <c r="AE1099" s="54">
        <v>46297</v>
      </c>
      <c r="AF1099" s="55"/>
      <c r="AG1099" s="7"/>
      <c r="AH1099" s="56">
        <v>104717</v>
      </c>
      <c r="AI1099" s="85"/>
      <c r="AJ1099" s="56"/>
    </row>
    <row r="1100" spans="1:36" ht="15" x14ac:dyDescent="0.2">
      <c r="A1100" s="43" t="s">
        <v>14506</v>
      </c>
      <c r="B1100" s="47" t="s">
        <v>10678</v>
      </c>
      <c r="C1100" s="7" t="s">
        <v>67</v>
      </c>
      <c r="D1100" s="7" t="s">
        <v>14662</v>
      </c>
      <c r="E1100" s="44">
        <v>5</v>
      </c>
      <c r="F1100" s="7"/>
      <c r="G1100" s="7"/>
      <c r="H1100" s="2" t="s">
        <v>14610</v>
      </c>
      <c r="I1100" s="7" t="s">
        <v>14663</v>
      </c>
      <c r="J1100" s="7" t="s">
        <v>14664</v>
      </c>
      <c r="K1100" s="7" t="s">
        <v>120</v>
      </c>
      <c r="L1100" s="7" t="s">
        <v>14665</v>
      </c>
      <c r="M1100" s="7" t="s">
        <v>14666</v>
      </c>
      <c r="N1100" s="45" t="str">
        <f t="shared" si="792"/>
        <v>@gcu_softball</v>
      </c>
      <c r="O1100" s="45" t="str">
        <f t="shared" si="793"/>
        <v>Questionnaire</v>
      </c>
      <c r="P1100" s="48" t="s">
        <v>14625</v>
      </c>
      <c r="Q1100" s="47" t="s">
        <v>10678</v>
      </c>
      <c r="R1100" s="48" t="s">
        <v>13273</v>
      </c>
      <c r="S1100" s="48" t="s">
        <v>288</v>
      </c>
      <c r="T1100" s="49" t="s">
        <v>974</v>
      </c>
      <c r="U1100" s="7" t="s">
        <v>75</v>
      </c>
      <c r="V1100" s="7"/>
      <c r="W1100" s="7" t="s">
        <v>14626</v>
      </c>
      <c r="X1100" s="49" t="s">
        <v>214</v>
      </c>
      <c r="Y1100" s="49" t="s">
        <v>214</v>
      </c>
      <c r="Z1100" s="49" t="s">
        <v>214</v>
      </c>
      <c r="AA1100" s="61">
        <v>0.56999999999999995</v>
      </c>
      <c r="AB1100" s="71">
        <v>32100</v>
      </c>
      <c r="AC1100" s="62" t="s">
        <v>14625</v>
      </c>
      <c r="AD1100" s="53" t="str">
        <f t="shared" si="794"/>
        <v>Link</v>
      </c>
      <c r="AE1100" s="54">
        <v>46297</v>
      </c>
      <c r="AF1100" s="55"/>
      <c r="AG1100" s="7"/>
      <c r="AH1100" s="56">
        <v>104717</v>
      </c>
      <c r="AI1100" s="85"/>
      <c r="AJ1100" s="56"/>
    </row>
    <row r="1101" spans="1:36" ht="13" x14ac:dyDescent="0.15">
      <c r="A1101" s="64" t="s">
        <v>14506</v>
      </c>
      <c r="B1101" s="60" t="s">
        <v>2246</v>
      </c>
      <c r="C1101" s="7" t="s">
        <v>67</v>
      </c>
      <c r="D1101" s="7" t="s">
        <v>14669</v>
      </c>
      <c r="E1101" s="44">
        <v>5</v>
      </c>
      <c r="F1101" s="7"/>
      <c r="G1101" s="7"/>
      <c r="H1101" s="2" t="s">
        <v>14670</v>
      </c>
      <c r="I1101" s="7" t="s">
        <v>1357</v>
      </c>
      <c r="J1101" s="7" t="s">
        <v>5025</v>
      </c>
      <c r="K1101" s="7" t="s">
        <v>48</v>
      </c>
      <c r="L1101" s="7" t="s">
        <v>14672</v>
      </c>
      <c r="M1101" s="7" t="s">
        <v>14673</v>
      </c>
      <c r="N1101" s="7"/>
      <c r="O1101" s="45" t="str">
        <f t="shared" ref="O1101:O1104" si="795">HYPERLINK("http://www.umkckangaroos.com/ViewArticle.dbml?DB_OEM_ID=18300&amp;ATCLID=1258947","Questionnaire")</f>
        <v>Questionnaire</v>
      </c>
      <c r="P1101" s="48" t="s">
        <v>14675</v>
      </c>
      <c r="Q1101" s="60" t="s">
        <v>2246</v>
      </c>
      <c r="R1101" s="48" t="s">
        <v>6594</v>
      </c>
      <c r="S1101" s="48" t="s">
        <v>354</v>
      </c>
      <c r="T1101" s="49" t="s">
        <v>74</v>
      </c>
      <c r="U1101" s="7" t="s">
        <v>75</v>
      </c>
      <c r="V1101" s="7"/>
      <c r="W1101" s="37">
        <v>3.38</v>
      </c>
      <c r="X1101" s="49" t="s">
        <v>6714</v>
      </c>
      <c r="Y1101" s="49" t="s">
        <v>4412</v>
      </c>
      <c r="Z1101" s="49" t="s">
        <v>803</v>
      </c>
      <c r="AA1101" s="65">
        <v>0.62</v>
      </c>
      <c r="AB1101" s="6" t="s">
        <v>14677</v>
      </c>
      <c r="AC1101" s="90" t="s">
        <v>14675</v>
      </c>
      <c r="AD1101" s="53" t="str">
        <f t="shared" ref="AD1101:AD1105" si="796">HYPERLINK("https://cf1.umkc.edu/majormaps/","Link")</f>
        <v>Link</v>
      </c>
      <c r="AE1101" s="42">
        <v>11704</v>
      </c>
      <c r="AF1101" s="42">
        <v>216</v>
      </c>
      <c r="AG1101" s="7"/>
      <c r="AH1101" s="56">
        <v>178402</v>
      </c>
      <c r="AI1101" s="85"/>
      <c r="AJ1101" s="56"/>
    </row>
    <row r="1102" spans="1:36" ht="13" x14ac:dyDescent="0.15">
      <c r="A1102" s="64" t="s">
        <v>14506</v>
      </c>
      <c r="B1102" s="60" t="s">
        <v>2246</v>
      </c>
      <c r="C1102" s="7" t="s">
        <v>67</v>
      </c>
      <c r="D1102" s="7" t="s">
        <v>14682</v>
      </c>
      <c r="E1102" s="44">
        <v>5</v>
      </c>
      <c r="F1102" s="7"/>
      <c r="G1102" s="7"/>
      <c r="H1102" s="2" t="s">
        <v>14670</v>
      </c>
      <c r="I1102" s="7" t="s">
        <v>2289</v>
      </c>
      <c r="J1102" s="7" t="s">
        <v>6825</v>
      </c>
      <c r="K1102" s="7" t="s">
        <v>55</v>
      </c>
      <c r="L1102" s="7" t="s">
        <v>14684</v>
      </c>
      <c r="M1102" s="7" t="s">
        <v>14673</v>
      </c>
      <c r="N1102" s="7"/>
      <c r="O1102" s="45" t="str">
        <f t="shared" si="795"/>
        <v>Questionnaire</v>
      </c>
      <c r="P1102" s="48" t="s">
        <v>14675</v>
      </c>
      <c r="Q1102" s="60" t="s">
        <v>2246</v>
      </c>
      <c r="R1102" s="48" t="s">
        <v>6594</v>
      </c>
      <c r="S1102" s="48" t="s">
        <v>354</v>
      </c>
      <c r="T1102" s="49" t="s">
        <v>74</v>
      </c>
      <c r="U1102" s="7" t="s">
        <v>75</v>
      </c>
      <c r="V1102" s="7"/>
      <c r="W1102" s="37">
        <v>3.38</v>
      </c>
      <c r="X1102" s="49" t="s">
        <v>6714</v>
      </c>
      <c r="Y1102" s="49" t="s">
        <v>4412</v>
      </c>
      <c r="Z1102" s="49" t="s">
        <v>803</v>
      </c>
      <c r="AA1102" s="65">
        <v>0.62</v>
      </c>
      <c r="AB1102" s="6" t="s">
        <v>14677</v>
      </c>
      <c r="AC1102" s="90" t="s">
        <v>14675</v>
      </c>
      <c r="AD1102" s="53" t="str">
        <f t="shared" si="796"/>
        <v>Link</v>
      </c>
      <c r="AE1102" s="42">
        <v>11704</v>
      </c>
      <c r="AF1102" s="42">
        <v>216</v>
      </c>
      <c r="AG1102" s="7"/>
      <c r="AH1102" s="56">
        <v>178402</v>
      </c>
      <c r="AI1102" s="85"/>
      <c r="AJ1102" s="56"/>
    </row>
    <row r="1103" spans="1:36" ht="13" x14ac:dyDescent="0.15">
      <c r="A1103" s="64" t="s">
        <v>14506</v>
      </c>
      <c r="B1103" s="60" t="s">
        <v>2246</v>
      </c>
      <c r="C1103" s="7" t="s">
        <v>67</v>
      </c>
      <c r="D1103" s="7" t="s">
        <v>14686</v>
      </c>
      <c r="E1103" s="44">
        <v>5</v>
      </c>
      <c r="F1103" s="7"/>
      <c r="G1103" s="7"/>
      <c r="H1103" s="2" t="s">
        <v>14670</v>
      </c>
      <c r="I1103" s="7" t="s">
        <v>14688</v>
      </c>
      <c r="J1103" s="7" t="s">
        <v>5025</v>
      </c>
      <c r="K1103" s="7" t="s">
        <v>55</v>
      </c>
      <c r="L1103" s="7"/>
      <c r="M1103" s="7"/>
      <c r="N1103" s="7"/>
      <c r="O1103" s="45" t="str">
        <f t="shared" si="795"/>
        <v>Questionnaire</v>
      </c>
      <c r="P1103" s="48" t="s">
        <v>14675</v>
      </c>
      <c r="Q1103" s="60" t="s">
        <v>2246</v>
      </c>
      <c r="R1103" s="48" t="s">
        <v>6594</v>
      </c>
      <c r="S1103" s="48" t="s">
        <v>354</v>
      </c>
      <c r="T1103" s="49" t="s">
        <v>74</v>
      </c>
      <c r="U1103" s="7" t="s">
        <v>75</v>
      </c>
      <c r="V1103" s="7"/>
      <c r="W1103" s="37">
        <v>3.38</v>
      </c>
      <c r="X1103" s="49" t="s">
        <v>6714</v>
      </c>
      <c r="Y1103" s="49" t="s">
        <v>4412</v>
      </c>
      <c r="Z1103" s="49" t="s">
        <v>803</v>
      </c>
      <c r="AA1103" s="65">
        <v>0.62</v>
      </c>
      <c r="AB1103" s="6" t="s">
        <v>14677</v>
      </c>
      <c r="AC1103" s="90" t="s">
        <v>14675</v>
      </c>
      <c r="AD1103" s="53" t="str">
        <f t="shared" si="796"/>
        <v>Link</v>
      </c>
      <c r="AE1103" s="42">
        <v>11704</v>
      </c>
      <c r="AF1103" s="42">
        <v>216</v>
      </c>
      <c r="AG1103" s="7"/>
      <c r="AH1103" s="56">
        <v>178402</v>
      </c>
      <c r="AI1103" s="85"/>
      <c r="AJ1103" s="56"/>
    </row>
    <row r="1104" spans="1:36" ht="13" x14ac:dyDescent="0.15">
      <c r="A1104" s="64" t="s">
        <v>14506</v>
      </c>
      <c r="B1104" s="60" t="s">
        <v>2246</v>
      </c>
      <c r="C1104" s="7" t="s">
        <v>67</v>
      </c>
      <c r="D1104" s="7" t="s">
        <v>14695</v>
      </c>
      <c r="E1104" s="44">
        <v>5</v>
      </c>
      <c r="F1104" s="7"/>
      <c r="G1104" s="7"/>
      <c r="H1104" s="2" t="s">
        <v>14670</v>
      </c>
      <c r="I1104" s="7" t="s">
        <v>14697</v>
      </c>
      <c r="J1104" s="7" t="s">
        <v>14698</v>
      </c>
      <c r="K1104" s="7" t="s">
        <v>154</v>
      </c>
      <c r="L1104" s="7"/>
      <c r="M1104" s="7"/>
      <c r="N1104" s="7"/>
      <c r="O1104" s="45" t="str">
        <f t="shared" si="795"/>
        <v>Questionnaire</v>
      </c>
      <c r="P1104" s="48" t="s">
        <v>14675</v>
      </c>
      <c r="Q1104" s="60" t="s">
        <v>2246</v>
      </c>
      <c r="R1104" s="48" t="s">
        <v>6594</v>
      </c>
      <c r="S1104" s="48" t="s">
        <v>354</v>
      </c>
      <c r="T1104" s="49" t="s">
        <v>74</v>
      </c>
      <c r="U1104" s="7" t="s">
        <v>75</v>
      </c>
      <c r="V1104" s="7"/>
      <c r="W1104" s="37">
        <v>3.38</v>
      </c>
      <c r="X1104" s="49" t="s">
        <v>6714</v>
      </c>
      <c r="Y1104" s="49" t="s">
        <v>4412</v>
      </c>
      <c r="Z1104" s="49" t="s">
        <v>803</v>
      </c>
      <c r="AA1104" s="65">
        <v>0.62</v>
      </c>
      <c r="AB1104" s="6" t="s">
        <v>14677</v>
      </c>
      <c r="AC1104" s="90" t="s">
        <v>14675</v>
      </c>
      <c r="AD1104" s="53" t="str">
        <f t="shared" si="796"/>
        <v>Link</v>
      </c>
      <c r="AE1104" s="42">
        <v>11704</v>
      </c>
      <c r="AF1104" s="42">
        <v>216</v>
      </c>
      <c r="AG1104" s="7"/>
      <c r="AH1104" s="56">
        <v>178402</v>
      </c>
      <c r="AI1104" s="85"/>
      <c r="AJ1104" s="56"/>
    </row>
    <row r="1105" spans="1:36" ht="13" x14ac:dyDescent="0.15">
      <c r="A1105" s="64" t="s">
        <v>14506</v>
      </c>
      <c r="B1105" s="60" t="s">
        <v>2246</v>
      </c>
      <c r="C1105" s="7" t="s">
        <v>67</v>
      </c>
      <c r="D1105" s="7" t="s">
        <v>14702</v>
      </c>
      <c r="E1105" s="44">
        <v>5</v>
      </c>
      <c r="F1105" s="7"/>
      <c r="G1105" s="7"/>
      <c r="H1105" s="2" t="s">
        <v>14670</v>
      </c>
      <c r="I1105" s="7" t="s">
        <v>1124</v>
      </c>
      <c r="J1105" s="7" t="s">
        <v>3984</v>
      </c>
      <c r="K1105" s="7" t="s">
        <v>139</v>
      </c>
      <c r="L1105" s="7" t="s">
        <v>14706</v>
      </c>
      <c r="M1105" s="7"/>
      <c r="N1105" s="48"/>
      <c r="O1105" s="48"/>
      <c r="P1105" s="48" t="s">
        <v>14675</v>
      </c>
      <c r="Q1105" s="60" t="s">
        <v>2246</v>
      </c>
      <c r="R1105" s="48" t="s">
        <v>6594</v>
      </c>
      <c r="S1105" s="48" t="s">
        <v>354</v>
      </c>
      <c r="T1105" s="49" t="s">
        <v>74</v>
      </c>
      <c r="U1105" s="7" t="s">
        <v>75</v>
      </c>
      <c r="V1105" s="7"/>
      <c r="W1105" s="37">
        <v>3.38</v>
      </c>
      <c r="X1105" s="49" t="s">
        <v>6714</v>
      </c>
      <c r="Y1105" s="49" t="s">
        <v>4412</v>
      </c>
      <c r="Z1105" s="49" t="s">
        <v>803</v>
      </c>
      <c r="AA1105" s="65">
        <v>0.62</v>
      </c>
      <c r="AB1105" s="6" t="s">
        <v>14677</v>
      </c>
      <c r="AC1105" s="90" t="s">
        <v>14675</v>
      </c>
      <c r="AD1105" s="53" t="str">
        <f t="shared" si="796"/>
        <v>Link</v>
      </c>
      <c r="AE1105" s="42">
        <v>11704</v>
      </c>
      <c r="AF1105" s="42">
        <v>216</v>
      </c>
      <c r="AG1105" s="7"/>
      <c r="AH1105" s="56">
        <v>178402</v>
      </c>
      <c r="AI1105" s="85"/>
      <c r="AJ1105" s="56"/>
    </row>
    <row r="1106" spans="1:36" ht="15" x14ac:dyDescent="0.2">
      <c r="A1106" s="43" t="s">
        <v>14506</v>
      </c>
      <c r="B1106" s="47" t="s">
        <v>7198</v>
      </c>
      <c r="C1106" s="7" t="s">
        <v>67</v>
      </c>
      <c r="D1106" s="7" t="s">
        <v>14713</v>
      </c>
      <c r="E1106" s="44">
        <v>5</v>
      </c>
      <c r="F1106" s="7"/>
      <c r="G1106" s="7"/>
      <c r="H1106" s="2" t="s">
        <v>14715</v>
      </c>
      <c r="I1106" s="7" t="s">
        <v>1827</v>
      </c>
      <c r="J1106" s="7" t="s">
        <v>14718</v>
      </c>
      <c r="K1106" s="7" t="s">
        <v>48</v>
      </c>
      <c r="L1106" s="7" t="s">
        <v>14719</v>
      </c>
      <c r="M1106" s="7" t="s">
        <v>14720</v>
      </c>
      <c r="N1106" s="45" t="str">
        <f t="shared" ref="N1106:N1109" si="797">HYPERLINK("twitter.com/nmstatesoftball","@nmstatesoftball")</f>
        <v>@nmstatesoftball</v>
      </c>
      <c r="O1106" s="45" t="str">
        <f t="shared" ref="O1106:O1109" si="798">HYPERLINK("https://college.jumpforward.com/questionnaire.aspx?DB_OEM_ID=1900&amp;iid=1572&amp;sportid=31","Questionnaire")</f>
        <v>Questionnaire</v>
      </c>
      <c r="P1106" s="48" t="s">
        <v>14727</v>
      </c>
      <c r="Q1106" s="47" t="s">
        <v>7198</v>
      </c>
      <c r="R1106" s="48" t="s">
        <v>14730</v>
      </c>
      <c r="S1106" s="48" t="s">
        <v>238</v>
      </c>
      <c r="T1106" s="49" t="s">
        <v>74</v>
      </c>
      <c r="U1106" s="7" t="s">
        <v>75</v>
      </c>
      <c r="V1106" s="7"/>
      <c r="W1106" s="44">
        <v>3.49</v>
      </c>
      <c r="X1106" s="49" t="s">
        <v>8509</v>
      </c>
      <c r="Y1106" s="49" t="s">
        <v>3485</v>
      </c>
      <c r="Z1106" s="49" t="s">
        <v>841</v>
      </c>
      <c r="AA1106" s="61">
        <v>0.6</v>
      </c>
      <c r="AB1106" s="48" t="s">
        <v>14732</v>
      </c>
      <c r="AC1106" s="52" t="s">
        <v>14727</v>
      </c>
      <c r="AD1106" s="53" t="str">
        <f t="shared" ref="AD1106:AD1109" si="799">HYPERLINK("https://admissions.nmsu.edu/academics/","Link")</f>
        <v>Link</v>
      </c>
      <c r="AE1106" s="54">
        <v>12027</v>
      </c>
      <c r="AF1106" s="54">
        <v>198</v>
      </c>
      <c r="AG1106" s="7"/>
      <c r="AH1106" s="56">
        <v>188030</v>
      </c>
      <c r="AI1106" s="85"/>
      <c r="AJ1106" s="56"/>
    </row>
    <row r="1107" spans="1:36" ht="15" x14ac:dyDescent="0.2">
      <c r="A1107" s="43" t="s">
        <v>14506</v>
      </c>
      <c r="B1107" s="47" t="s">
        <v>7198</v>
      </c>
      <c r="C1107" s="7" t="s">
        <v>67</v>
      </c>
      <c r="D1107" s="7" t="s">
        <v>14736</v>
      </c>
      <c r="E1107" s="44">
        <v>5</v>
      </c>
      <c r="F1107" s="7"/>
      <c r="G1107" s="7"/>
      <c r="H1107" s="2" t="s">
        <v>14715</v>
      </c>
      <c r="I1107" s="7" t="s">
        <v>14737</v>
      </c>
      <c r="J1107" s="7" t="s">
        <v>14738</v>
      </c>
      <c r="K1107" s="7" t="s">
        <v>55</v>
      </c>
      <c r="L1107" s="7" t="s">
        <v>14739</v>
      </c>
      <c r="M1107" s="7" t="s">
        <v>14740</v>
      </c>
      <c r="N1107" s="45" t="str">
        <f t="shared" si="797"/>
        <v>@nmstatesoftball</v>
      </c>
      <c r="O1107" s="45" t="str">
        <f t="shared" si="798"/>
        <v>Questionnaire</v>
      </c>
      <c r="P1107" s="48" t="s">
        <v>14727</v>
      </c>
      <c r="Q1107" s="47" t="s">
        <v>7198</v>
      </c>
      <c r="R1107" s="48" t="s">
        <v>14730</v>
      </c>
      <c r="S1107" s="48" t="s">
        <v>238</v>
      </c>
      <c r="T1107" s="49" t="s">
        <v>74</v>
      </c>
      <c r="U1107" s="7" t="s">
        <v>75</v>
      </c>
      <c r="V1107" s="7"/>
      <c r="W1107" s="44">
        <v>3.49</v>
      </c>
      <c r="X1107" s="49" t="s">
        <v>8509</v>
      </c>
      <c r="Y1107" s="49" t="s">
        <v>3485</v>
      </c>
      <c r="Z1107" s="49" t="s">
        <v>841</v>
      </c>
      <c r="AA1107" s="61">
        <v>0.6</v>
      </c>
      <c r="AB1107" s="48" t="s">
        <v>14732</v>
      </c>
      <c r="AC1107" s="52" t="s">
        <v>14727</v>
      </c>
      <c r="AD1107" s="53" t="str">
        <f t="shared" si="799"/>
        <v>Link</v>
      </c>
      <c r="AE1107" s="54">
        <v>12027</v>
      </c>
      <c r="AF1107" s="54">
        <v>198</v>
      </c>
      <c r="AG1107" s="7"/>
      <c r="AH1107" s="56">
        <v>188030</v>
      </c>
      <c r="AI1107" s="85"/>
      <c r="AJ1107" s="56"/>
    </row>
    <row r="1108" spans="1:36" ht="15" x14ac:dyDescent="0.2">
      <c r="A1108" s="43" t="s">
        <v>14506</v>
      </c>
      <c r="B1108" s="47" t="s">
        <v>7198</v>
      </c>
      <c r="C1108" s="7" t="s">
        <v>67</v>
      </c>
      <c r="D1108" s="7" t="s">
        <v>14743</v>
      </c>
      <c r="E1108" s="44">
        <v>5</v>
      </c>
      <c r="F1108" s="7"/>
      <c r="G1108" s="7"/>
      <c r="H1108" s="2" t="s">
        <v>14715</v>
      </c>
      <c r="I1108" s="7" t="s">
        <v>5029</v>
      </c>
      <c r="J1108" s="7" t="s">
        <v>14744</v>
      </c>
      <c r="K1108" s="7" t="s">
        <v>55</v>
      </c>
      <c r="L1108" s="7" t="s">
        <v>14719</v>
      </c>
      <c r="M1108" s="7" t="s">
        <v>14745</v>
      </c>
      <c r="N1108" s="45" t="str">
        <f t="shared" si="797"/>
        <v>@nmstatesoftball</v>
      </c>
      <c r="O1108" s="45" t="str">
        <f t="shared" si="798"/>
        <v>Questionnaire</v>
      </c>
      <c r="P1108" s="48" t="s">
        <v>14727</v>
      </c>
      <c r="Q1108" s="47" t="s">
        <v>7198</v>
      </c>
      <c r="R1108" s="48" t="s">
        <v>14730</v>
      </c>
      <c r="S1108" s="48" t="s">
        <v>238</v>
      </c>
      <c r="T1108" s="49" t="s">
        <v>74</v>
      </c>
      <c r="U1108" s="7" t="s">
        <v>75</v>
      </c>
      <c r="V1108" s="7"/>
      <c r="W1108" s="44">
        <v>3.49</v>
      </c>
      <c r="X1108" s="49" t="s">
        <v>8509</v>
      </c>
      <c r="Y1108" s="49" t="s">
        <v>3485</v>
      </c>
      <c r="Z1108" s="49" t="s">
        <v>841</v>
      </c>
      <c r="AA1108" s="61">
        <v>0.6</v>
      </c>
      <c r="AB1108" s="48" t="s">
        <v>14732</v>
      </c>
      <c r="AC1108" s="52" t="s">
        <v>14727</v>
      </c>
      <c r="AD1108" s="53" t="str">
        <f t="shared" si="799"/>
        <v>Link</v>
      </c>
      <c r="AE1108" s="54">
        <v>12027</v>
      </c>
      <c r="AF1108" s="54">
        <v>198</v>
      </c>
      <c r="AG1108" s="7"/>
      <c r="AH1108" s="56">
        <v>188030</v>
      </c>
      <c r="AI1108" s="85"/>
      <c r="AJ1108" s="56"/>
    </row>
    <row r="1109" spans="1:36" ht="15" x14ac:dyDescent="0.2">
      <c r="A1109" s="43" t="s">
        <v>14506</v>
      </c>
      <c r="B1109" s="47" t="s">
        <v>7198</v>
      </c>
      <c r="C1109" s="7" t="s">
        <v>67</v>
      </c>
      <c r="D1109" s="7" t="s">
        <v>14758</v>
      </c>
      <c r="E1109" s="44">
        <v>5</v>
      </c>
      <c r="F1109" s="7"/>
      <c r="G1109" s="7"/>
      <c r="H1109" s="2" t="s">
        <v>14715</v>
      </c>
      <c r="I1109" s="7" t="s">
        <v>421</v>
      </c>
      <c r="J1109" s="7"/>
      <c r="K1109" s="7" t="s">
        <v>120</v>
      </c>
      <c r="L1109" s="7"/>
      <c r="M1109" s="7"/>
      <c r="N1109" s="45" t="str">
        <f t="shared" si="797"/>
        <v>@nmstatesoftball</v>
      </c>
      <c r="O1109" s="45" t="str">
        <f t="shared" si="798"/>
        <v>Questionnaire</v>
      </c>
      <c r="P1109" s="48" t="s">
        <v>14727</v>
      </c>
      <c r="Q1109" s="47" t="s">
        <v>7198</v>
      </c>
      <c r="R1109" s="48" t="s">
        <v>14730</v>
      </c>
      <c r="S1109" s="48" t="s">
        <v>238</v>
      </c>
      <c r="T1109" s="49" t="s">
        <v>74</v>
      </c>
      <c r="U1109" s="7" t="s">
        <v>75</v>
      </c>
      <c r="V1109" s="7"/>
      <c r="W1109" s="44">
        <v>3.49</v>
      </c>
      <c r="X1109" s="49" t="s">
        <v>8509</v>
      </c>
      <c r="Y1109" s="49" t="s">
        <v>3485</v>
      </c>
      <c r="Z1109" s="49" t="s">
        <v>841</v>
      </c>
      <c r="AA1109" s="61">
        <v>0.6</v>
      </c>
      <c r="AB1109" s="48" t="s">
        <v>14732</v>
      </c>
      <c r="AC1109" s="52" t="s">
        <v>14727</v>
      </c>
      <c r="AD1109" s="53" t="str">
        <f t="shared" si="799"/>
        <v>Link</v>
      </c>
      <c r="AE1109" s="54">
        <v>12027</v>
      </c>
      <c r="AF1109" s="54">
        <v>198</v>
      </c>
      <c r="AG1109" s="7"/>
      <c r="AH1109" s="56">
        <v>188030</v>
      </c>
      <c r="AI1109" s="85"/>
      <c r="AJ1109" s="56"/>
    </row>
    <row r="1110" spans="1:36" ht="15" x14ac:dyDescent="0.2">
      <c r="A1110" s="43" t="s">
        <v>14506</v>
      </c>
      <c r="B1110" s="47" t="s">
        <v>11124</v>
      </c>
      <c r="C1110" s="7" t="s">
        <v>67</v>
      </c>
      <c r="D1110" s="7" t="s">
        <v>14768</v>
      </c>
      <c r="E1110" s="44">
        <v>5</v>
      </c>
      <c r="F1110" s="7"/>
      <c r="G1110" s="7"/>
      <c r="H1110" s="2" t="s">
        <v>14769</v>
      </c>
      <c r="I1110" s="7" t="s">
        <v>14770</v>
      </c>
      <c r="J1110" s="7" t="s">
        <v>14771</v>
      </c>
      <c r="K1110" s="7" t="s">
        <v>48</v>
      </c>
      <c r="L1110" s="7" t="s">
        <v>14772</v>
      </c>
      <c r="M1110" s="7" t="s">
        <v>14773</v>
      </c>
      <c r="N1110" s="45" t="str">
        <f t="shared" ref="N1110:N1114" si="800">HYPERLINK("twitter.com/seattleusb","@seattleusb")</f>
        <v>@seattleusb</v>
      </c>
      <c r="O1110" s="45" t="str">
        <f t="shared" ref="O1110:O1114" si="801">HYPERLINK("http://www.goseattleu.com/ViewArticle.dbml?DB_OEM_ID=18200&amp;ATCLID=1281900","Questionnaire")</f>
        <v>Questionnaire</v>
      </c>
      <c r="P1110" s="48" t="s">
        <v>11145</v>
      </c>
      <c r="Q1110" s="47" t="s">
        <v>11124</v>
      </c>
      <c r="R1110" s="48" t="s">
        <v>11145</v>
      </c>
      <c r="S1110" s="48" t="s">
        <v>354</v>
      </c>
      <c r="T1110" s="49" t="s">
        <v>63</v>
      </c>
      <c r="U1110" s="7" t="s">
        <v>343</v>
      </c>
      <c r="V1110" s="7"/>
      <c r="W1110" s="44">
        <v>3.61</v>
      </c>
      <c r="X1110" s="49" t="s">
        <v>86</v>
      </c>
      <c r="Y1110" s="49" t="s">
        <v>3119</v>
      </c>
      <c r="Z1110" s="49" t="s">
        <v>412</v>
      </c>
      <c r="AA1110" s="61">
        <v>0.74</v>
      </c>
      <c r="AB1110" s="71">
        <v>58434</v>
      </c>
      <c r="AC1110" s="62" t="s">
        <v>11145</v>
      </c>
      <c r="AD1110" s="53" t="str">
        <f t="shared" ref="AD1110:AD1114" si="802">HYPERLINK("https://www.seattleu.edu/artsci/undergraduate-degrees/","Link")</f>
        <v>Link</v>
      </c>
      <c r="AE1110" s="54">
        <v>4657</v>
      </c>
      <c r="AF1110" s="55"/>
      <c r="AG1110" s="7"/>
      <c r="AH1110" s="56">
        <v>236595</v>
      </c>
      <c r="AI1110" s="85"/>
      <c r="AJ1110" s="56"/>
    </row>
    <row r="1111" spans="1:36" ht="15" x14ac:dyDescent="0.2">
      <c r="A1111" s="43" t="s">
        <v>14506</v>
      </c>
      <c r="B1111" s="47" t="s">
        <v>11124</v>
      </c>
      <c r="C1111" s="7" t="s">
        <v>67</v>
      </c>
      <c r="D1111" s="7" t="s">
        <v>14790</v>
      </c>
      <c r="E1111" s="44">
        <v>5</v>
      </c>
      <c r="F1111" s="7"/>
      <c r="G1111" s="7"/>
      <c r="H1111" s="2" t="s">
        <v>14769</v>
      </c>
      <c r="I1111" s="7" t="s">
        <v>2549</v>
      </c>
      <c r="J1111" s="7" t="s">
        <v>14792</v>
      </c>
      <c r="K1111" s="7" t="s">
        <v>55</v>
      </c>
      <c r="L1111" s="7" t="s">
        <v>14793</v>
      </c>
      <c r="M1111" s="7" t="s">
        <v>14795</v>
      </c>
      <c r="N1111" s="45" t="str">
        <f t="shared" si="800"/>
        <v>@seattleusb</v>
      </c>
      <c r="O1111" s="45" t="str">
        <f t="shared" si="801"/>
        <v>Questionnaire</v>
      </c>
      <c r="P1111" s="48" t="s">
        <v>11145</v>
      </c>
      <c r="Q1111" s="47" t="s">
        <v>11124</v>
      </c>
      <c r="R1111" s="48" t="s">
        <v>11145</v>
      </c>
      <c r="S1111" s="48" t="s">
        <v>354</v>
      </c>
      <c r="T1111" s="49" t="s">
        <v>63</v>
      </c>
      <c r="U1111" s="7" t="s">
        <v>343</v>
      </c>
      <c r="V1111" s="7"/>
      <c r="W1111" s="44">
        <v>3.61</v>
      </c>
      <c r="X1111" s="49" t="s">
        <v>86</v>
      </c>
      <c r="Y1111" s="49" t="s">
        <v>3119</v>
      </c>
      <c r="Z1111" s="49" t="s">
        <v>412</v>
      </c>
      <c r="AA1111" s="61">
        <v>0.74</v>
      </c>
      <c r="AB1111" s="71">
        <v>58434</v>
      </c>
      <c r="AC1111" s="62" t="s">
        <v>11145</v>
      </c>
      <c r="AD1111" s="53" t="str">
        <f t="shared" si="802"/>
        <v>Link</v>
      </c>
      <c r="AE1111" s="54">
        <v>4657</v>
      </c>
      <c r="AF1111" s="55"/>
      <c r="AG1111" s="7"/>
      <c r="AH1111" s="56">
        <v>236595</v>
      </c>
      <c r="AI1111" s="85"/>
      <c r="AJ1111" s="56"/>
    </row>
    <row r="1112" spans="1:36" ht="15" x14ac:dyDescent="0.2">
      <c r="A1112" s="43" t="s">
        <v>14506</v>
      </c>
      <c r="B1112" s="47" t="s">
        <v>11124</v>
      </c>
      <c r="C1112" s="7" t="s">
        <v>67</v>
      </c>
      <c r="D1112" s="7" t="s">
        <v>14798</v>
      </c>
      <c r="E1112" s="44">
        <v>5</v>
      </c>
      <c r="F1112" s="7"/>
      <c r="G1112" s="7"/>
      <c r="H1112" s="2" t="s">
        <v>14769</v>
      </c>
      <c r="I1112" s="7" t="s">
        <v>9596</v>
      </c>
      <c r="J1112" s="7" t="s">
        <v>14799</v>
      </c>
      <c r="K1112" s="7" t="s">
        <v>55</v>
      </c>
      <c r="L1112" s="7" t="s">
        <v>14800</v>
      </c>
      <c r="M1112" s="7"/>
      <c r="N1112" s="45" t="str">
        <f t="shared" si="800"/>
        <v>@seattleusb</v>
      </c>
      <c r="O1112" s="45" t="str">
        <f t="shared" si="801"/>
        <v>Questionnaire</v>
      </c>
      <c r="P1112" s="48" t="s">
        <v>11145</v>
      </c>
      <c r="Q1112" s="47" t="s">
        <v>11124</v>
      </c>
      <c r="R1112" s="48" t="s">
        <v>11145</v>
      </c>
      <c r="S1112" s="48" t="s">
        <v>354</v>
      </c>
      <c r="T1112" s="49" t="s">
        <v>63</v>
      </c>
      <c r="U1112" s="7" t="s">
        <v>343</v>
      </c>
      <c r="V1112" s="7"/>
      <c r="W1112" s="44">
        <v>3.61</v>
      </c>
      <c r="X1112" s="49" t="s">
        <v>86</v>
      </c>
      <c r="Y1112" s="49" t="s">
        <v>3119</v>
      </c>
      <c r="Z1112" s="49" t="s">
        <v>412</v>
      </c>
      <c r="AA1112" s="61">
        <v>0.74</v>
      </c>
      <c r="AB1112" s="71">
        <v>58434</v>
      </c>
      <c r="AC1112" s="62" t="s">
        <v>11145</v>
      </c>
      <c r="AD1112" s="53" t="str">
        <f t="shared" si="802"/>
        <v>Link</v>
      </c>
      <c r="AE1112" s="54">
        <v>4657</v>
      </c>
      <c r="AF1112" s="55"/>
      <c r="AG1112" s="7"/>
      <c r="AH1112" s="56">
        <v>236595</v>
      </c>
      <c r="AI1112" s="85"/>
      <c r="AJ1112" s="56"/>
    </row>
    <row r="1113" spans="1:36" ht="15" x14ac:dyDescent="0.2">
      <c r="A1113" s="43" t="s">
        <v>14506</v>
      </c>
      <c r="B1113" s="47" t="s">
        <v>11124</v>
      </c>
      <c r="C1113" s="7" t="s">
        <v>67</v>
      </c>
      <c r="D1113" s="7" t="s">
        <v>14811</v>
      </c>
      <c r="E1113" s="44">
        <v>5</v>
      </c>
      <c r="F1113" s="7"/>
      <c r="G1113" s="7"/>
      <c r="H1113" s="2" t="s">
        <v>14769</v>
      </c>
      <c r="I1113" s="7" t="s">
        <v>981</v>
      </c>
      <c r="J1113" s="7" t="s">
        <v>2482</v>
      </c>
      <c r="K1113" s="7" t="s">
        <v>139</v>
      </c>
      <c r="L1113" s="7" t="s">
        <v>14813</v>
      </c>
      <c r="M1113" s="7"/>
      <c r="N1113" s="45" t="str">
        <f t="shared" si="800"/>
        <v>@seattleusb</v>
      </c>
      <c r="O1113" s="45" t="str">
        <f t="shared" si="801"/>
        <v>Questionnaire</v>
      </c>
      <c r="P1113" s="48" t="s">
        <v>11145</v>
      </c>
      <c r="Q1113" s="47" t="s">
        <v>11124</v>
      </c>
      <c r="R1113" s="48" t="s">
        <v>11145</v>
      </c>
      <c r="S1113" s="48" t="s">
        <v>354</v>
      </c>
      <c r="T1113" s="49" t="s">
        <v>63</v>
      </c>
      <c r="U1113" s="7" t="s">
        <v>343</v>
      </c>
      <c r="V1113" s="7"/>
      <c r="W1113" s="44">
        <v>3.61</v>
      </c>
      <c r="X1113" s="49" t="s">
        <v>86</v>
      </c>
      <c r="Y1113" s="49" t="s">
        <v>3119</v>
      </c>
      <c r="Z1113" s="49" t="s">
        <v>412</v>
      </c>
      <c r="AA1113" s="61">
        <v>0.74</v>
      </c>
      <c r="AB1113" s="71">
        <v>58434</v>
      </c>
      <c r="AC1113" s="62" t="s">
        <v>11145</v>
      </c>
      <c r="AD1113" s="53" t="str">
        <f t="shared" si="802"/>
        <v>Link</v>
      </c>
      <c r="AE1113" s="54">
        <v>4657</v>
      </c>
      <c r="AF1113" s="55"/>
      <c r="AG1113" s="7"/>
      <c r="AH1113" s="56">
        <v>236595</v>
      </c>
      <c r="AI1113" s="85"/>
      <c r="AJ1113" s="56"/>
    </row>
    <row r="1114" spans="1:36" ht="15" x14ac:dyDescent="0.2">
      <c r="A1114" s="43" t="s">
        <v>14506</v>
      </c>
      <c r="B1114" s="47" t="s">
        <v>11124</v>
      </c>
      <c r="C1114" s="7" t="s">
        <v>67</v>
      </c>
      <c r="D1114" s="7" t="s">
        <v>14819</v>
      </c>
      <c r="E1114" s="44">
        <v>5</v>
      </c>
      <c r="F1114" s="7"/>
      <c r="G1114" s="7"/>
      <c r="H1114" s="2" t="s">
        <v>14769</v>
      </c>
      <c r="I1114" s="7" t="s">
        <v>14820</v>
      </c>
      <c r="J1114" s="7" t="s">
        <v>14821</v>
      </c>
      <c r="K1114" s="7" t="s">
        <v>154</v>
      </c>
      <c r="L1114" s="7" t="s">
        <v>14822</v>
      </c>
      <c r="M1114" s="7"/>
      <c r="N1114" s="45" t="str">
        <f t="shared" si="800"/>
        <v>@seattleusb</v>
      </c>
      <c r="O1114" s="45" t="str">
        <f t="shared" si="801"/>
        <v>Questionnaire</v>
      </c>
      <c r="P1114" s="48" t="s">
        <v>11145</v>
      </c>
      <c r="Q1114" s="47" t="s">
        <v>11124</v>
      </c>
      <c r="R1114" s="48" t="s">
        <v>11145</v>
      </c>
      <c r="S1114" s="48" t="s">
        <v>354</v>
      </c>
      <c r="T1114" s="49" t="s">
        <v>63</v>
      </c>
      <c r="U1114" s="7" t="s">
        <v>343</v>
      </c>
      <c r="V1114" s="7"/>
      <c r="W1114" s="44">
        <v>3.61</v>
      </c>
      <c r="X1114" s="49" t="s">
        <v>86</v>
      </c>
      <c r="Y1114" s="49" t="s">
        <v>3119</v>
      </c>
      <c r="Z1114" s="49" t="s">
        <v>412</v>
      </c>
      <c r="AA1114" s="61">
        <v>0.74</v>
      </c>
      <c r="AB1114" s="71">
        <v>58434</v>
      </c>
      <c r="AC1114" s="62" t="s">
        <v>11145</v>
      </c>
      <c r="AD1114" s="53" t="str">
        <f t="shared" si="802"/>
        <v>Link</v>
      </c>
      <c r="AE1114" s="54">
        <v>4657</v>
      </c>
      <c r="AF1114" s="55"/>
      <c r="AG1114" s="7"/>
      <c r="AH1114" s="56">
        <v>236595</v>
      </c>
      <c r="AI1114" s="85"/>
      <c r="AJ1114" s="56"/>
    </row>
    <row r="1115" spans="1:36" ht="15" x14ac:dyDescent="0.2">
      <c r="A1115" s="43" t="s">
        <v>14506</v>
      </c>
      <c r="B1115" s="47" t="s">
        <v>3719</v>
      </c>
      <c r="C1115" s="7" t="s">
        <v>67</v>
      </c>
      <c r="D1115" s="7" t="s">
        <v>14829</v>
      </c>
      <c r="E1115" s="44">
        <v>5</v>
      </c>
      <c r="F1115" s="7" t="s">
        <v>116</v>
      </c>
      <c r="G1115" s="7"/>
      <c r="H1115" s="2" t="s">
        <v>14830</v>
      </c>
      <c r="I1115" s="7" t="s">
        <v>4187</v>
      </c>
      <c r="J1115" s="7" t="s">
        <v>10361</v>
      </c>
      <c r="K1115" s="7" t="s">
        <v>48</v>
      </c>
      <c r="L1115" s="7" t="s">
        <v>14831</v>
      </c>
      <c r="M1115" s="7"/>
      <c r="N1115" s="45" t="s">
        <v>14832</v>
      </c>
      <c r="O1115" s="45" t="str">
        <f t="shared" ref="O1115:O1118" si="803">HYPERLINK("https://college.jumpforward.com/questionnaire.aspx?iid=361&amp;sportid=31","Questionnaire")</f>
        <v>Questionnaire</v>
      </c>
      <c r="P1115" s="48" t="s">
        <v>14838</v>
      </c>
      <c r="Q1115" s="47" t="s">
        <v>3719</v>
      </c>
      <c r="R1115" s="48" t="s">
        <v>14839</v>
      </c>
      <c r="S1115" s="48" t="s">
        <v>238</v>
      </c>
      <c r="T1115" s="49" t="s">
        <v>74</v>
      </c>
      <c r="U1115" s="7" t="s">
        <v>75</v>
      </c>
      <c r="V1115" s="7"/>
      <c r="W1115" s="44">
        <v>3.35</v>
      </c>
      <c r="X1115" s="49" t="s">
        <v>214</v>
      </c>
      <c r="Y1115" s="49" t="s">
        <v>214</v>
      </c>
      <c r="Z1115" s="49" t="s">
        <v>214</v>
      </c>
      <c r="AA1115" s="55" t="s">
        <v>214</v>
      </c>
      <c r="AB1115" s="48" t="s">
        <v>14840</v>
      </c>
      <c r="AC1115" s="62" t="s">
        <v>14838</v>
      </c>
      <c r="AD1115" s="53" t="str">
        <f t="shared" ref="AD1115:AD1118" si="804">HYPERLINK("https://www.uvu.edu/catalog/2016-17/departments/degrees-programs.html","Link")</f>
        <v>Link</v>
      </c>
      <c r="AE1115" s="54">
        <v>34706</v>
      </c>
      <c r="AF1115" s="55"/>
      <c r="AG1115" s="7"/>
      <c r="AH1115" s="56">
        <v>230737</v>
      </c>
      <c r="AI1115" s="85"/>
      <c r="AJ1115" s="56"/>
    </row>
    <row r="1116" spans="1:36" ht="15" x14ac:dyDescent="0.2">
      <c r="A1116" s="43" t="s">
        <v>14506</v>
      </c>
      <c r="B1116" s="47" t="s">
        <v>3719</v>
      </c>
      <c r="C1116" s="7" t="s">
        <v>67</v>
      </c>
      <c r="D1116" s="7" t="s">
        <v>14842</v>
      </c>
      <c r="E1116" s="44">
        <v>5</v>
      </c>
      <c r="F1116" s="7" t="s">
        <v>116</v>
      </c>
      <c r="G1116" s="7"/>
      <c r="H1116" s="2" t="s">
        <v>14830</v>
      </c>
      <c r="I1116" s="7" t="s">
        <v>3983</v>
      </c>
      <c r="J1116" s="7" t="s">
        <v>10633</v>
      </c>
      <c r="K1116" s="7" t="s">
        <v>55</v>
      </c>
      <c r="L1116" s="7" t="s">
        <v>14843</v>
      </c>
      <c r="M1116" s="7"/>
      <c r="N1116" s="45" t="str">
        <f t="shared" ref="N1116:N1118" si="805">HYPERLINK("twitter.com/UVU_SOFTBALL","@UVU_SOFTBALL")</f>
        <v>@UVU_SOFTBALL</v>
      </c>
      <c r="O1116" s="45" t="str">
        <f t="shared" si="803"/>
        <v>Questionnaire</v>
      </c>
      <c r="P1116" s="48" t="s">
        <v>14838</v>
      </c>
      <c r="Q1116" s="47" t="s">
        <v>3719</v>
      </c>
      <c r="R1116" s="48" t="s">
        <v>14839</v>
      </c>
      <c r="S1116" s="48" t="s">
        <v>238</v>
      </c>
      <c r="T1116" s="49" t="s">
        <v>74</v>
      </c>
      <c r="U1116" s="7" t="s">
        <v>75</v>
      </c>
      <c r="V1116" s="7"/>
      <c r="W1116" s="44">
        <v>3.35</v>
      </c>
      <c r="X1116" s="49" t="s">
        <v>214</v>
      </c>
      <c r="Y1116" s="49" t="s">
        <v>214</v>
      </c>
      <c r="Z1116" s="49" t="s">
        <v>214</v>
      </c>
      <c r="AA1116" s="55" t="s">
        <v>214</v>
      </c>
      <c r="AB1116" s="48" t="s">
        <v>14840</v>
      </c>
      <c r="AC1116" s="62" t="s">
        <v>14838</v>
      </c>
      <c r="AD1116" s="53" t="str">
        <f t="shared" si="804"/>
        <v>Link</v>
      </c>
      <c r="AE1116" s="54">
        <v>34706</v>
      </c>
      <c r="AF1116" s="55"/>
      <c r="AG1116" s="7"/>
      <c r="AH1116" s="56">
        <v>230737</v>
      </c>
      <c r="AI1116" s="85"/>
      <c r="AJ1116" s="56"/>
    </row>
    <row r="1117" spans="1:36" ht="15" x14ac:dyDescent="0.2">
      <c r="A1117" s="43" t="s">
        <v>14506</v>
      </c>
      <c r="B1117" s="47" t="s">
        <v>3719</v>
      </c>
      <c r="C1117" s="7" t="s">
        <v>67</v>
      </c>
      <c r="D1117" s="7" t="s">
        <v>14858</v>
      </c>
      <c r="E1117" s="44">
        <v>5</v>
      </c>
      <c r="F1117" s="7" t="s">
        <v>116</v>
      </c>
      <c r="G1117" s="7"/>
      <c r="H1117" s="2" t="s">
        <v>14830</v>
      </c>
      <c r="I1117" s="7" t="s">
        <v>2102</v>
      </c>
      <c r="J1117" s="7" t="s">
        <v>14859</v>
      </c>
      <c r="K1117" s="7" t="s">
        <v>55</v>
      </c>
      <c r="L1117" s="7" t="s">
        <v>14861</v>
      </c>
      <c r="M1117" s="7"/>
      <c r="N1117" s="45" t="str">
        <f t="shared" si="805"/>
        <v>@UVU_SOFTBALL</v>
      </c>
      <c r="O1117" s="45" t="str">
        <f t="shared" si="803"/>
        <v>Questionnaire</v>
      </c>
      <c r="P1117" s="48" t="s">
        <v>14838</v>
      </c>
      <c r="Q1117" s="47" t="s">
        <v>3719</v>
      </c>
      <c r="R1117" s="48" t="s">
        <v>14839</v>
      </c>
      <c r="S1117" s="48" t="s">
        <v>238</v>
      </c>
      <c r="T1117" s="49" t="s">
        <v>74</v>
      </c>
      <c r="U1117" s="7" t="s">
        <v>75</v>
      </c>
      <c r="V1117" s="7"/>
      <c r="W1117" s="44">
        <v>3.35</v>
      </c>
      <c r="X1117" s="49" t="s">
        <v>214</v>
      </c>
      <c r="Y1117" s="49" t="s">
        <v>214</v>
      </c>
      <c r="Z1117" s="49" t="s">
        <v>214</v>
      </c>
      <c r="AA1117" s="55" t="s">
        <v>214</v>
      </c>
      <c r="AB1117" s="48" t="s">
        <v>14840</v>
      </c>
      <c r="AC1117" s="62" t="s">
        <v>14838</v>
      </c>
      <c r="AD1117" s="53" t="str">
        <f t="shared" si="804"/>
        <v>Link</v>
      </c>
      <c r="AE1117" s="54">
        <v>34706</v>
      </c>
      <c r="AF1117" s="55"/>
      <c r="AG1117" s="7"/>
      <c r="AH1117" s="56">
        <v>230737</v>
      </c>
      <c r="AI1117" s="85"/>
      <c r="AJ1117" s="56"/>
    </row>
    <row r="1118" spans="1:36" ht="15" x14ac:dyDescent="0.2">
      <c r="A1118" s="43" t="s">
        <v>14506</v>
      </c>
      <c r="B1118" s="47" t="s">
        <v>3719</v>
      </c>
      <c r="C1118" s="7" t="s">
        <v>67</v>
      </c>
      <c r="D1118" s="7" t="s">
        <v>14870</v>
      </c>
      <c r="E1118" s="44">
        <v>5</v>
      </c>
      <c r="F1118" s="7"/>
      <c r="G1118" s="7"/>
      <c r="H1118" s="2" t="s">
        <v>14830</v>
      </c>
      <c r="I1118" s="7" t="s">
        <v>2580</v>
      </c>
      <c r="J1118" s="7" t="s">
        <v>7718</v>
      </c>
      <c r="K1118" s="7" t="s">
        <v>154</v>
      </c>
      <c r="L1118" s="7"/>
      <c r="M1118" s="7"/>
      <c r="N1118" s="45" t="str">
        <f t="shared" si="805"/>
        <v>@UVU_SOFTBALL</v>
      </c>
      <c r="O1118" s="45" t="str">
        <f t="shared" si="803"/>
        <v>Questionnaire</v>
      </c>
      <c r="P1118" s="48" t="s">
        <v>14838</v>
      </c>
      <c r="Q1118" s="47" t="s">
        <v>3719</v>
      </c>
      <c r="R1118" s="48" t="s">
        <v>14839</v>
      </c>
      <c r="S1118" s="48" t="s">
        <v>238</v>
      </c>
      <c r="T1118" s="49" t="s">
        <v>74</v>
      </c>
      <c r="U1118" s="7" t="s">
        <v>75</v>
      </c>
      <c r="V1118" s="7"/>
      <c r="W1118" s="44">
        <v>3.35</v>
      </c>
      <c r="X1118" s="49" t="s">
        <v>214</v>
      </c>
      <c r="Y1118" s="49" t="s">
        <v>214</v>
      </c>
      <c r="Z1118" s="49" t="s">
        <v>214</v>
      </c>
      <c r="AA1118" s="55" t="s">
        <v>214</v>
      </c>
      <c r="AB1118" s="48" t="s">
        <v>14840</v>
      </c>
      <c r="AC1118" s="62" t="s">
        <v>14838</v>
      </c>
      <c r="AD1118" s="53" t="str">
        <f t="shared" si="804"/>
        <v>Link</v>
      </c>
      <c r="AE1118" s="54">
        <v>34706</v>
      </c>
      <c r="AF1118" s="55"/>
      <c r="AG1118" s="7"/>
      <c r="AH1118" s="56">
        <v>230737</v>
      </c>
      <c r="AI1118" s="85"/>
      <c r="AJ1118" s="56"/>
    </row>
    <row r="1119" spans="1:36" ht="15" x14ac:dyDescent="0.2">
      <c r="A1119" s="31" t="s">
        <v>14874</v>
      </c>
      <c r="B1119" s="7" t="s">
        <v>3719</v>
      </c>
      <c r="C1119" s="35" t="s">
        <v>67</v>
      </c>
      <c r="D1119" s="57"/>
      <c r="E1119" s="83">
        <v>5</v>
      </c>
      <c r="F1119" s="7"/>
      <c r="G1119" s="57"/>
      <c r="H1119" s="2" t="s">
        <v>14875</v>
      </c>
      <c r="I1119" s="2" t="s">
        <v>3246</v>
      </c>
      <c r="J1119" s="2" t="s">
        <v>14876</v>
      </c>
      <c r="K1119" s="2" t="s">
        <v>48</v>
      </c>
      <c r="L1119" s="2"/>
      <c r="M1119" s="2" t="s">
        <v>14877</v>
      </c>
      <c r="N1119" s="7"/>
      <c r="O1119" s="7"/>
      <c r="P1119" s="48" t="s">
        <v>14879</v>
      </c>
      <c r="Q1119" s="60" t="s">
        <v>3719</v>
      </c>
      <c r="R1119" s="48" t="s">
        <v>14880</v>
      </c>
      <c r="S1119" s="6" t="s">
        <v>238</v>
      </c>
      <c r="T1119" s="4" t="s">
        <v>63</v>
      </c>
      <c r="U1119" s="6" t="s">
        <v>14882</v>
      </c>
      <c r="V1119" s="49"/>
      <c r="W1119" s="37">
        <v>3.8</v>
      </c>
      <c r="X1119" s="49" t="s">
        <v>2565</v>
      </c>
      <c r="Y1119" s="49" t="s">
        <v>2565</v>
      </c>
      <c r="Z1119" s="49" t="s">
        <v>1900</v>
      </c>
      <c r="AA1119" s="38">
        <v>0.51180000000000003</v>
      </c>
      <c r="AB1119" s="39">
        <v>18060</v>
      </c>
      <c r="AC1119" s="84" t="s">
        <v>14879</v>
      </c>
      <c r="AD1119" s="53" t="str">
        <f t="shared" ref="AD1119:AD1126" si="806">HYPERLINK("https://catalog.byu.edu/majors","Link")</f>
        <v>Link</v>
      </c>
      <c r="AE1119" s="42">
        <v>30979</v>
      </c>
      <c r="AF1119" s="42">
        <v>61</v>
      </c>
      <c r="AG1119" s="55"/>
      <c r="AH1119" s="56">
        <v>230038</v>
      </c>
      <c r="AI1119" s="56" t="s">
        <v>2459</v>
      </c>
      <c r="AJ1119" s="56"/>
    </row>
    <row r="1120" spans="1:36" ht="15" x14ac:dyDescent="0.2">
      <c r="A1120" s="31" t="s">
        <v>14874</v>
      </c>
      <c r="B1120" s="7" t="s">
        <v>3719</v>
      </c>
      <c r="C1120" s="35" t="s">
        <v>67</v>
      </c>
      <c r="D1120" s="57"/>
      <c r="E1120" s="83">
        <v>5</v>
      </c>
      <c r="F1120" s="7"/>
      <c r="G1120" s="57"/>
      <c r="H1120" s="2" t="s">
        <v>14875</v>
      </c>
      <c r="I1120" s="2" t="s">
        <v>1418</v>
      </c>
      <c r="J1120" s="2" t="s">
        <v>8357</v>
      </c>
      <c r="K1120" s="2" t="s">
        <v>55</v>
      </c>
      <c r="L1120" s="2"/>
      <c r="M1120" s="2" t="s">
        <v>14888</v>
      </c>
      <c r="N1120" s="7"/>
      <c r="O1120" s="7"/>
      <c r="P1120" s="48" t="s">
        <v>14879</v>
      </c>
      <c r="Q1120" s="60" t="s">
        <v>3719</v>
      </c>
      <c r="R1120" s="48" t="s">
        <v>14880</v>
      </c>
      <c r="S1120" s="6" t="s">
        <v>238</v>
      </c>
      <c r="T1120" s="4" t="s">
        <v>63</v>
      </c>
      <c r="U1120" s="6" t="s">
        <v>14882</v>
      </c>
      <c r="V1120" s="49"/>
      <c r="W1120" s="37">
        <v>3.8</v>
      </c>
      <c r="X1120" s="49" t="s">
        <v>2565</v>
      </c>
      <c r="Y1120" s="49" t="s">
        <v>2565</v>
      </c>
      <c r="Z1120" s="49" t="s">
        <v>1900</v>
      </c>
      <c r="AA1120" s="38">
        <v>0.51180000000000003</v>
      </c>
      <c r="AB1120" s="39">
        <v>18060</v>
      </c>
      <c r="AC1120" s="84" t="s">
        <v>14879</v>
      </c>
      <c r="AD1120" s="53" t="str">
        <f t="shared" si="806"/>
        <v>Link</v>
      </c>
      <c r="AE1120" s="42">
        <v>30979</v>
      </c>
      <c r="AF1120" s="42">
        <v>61</v>
      </c>
      <c r="AG1120" s="55"/>
      <c r="AH1120" s="56">
        <v>230038</v>
      </c>
      <c r="AI1120" s="56" t="s">
        <v>2459</v>
      </c>
      <c r="AJ1120" s="56"/>
    </row>
    <row r="1121" spans="1:36" ht="15" x14ac:dyDescent="0.2">
      <c r="A1121" s="31" t="s">
        <v>14874</v>
      </c>
      <c r="B1121" s="7" t="s">
        <v>3719</v>
      </c>
      <c r="C1121" s="35" t="s">
        <v>67</v>
      </c>
      <c r="D1121" s="57"/>
      <c r="E1121" s="83">
        <v>5</v>
      </c>
      <c r="F1121" s="7"/>
      <c r="G1121" s="57"/>
      <c r="H1121" s="2" t="s">
        <v>14875</v>
      </c>
      <c r="I1121" s="2" t="s">
        <v>3279</v>
      </c>
      <c r="J1121" s="2" t="s">
        <v>3795</v>
      </c>
      <c r="K1121" s="2" t="s">
        <v>139</v>
      </c>
      <c r="L1121" s="2"/>
      <c r="M1121" s="2" t="s">
        <v>14888</v>
      </c>
      <c r="N1121" s="7"/>
      <c r="O1121" s="7"/>
      <c r="P1121" s="48" t="s">
        <v>14879</v>
      </c>
      <c r="Q1121" s="60" t="s">
        <v>3719</v>
      </c>
      <c r="R1121" s="48" t="s">
        <v>14880</v>
      </c>
      <c r="S1121" s="6" t="s">
        <v>238</v>
      </c>
      <c r="T1121" s="4" t="s">
        <v>63</v>
      </c>
      <c r="U1121" s="6" t="s">
        <v>14882</v>
      </c>
      <c r="V1121" s="49"/>
      <c r="W1121" s="37">
        <v>3.8</v>
      </c>
      <c r="X1121" s="49" t="s">
        <v>2565</v>
      </c>
      <c r="Y1121" s="49" t="s">
        <v>2565</v>
      </c>
      <c r="Z1121" s="49" t="s">
        <v>1900</v>
      </c>
      <c r="AA1121" s="38">
        <v>0.51180000000000003</v>
      </c>
      <c r="AB1121" s="39">
        <v>18060</v>
      </c>
      <c r="AC1121" s="84" t="s">
        <v>14879</v>
      </c>
      <c r="AD1121" s="53" t="str">
        <f t="shared" si="806"/>
        <v>Link</v>
      </c>
      <c r="AE1121" s="42">
        <v>30979</v>
      </c>
      <c r="AF1121" s="42">
        <v>61</v>
      </c>
      <c r="AG1121" s="55"/>
      <c r="AH1121" s="56">
        <v>230038</v>
      </c>
      <c r="AI1121" s="56" t="s">
        <v>2459</v>
      </c>
      <c r="AJ1121" s="56"/>
    </row>
    <row r="1122" spans="1:36" ht="15" x14ac:dyDescent="0.2">
      <c r="A1122" s="31" t="s">
        <v>14874</v>
      </c>
      <c r="B1122" s="7" t="s">
        <v>3719</v>
      </c>
      <c r="C1122" s="35" t="s">
        <v>67</v>
      </c>
      <c r="D1122" s="57"/>
      <c r="E1122" s="83">
        <v>5</v>
      </c>
      <c r="F1122" s="7"/>
      <c r="G1122" s="57"/>
      <c r="H1122" s="2" t="s">
        <v>14875</v>
      </c>
      <c r="I1122" s="2" t="s">
        <v>6787</v>
      </c>
      <c r="J1122" s="2" t="s">
        <v>14900</v>
      </c>
      <c r="K1122" s="2" t="s">
        <v>55</v>
      </c>
      <c r="L1122" s="2"/>
      <c r="M1122" s="2" t="s">
        <v>14901</v>
      </c>
      <c r="N1122" s="7"/>
      <c r="O1122" s="7"/>
      <c r="P1122" s="48" t="s">
        <v>14879</v>
      </c>
      <c r="Q1122" s="60" t="s">
        <v>3719</v>
      </c>
      <c r="R1122" s="48" t="s">
        <v>14880</v>
      </c>
      <c r="S1122" s="6" t="s">
        <v>238</v>
      </c>
      <c r="T1122" s="4" t="s">
        <v>63</v>
      </c>
      <c r="U1122" s="6" t="s">
        <v>14882</v>
      </c>
      <c r="V1122" s="49"/>
      <c r="W1122" s="37">
        <v>3.8</v>
      </c>
      <c r="X1122" s="49" t="s">
        <v>2565</v>
      </c>
      <c r="Y1122" s="49" t="s">
        <v>2565</v>
      </c>
      <c r="Z1122" s="49" t="s">
        <v>1900</v>
      </c>
      <c r="AA1122" s="38">
        <v>0.51180000000000003</v>
      </c>
      <c r="AB1122" s="39">
        <v>18060</v>
      </c>
      <c r="AC1122" s="84" t="s">
        <v>14879</v>
      </c>
      <c r="AD1122" s="53" t="str">
        <f t="shared" si="806"/>
        <v>Link</v>
      </c>
      <c r="AE1122" s="42">
        <v>30979</v>
      </c>
      <c r="AF1122" s="42">
        <v>61</v>
      </c>
      <c r="AG1122" s="55"/>
      <c r="AH1122" s="56">
        <v>230038</v>
      </c>
      <c r="AI1122" s="56" t="s">
        <v>2459</v>
      </c>
      <c r="AJ1122" s="56"/>
    </row>
    <row r="1123" spans="1:36" ht="15" x14ac:dyDescent="0.2">
      <c r="A1123" s="31" t="s">
        <v>14874</v>
      </c>
      <c r="B1123" s="7" t="s">
        <v>3719</v>
      </c>
      <c r="C1123" s="35" t="s">
        <v>67</v>
      </c>
      <c r="D1123" s="57"/>
      <c r="E1123" s="83">
        <v>5</v>
      </c>
      <c r="F1123" s="7"/>
      <c r="G1123" s="57"/>
      <c r="H1123" s="2" t="s">
        <v>14875</v>
      </c>
      <c r="I1123" s="2"/>
      <c r="J1123" s="2"/>
      <c r="K1123" s="2" t="s">
        <v>14907</v>
      </c>
      <c r="L1123" s="2"/>
      <c r="M1123" s="2"/>
      <c r="N1123" s="7"/>
      <c r="O1123" s="7"/>
      <c r="P1123" s="48" t="s">
        <v>14879</v>
      </c>
      <c r="Q1123" s="60" t="s">
        <v>3719</v>
      </c>
      <c r="R1123" s="48" t="s">
        <v>14880</v>
      </c>
      <c r="S1123" s="6" t="s">
        <v>238</v>
      </c>
      <c r="T1123" s="4" t="s">
        <v>63</v>
      </c>
      <c r="U1123" s="6" t="s">
        <v>14882</v>
      </c>
      <c r="V1123" s="49"/>
      <c r="W1123" s="37">
        <v>3.8</v>
      </c>
      <c r="X1123" s="49" t="s">
        <v>2565</v>
      </c>
      <c r="Y1123" s="49" t="s">
        <v>2565</v>
      </c>
      <c r="Z1123" s="49" t="s">
        <v>1900</v>
      </c>
      <c r="AA1123" s="38">
        <v>0.51180000000000003</v>
      </c>
      <c r="AB1123" s="39">
        <v>18060</v>
      </c>
      <c r="AC1123" s="84" t="s">
        <v>14879</v>
      </c>
      <c r="AD1123" s="53" t="str">
        <f t="shared" si="806"/>
        <v>Link</v>
      </c>
      <c r="AE1123" s="42">
        <v>30979</v>
      </c>
      <c r="AF1123" s="42">
        <v>61</v>
      </c>
      <c r="AG1123" s="55"/>
      <c r="AH1123" s="56">
        <v>230038</v>
      </c>
      <c r="AI1123" s="56" t="s">
        <v>2459</v>
      </c>
      <c r="AJ1123" s="56"/>
    </row>
    <row r="1124" spans="1:36" ht="15" x14ac:dyDescent="0.2">
      <c r="A1124" s="31" t="s">
        <v>14874</v>
      </c>
      <c r="B1124" s="7" t="s">
        <v>3719</v>
      </c>
      <c r="C1124" s="35" t="s">
        <v>67</v>
      </c>
      <c r="D1124" s="57"/>
      <c r="E1124" s="83">
        <v>5</v>
      </c>
      <c r="F1124" s="7"/>
      <c r="G1124" s="57"/>
      <c r="H1124" s="2" t="s">
        <v>14875</v>
      </c>
      <c r="I1124" s="2"/>
      <c r="J1124" s="2"/>
      <c r="K1124" s="2" t="s">
        <v>14914</v>
      </c>
      <c r="L1124" s="2"/>
      <c r="M1124" s="2"/>
      <c r="N1124" s="7"/>
      <c r="O1124" s="7"/>
      <c r="P1124" s="48" t="s">
        <v>14879</v>
      </c>
      <c r="Q1124" s="60" t="s">
        <v>3719</v>
      </c>
      <c r="R1124" s="48" t="s">
        <v>14880</v>
      </c>
      <c r="S1124" s="6" t="s">
        <v>238</v>
      </c>
      <c r="T1124" s="4" t="s">
        <v>63</v>
      </c>
      <c r="U1124" s="6" t="s">
        <v>14882</v>
      </c>
      <c r="V1124" s="49"/>
      <c r="W1124" s="37">
        <v>3.8</v>
      </c>
      <c r="X1124" s="49" t="s">
        <v>2565</v>
      </c>
      <c r="Y1124" s="49" t="s">
        <v>2565</v>
      </c>
      <c r="Z1124" s="49" t="s">
        <v>1900</v>
      </c>
      <c r="AA1124" s="38">
        <v>0.51180000000000003</v>
      </c>
      <c r="AB1124" s="39">
        <v>18060</v>
      </c>
      <c r="AC1124" s="84" t="s">
        <v>14879</v>
      </c>
      <c r="AD1124" s="53" t="str">
        <f t="shared" si="806"/>
        <v>Link</v>
      </c>
      <c r="AE1124" s="42">
        <v>30979</v>
      </c>
      <c r="AF1124" s="42">
        <v>61</v>
      </c>
      <c r="AG1124" s="55"/>
      <c r="AH1124" s="56">
        <v>230038</v>
      </c>
      <c r="AI1124" s="56" t="s">
        <v>2459</v>
      </c>
      <c r="AJ1124" s="56"/>
    </row>
    <row r="1125" spans="1:36" ht="15" x14ac:dyDescent="0.2">
      <c r="A1125" s="31" t="s">
        <v>14874</v>
      </c>
      <c r="B1125" s="7" t="s">
        <v>3719</v>
      </c>
      <c r="C1125" s="35" t="s">
        <v>67</v>
      </c>
      <c r="D1125" s="57"/>
      <c r="E1125" s="83">
        <v>5</v>
      </c>
      <c r="F1125" s="7"/>
      <c r="G1125" s="57"/>
      <c r="H1125" s="2" t="s">
        <v>14875</v>
      </c>
      <c r="I1125" s="2"/>
      <c r="J1125" s="2"/>
      <c r="K1125" s="2" t="s">
        <v>14918</v>
      </c>
      <c r="L1125" s="2"/>
      <c r="M1125" s="2"/>
      <c r="N1125" s="7"/>
      <c r="O1125" s="7"/>
      <c r="P1125" s="48" t="s">
        <v>14879</v>
      </c>
      <c r="Q1125" s="60" t="s">
        <v>3719</v>
      </c>
      <c r="R1125" s="48" t="s">
        <v>14880</v>
      </c>
      <c r="S1125" s="6" t="s">
        <v>238</v>
      </c>
      <c r="T1125" s="4" t="s">
        <v>63</v>
      </c>
      <c r="U1125" s="6" t="s">
        <v>14882</v>
      </c>
      <c r="V1125" s="49"/>
      <c r="W1125" s="37">
        <v>3.8</v>
      </c>
      <c r="X1125" s="49" t="s">
        <v>2565</v>
      </c>
      <c r="Y1125" s="49" t="s">
        <v>2565</v>
      </c>
      <c r="Z1125" s="49" t="s">
        <v>1900</v>
      </c>
      <c r="AA1125" s="38">
        <v>0.51180000000000003</v>
      </c>
      <c r="AB1125" s="39">
        <v>18060</v>
      </c>
      <c r="AC1125" s="84" t="s">
        <v>14879</v>
      </c>
      <c r="AD1125" s="53" t="str">
        <f t="shared" si="806"/>
        <v>Link</v>
      </c>
      <c r="AE1125" s="42">
        <v>30979</v>
      </c>
      <c r="AF1125" s="42">
        <v>61</v>
      </c>
      <c r="AG1125" s="55"/>
      <c r="AH1125" s="56">
        <v>230038</v>
      </c>
      <c r="AI1125" s="56" t="s">
        <v>2459</v>
      </c>
      <c r="AJ1125" s="56"/>
    </row>
    <row r="1126" spans="1:36" ht="15" x14ac:dyDescent="0.2">
      <c r="A1126" s="31" t="s">
        <v>14874</v>
      </c>
      <c r="B1126" s="7" t="s">
        <v>3719</v>
      </c>
      <c r="C1126" s="35" t="s">
        <v>67</v>
      </c>
      <c r="D1126" s="57"/>
      <c r="E1126" s="83">
        <v>5</v>
      </c>
      <c r="F1126" s="7"/>
      <c r="G1126" s="57"/>
      <c r="H1126" s="2" t="s">
        <v>14875</v>
      </c>
      <c r="I1126" s="2"/>
      <c r="J1126" s="2"/>
      <c r="K1126" s="2" t="s">
        <v>14921</v>
      </c>
      <c r="L1126" s="2"/>
      <c r="M1126" s="2"/>
      <c r="N1126" s="7"/>
      <c r="O1126" s="7"/>
      <c r="P1126" s="48" t="s">
        <v>14879</v>
      </c>
      <c r="Q1126" s="60" t="s">
        <v>3719</v>
      </c>
      <c r="R1126" s="48" t="s">
        <v>14880</v>
      </c>
      <c r="S1126" s="6" t="s">
        <v>238</v>
      </c>
      <c r="T1126" s="4" t="s">
        <v>63</v>
      </c>
      <c r="U1126" s="6" t="s">
        <v>14882</v>
      </c>
      <c r="V1126" s="49"/>
      <c r="W1126" s="37">
        <v>3.8</v>
      </c>
      <c r="X1126" s="49" t="s">
        <v>2565</v>
      </c>
      <c r="Y1126" s="49" t="s">
        <v>2565</v>
      </c>
      <c r="Z1126" s="49" t="s">
        <v>1900</v>
      </c>
      <c r="AA1126" s="38">
        <v>0.51180000000000003</v>
      </c>
      <c r="AB1126" s="39">
        <v>18060</v>
      </c>
      <c r="AC1126" s="84" t="s">
        <v>14879</v>
      </c>
      <c r="AD1126" s="53" t="str">
        <f t="shared" si="806"/>
        <v>Link</v>
      </c>
      <c r="AE1126" s="42">
        <v>30979</v>
      </c>
      <c r="AF1126" s="42">
        <v>61</v>
      </c>
      <c r="AG1126" s="55"/>
      <c r="AH1126" s="56">
        <v>230038</v>
      </c>
      <c r="AI1126" s="56" t="s">
        <v>2459</v>
      </c>
      <c r="AJ1126" s="56"/>
    </row>
    <row r="1127" spans="1:36" ht="13" x14ac:dyDescent="0.15">
      <c r="A1127" s="64" t="s">
        <v>14874</v>
      </c>
      <c r="B1127" s="47" t="s">
        <v>312</v>
      </c>
      <c r="C1127" s="7" t="s">
        <v>67</v>
      </c>
      <c r="D1127" s="7" t="s">
        <v>10623</v>
      </c>
      <c r="E1127" s="44">
        <v>5</v>
      </c>
      <c r="F1127" s="7"/>
      <c r="G1127" s="7"/>
      <c r="H1127" s="2" t="s">
        <v>14923</v>
      </c>
      <c r="I1127" s="7" t="s">
        <v>1481</v>
      </c>
      <c r="J1127" s="7" t="s">
        <v>14928</v>
      </c>
      <c r="K1127" s="7" t="s">
        <v>48</v>
      </c>
      <c r="L1127" s="7" t="s">
        <v>14929</v>
      </c>
      <c r="M1127" s="7" t="s">
        <v>14930</v>
      </c>
      <c r="N1127" s="45" t="str">
        <f t="shared" ref="N1127:N1131" si="807">HYPERLINK("twitter.com/lmulionssb","@lmulionssb")</f>
        <v>@lmulionssb</v>
      </c>
      <c r="O1127" s="45" t="str">
        <f t="shared" ref="O1127:O1131" si="808">HYPERLINK("https://questionnaires.armssoftware.com/c1c8824a6ed3","Questionnaire")</f>
        <v>Questionnaire</v>
      </c>
      <c r="P1127" s="48" t="s">
        <v>14939</v>
      </c>
      <c r="Q1127" s="47" t="s">
        <v>312</v>
      </c>
      <c r="R1127" s="48" t="s">
        <v>574</v>
      </c>
      <c r="S1127" s="48" t="s">
        <v>288</v>
      </c>
      <c r="T1127" s="49" t="s">
        <v>63</v>
      </c>
      <c r="U1127" s="7" t="s">
        <v>9199</v>
      </c>
      <c r="V1127" s="7"/>
      <c r="W1127" s="44">
        <v>3.74</v>
      </c>
      <c r="X1127" s="49" t="s">
        <v>1777</v>
      </c>
      <c r="Y1127" s="49" t="s">
        <v>1685</v>
      </c>
      <c r="Z1127" s="49" t="s">
        <v>2620</v>
      </c>
      <c r="AA1127" s="61">
        <v>0.54</v>
      </c>
      <c r="AB1127" s="71">
        <v>62454</v>
      </c>
      <c r="AC1127" s="62" t="s">
        <v>14939</v>
      </c>
      <c r="AD1127" s="53" t="str">
        <f t="shared" ref="AD1127:AD1131" si="809">HYPERLINK("https://www.lmu.edu/academics/degrees/","Link")</f>
        <v>Link</v>
      </c>
      <c r="AE1127" s="54">
        <v>6261</v>
      </c>
      <c r="AF1127" s="55"/>
      <c r="AG1127" s="7"/>
      <c r="AH1127" s="56">
        <v>117946</v>
      </c>
      <c r="AI1127" s="85"/>
      <c r="AJ1127" s="56"/>
    </row>
    <row r="1128" spans="1:36" ht="13" x14ac:dyDescent="0.15">
      <c r="A1128" s="64" t="s">
        <v>14874</v>
      </c>
      <c r="B1128" s="47" t="s">
        <v>312</v>
      </c>
      <c r="C1128" s="7" t="s">
        <v>67</v>
      </c>
      <c r="D1128" s="7" t="s">
        <v>14945</v>
      </c>
      <c r="E1128" s="44">
        <v>5</v>
      </c>
      <c r="F1128" s="7"/>
      <c r="G1128" s="7"/>
      <c r="H1128" s="2" t="s">
        <v>14923</v>
      </c>
      <c r="I1128" s="7" t="s">
        <v>3497</v>
      </c>
      <c r="J1128" s="7" t="s">
        <v>8744</v>
      </c>
      <c r="K1128" s="7" t="s">
        <v>55</v>
      </c>
      <c r="L1128" s="7" t="s">
        <v>14947</v>
      </c>
      <c r="M1128" s="7" t="s">
        <v>14948</v>
      </c>
      <c r="N1128" s="45" t="str">
        <f t="shared" si="807"/>
        <v>@lmulionssb</v>
      </c>
      <c r="O1128" s="45" t="str">
        <f t="shared" si="808"/>
        <v>Questionnaire</v>
      </c>
      <c r="P1128" s="48" t="s">
        <v>14939</v>
      </c>
      <c r="Q1128" s="47" t="s">
        <v>312</v>
      </c>
      <c r="R1128" s="48" t="s">
        <v>574</v>
      </c>
      <c r="S1128" s="48" t="s">
        <v>288</v>
      </c>
      <c r="T1128" s="49" t="s">
        <v>63</v>
      </c>
      <c r="U1128" s="7" t="s">
        <v>9199</v>
      </c>
      <c r="V1128" s="7"/>
      <c r="W1128" s="44">
        <v>3.74</v>
      </c>
      <c r="X1128" s="49" t="s">
        <v>1777</v>
      </c>
      <c r="Y1128" s="49" t="s">
        <v>1685</v>
      </c>
      <c r="Z1128" s="49" t="s">
        <v>2620</v>
      </c>
      <c r="AA1128" s="61">
        <v>0.54</v>
      </c>
      <c r="AB1128" s="71">
        <v>62454</v>
      </c>
      <c r="AC1128" s="62" t="s">
        <v>14939</v>
      </c>
      <c r="AD1128" s="53" t="str">
        <f t="shared" si="809"/>
        <v>Link</v>
      </c>
      <c r="AE1128" s="54">
        <v>6261</v>
      </c>
      <c r="AF1128" s="55"/>
      <c r="AG1128" s="7"/>
      <c r="AH1128" s="56">
        <v>117946</v>
      </c>
      <c r="AI1128" s="85"/>
      <c r="AJ1128" s="56"/>
    </row>
    <row r="1129" spans="1:36" ht="13" x14ac:dyDescent="0.15">
      <c r="A1129" s="64" t="s">
        <v>14874</v>
      </c>
      <c r="B1129" s="47" t="s">
        <v>312</v>
      </c>
      <c r="C1129" s="7" t="s">
        <v>67</v>
      </c>
      <c r="D1129" s="7" t="s">
        <v>14952</v>
      </c>
      <c r="E1129" s="44">
        <v>5</v>
      </c>
      <c r="F1129" s="7"/>
      <c r="G1129" s="7"/>
      <c r="H1129" s="2" t="s">
        <v>14923</v>
      </c>
      <c r="I1129" s="7" t="s">
        <v>1075</v>
      </c>
      <c r="J1129" s="7" t="s">
        <v>977</v>
      </c>
      <c r="K1129" s="7" t="s">
        <v>55</v>
      </c>
      <c r="L1129" s="7" t="s">
        <v>14953</v>
      </c>
      <c r="M1129" s="7" t="s">
        <v>14948</v>
      </c>
      <c r="N1129" s="45" t="str">
        <f t="shared" si="807"/>
        <v>@lmulionssb</v>
      </c>
      <c r="O1129" s="45" t="str">
        <f t="shared" si="808"/>
        <v>Questionnaire</v>
      </c>
      <c r="P1129" s="48" t="s">
        <v>14939</v>
      </c>
      <c r="Q1129" s="47" t="s">
        <v>312</v>
      </c>
      <c r="R1129" s="48" t="s">
        <v>574</v>
      </c>
      <c r="S1129" s="48" t="s">
        <v>288</v>
      </c>
      <c r="T1129" s="49" t="s">
        <v>63</v>
      </c>
      <c r="U1129" s="7" t="s">
        <v>9199</v>
      </c>
      <c r="V1129" s="7"/>
      <c r="W1129" s="44">
        <v>3.74</v>
      </c>
      <c r="X1129" s="49" t="s">
        <v>1777</v>
      </c>
      <c r="Y1129" s="49" t="s">
        <v>1685</v>
      </c>
      <c r="Z1129" s="49" t="s">
        <v>2620</v>
      </c>
      <c r="AA1129" s="61">
        <v>0.54</v>
      </c>
      <c r="AB1129" s="71">
        <v>62454</v>
      </c>
      <c r="AC1129" s="62" t="s">
        <v>14939</v>
      </c>
      <c r="AD1129" s="53" t="str">
        <f t="shared" si="809"/>
        <v>Link</v>
      </c>
      <c r="AE1129" s="54">
        <v>6261</v>
      </c>
      <c r="AF1129" s="55"/>
      <c r="AG1129" s="7"/>
      <c r="AH1129" s="56">
        <v>117946</v>
      </c>
      <c r="AI1129" s="85"/>
      <c r="AJ1129" s="56"/>
    </row>
    <row r="1130" spans="1:36" ht="13" x14ac:dyDescent="0.15">
      <c r="A1130" s="64" t="s">
        <v>14874</v>
      </c>
      <c r="B1130" s="47" t="s">
        <v>312</v>
      </c>
      <c r="C1130" s="7" t="s">
        <v>67</v>
      </c>
      <c r="D1130" s="7" t="s">
        <v>14960</v>
      </c>
      <c r="E1130" s="44">
        <v>5</v>
      </c>
      <c r="F1130" s="7"/>
      <c r="G1130" s="7"/>
      <c r="H1130" s="2" t="s">
        <v>14923</v>
      </c>
      <c r="I1130" s="7" t="s">
        <v>14961</v>
      </c>
      <c r="J1130" s="7" t="s">
        <v>2739</v>
      </c>
      <c r="K1130" s="7" t="s">
        <v>139</v>
      </c>
      <c r="L1130" s="7"/>
      <c r="M1130" s="7"/>
      <c r="N1130" s="45" t="str">
        <f t="shared" si="807"/>
        <v>@lmulionssb</v>
      </c>
      <c r="O1130" s="45" t="str">
        <f t="shared" si="808"/>
        <v>Questionnaire</v>
      </c>
      <c r="P1130" s="48" t="s">
        <v>14939</v>
      </c>
      <c r="Q1130" s="47" t="s">
        <v>312</v>
      </c>
      <c r="R1130" s="48" t="s">
        <v>574</v>
      </c>
      <c r="S1130" s="48" t="s">
        <v>288</v>
      </c>
      <c r="T1130" s="49" t="s">
        <v>63</v>
      </c>
      <c r="U1130" s="7" t="s">
        <v>9199</v>
      </c>
      <c r="V1130" s="7"/>
      <c r="W1130" s="44">
        <v>3.74</v>
      </c>
      <c r="X1130" s="49" t="s">
        <v>1777</v>
      </c>
      <c r="Y1130" s="49" t="s">
        <v>1685</v>
      </c>
      <c r="Z1130" s="49" t="s">
        <v>2620</v>
      </c>
      <c r="AA1130" s="61">
        <v>0.54</v>
      </c>
      <c r="AB1130" s="71">
        <v>62454</v>
      </c>
      <c r="AC1130" s="62" t="s">
        <v>14939</v>
      </c>
      <c r="AD1130" s="53" t="str">
        <f t="shared" si="809"/>
        <v>Link</v>
      </c>
      <c r="AE1130" s="54">
        <v>6261</v>
      </c>
      <c r="AF1130" s="55"/>
      <c r="AG1130" s="7"/>
      <c r="AH1130" s="56">
        <v>117946</v>
      </c>
      <c r="AI1130" s="85"/>
      <c r="AJ1130" s="56"/>
    </row>
    <row r="1131" spans="1:36" ht="13" x14ac:dyDescent="0.15">
      <c r="A1131" s="64" t="s">
        <v>14874</v>
      </c>
      <c r="B1131" s="47" t="s">
        <v>312</v>
      </c>
      <c r="C1131" s="7" t="s">
        <v>67</v>
      </c>
      <c r="D1131" s="7" t="s">
        <v>14965</v>
      </c>
      <c r="E1131" s="44">
        <v>5</v>
      </c>
      <c r="F1131" s="7"/>
      <c r="G1131" s="7" t="s">
        <v>126</v>
      </c>
      <c r="H1131" s="2" t="s">
        <v>14923</v>
      </c>
      <c r="I1131" s="7" t="s">
        <v>14967</v>
      </c>
      <c r="J1131" s="7"/>
      <c r="K1131" s="7"/>
      <c r="L1131" s="7"/>
      <c r="M1131" s="7"/>
      <c r="N1131" s="45" t="str">
        <f t="shared" si="807"/>
        <v>@lmulionssb</v>
      </c>
      <c r="O1131" s="45" t="str">
        <f t="shared" si="808"/>
        <v>Questionnaire</v>
      </c>
      <c r="P1131" s="48" t="s">
        <v>14939</v>
      </c>
      <c r="Q1131" s="47" t="s">
        <v>312</v>
      </c>
      <c r="R1131" s="48" t="s">
        <v>574</v>
      </c>
      <c r="S1131" s="48" t="s">
        <v>288</v>
      </c>
      <c r="T1131" s="49" t="s">
        <v>63</v>
      </c>
      <c r="U1131" s="7" t="s">
        <v>9199</v>
      </c>
      <c r="V1131" s="7"/>
      <c r="W1131" s="44">
        <v>3.74</v>
      </c>
      <c r="X1131" s="49" t="s">
        <v>1777</v>
      </c>
      <c r="Y1131" s="49" t="s">
        <v>1685</v>
      </c>
      <c r="Z1131" s="49" t="s">
        <v>2620</v>
      </c>
      <c r="AA1131" s="61">
        <v>0.54</v>
      </c>
      <c r="AB1131" s="71">
        <v>62454</v>
      </c>
      <c r="AC1131" s="62" t="s">
        <v>14939</v>
      </c>
      <c r="AD1131" s="53" t="str">
        <f t="shared" si="809"/>
        <v>Link</v>
      </c>
      <c r="AE1131" s="54">
        <v>6261</v>
      </c>
      <c r="AF1131" s="55"/>
      <c r="AG1131" s="7"/>
      <c r="AH1131" s="56">
        <v>117946</v>
      </c>
      <c r="AI1131" s="85"/>
      <c r="AJ1131" s="56"/>
    </row>
    <row r="1132" spans="1:36" ht="13" x14ac:dyDescent="0.15">
      <c r="A1132" s="64" t="s">
        <v>14874</v>
      </c>
      <c r="B1132" s="47" t="s">
        <v>312</v>
      </c>
      <c r="C1132" s="7" t="s">
        <v>67</v>
      </c>
      <c r="D1132" s="7" t="s">
        <v>14977</v>
      </c>
      <c r="E1132" s="44">
        <v>5</v>
      </c>
      <c r="F1132" s="7"/>
      <c r="G1132" s="7"/>
      <c r="H1132" s="2" t="s">
        <v>14982</v>
      </c>
      <c r="I1132" s="7" t="s">
        <v>2790</v>
      </c>
      <c r="J1132" s="7" t="s">
        <v>14983</v>
      </c>
      <c r="K1132" s="7" t="s">
        <v>48</v>
      </c>
      <c r="L1132" s="7" t="s">
        <v>14984</v>
      </c>
      <c r="M1132" s="7" t="s">
        <v>14985</v>
      </c>
      <c r="N1132" s="45" t="str">
        <f t="shared" ref="N1132:N1135" si="810">HYPERLINK("http://twitter.com/pacificsoftball","@pacificsoftball")</f>
        <v>@pacificsoftball</v>
      </c>
      <c r="O1132" s="45" t="str">
        <f t="shared" ref="O1132:O1135" si="811">HYPERLINK("https://goboxers.com/sb_output.aspx?form=3","Questionnaire")</f>
        <v>Questionnaire</v>
      </c>
      <c r="P1132" s="48" t="s">
        <v>14994</v>
      </c>
      <c r="Q1132" s="47" t="s">
        <v>312</v>
      </c>
      <c r="R1132" s="48" t="s">
        <v>14995</v>
      </c>
      <c r="S1132" s="48" t="s">
        <v>354</v>
      </c>
      <c r="T1132" s="49" t="s">
        <v>63</v>
      </c>
      <c r="U1132" s="7" t="s">
        <v>75</v>
      </c>
      <c r="V1132" s="7"/>
      <c r="W1132" s="44">
        <v>3.54</v>
      </c>
      <c r="X1132" s="49" t="s">
        <v>957</v>
      </c>
      <c r="Y1132" s="49" t="s">
        <v>14996</v>
      </c>
      <c r="Z1132" s="49" t="s">
        <v>10666</v>
      </c>
      <c r="AA1132" s="61">
        <v>0.66</v>
      </c>
      <c r="AB1132" s="71">
        <v>62405</v>
      </c>
      <c r="AC1132" s="90" t="s">
        <v>14994</v>
      </c>
      <c r="AD1132" s="53" t="str">
        <f t="shared" ref="AD1132:AD1135" si="812">HYPERLINK("http://www.pacific.edu/Academics/Majors-and-Programs/Undergraduate-Majors-and-Minors.html","Link")</f>
        <v>Link</v>
      </c>
      <c r="AE1132" s="54">
        <v>3483</v>
      </c>
      <c r="AF1132" s="54">
        <v>110</v>
      </c>
      <c r="AG1132" s="7"/>
      <c r="AH1132" s="56">
        <v>120883</v>
      </c>
      <c r="AI1132" s="85"/>
      <c r="AJ1132" s="56"/>
    </row>
    <row r="1133" spans="1:36" ht="13" x14ac:dyDescent="0.15">
      <c r="A1133" s="64" t="s">
        <v>14874</v>
      </c>
      <c r="B1133" s="47" t="s">
        <v>312</v>
      </c>
      <c r="C1133" s="7" t="s">
        <v>67</v>
      </c>
      <c r="D1133" s="7" t="s">
        <v>15003</v>
      </c>
      <c r="E1133" s="44">
        <v>5</v>
      </c>
      <c r="F1133" s="7"/>
      <c r="G1133" s="7"/>
      <c r="H1133" s="2" t="s">
        <v>14982</v>
      </c>
      <c r="I1133" s="7" t="s">
        <v>15004</v>
      </c>
      <c r="J1133" s="7" t="s">
        <v>4160</v>
      </c>
      <c r="K1133" s="7" t="s">
        <v>55</v>
      </c>
      <c r="L1133" s="7" t="s">
        <v>15005</v>
      </c>
      <c r="M1133" s="7" t="s">
        <v>15006</v>
      </c>
      <c r="N1133" s="45" t="str">
        <f t="shared" si="810"/>
        <v>@pacificsoftball</v>
      </c>
      <c r="O1133" s="45" t="str">
        <f t="shared" si="811"/>
        <v>Questionnaire</v>
      </c>
      <c r="P1133" s="48" t="s">
        <v>14994</v>
      </c>
      <c r="Q1133" s="47" t="s">
        <v>312</v>
      </c>
      <c r="R1133" s="48" t="s">
        <v>14995</v>
      </c>
      <c r="S1133" s="48" t="s">
        <v>354</v>
      </c>
      <c r="T1133" s="49" t="s">
        <v>63</v>
      </c>
      <c r="U1133" s="7" t="s">
        <v>75</v>
      </c>
      <c r="V1133" s="7"/>
      <c r="W1133" s="44">
        <v>3.54</v>
      </c>
      <c r="X1133" s="49" t="s">
        <v>957</v>
      </c>
      <c r="Y1133" s="49" t="s">
        <v>14996</v>
      </c>
      <c r="Z1133" s="49" t="s">
        <v>10666</v>
      </c>
      <c r="AA1133" s="61">
        <v>0.66</v>
      </c>
      <c r="AB1133" s="71">
        <v>62405</v>
      </c>
      <c r="AC1133" s="90" t="s">
        <v>14994</v>
      </c>
      <c r="AD1133" s="53" t="str">
        <f t="shared" si="812"/>
        <v>Link</v>
      </c>
      <c r="AE1133" s="54">
        <v>3483</v>
      </c>
      <c r="AF1133" s="54">
        <v>110</v>
      </c>
      <c r="AG1133" s="7"/>
      <c r="AH1133" s="56">
        <v>120883</v>
      </c>
      <c r="AI1133" s="85"/>
      <c r="AJ1133" s="56"/>
    </row>
    <row r="1134" spans="1:36" ht="13" x14ac:dyDescent="0.15">
      <c r="A1134" s="64" t="s">
        <v>14874</v>
      </c>
      <c r="B1134" s="47" t="s">
        <v>312</v>
      </c>
      <c r="C1134" s="7" t="s">
        <v>67</v>
      </c>
      <c r="D1134" s="7" t="s">
        <v>15016</v>
      </c>
      <c r="E1134" s="44">
        <v>5</v>
      </c>
      <c r="F1134" s="7"/>
      <c r="G1134" s="7"/>
      <c r="H1134" s="2" t="s">
        <v>14982</v>
      </c>
      <c r="I1134" s="7" t="s">
        <v>10136</v>
      </c>
      <c r="J1134" s="7" t="s">
        <v>2420</v>
      </c>
      <c r="K1134" s="7" t="s">
        <v>55</v>
      </c>
      <c r="L1134" s="7" t="s">
        <v>15022</v>
      </c>
      <c r="M1134" s="7" t="s">
        <v>15023</v>
      </c>
      <c r="N1134" s="45" t="str">
        <f t="shared" si="810"/>
        <v>@pacificsoftball</v>
      </c>
      <c r="O1134" s="45" t="str">
        <f t="shared" si="811"/>
        <v>Questionnaire</v>
      </c>
      <c r="P1134" s="48" t="s">
        <v>14994</v>
      </c>
      <c r="Q1134" s="47" t="s">
        <v>312</v>
      </c>
      <c r="R1134" s="48" t="s">
        <v>14995</v>
      </c>
      <c r="S1134" s="48" t="s">
        <v>354</v>
      </c>
      <c r="T1134" s="49" t="s">
        <v>63</v>
      </c>
      <c r="U1134" s="7" t="s">
        <v>75</v>
      </c>
      <c r="V1134" s="7"/>
      <c r="W1134" s="44">
        <v>3.54</v>
      </c>
      <c r="X1134" s="49" t="s">
        <v>957</v>
      </c>
      <c r="Y1134" s="49" t="s">
        <v>14996</v>
      </c>
      <c r="Z1134" s="49" t="s">
        <v>10666</v>
      </c>
      <c r="AA1134" s="61">
        <v>0.66</v>
      </c>
      <c r="AB1134" s="71">
        <v>62405</v>
      </c>
      <c r="AC1134" s="90" t="s">
        <v>14994</v>
      </c>
      <c r="AD1134" s="53" t="str">
        <f t="shared" si="812"/>
        <v>Link</v>
      </c>
      <c r="AE1134" s="54">
        <v>3483</v>
      </c>
      <c r="AF1134" s="54">
        <v>110</v>
      </c>
      <c r="AG1134" s="7"/>
      <c r="AH1134" s="56">
        <v>120883</v>
      </c>
      <c r="AI1134" s="85"/>
      <c r="AJ1134" s="56"/>
    </row>
    <row r="1135" spans="1:36" ht="13" x14ac:dyDescent="0.15">
      <c r="A1135" s="64" t="s">
        <v>14874</v>
      </c>
      <c r="B1135" s="47" t="s">
        <v>312</v>
      </c>
      <c r="C1135" s="7" t="s">
        <v>67</v>
      </c>
      <c r="D1135" s="7" t="s">
        <v>15029</v>
      </c>
      <c r="E1135" s="44">
        <v>5</v>
      </c>
      <c r="F1135" s="7"/>
      <c r="G1135" s="7"/>
      <c r="H1135" s="2" t="s">
        <v>14982</v>
      </c>
      <c r="I1135" s="7" t="s">
        <v>2377</v>
      </c>
      <c r="J1135" s="7" t="s">
        <v>1038</v>
      </c>
      <c r="K1135" s="7" t="s">
        <v>154</v>
      </c>
      <c r="L1135" s="7" t="s">
        <v>15030</v>
      </c>
      <c r="M1135" s="7"/>
      <c r="N1135" s="45" t="str">
        <f t="shared" si="810"/>
        <v>@pacificsoftball</v>
      </c>
      <c r="O1135" s="45" t="str">
        <f t="shared" si="811"/>
        <v>Questionnaire</v>
      </c>
      <c r="P1135" s="48" t="s">
        <v>14994</v>
      </c>
      <c r="Q1135" s="47" t="s">
        <v>312</v>
      </c>
      <c r="R1135" s="48" t="s">
        <v>14995</v>
      </c>
      <c r="S1135" s="48" t="s">
        <v>354</v>
      </c>
      <c r="T1135" s="49" t="s">
        <v>63</v>
      </c>
      <c r="U1135" s="7" t="s">
        <v>75</v>
      </c>
      <c r="V1135" s="7"/>
      <c r="W1135" s="44">
        <v>3.54</v>
      </c>
      <c r="X1135" s="49" t="s">
        <v>957</v>
      </c>
      <c r="Y1135" s="49" t="s">
        <v>14996</v>
      </c>
      <c r="Z1135" s="49" t="s">
        <v>10666</v>
      </c>
      <c r="AA1135" s="61">
        <v>0.66</v>
      </c>
      <c r="AB1135" s="71">
        <v>62405</v>
      </c>
      <c r="AC1135" s="90" t="s">
        <v>14994</v>
      </c>
      <c r="AD1135" s="53" t="str">
        <f t="shared" si="812"/>
        <v>Link</v>
      </c>
      <c r="AE1135" s="54">
        <v>3483</v>
      </c>
      <c r="AF1135" s="54">
        <v>110</v>
      </c>
      <c r="AG1135" s="7"/>
      <c r="AH1135" s="56">
        <v>120883</v>
      </c>
      <c r="AI1135" s="85"/>
      <c r="AJ1135" s="56"/>
    </row>
    <row r="1136" spans="1:36" ht="13" x14ac:dyDescent="0.15">
      <c r="A1136" s="64" t="s">
        <v>14874</v>
      </c>
      <c r="B1136" s="47" t="s">
        <v>312</v>
      </c>
      <c r="C1136" s="7" t="s">
        <v>67</v>
      </c>
      <c r="D1136" s="7" t="s">
        <v>15035</v>
      </c>
      <c r="E1136" s="44">
        <v>5</v>
      </c>
      <c r="F1136" s="7"/>
      <c r="G1136" s="7"/>
      <c r="H1136" s="2" t="s">
        <v>15037</v>
      </c>
      <c r="I1136" s="7" t="s">
        <v>201</v>
      </c>
      <c r="J1136" s="7" t="s">
        <v>15039</v>
      </c>
      <c r="K1136" s="7" t="s">
        <v>48</v>
      </c>
      <c r="L1136" s="7" t="s">
        <v>15040</v>
      </c>
      <c r="M1136" s="7" t="s">
        <v>15041</v>
      </c>
      <c r="N1136" s="45" t="str">
        <f t="shared" ref="N1136:N1138" si="813">HYPERLINK("twitter.com/usdsoftball","@usdsoftball")</f>
        <v>@usdsoftball</v>
      </c>
      <c r="O1136" s="45" t="str">
        <f t="shared" ref="O1136:O1138" si="814">HYPERLINK("https://college.jumpforward.com/questionnaire.aspx?iid=1627&amp;sportid=31","Questionnaire")</f>
        <v>Questionnaire</v>
      </c>
      <c r="P1136" s="48" t="s">
        <v>1547</v>
      </c>
      <c r="Q1136" s="47" t="s">
        <v>312</v>
      </c>
      <c r="R1136" s="48" t="s">
        <v>1547</v>
      </c>
      <c r="S1136" s="48" t="s">
        <v>288</v>
      </c>
      <c r="T1136" s="49" t="s">
        <v>63</v>
      </c>
      <c r="U1136" s="7" t="s">
        <v>343</v>
      </c>
      <c r="V1136" s="7"/>
      <c r="W1136" s="44">
        <v>3.85</v>
      </c>
      <c r="X1136" s="49" t="s">
        <v>5008</v>
      </c>
      <c r="Y1136" s="49" t="s">
        <v>677</v>
      </c>
      <c r="Z1136" s="49" t="s">
        <v>2620</v>
      </c>
      <c r="AA1136" s="61">
        <v>0.51</v>
      </c>
      <c r="AB1136" s="71">
        <v>63410</v>
      </c>
      <c r="AC1136" s="62" t="s">
        <v>1547</v>
      </c>
      <c r="AD1136" s="53" t="str">
        <f t="shared" ref="AD1136:AD1139" si="815">HYPERLINK("https://www.sandiego.edu/academics/academic-programs/majors.php","Link")</f>
        <v>Link</v>
      </c>
      <c r="AE1136" s="54">
        <v>5711</v>
      </c>
      <c r="AF1136" s="54">
        <v>90</v>
      </c>
      <c r="AG1136" s="7"/>
      <c r="AH1136" s="56">
        <v>122436</v>
      </c>
      <c r="AI1136" s="85"/>
      <c r="AJ1136" s="56"/>
    </row>
    <row r="1137" spans="1:36" ht="13" x14ac:dyDescent="0.15">
      <c r="A1137" s="64" t="s">
        <v>14874</v>
      </c>
      <c r="B1137" s="47" t="s">
        <v>312</v>
      </c>
      <c r="C1137" s="7" t="s">
        <v>67</v>
      </c>
      <c r="D1137" s="7" t="s">
        <v>15050</v>
      </c>
      <c r="E1137" s="44">
        <v>5</v>
      </c>
      <c r="F1137" s="7"/>
      <c r="G1137" s="7"/>
      <c r="H1137" s="2" t="s">
        <v>15037</v>
      </c>
      <c r="I1137" s="7" t="s">
        <v>6327</v>
      </c>
      <c r="J1137" s="7" t="s">
        <v>11920</v>
      </c>
      <c r="K1137" s="7" t="s">
        <v>55</v>
      </c>
      <c r="L1137" s="7" t="s">
        <v>15051</v>
      </c>
      <c r="M1137" s="7" t="s">
        <v>15041</v>
      </c>
      <c r="N1137" s="45" t="str">
        <f t="shared" si="813"/>
        <v>@usdsoftball</v>
      </c>
      <c r="O1137" s="45" t="str">
        <f t="shared" si="814"/>
        <v>Questionnaire</v>
      </c>
      <c r="P1137" s="48" t="s">
        <v>1547</v>
      </c>
      <c r="Q1137" s="47" t="s">
        <v>312</v>
      </c>
      <c r="R1137" s="48" t="s">
        <v>1547</v>
      </c>
      <c r="S1137" s="48" t="s">
        <v>288</v>
      </c>
      <c r="T1137" s="49" t="s">
        <v>63</v>
      </c>
      <c r="U1137" s="7" t="s">
        <v>343</v>
      </c>
      <c r="V1137" s="7"/>
      <c r="W1137" s="44">
        <v>3.85</v>
      </c>
      <c r="X1137" s="49" t="s">
        <v>5008</v>
      </c>
      <c r="Y1137" s="49" t="s">
        <v>677</v>
      </c>
      <c r="Z1137" s="49" t="s">
        <v>2620</v>
      </c>
      <c r="AA1137" s="61">
        <v>0.51</v>
      </c>
      <c r="AB1137" s="71">
        <v>63410</v>
      </c>
      <c r="AC1137" s="62" t="s">
        <v>1547</v>
      </c>
      <c r="AD1137" s="53" t="str">
        <f t="shared" si="815"/>
        <v>Link</v>
      </c>
      <c r="AE1137" s="54">
        <v>5711</v>
      </c>
      <c r="AF1137" s="54">
        <v>90</v>
      </c>
      <c r="AG1137" s="7"/>
      <c r="AH1137" s="56">
        <v>122436</v>
      </c>
      <c r="AI1137" s="85"/>
      <c r="AJ1137" s="56"/>
    </row>
    <row r="1138" spans="1:36" ht="13" x14ac:dyDescent="0.15">
      <c r="A1138" s="64" t="s">
        <v>14874</v>
      </c>
      <c r="B1138" s="47" t="s">
        <v>312</v>
      </c>
      <c r="C1138" s="7" t="s">
        <v>67</v>
      </c>
      <c r="D1138" s="7" t="s">
        <v>15063</v>
      </c>
      <c r="E1138" s="44">
        <v>5</v>
      </c>
      <c r="F1138" s="7"/>
      <c r="G1138" s="7"/>
      <c r="H1138" s="2" t="s">
        <v>15037</v>
      </c>
      <c r="I1138" s="7" t="s">
        <v>15064</v>
      </c>
      <c r="J1138" s="7" t="s">
        <v>15065</v>
      </c>
      <c r="K1138" s="7" t="s">
        <v>55</v>
      </c>
      <c r="L1138" s="7" t="s">
        <v>15066</v>
      </c>
      <c r="M1138" s="7" t="s">
        <v>15041</v>
      </c>
      <c r="N1138" s="45" t="str">
        <f t="shared" si="813"/>
        <v>@usdsoftball</v>
      </c>
      <c r="O1138" s="45" t="str">
        <f t="shared" si="814"/>
        <v>Questionnaire</v>
      </c>
      <c r="P1138" s="48" t="s">
        <v>1547</v>
      </c>
      <c r="Q1138" s="47" t="s">
        <v>312</v>
      </c>
      <c r="R1138" s="48" t="s">
        <v>1547</v>
      </c>
      <c r="S1138" s="48" t="s">
        <v>288</v>
      </c>
      <c r="T1138" s="49" t="s">
        <v>63</v>
      </c>
      <c r="U1138" s="7" t="s">
        <v>343</v>
      </c>
      <c r="V1138" s="7"/>
      <c r="W1138" s="44">
        <v>3.85</v>
      </c>
      <c r="X1138" s="49" t="s">
        <v>5008</v>
      </c>
      <c r="Y1138" s="49" t="s">
        <v>677</v>
      </c>
      <c r="Z1138" s="49" t="s">
        <v>2620</v>
      </c>
      <c r="AA1138" s="61">
        <v>0.51</v>
      </c>
      <c r="AB1138" s="71">
        <v>63410</v>
      </c>
      <c r="AC1138" s="62" t="s">
        <v>1547</v>
      </c>
      <c r="AD1138" s="53" t="str">
        <f t="shared" si="815"/>
        <v>Link</v>
      </c>
      <c r="AE1138" s="54">
        <v>5711</v>
      </c>
      <c r="AF1138" s="54">
        <v>90</v>
      </c>
      <c r="AG1138" s="7"/>
      <c r="AH1138" s="56">
        <v>122436</v>
      </c>
      <c r="AI1138" s="85"/>
      <c r="AJ1138" s="56"/>
    </row>
    <row r="1139" spans="1:36" ht="13" x14ac:dyDescent="0.15">
      <c r="A1139" s="64" t="s">
        <v>14874</v>
      </c>
      <c r="B1139" s="47" t="s">
        <v>312</v>
      </c>
      <c r="C1139" s="7" t="s">
        <v>67</v>
      </c>
      <c r="D1139" s="7" t="s">
        <v>15075</v>
      </c>
      <c r="E1139" s="44">
        <v>5</v>
      </c>
      <c r="F1139" s="7"/>
      <c r="G1139" s="7"/>
      <c r="H1139" s="2" t="s">
        <v>15037</v>
      </c>
      <c r="I1139" s="7" t="s">
        <v>4599</v>
      </c>
      <c r="J1139" s="7" t="s">
        <v>15076</v>
      </c>
      <c r="K1139" s="7" t="s">
        <v>139</v>
      </c>
      <c r="L1139" s="7" t="s">
        <v>15077</v>
      </c>
      <c r="M1139" s="7" t="s">
        <v>15078</v>
      </c>
      <c r="N1139" s="48"/>
      <c r="O1139" s="48"/>
      <c r="P1139" s="48" t="s">
        <v>1547</v>
      </c>
      <c r="Q1139" s="47" t="s">
        <v>312</v>
      </c>
      <c r="R1139" s="48" t="s">
        <v>1547</v>
      </c>
      <c r="S1139" s="48" t="s">
        <v>288</v>
      </c>
      <c r="T1139" s="49" t="s">
        <v>63</v>
      </c>
      <c r="U1139" s="7" t="s">
        <v>343</v>
      </c>
      <c r="V1139" s="7"/>
      <c r="W1139" s="44">
        <v>3.85</v>
      </c>
      <c r="X1139" s="49" t="s">
        <v>5008</v>
      </c>
      <c r="Y1139" s="49" t="s">
        <v>677</v>
      </c>
      <c r="Z1139" s="49" t="s">
        <v>2620</v>
      </c>
      <c r="AA1139" s="61">
        <v>0.51</v>
      </c>
      <c r="AB1139" s="71">
        <v>63410</v>
      </c>
      <c r="AC1139" s="62" t="s">
        <v>1547</v>
      </c>
      <c r="AD1139" s="53" t="str">
        <f t="shared" si="815"/>
        <v>Link</v>
      </c>
      <c r="AE1139" s="54">
        <v>5711</v>
      </c>
      <c r="AF1139" s="54">
        <v>90</v>
      </c>
      <c r="AG1139" s="7"/>
      <c r="AH1139" s="56">
        <v>122436</v>
      </c>
      <c r="AI1139" s="85"/>
      <c r="AJ1139" s="56"/>
    </row>
    <row r="1140" spans="1:36" ht="13" x14ac:dyDescent="0.15">
      <c r="A1140" s="64" t="s">
        <v>14874</v>
      </c>
      <c r="B1140" s="47" t="s">
        <v>312</v>
      </c>
      <c r="C1140" s="7" t="s">
        <v>67</v>
      </c>
      <c r="D1140" s="7" t="s">
        <v>15083</v>
      </c>
      <c r="E1140" s="44">
        <v>5</v>
      </c>
      <c r="F1140" s="7"/>
      <c r="G1140" s="7"/>
      <c r="H1140" s="2" t="s">
        <v>15084</v>
      </c>
      <c r="I1140" s="7" t="s">
        <v>453</v>
      </c>
      <c r="J1140" s="7" t="s">
        <v>15085</v>
      </c>
      <c r="K1140" s="7" t="s">
        <v>48</v>
      </c>
      <c r="L1140" s="7" t="s">
        <v>15086</v>
      </c>
      <c r="M1140" s="7" t="s">
        <v>15087</v>
      </c>
      <c r="N1140" s="74" t="str">
        <f t="shared" ref="N1140:N1142" si="816">HYPERLINK("twitter.com/SCUSoftball","@SCUSoftball")</f>
        <v>@SCUSoftball</v>
      </c>
      <c r="O1140" s="48" t="s">
        <v>22</v>
      </c>
      <c r="P1140" s="48" t="s">
        <v>14787</v>
      </c>
      <c r="Q1140" s="47" t="s">
        <v>312</v>
      </c>
      <c r="R1140" s="48" t="s">
        <v>14787</v>
      </c>
      <c r="S1140" s="48" t="s">
        <v>238</v>
      </c>
      <c r="T1140" s="49" t="s">
        <v>63</v>
      </c>
      <c r="U1140" s="7" t="s">
        <v>343</v>
      </c>
      <c r="V1140" s="7"/>
      <c r="W1140" s="44">
        <v>3.67</v>
      </c>
      <c r="X1140" s="49" t="s">
        <v>678</v>
      </c>
      <c r="Y1140" s="49" t="s">
        <v>1022</v>
      </c>
      <c r="Z1140" s="49" t="s">
        <v>5510</v>
      </c>
      <c r="AA1140" s="61">
        <v>0.48</v>
      </c>
      <c r="AB1140" s="71">
        <v>66036</v>
      </c>
      <c r="AC1140" s="62" t="s">
        <v>14787</v>
      </c>
      <c r="AD1140" s="53" t="str">
        <f t="shared" ref="AD1140:AD1142" si="817">HYPERLINK("https://www.scu.edu/academics/undergraduate-programs/","Link")</f>
        <v>Link</v>
      </c>
      <c r="AE1140" s="54">
        <v>5438</v>
      </c>
      <c r="AF1140" s="55"/>
      <c r="AG1140" s="7"/>
      <c r="AH1140" s="56">
        <v>122931</v>
      </c>
      <c r="AI1140" s="85"/>
      <c r="AJ1140" s="56"/>
    </row>
    <row r="1141" spans="1:36" ht="13" x14ac:dyDescent="0.15">
      <c r="A1141" s="64" t="s">
        <v>14874</v>
      </c>
      <c r="B1141" s="47" t="s">
        <v>312</v>
      </c>
      <c r="C1141" s="7" t="s">
        <v>67</v>
      </c>
      <c r="D1141" s="7" t="s">
        <v>15101</v>
      </c>
      <c r="E1141" s="44">
        <v>5</v>
      </c>
      <c r="F1141" s="7"/>
      <c r="G1141" s="7"/>
      <c r="H1141" s="2" t="s">
        <v>15084</v>
      </c>
      <c r="I1141" s="7" t="s">
        <v>1092</v>
      </c>
      <c r="J1141" s="7" t="s">
        <v>3158</v>
      </c>
      <c r="K1141" s="7" t="s">
        <v>55</v>
      </c>
      <c r="L1141" s="7" t="s">
        <v>15105</v>
      </c>
      <c r="M1141" s="7" t="s">
        <v>15106</v>
      </c>
      <c r="N1141" s="74" t="str">
        <f t="shared" si="816"/>
        <v>@SCUSoftball</v>
      </c>
      <c r="O1141" s="48" t="s">
        <v>22</v>
      </c>
      <c r="P1141" s="48" t="s">
        <v>14787</v>
      </c>
      <c r="Q1141" s="47" t="s">
        <v>312</v>
      </c>
      <c r="R1141" s="48" t="s">
        <v>14787</v>
      </c>
      <c r="S1141" s="48" t="s">
        <v>238</v>
      </c>
      <c r="T1141" s="49" t="s">
        <v>63</v>
      </c>
      <c r="U1141" s="7" t="s">
        <v>343</v>
      </c>
      <c r="V1141" s="7"/>
      <c r="W1141" s="44">
        <v>3.67</v>
      </c>
      <c r="X1141" s="49" t="s">
        <v>678</v>
      </c>
      <c r="Y1141" s="49" t="s">
        <v>1022</v>
      </c>
      <c r="Z1141" s="49" t="s">
        <v>5510</v>
      </c>
      <c r="AA1141" s="61">
        <v>0.48</v>
      </c>
      <c r="AB1141" s="71">
        <v>66036</v>
      </c>
      <c r="AC1141" s="62" t="s">
        <v>14787</v>
      </c>
      <c r="AD1141" s="53" t="str">
        <f t="shared" si="817"/>
        <v>Link</v>
      </c>
      <c r="AE1141" s="54">
        <v>5438</v>
      </c>
      <c r="AF1141" s="55"/>
      <c r="AG1141" s="7"/>
      <c r="AH1141" s="56">
        <v>122931</v>
      </c>
      <c r="AI1141" s="85"/>
      <c r="AJ1141" s="56"/>
    </row>
    <row r="1142" spans="1:36" ht="13" x14ac:dyDescent="0.15">
      <c r="A1142" s="64" t="s">
        <v>14874</v>
      </c>
      <c r="B1142" s="47" t="s">
        <v>312</v>
      </c>
      <c r="C1142" s="7" t="s">
        <v>67</v>
      </c>
      <c r="D1142" s="7" t="s">
        <v>15111</v>
      </c>
      <c r="E1142" s="44">
        <v>5</v>
      </c>
      <c r="F1142" s="7"/>
      <c r="G1142" s="7"/>
      <c r="H1142" s="2" t="s">
        <v>15084</v>
      </c>
      <c r="I1142" s="7" t="s">
        <v>255</v>
      </c>
      <c r="J1142" s="7" t="s">
        <v>4077</v>
      </c>
      <c r="K1142" s="7" t="s">
        <v>120</v>
      </c>
      <c r="L1142" s="7"/>
      <c r="M1142" s="7"/>
      <c r="N1142" s="74" t="str">
        <f t="shared" si="816"/>
        <v>@SCUSoftball</v>
      </c>
      <c r="O1142" s="48" t="s">
        <v>22</v>
      </c>
      <c r="P1142" s="48" t="s">
        <v>14787</v>
      </c>
      <c r="Q1142" s="47" t="s">
        <v>312</v>
      </c>
      <c r="R1142" s="48" t="s">
        <v>14787</v>
      </c>
      <c r="S1142" s="48" t="s">
        <v>238</v>
      </c>
      <c r="T1142" s="49" t="s">
        <v>63</v>
      </c>
      <c r="U1142" s="7" t="s">
        <v>343</v>
      </c>
      <c r="V1142" s="7"/>
      <c r="W1142" s="44">
        <v>3.67</v>
      </c>
      <c r="X1142" s="49" t="s">
        <v>678</v>
      </c>
      <c r="Y1142" s="49" t="s">
        <v>1022</v>
      </c>
      <c r="Z1142" s="49" t="s">
        <v>5510</v>
      </c>
      <c r="AA1142" s="61">
        <v>0.48</v>
      </c>
      <c r="AB1142" s="71">
        <v>66036</v>
      </c>
      <c r="AC1142" s="62" t="s">
        <v>14787</v>
      </c>
      <c r="AD1142" s="53" t="str">
        <f t="shared" si="817"/>
        <v>Link</v>
      </c>
      <c r="AE1142" s="54">
        <v>5438</v>
      </c>
      <c r="AF1142" s="55"/>
      <c r="AG1142" s="7"/>
      <c r="AH1142" s="56">
        <v>122931</v>
      </c>
      <c r="AI1142" s="85"/>
      <c r="AJ1142" s="56"/>
    </row>
    <row r="1143" spans="1:36" ht="13" x14ac:dyDescent="0.15">
      <c r="A1143" s="64" t="s">
        <v>14874</v>
      </c>
      <c r="B1143" s="47" t="s">
        <v>312</v>
      </c>
      <c r="C1143" s="7" t="s">
        <v>67</v>
      </c>
      <c r="D1143" s="7" t="s">
        <v>15118</v>
      </c>
      <c r="E1143" s="44">
        <v>5</v>
      </c>
      <c r="F1143" s="7"/>
      <c r="G1143" s="7"/>
      <c r="H1143" s="2" t="s">
        <v>15119</v>
      </c>
      <c r="I1143" s="7" t="s">
        <v>15120</v>
      </c>
      <c r="J1143" s="7" t="s">
        <v>15121</v>
      </c>
      <c r="K1143" s="7" t="s">
        <v>48</v>
      </c>
      <c r="L1143" s="7" t="s">
        <v>15122</v>
      </c>
      <c r="M1143" s="7" t="s">
        <v>15123</v>
      </c>
      <c r="N1143" s="45" t="str">
        <f t="shared" ref="N1143:N1147" si="818">HYPERLINK("twitter.com/gaelssoftball","@gaelssoftball")</f>
        <v>@gaelssoftball</v>
      </c>
      <c r="O1143" s="45" t="str">
        <f t="shared" ref="O1143:O1147" si="819">HYPERLINK("https://college.jumpforward.com/questionnaire.aspx?iid=563&amp;sportid=31","Questionnaire")</f>
        <v>Questionnaire</v>
      </c>
      <c r="P1143" s="48" t="s">
        <v>15127</v>
      </c>
      <c r="Q1143" s="47" t="s">
        <v>312</v>
      </c>
      <c r="R1143" s="48" t="s">
        <v>15129</v>
      </c>
      <c r="S1143" s="48" t="s">
        <v>172</v>
      </c>
      <c r="T1143" s="49" t="s">
        <v>63</v>
      </c>
      <c r="U1143" s="7" t="s">
        <v>343</v>
      </c>
      <c r="V1143" s="7"/>
      <c r="W1143" s="44">
        <v>3.6</v>
      </c>
      <c r="X1143" s="49" t="s">
        <v>802</v>
      </c>
      <c r="Y1143" s="49" t="s">
        <v>522</v>
      </c>
      <c r="Z1143" s="49" t="s">
        <v>689</v>
      </c>
      <c r="AA1143" s="61">
        <v>0.8</v>
      </c>
      <c r="AB1143" s="71">
        <v>63047</v>
      </c>
      <c r="AC1143" s="90" t="s">
        <v>15127</v>
      </c>
      <c r="AD1143" s="53" t="str">
        <f t="shared" ref="AD1143:AD1147" si="820">HYPERLINK("https://www.stmarys-ca.edu/academics/undergraduate/majors-minors","Link")</f>
        <v>Link</v>
      </c>
      <c r="AE1143" s="54">
        <v>2802</v>
      </c>
      <c r="AF1143" s="55"/>
      <c r="AG1143" s="7"/>
      <c r="AH1143" s="56">
        <v>123554</v>
      </c>
      <c r="AI1143" s="85"/>
      <c r="AJ1143" s="56"/>
    </row>
    <row r="1144" spans="1:36" ht="13" x14ac:dyDescent="0.15">
      <c r="A1144" s="64" t="s">
        <v>14874</v>
      </c>
      <c r="B1144" s="47" t="s">
        <v>312</v>
      </c>
      <c r="C1144" s="7" t="s">
        <v>67</v>
      </c>
      <c r="D1144" s="7" t="s">
        <v>15133</v>
      </c>
      <c r="E1144" s="44">
        <v>5</v>
      </c>
      <c r="F1144" s="7"/>
      <c r="G1144" s="7"/>
      <c r="H1144" s="2" t="s">
        <v>15119</v>
      </c>
      <c r="I1144" s="7" t="s">
        <v>15136</v>
      </c>
      <c r="J1144" s="7" t="s">
        <v>15138</v>
      </c>
      <c r="K1144" s="7" t="s">
        <v>55</v>
      </c>
      <c r="L1144" s="7" t="s">
        <v>15139</v>
      </c>
      <c r="M1144" s="7"/>
      <c r="N1144" s="45" t="str">
        <f t="shared" si="818"/>
        <v>@gaelssoftball</v>
      </c>
      <c r="O1144" s="45" t="str">
        <f t="shared" si="819"/>
        <v>Questionnaire</v>
      </c>
      <c r="P1144" s="48" t="s">
        <v>15127</v>
      </c>
      <c r="Q1144" s="47" t="s">
        <v>312</v>
      </c>
      <c r="R1144" s="48" t="s">
        <v>15129</v>
      </c>
      <c r="S1144" s="48" t="s">
        <v>172</v>
      </c>
      <c r="T1144" s="49" t="s">
        <v>63</v>
      </c>
      <c r="U1144" s="7" t="s">
        <v>343</v>
      </c>
      <c r="V1144" s="7"/>
      <c r="W1144" s="44">
        <v>3.6</v>
      </c>
      <c r="X1144" s="49" t="s">
        <v>802</v>
      </c>
      <c r="Y1144" s="49" t="s">
        <v>522</v>
      </c>
      <c r="Z1144" s="49" t="s">
        <v>689</v>
      </c>
      <c r="AA1144" s="61">
        <v>0.8</v>
      </c>
      <c r="AB1144" s="71">
        <v>63047</v>
      </c>
      <c r="AC1144" s="90" t="s">
        <v>15127</v>
      </c>
      <c r="AD1144" s="53" t="str">
        <f t="shared" si="820"/>
        <v>Link</v>
      </c>
      <c r="AE1144" s="54">
        <v>2802</v>
      </c>
      <c r="AF1144" s="55"/>
      <c r="AG1144" s="7"/>
      <c r="AH1144" s="56">
        <v>123554</v>
      </c>
      <c r="AI1144" s="85"/>
      <c r="AJ1144" s="56"/>
    </row>
    <row r="1145" spans="1:36" ht="13" x14ac:dyDescent="0.15">
      <c r="A1145" s="64" t="s">
        <v>14874</v>
      </c>
      <c r="B1145" s="47" t="s">
        <v>312</v>
      </c>
      <c r="C1145" s="7" t="s">
        <v>67</v>
      </c>
      <c r="D1145" s="7" t="s">
        <v>15143</v>
      </c>
      <c r="E1145" s="44">
        <v>5</v>
      </c>
      <c r="F1145" s="7"/>
      <c r="G1145" s="7"/>
      <c r="H1145" s="2" t="s">
        <v>15119</v>
      </c>
      <c r="I1145" s="7" t="s">
        <v>2622</v>
      </c>
      <c r="J1145" s="7" t="s">
        <v>9676</v>
      </c>
      <c r="K1145" s="7" t="s">
        <v>55</v>
      </c>
      <c r="L1145" s="7" t="s">
        <v>15147</v>
      </c>
      <c r="M1145" s="7"/>
      <c r="N1145" s="45" t="str">
        <f t="shared" si="818"/>
        <v>@gaelssoftball</v>
      </c>
      <c r="O1145" s="45" t="str">
        <f t="shared" si="819"/>
        <v>Questionnaire</v>
      </c>
      <c r="P1145" s="48" t="s">
        <v>15127</v>
      </c>
      <c r="Q1145" s="47" t="s">
        <v>312</v>
      </c>
      <c r="R1145" s="48" t="s">
        <v>15129</v>
      </c>
      <c r="S1145" s="48" t="s">
        <v>172</v>
      </c>
      <c r="T1145" s="49" t="s">
        <v>63</v>
      </c>
      <c r="U1145" s="7" t="s">
        <v>343</v>
      </c>
      <c r="V1145" s="7"/>
      <c r="W1145" s="44">
        <v>3.6</v>
      </c>
      <c r="X1145" s="49" t="s">
        <v>802</v>
      </c>
      <c r="Y1145" s="49" t="s">
        <v>522</v>
      </c>
      <c r="Z1145" s="49" t="s">
        <v>689</v>
      </c>
      <c r="AA1145" s="61">
        <v>0.8</v>
      </c>
      <c r="AB1145" s="71">
        <v>63047</v>
      </c>
      <c r="AC1145" s="90" t="s">
        <v>15127</v>
      </c>
      <c r="AD1145" s="53" t="str">
        <f t="shared" si="820"/>
        <v>Link</v>
      </c>
      <c r="AE1145" s="54">
        <v>2802</v>
      </c>
      <c r="AF1145" s="55"/>
      <c r="AG1145" s="7"/>
      <c r="AH1145" s="56">
        <v>123554</v>
      </c>
      <c r="AI1145" s="85"/>
      <c r="AJ1145" s="56"/>
    </row>
    <row r="1146" spans="1:36" ht="13" x14ac:dyDescent="0.15">
      <c r="A1146" s="64" t="s">
        <v>14874</v>
      </c>
      <c r="B1146" s="47" t="s">
        <v>312</v>
      </c>
      <c r="C1146" s="7" t="s">
        <v>67</v>
      </c>
      <c r="D1146" s="7" t="s">
        <v>15153</v>
      </c>
      <c r="E1146" s="44">
        <v>5</v>
      </c>
      <c r="F1146" s="7"/>
      <c r="G1146" s="7"/>
      <c r="H1146" s="2" t="s">
        <v>15119</v>
      </c>
      <c r="I1146" s="7" t="s">
        <v>143</v>
      </c>
      <c r="J1146" s="7" t="s">
        <v>15155</v>
      </c>
      <c r="K1146" s="7" t="s">
        <v>55</v>
      </c>
      <c r="L1146" s="7" t="s">
        <v>15156</v>
      </c>
      <c r="M1146" s="7" t="s">
        <v>15157</v>
      </c>
      <c r="N1146" s="45" t="str">
        <f t="shared" si="818"/>
        <v>@gaelssoftball</v>
      </c>
      <c r="O1146" s="45" t="str">
        <f t="shared" si="819"/>
        <v>Questionnaire</v>
      </c>
      <c r="P1146" s="48" t="s">
        <v>15127</v>
      </c>
      <c r="Q1146" s="47" t="s">
        <v>312</v>
      </c>
      <c r="R1146" s="48" t="s">
        <v>15129</v>
      </c>
      <c r="S1146" s="48" t="s">
        <v>172</v>
      </c>
      <c r="T1146" s="49" t="s">
        <v>63</v>
      </c>
      <c r="U1146" s="7" t="s">
        <v>343</v>
      </c>
      <c r="V1146" s="7"/>
      <c r="W1146" s="44">
        <v>3.6</v>
      </c>
      <c r="X1146" s="49" t="s">
        <v>802</v>
      </c>
      <c r="Y1146" s="49" t="s">
        <v>522</v>
      </c>
      <c r="Z1146" s="49" t="s">
        <v>689</v>
      </c>
      <c r="AA1146" s="61">
        <v>0.8</v>
      </c>
      <c r="AB1146" s="71">
        <v>63047</v>
      </c>
      <c r="AC1146" s="90" t="s">
        <v>15127</v>
      </c>
      <c r="AD1146" s="53" t="str">
        <f t="shared" si="820"/>
        <v>Link</v>
      </c>
      <c r="AE1146" s="54">
        <v>2802</v>
      </c>
      <c r="AF1146" s="55"/>
      <c r="AG1146" s="7"/>
      <c r="AH1146" s="56">
        <v>123554</v>
      </c>
      <c r="AI1146" s="85"/>
      <c r="AJ1146" s="56"/>
    </row>
    <row r="1147" spans="1:36" ht="13" x14ac:dyDescent="0.15">
      <c r="A1147" s="64" t="s">
        <v>14874</v>
      </c>
      <c r="B1147" s="47" t="s">
        <v>312</v>
      </c>
      <c r="C1147" s="7" t="s">
        <v>67</v>
      </c>
      <c r="D1147" s="57" t="s">
        <v>15162</v>
      </c>
      <c r="E1147" s="58">
        <v>5</v>
      </c>
      <c r="F1147" s="7" t="s">
        <v>116</v>
      </c>
      <c r="G1147" s="7"/>
      <c r="H1147" s="2" t="s">
        <v>15119</v>
      </c>
      <c r="I1147" s="7" t="s">
        <v>15163</v>
      </c>
      <c r="J1147" s="7" t="s">
        <v>15164</v>
      </c>
      <c r="K1147" s="7" t="s">
        <v>55</v>
      </c>
      <c r="L1147" s="7"/>
      <c r="M1147" s="7"/>
      <c r="N1147" s="45" t="str">
        <f t="shared" si="818"/>
        <v>@gaelssoftball</v>
      </c>
      <c r="O1147" s="45" t="str">
        <f t="shared" si="819"/>
        <v>Questionnaire</v>
      </c>
      <c r="P1147" s="48" t="s">
        <v>15127</v>
      </c>
      <c r="Q1147" s="47" t="s">
        <v>312</v>
      </c>
      <c r="R1147" s="48" t="s">
        <v>15129</v>
      </c>
      <c r="S1147" s="48" t="s">
        <v>172</v>
      </c>
      <c r="T1147" s="49" t="s">
        <v>63</v>
      </c>
      <c r="U1147" s="7" t="s">
        <v>343</v>
      </c>
      <c r="V1147" s="7"/>
      <c r="W1147" s="44">
        <v>3.6</v>
      </c>
      <c r="X1147" s="49" t="s">
        <v>802</v>
      </c>
      <c r="Y1147" s="49" t="s">
        <v>522</v>
      </c>
      <c r="Z1147" s="49" t="s">
        <v>689</v>
      </c>
      <c r="AA1147" s="61">
        <v>0.8</v>
      </c>
      <c r="AB1147" s="71">
        <v>63047</v>
      </c>
      <c r="AC1147" s="90" t="s">
        <v>15127</v>
      </c>
      <c r="AD1147" s="53" t="str">
        <f t="shared" si="820"/>
        <v>Link</v>
      </c>
      <c r="AE1147" s="54">
        <v>2802</v>
      </c>
      <c r="AF1147" s="55"/>
      <c r="AG1147" s="7"/>
      <c r="AH1147" s="56">
        <v>123554</v>
      </c>
      <c r="AI1147" s="59"/>
      <c r="AJ1147" s="59"/>
    </row>
  </sheetData>
  <mergeCells count="1">
    <mergeCell ref="A1:I1"/>
  </mergeCells>
  <hyperlinks>
    <hyperlink ref="I1015" r:id="rId1" xr:uid="{00000000-0004-0000-0000-000000000000}"/>
    <hyperlink ref="L1015" r:id="rId2" xr:uid="{00000000-0004-0000-0000-000001000000}"/>
    <hyperlink ref="I1016" r:id="rId3" xr:uid="{00000000-0004-0000-0000-000002000000}"/>
    <hyperlink ref="L1016" r:id="rId4" xr:uid="{00000000-0004-0000-0000-000003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L886"/>
  <sheetViews>
    <sheetView workbookViewId="0">
      <selection sqref="A1:XFD1048576"/>
    </sheetView>
  </sheetViews>
  <sheetFormatPr baseColWidth="10" defaultColWidth="14.5" defaultRowHeight="15.75" customHeight="1" x14ac:dyDescent="0.15"/>
  <cols>
    <col min="1" max="1" width="20" style="3" bestFit="1" customWidth="1"/>
    <col min="2" max="2" width="17.5" style="3" customWidth="1"/>
    <col min="3" max="3" width="8.5" style="3" customWidth="1"/>
    <col min="4" max="4" width="9.83203125" style="3" customWidth="1"/>
    <col min="5" max="6" width="10.83203125" style="3" customWidth="1"/>
    <col min="7" max="7" width="13.5" style="3" customWidth="1"/>
    <col min="8" max="8" width="48.33203125" style="3" customWidth="1"/>
    <col min="9" max="9" width="37.5" style="3" customWidth="1"/>
    <col min="10" max="10" width="17.1640625" style="3" customWidth="1"/>
    <col min="11" max="11" width="23.6640625" style="3" customWidth="1"/>
    <col min="12" max="12" width="35.33203125" style="3" customWidth="1"/>
    <col min="13" max="13" width="44.83203125" style="3" customWidth="1"/>
    <col min="14" max="14" width="25" style="3" customWidth="1"/>
    <col min="15" max="15" width="15.6640625" style="3" customWidth="1"/>
    <col min="16" max="16" width="23.5" style="3" customWidth="1"/>
    <col min="17" max="17" width="5.1640625" style="3" customWidth="1"/>
    <col min="18" max="18" width="15.83203125" style="3" customWidth="1"/>
    <col min="19" max="19" width="16.6640625" style="3" customWidth="1"/>
    <col min="20" max="20" width="18.83203125" style="3" customWidth="1"/>
    <col min="21" max="21" width="44.5" style="3" customWidth="1"/>
    <col min="22" max="22" width="37.33203125" style="3" bestFit="1" customWidth="1"/>
    <col min="23" max="23" width="12.83203125" style="3" customWidth="1"/>
    <col min="24" max="25" width="25.5" style="3" customWidth="1"/>
    <col min="26" max="26" width="19.83203125" style="3" customWidth="1"/>
    <col min="27" max="27" width="15.5" style="3" customWidth="1"/>
    <col min="28" max="28" width="43.5" style="3" customWidth="1"/>
    <col min="29" max="29" width="33.6640625" style="3" customWidth="1"/>
    <col min="30" max="30" width="14" style="3" customWidth="1"/>
    <col min="31" max="31" width="17.1640625" style="3" customWidth="1"/>
    <col min="32" max="32" width="17.33203125" style="3" customWidth="1"/>
    <col min="33" max="33" width="24.5" style="3" customWidth="1"/>
    <col min="34" max="34" width="14.6640625" style="3" customWidth="1"/>
    <col min="35" max="35" width="4.1640625" style="3" customWidth="1"/>
    <col min="36" max="38" width="3.33203125" style="3" customWidth="1"/>
    <col min="39" max="16384" width="14.5" style="3"/>
  </cols>
  <sheetData>
    <row r="1" spans="1:38" ht="37" customHeight="1" x14ac:dyDescent="0.35">
      <c r="A1" s="98" t="s">
        <v>2</v>
      </c>
      <c r="B1" s="98"/>
      <c r="C1" s="98"/>
      <c r="D1" s="98"/>
      <c r="E1" s="98"/>
      <c r="F1" s="98"/>
      <c r="G1" s="98"/>
      <c r="H1" s="98"/>
      <c r="I1" s="98"/>
      <c r="K1" s="2"/>
      <c r="L1" s="2"/>
      <c r="M1" s="2"/>
      <c r="N1" s="2"/>
      <c r="O1" s="2"/>
      <c r="P1" s="2"/>
      <c r="Q1" s="6"/>
      <c r="R1" s="4"/>
      <c r="S1" s="2"/>
      <c r="T1" s="2"/>
      <c r="U1" s="2"/>
      <c r="V1" s="2"/>
      <c r="W1" s="2"/>
      <c r="X1" s="2"/>
      <c r="Y1" s="8"/>
      <c r="Z1" s="6"/>
      <c r="AA1" s="2"/>
      <c r="AB1" s="7"/>
      <c r="AC1" s="55"/>
      <c r="AD1" s="55"/>
      <c r="AE1" s="7"/>
      <c r="AF1" s="7"/>
      <c r="AG1" s="7"/>
      <c r="AH1" s="7"/>
      <c r="AI1" s="7"/>
      <c r="AJ1" s="7"/>
      <c r="AK1" s="7"/>
      <c r="AL1" s="7"/>
    </row>
    <row r="2" spans="1:38" ht="15.75" customHeight="1" x14ac:dyDescent="0.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6"/>
      <c r="R2" s="4"/>
      <c r="S2" s="2"/>
      <c r="T2" s="2"/>
      <c r="U2" s="2"/>
      <c r="V2" s="2"/>
      <c r="W2" s="2"/>
      <c r="X2" s="2"/>
      <c r="Y2" s="8"/>
      <c r="Z2" s="6"/>
      <c r="AA2" s="2"/>
      <c r="AB2" s="7"/>
      <c r="AC2" s="55"/>
      <c r="AD2" s="55"/>
      <c r="AE2" s="7"/>
      <c r="AF2" s="7"/>
      <c r="AG2" s="7"/>
      <c r="AH2" s="7"/>
      <c r="AI2" s="7"/>
      <c r="AJ2" s="7"/>
      <c r="AK2" s="7"/>
      <c r="AL2" s="7"/>
    </row>
    <row r="3" spans="1:38" ht="15.75" customHeight="1" x14ac:dyDescent="0.1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M3" s="2"/>
      <c r="N3" s="99" t="s">
        <v>3</v>
      </c>
      <c r="O3" s="2"/>
      <c r="P3" s="6"/>
      <c r="Q3" s="100" t="s">
        <v>4</v>
      </c>
      <c r="R3" s="2"/>
      <c r="S3" s="2"/>
      <c r="T3" s="31" t="s">
        <v>5</v>
      </c>
      <c r="U3" s="2"/>
      <c r="V3" s="2"/>
      <c r="W3" s="2"/>
      <c r="X3" s="76" t="s">
        <v>6</v>
      </c>
      <c r="Y3" s="6"/>
      <c r="Z3" s="2"/>
      <c r="AA3" s="55"/>
      <c r="AB3" s="55"/>
      <c r="AC3" s="31" t="s">
        <v>7</v>
      </c>
      <c r="AD3" s="7"/>
      <c r="AE3" s="7"/>
      <c r="AF3" s="7"/>
    </row>
    <row r="4" spans="1:38" ht="15.75" customHeight="1" x14ac:dyDescent="0.15">
      <c r="A4" s="101" t="s">
        <v>8</v>
      </c>
      <c r="B4" s="31" t="s">
        <v>9</v>
      </c>
      <c r="C4" s="101" t="s">
        <v>10</v>
      </c>
      <c r="D4" s="101" t="s">
        <v>12</v>
      </c>
      <c r="E4" s="31" t="s">
        <v>11</v>
      </c>
      <c r="F4" s="31" t="s">
        <v>13</v>
      </c>
      <c r="G4" s="31" t="s">
        <v>14</v>
      </c>
      <c r="H4" s="31" t="s">
        <v>15</v>
      </c>
      <c r="I4" s="31" t="s">
        <v>16</v>
      </c>
      <c r="J4" s="31" t="s">
        <v>17</v>
      </c>
      <c r="K4" s="101" t="s">
        <v>18</v>
      </c>
      <c r="L4" s="101" t="s">
        <v>19</v>
      </c>
      <c r="M4" s="31" t="s">
        <v>20</v>
      </c>
      <c r="N4" s="102" t="s">
        <v>21</v>
      </c>
      <c r="O4" s="102" t="s">
        <v>22</v>
      </c>
      <c r="P4" s="103" t="s">
        <v>15</v>
      </c>
      <c r="Q4" s="104" t="s">
        <v>9</v>
      </c>
      <c r="R4" s="31" t="s">
        <v>23</v>
      </c>
      <c r="S4" s="105" t="s">
        <v>24</v>
      </c>
      <c r="T4" s="100" t="s">
        <v>25</v>
      </c>
      <c r="U4" s="31" t="s">
        <v>26</v>
      </c>
      <c r="V4" s="31" t="s">
        <v>27</v>
      </c>
      <c r="W4" s="106" t="s">
        <v>28</v>
      </c>
      <c r="X4" s="76" t="s">
        <v>29</v>
      </c>
      <c r="Y4" s="107" t="s">
        <v>30</v>
      </c>
      <c r="Z4" s="31" t="s">
        <v>31</v>
      </c>
      <c r="AA4" s="76" t="s">
        <v>32</v>
      </c>
      <c r="AB4" s="107" t="s">
        <v>33</v>
      </c>
      <c r="AC4" s="64" t="s">
        <v>15</v>
      </c>
      <c r="AD4" s="76" t="s">
        <v>34</v>
      </c>
      <c r="AE4" s="101" t="s">
        <v>35</v>
      </c>
      <c r="AF4" s="101" t="s">
        <v>36</v>
      </c>
      <c r="AG4" s="31" t="s">
        <v>37</v>
      </c>
      <c r="AH4" s="102" t="s">
        <v>38</v>
      </c>
      <c r="AI4" s="102"/>
      <c r="AJ4" s="102"/>
      <c r="AK4" s="102"/>
      <c r="AL4" s="102"/>
    </row>
    <row r="5" spans="1:38" ht="15" x14ac:dyDescent="0.2">
      <c r="A5" s="102"/>
      <c r="B5" s="102"/>
      <c r="C5" s="2"/>
      <c r="D5" s="2"/>
      <c r="E5" s="2"/>
      <c r="F5" s="2"/>
      <c r="G5" s="2"/>
      <c r="H5" s="2"/>
      <c r="I5" s="2"/>
      <c r="J5" s="2"/>
      <c r="K5" s="33"/>
      <c r="L5" s="2"/>
      <c r="M5" s="6"/>
      <c r="N5" s="108"/>
      <c r="O5" s="60"/>
      <c r="P5" s="48"/>
      <c r="Q5" s="48"/>
      <c r="R5" s="49"/>
      <c r="S5" s="48"/>
      <c r="T5" s="49"/>
      <c r="U5" s="65"/>
      <c r="V5" s="49"/>
      <c r="W5" s="49"/>
      <c r="X5" s="49"/>
      <c r="Y5" s="38"/>
      <c r="Z5" s="48"/>
      <c r="AA5" s="52"/>
      <c r="AB5" s="109"/>
      <c r="AC5" s="54"/>
      <c r="AD5" s="54"/>
      <c r="AE5" s="55"/>
      <c r="AF5" s="55"/>
      <c r="AG5" s="55"/>
      <c r="AH5" s="55"/>
      <c r="AI5" s="55"/>
      <c r="AJ5" s="55"/>
      <c r="AK5" s="55"/>
      <c r="AL5" s="55"/>
    </row>
    <row r="6" spans="1:38" ht="15" x14ac:dyDescent="0.2">
      <c r="A6" s="57" t="s">
        <v>39</v>
      </c>
      <c r="B6" s="110" t="s">
        <v>40</v>
      </c>
      <c r="C6" s="7" t="s">
        <v>41</v>
      </c>
      <c r="D6" s="7" t="s">
        <v>51</v>
      </c>
      <c r="E6" s="44">
        <v>5</v>
      </c>
      <c r="F6" s="7"/>
      <c r="G6" s="7"/>
      <c r="H6" s="2" t="s">
        <v>52</v>
      </c>
      <c r="I6" s="7" t="s">
        <v>53</v>
      </c>
      <c r="J6" s="7" t="s">
        <v>54</v>
      </c>
      <c r="K6" s="7" t="s">
        <v>55</v>
      </c>
      <c r="L6" s="7" t="s">
        <v>56</v>
      </c>
      <c r="M6" s="7" t="s">
        <v>57</v>
      </c>
      <c r="N6" s="45" t="str">
        <f t="shared" ref="N6:N9" si="0">HYPERLINK("twitter.com/uahsoftball","@uahsoftball")</f>
        <v>@uahsoftball</v>
      </c>
      <c r="O6" s="45" t="str">
        <f t="shared" ref="O6:O9" si="1">HYPERLINK("https://college.jumpforward.com/questionnaire.aspx?iid=1757&amp;sportid=31","Questionnaire")</f>
        <v>Questionnaire</v>
      </c>
      <c r="P6" s="48" t="s">
        <v>61</v>
      </c>
      <c r="Q6" s="47" t="s">
        <v>59</v>
      </c>
      <c r="R6" s="48" t="s">
        <v>73</v>
      </c>
      <c r="S6" s="48" t="s">
        <v>62</v>
      </c>
      <c r="T6" s="49" t="s">
        <v>74</v>
      </c>
      <c r="U6" s="7" t="s">
        <v>75</v>
      </c>
      <c r="V6" s="7"/>
      <c r="W6" s="44">
        <v>3.72</v>
      </c>
      <c r="X6" s="49" t="s">
        <v>79</v>
      </c>
      <c r="Y6" s="49" t="s">
        <v>80</v>
      </c>
      <c r="Z6" s="49" t="s">
        <v>81</v>
      </c>
      <c r="AA6" s="51">
        <v>0.76280000000000003</v>
      </c>
      <c r="AB6" s="48" t="s">
        <v>83</v>
      </c>
      <c r="AC6" s="52" t="s">
        <v>61</v>
      </c>
      <c r="AD6" s="53" t="str">
        <f t="shared" ref="AD6:AD9" si="2">HYPERLINK("https://www.uah.edu/academics","Link")</f>
        <v>Link</v>
      </c>
      <c r="AE6" s="54">
        <v>6507</v>
      </c>
      <c r="AF6" s="54">
        <v>216</v>
      </c>
      <c r="AG6" s="7"/>
      <c r="AH6" s="56">
        <v>100706</v>
      </c>
      <c r="AI6" s="7"/>
      <c r="AJ6" s="7"/>
      <c r="AK6" s="7"/>
      <c r="AL6" s="7"/>
    </row>
    <row r="7" spans="1:38" ht="15" x14ac:dyDescent="0.2">
      <c r="A7" s="57" t="s">
        <v>39</v>
      </c>
      <c r="B7" s="110" t="s">
        <v>40</v>
      </c>
      <c r="C7" s="7" t="s">
        <v>41</v>
      </c>
      <c r="D7" s="7" t="s">
        <v>91</v>
      </c>
      <c r="E7" s="44">
        <v>5</v>
      </c>
      <c r="F7" s="7"/>
      <c r="G7" s="7"/>
      <c r="H7" s="2" t="s">
        <v>52</v>
      </c>
      <c r="I7" s="7" t="s">
        <v>95</v>
      </c>
      <c r="J7" s="7" t="s">
        <v>98</v>
      </c>
      <c r="K7" s="7" t="s">
        <v>48</v>
      </c>
      <c r="L7" s="7" t="s">
        <v>102</v>
      </c>
      <c r="M7" s="7" t="s">
        <v>103</v>
      </c>
      <c r="N7" s="45" t="str">
        <f t="shared" si="0"/>
        <v>@uahsoftball</v>
      </c>
      <c r="O7" s="45" t="str">
        <f t="shared" si="1"/>
        <v>Questionnaire</v>
      </c>
      <c r="P7" s="48" t="s">
        <v>61</v>
      </c>
      <c r="Q7" s="47" t="s">
        <v>59</v>
      </c>
      <c r="R7" s="48" t="s">
        <v>73</v>
      </c>
      <c r="S7" s="48" t="s">
        <v>62</v>
      </c>
      <c r="T7" s="49" t="s">
        <v>74</v>
      </c>
      <c r="U7" s="7" t="s">
        <v>75</v>
      </c>
      <c r="V7" s="7"/>
      <c r="W7" s="44">
        <v>3.72</v>
      </c>
      <c r="X7" s="49" t="s">
        <v>79</v>
      </c>
      <c r="Y7" s="49" t="s">
        <v>80</v>
      </c>
      <c r="Z7" s="49" t="s">
        <v>81</v>
      </c>
      <c r="AA7" s="51">
        <v>0.76280000000000003</v>
      </c>
      <c r="AB7" s="48" t="s">
        <v>83</v>
      </c>
      <c r="AC7" s="52" t="s">
        <v>61</v>
      </c>
      <c r="AD7" s="53" t="str">
        <f t="shared" si="2"/>
        <v>Link</v>
      </c>
      <c r="AE7" s="54">
        <v>6507</v>
      </c>
      <c r="AF7" s="54">
        <v>216</v>
      </c>
      <c r="AG7" s="7"/>
      <c r="AH7" s="56">
        <v>100706</v>
      </c>
      <c r="AI7" s="7"/>
      <c r="AJ7" s="7"/>
      <c r="AK7" s="7"/>
      <c r="AL7" s="7"/>
    </row>
    <row r="8" spans="1:38" ht="15" x14ac:dyDescent="0.2">
      <c r="A8" s="57" t="s">
        <v>39</v>
      </c>
      <c r="B8" s="110" t="s">
        <v>40</v>
      </c>
      <c r="C8" s="7" t="s">
        <v>41</v>
      </c>
      <c r="D8" s="7" t="s">
        <v>115</v>
      </c>
      <c r="E8" s="44">
        <v>5</v>
      </c>
      <c r="F8" s="7" t="s">
        <v>116</v>
      </c>
      <c r="G8" s="7"/>
      <c r="H8" s="2" t="s">
        <v>52</v>
      </c>
      <c r="I8" s="7" t="s">
        <v>117</v>
      </c>
      <c r="J8" s="7" t="s">
        <v>118</v>
      </c>
      <c r="K8" s="7" t="s">
        <v>120</v>
      </c>
      <c r="L8" s="7"/>
      <c r="M8" s="7"/>
      <c r="N8" s="45" t="str">
        <f t="shared" si="0"/>
        <v>@uahsoftball</v>
      </c>
      <c r="O8" s="45" t="str">
        <f t="shared" si="1"/>
        <v>Questionnaire</v>
      </c>
      <c r="P8" s="48" t="s">
        <v>61</v>
      </c>
      <c r="Q8" s="47" t="s">
        <v>59</v>
      </c>
      <c r="R8" s="48" t="s">
        <v>73</v>
      </c>
      <c r="S8" s="48" t="s">
        <v>62</v>
      </c>
      <c r="T8" s="49" t="s">
        <v>74</v>
      </c>
      <c r="U8" s="7" t="s">
        <v>75</v>
      </c>
      <c r="V8" s="7"/>
      <c r="W8" s="44">
        <v>3.72</v>
      </c>
      <c r="X8" s="49" t="s">
        <v>79</v>
      </c>
      <c r="Y8" s="49" t="s">
        <v>80</v>
      </c>
      <c r="Z8" s="49" t="s">
        <v>81</v>
      </c>
      <c r="AA8" s="51">
        <v>0.76280000000000003</v>
      </c>
      <c r="AB8" s="48" t="s">
        <v>83</v>
      </c>
      <c r="AC8" s="52" t="s">
        <v>61</v>
      </c>
      <c r="AD8" s="53" t="str">
        <f t="shared" si="2"/>
        <v>Link</v>
      </c>
      <c r="AE8" s="54">
        <v>6507</v>
      </c>
      <c r="AF8" s="54">
        <v>216</v>
      </c>
      <c r="AG8" s="7"/>
      <c r="AH8" s="111">
        <v>100706</v>
      </c>
      <c r="AI8" s="57"/>
      <c r="AJ8" s="57"/>
      <c r="AK8" s="57"/>
      <c r="AL8" s="57"/>
    </row>
    <row r="9" spans="1:38" ht="15" x14ac:dyDescent="0.2">
      <c r="A9" s="57" t="s">
        <v>39</v>
      </c>
      <c r="B9" s="110" t="s">
        <v>40</v>
      </c>
      <c r="C9" s="7" t="s">
        <v>41</v>
      </c>
      <c r="D9" s="7" t="s">
        <v>132</v>
      </c>
      <c r="E9" s="44">
        <v>5</v>
      </c>
      <c r="F9" s="7" t="s">
        <v>116</v>
      </c>
      <c r="G9" s="7"/>
      <c r="H9" s="2" t="s">
        <v>52</v>
      </c>
      <c r="I9" s="7" t="s">
        <v>137</v>
      </c>
      <c r="J9" s="7" t="s">
        <v>138</v>
      </c>
      <c r="K9" s="7" t="s">
        <v>139</v>
      </c>
      <c r="L9" s="7"/>
      <c r="M9" s="7"/>
      <c r="N9" s="45" t="str">
        <f t="shared" si="0"/>
        <v>@uahsoftball</v>
      </c>
      <c r="O9" s="45" t="str">
        <f t="shared" si="1"/>
        <v>Questionnaire</v>
      </c>
      <c r="P9" s="48" t="s">
        <v>61</v>
      </c>
      <c r="Q9" s="47" t="s">
        <v>59</v>
      </c>
      <c r="R9" s="48" t="s">
        <v>73</v>
      </c>
      <c r="S9" s="48" t="s">
        <v>62</v>
      </c>
      <c r="T9" s="49" t="s">
        <v>74</v>
      </c>
      <c r="U9" s="7" t="s">
        <v>75</v>
      </c>
      <c r="V9" s="7"/>
      <c r="W9" s="44">
        <v>3.72</v>
      </c>
      <c r="X9" s="49" t="s">
        <v>79</v>
      </c>
      <c r="Y9" s="49" t="s">
        <v>80</v>
      </c>
      <c r="Z9" s="49" t="s">
        <v>81</v>
      </c>
      <c r="AA9" s="51">
        <v>0.76280000000000003</v>
      </c>
      <c r="AB9" s="48" t="s">
        <v>83</v>
      </c>
      <c r="AC9" s="52" t="s">
        <v>61</v>
      </c>
      <c r="AD9" s="53" t="str">
        <f t="shared" si="2"/>
        <v>Link</v>
      </c>
      <c r="AE9" s="54">
        <v>6507</v>
      </c>
      <c r="AF9" s="54">
        <v>216</v>
      </c>
      <c r="AG9" s="7"/>
      <c r="AH9" s="111">
        <v>100706</v>
      </c>
      <c r="AI9" s="57"/>
      <c r="AJ9" s="57"/>
      <c r="AK9" s="57"/>
      <c r="AL9" s="57"/>
    </row>
    <row r="10" spans="1:38" ht="15" x14ac:dyDescent="0.2">
      <c r="A10" s="57" t="s">
        <v>39</v>
      </c>
      <c r="B10" s="110" t="s">
        <v>40</v>
      </c>
      <c r="C10" s="7" t="s">
        <v>41</v>
      </c>
      <c r="D10" s="7" t="s">
        <v>146</v>
      </c>
      <c r="E10" s="44">
        <v>5</v>
      </c>
      <c r="F10" s="7"/>
      <c r="G10" s="7"/>
      <c r="H10" s="2" t="s">
        <v>148</v>
      </c>
      <c r="I10" s="7" t="s">
        <v>149</v>
      </c>
      <c r="J10" s="7" t="s">
        <v>151</v>
      </c>
      <c r="K10" s="7" t="s">
        <v>55</v>
      </c>
      <c r="L10" s="7" t="s">
        <v>153</v>
      </c>
      <c r="M10" s="7" t="s">
        <v>155</v>
      </c>
      <c r="N10" s="45" t="str">
        <f t="shared" ref="N10:N11" si="3">HYPERLINK("twitter.com/aumwarhawkssb","@aumwarhawkssb")</f>
        <v>@aumwarhawkssb</v>
      </c>
      <c r="O10" s="45" t="str">
        <f t="shared" ref="O10:O11" si="4">HYPERLINK("https://aumathletics.com/sb_output.aspx?form=3","Questionnaire")</f>
        <v>Questionnaire</v>
      </c>
      <c r="P10" s="48" t="s">
        <v>165</v>
      </c>
      <c r="Q10" s="47" t="s">
        <v>59</v>
      </c>
      <c r="R10" s="48" t="s">
        <v>121</v>
      </c>
      <c r="S10" s="48" t="s">
        <v>62</v>
      </c>
      <c r="T10" s="49" t="s">
        <v>74</v>
      </c>
      <c r="U10" s="7" t="s">
        <v>75</v>
      </c>
      <c r="V10" s="7"/>
      <c r="W10" s="44">
        <v>3.3</v>
      </c>
      <c r="X10" s="49" t="s">
        <v>166</v>
      </c>
      <c r="Y10" s="49" t="s">
        <v>167</v>
      </c>
      <c r="Z10" s="49" t="s">
        <v>125</v>
      </c>
      <c r="AA10" s="51">
        <v>0.76590000000000003</v>
      </c>
      <c r="AB10" s="48" t="s">
        <v>168</v>
      </c>
      <c r="AC10" s="52" t="s">
        <v>165</v>
      </c>
      <c r="AD10" s="53" t="str">
        <f t="shared" ref="AD10:AD11" si="5">HYPERLINK("http://www.aum.edu/academics/degrees","Link")</f>
        <v>Link</v>
      </c>
      <c r="AE10" s="54">
        <v>4273</v>
      </c>
      <c r="AF10" s="55"/>
      <c r="AG10" s="7"/>
      <c r="AH10" s="56">
        <v>100830</v>
      </c>
      <c r="AI10" s="7"/>
      <c r="AJ10" s="7"/>
      <c r="AK10" s="7"/>
      <c r="AL10" s="7"/>
    </row>
    <row r="11" spans="1:38" ht="15" x14ac:dyDescent="0.2">
      <c r="A11" s="57" t="s">
        <v>39</v>
      </c>
      <c r="B11" s="110" t="s">
        <v>40</v>
      </c>
      <c r="C11" s="7" t="s">
        <v>41</v>
      </c>
      <c r="D11" s="7" t="s">
        <v>170</v>
      </c>
      <c r="E11" s="44">
        <v>5</v>
      </c>
      <c r="F11" s="7"/>
      <c r="G11" s="7"/>
      <c r="H11" s="2" t="s">
        <v>148</v>
      </c>
      <c r="I11" s="7" t="s">
        <v>173</v>
      </c>
      <c r="J11" s="7" t="s">
        <v>174</v>
      </c>
      <c r="K11" s="7" t="s">
        <v>48</v>
      </c>
      <c r="L11" s="7" t="s">
        <v>175</v>
      </c>
      <c r="M11" s="7" t="s">
        <v>177</v>
      </c>
      <c r="N11" s="45" t="str">
        <f t="shared" si="3"/>
        <v>@aumwarhawkssb</v>
      </c>
      <c r="O11" s="45" t="str">
        <f t="shared" si="4"/>
        <v>Questionnaire</v>
      </c>
      <c r="P11" s="48" t="s">
        <v>165</v>
      </c>
      <c r="Q11" s="47" t="s">
        <v>59</v>
      </c>
      <c r="R11" s="48" t="s">
        <v>121</v>
      </c>
      <c r="S11" s="48" t="s">
        <v>62</v>
      </c>
      <c r="T11" s="49" t="s">
        <v>74</v>
      </c>
      <c r="U11" s="7" t="s">
        <v>75</v>
      </c>
      <c r="V11" s="7"/>
      <c r="W11" s="44">
        <v>3.3</v>
      </c>
      <c r="X11" s="49" t="s">
        <v>166</v>
      </c>
      <c r="Y11" s="49" t="s">
        <v>167</v>
      </c>
      <c r="Z11" s="49" t="s">
        <v>125</v>
      </c>
      <c r="AA11" s="51">
        <v>0.76590000000000003</v>
      </c>
      <c r="AB11" s="48" t="s">
        <v>168</v>
      </c>
      <c r="AC11" s="52" t="s">
        <v>165</v>
      </c>
      <c r="AD11" s="53" t="str">
        <f t="shared" si="5"/>
        <v>Link</v>
      </c>
      <c r="AE11" s="54">
        <v>4273</v>
      </c>
      <c r="AF11" s="55"/>
      <c r="AG11" s="7"/>
      <c r="AH11" s="56">
        <v>100830</v>
      </c>
      <c r="AI11" s="7"/>
      <c r="AJ11" s="7"/>
      <c r="AK11" s="7"/>
      <c r="AL11" s="7"/>
    </row>
    <row r="12" spans="1:38" ht="15.75" customHeight="1" x14ac:dyDescent="0.15">
      <c r="A12" s="36" t="s">
        <v>182</v>
      </c>
      <c r="B12" s="110" t="s">
        <v>40</v>
      </c>
      <c r="C12" s="7" t="s">
        <v>41</v>
      </c>
      <c r="D12" s="7" t="s">
        <v>187</v>
      </c>
      <c r="E12" s="44">
        <v>5</v>
      </c>
      <c r="F12" s="7"/>
      <c r="G12" s="7"/>
      <c r="H12" s="2" t="s">
        <v>192</v>
      </c>
      <c r="I12" s="7" t="s">
        <v>194</v>
      </c>
      <c r="J12" s="7" t="s">
        <v>196</v>
      </c>
      <c r="K12" s="7" t="s">
        <v>55</v>
      </c>
      <c r="L12" s="7"/>
      <c r="M12" s="7" t="s">
        <v>198</v>
      </c>
      <c r="N12" s="48"/>
      <c r="O12" s="45" t="str">
        <f t="shared" ref="O12:O14" si="6">HYPERLINK("https://milesgoldenbears.com/sb_output.aspx?form=3","Questionnaire")</f>
        <v>Questionnaire</v>
      </c>
      <c r="P12" s="48" t="s">
        <v>200</v>
      </c>
      <c r="Q12" s="60" t="s">
        <v>59</v>
      </c>
      <c r="R12" s="48" t="s">
        <v>204</v>
      </c>
      <c r="S12" s="60" t="s">
        <v>205</v>
      </c>
      <c r="T12" s="49" t="s">
        <v>63</v>
      </c>
      <c r="U12" s="7" t="s">
        <v>210</v>
      </c>
      <c r="V12" s="7" t="s">
        <v>212</v>
      </c>
      <c r="W12" s="44">
        <v>2.5</v>
      </c>
      <c r="X12" s="49" t="s">
        <v>214</v>
      </c>
      <c r="Y12" s="49" t="s">
        <v>214</v>
      </c>
      <c r="Z12" s="49" t="s">
        <v>216</v>
      </c>
      <c r="AA12" s="55" t="s">
        <v>214</v>
      </c>
      <c r="AB12" s="71">
        <v>22614</v>
      </c>
      <c r="AC12" s="62" t="s">
        <v>200</v>
      </c>
      <c r="AD12" s="53" t="str">
        <f t="shared" ref="AD12:AD14" si="7">HYPERLINK("http://www.miles.edu/academics/natural-sciences-mathematics","Link")</f>
        <v>Link</v>
      </c>
      <c r="AE12" s="54">
        <v>1820</v>
      </c>
      <c r="AF12" s="55"/>
      <c r="AG12" s="7"/>
      <c r="AH12" s="56">
        <v>101675</v>
      </c>
      <c r="AI12" s="7"/>
      <c r="AJ12" s="7"/>
      <c r="AK12" s="7"/>
      <c r="AL12" s="7"/>
    </row>
    <row r="13" spans="1:38" ht="15.75" customHeight="1" x14ac:dyDescent="0.15">
      <c r="A13" s="36" t="s">
        <v>182</v>
      </c>
      <c r="B13" s="110" t="s">
        <v>40</v>
      </c>
      <c r="C13" s="7" t="s">
        <v>41</v>
      </c>
      <c r="D13" s="7" t="s">
        <v>232</v>
      </c>
      <c r="E13" s="44">
        <v>5</v>
      </c>
      <c r="F13" s="7"/>
      <c r="G13" s="7"/>
      <c r="H13" s="2" t="s">
        <v>192</v>
      </c>
      <c r="I13" s="7" t="s">
        <v>234</v>
      </c>
      <c r="J13" s="7" t="s">
        <v>235</v>
      </c>
      <c r="K13" s="7" t="s">
        <v>55</v>
      </c>
      <c r="L13" s="7"/>
      <c r="M13" s="7"/>
      <c r="N13" s="48"/>
      <c r="O13" s="45" t="str">
        <f t="shared" si="6"/>
        <v>Questionnaire</v>
      </c>
      <c r="P13" s="48" t="s">
        <v>200</v>
      </c>
      <c r="Q13" s="60" t="s">
        <v>59</v>
      </c>
      <c r="R13" s="48" t="s">
        <v>204</v>
      </c>
      <c r="S13" s="60" t="s">
        <v>205</v>
      </c>
      <c r="T13" s="49" t="s">
        <v>63</v>
      </c>
      <c r="U13" s="7" t="s">
        <v>210</v>
      </c>
      <c r="V13" s="7" t="s">
        <v>212</v>
      </c>
      <c r="W13" s="44">
        <v>2.5</v>
      </c>
      <c r="X13" s="49" t="s">
        <v>214</v>
      </c>
      <c r="Y13" s="49" t="s">
        <v>214</v>
      </c>
      <c r="Z13" s="49" t="s">
        <v>216</v>
      </c>
      <c r="AA13" s="55" t="s">
        <v>214</v>
      </c>
      <c r="AB13" s="71">
        <v>22614</v>
      </c>
      <c r="AC13" s="62" t="s">
        <v>200</v>
      </c>
      <c r="AD13" s="53" t="str">
        <f t="shared" si="7"/>
        <v>Link</v>
      </c>
      <c r="AE13" s="54">
        <v>1820</v>
      </c>
      <c r="AF13" s="55"/>
      <c r="AG13" s="7"/>
      <c r="AH13" s="56">
        <v>101675</v>
      </c>
      <c r="AI13" s="7"/>
      <c r="AJ13" s="7"/>
      <c r="AK13" s="7"/>
      <c r="AL13" s="7"/>
    </row>
    <row r="14" spans="1:38" ht="15.75" customHeight="1" x14ac:dyDescent="0.15">
      <c r="A14" s="36" t="s">
        <v>182</v>
      </c>
      <c r="B14" s="110" t="s">
        <v>40</v>
      </c>
      <c r="C14" s="7" t="s">
        <v>41</v>
      </c>
      <c r="D14" s="7" t="s">
        <v>247</v>
      </c>
      <c r="E14" s="44">
        <v>5</v>
      </c>
      <c r="F14" s="7"/>
      <c r="G14" s="7"/>
      <c r="H14" s="2" t="s">
        <v>192</v>
      </c>
      <c r="I14" s="7" t="s">
        <v>249</v>
      </c>
      <c r="J14" s="7" t="s">
        <v>250</v>
      </c>
      <c r="K14" s="7" t="s">
        <v>48</v>
      </c>
      <c r="L14" s="7" t="s">
        <v>251</v>
      </c>
      <c r="M14" s="7" t="s">
        <v>198</v>
      </c>
      <c r="N14" s="48"/>
      <c r="O14" s="45" t="str">
        <f t="shared" si="6"/>
        <v>Questionnaire</v>
      </c>
      <c r="P14" s="48" t="s">
        <v>200</v>
      </c>
      <c r="Q14" s="60" t="s">
        <v>59</v>
      </c>
      <c r="R14" s="48" t="s">
        <v>204</v>
      </c>
      <c r="S14" s="60" t="s">
        <v>205</v>
      </c>
      <c r="T14" s="49" t="s">
        <v>63</v>
      </c>
      <c r="U14" s="7" t="s">
        <v>210</v>
      </c>
      <c r="V14" s="7" t="s">
        <v>212</v>
      </c>
      <c r="W14" s="44">
        <v>2.5</v>
      </c>
      <c r="X14" s="49" t="s">
        <v>214</v>
      </c>
      <c r="Y14" s="49" t="s">
        <v>214</v>
      </c>
      <c r="Z14" s="49" t="s">
        <v>216</v>
      </c>
      <c r="AA14" s="55" t="s">
        <v>214</v>
      </c>
      <c r="AB14" s="71">
        <v>22614</v>
      </c>
      <c r="AC14" s="62" t="s">
        <v>200</v>
      </c>
      <c r="AD14" s="53" t="str">
        <f t="shared" si="7"/>
        <v>Link</v>
      </c>
      <c r="AE14" s="54">
        <v>1820</v>
      </c>
      <c r="AF14" s="55"/>
      <c r="AG14" s="7"/>
      <c r="AH14" s="56">
        <v>101675</v>
      </c>
      <c r="AI14" s="7"/>
      <c r="AJ14" s="7"/>
      <c r="AK14" s="7"/>
      <c r="AL14" s="7"/>
    </row>
    <row r="15" spans="1:38" ht="15.75" customHeight="1" x14ac:dyDescent="0.15">
      <c r="A15" s="57" t="s">
        <v>39</v>
      </c>
      <c r="B15" s="110" t="s">
        <v>40</v>
      </c>
      <c r="C15" s="7" t="s">
        <v>41</v>
      </c>
      <c r="D15" s="7" t="s">
        <v>260</v>
      </c>
      <c r="E15" s="44">
        <v>5</v>
      </c>
      <c r="F15" s="7"/>
      <c r="G15" s="7"/>
      <c r="H15" s="2" t="s">
        <v>261</v>
      </c>
      <c r="I15" s="7" t="s">
        <v>262</v>
      </c>
      <c r="J15" s="7" t="s">
        <v>263</v>
      </c>
      <c r="K15" s="7" t="s">
        <v>55</v>
      </c>
      <c r="L15" s="7" t="s">
        <v>264</v>
      </c>
      <c r="M15" s="7"/>
      <c r="N15" s="45" t="str">
        <f t="shared" ref="N15:N17" si="8">HYPERLINK("twitter.com/montevallosb","@montevallosb")</f>
        <v>@montevallosb</v>
      </c>
      <c r="O15" s="45" t="str">
        <f t="shared" ref="O15:O17" si="9">HYPERLINK("https://montevallofalcons.com/sb_output.aspx?form=4","Questionnaire")</f>
        <v>Questionnaire</v>
      </c>
      <c r="P15" s="48" t="s">
        <v>272</v>
      </c>
      <c r="Q15" s="47" t="s">
        <v>59</v>
      </c>
      <c r="R15" s="48" t="s">
        <v>272</v>
      </c>
      <c r="S15" s="60" t="s">
        <v>205</v>
      </c>
      <c r="T15" s="49" t="s">
        <v>74</v>
      </c>
      <c r="U15" s="7" t="s">
        <v>75</v>
      </c>
      <c r="V15" s="7"/>
      <c r="W15" s="44">
        <v>3.44</v>
      </c>
      <c r="X15" s="49" t="s">
        <v>275</v>
      </c>
      <c r="Y15" s="49" t="s">
        <v>276</v>
      </c>
      <c r="Z15" s="49" t="s">
        <v>278</v>
      </c>
      <c r="AA15" s="61">
        <v>0.65</v>
      </c>
      <c r="AB15" s="48" t="s">
        <v>279</v>
      </c>
      <c r="AC15" s="62" t="s">
        <v>272</v>
      </c>
      <c r="AD15" s="53" t="str">
        <f t="shared" ref="AD15:AD17" si="10">HYPERLINK("https://www.montevallo.edu/academics/","Link")</f>
        <v>Link</v>
      </c>
      <c r="AE15" s="54">
        <v>2409</v>
      </c>
      <c r="AF15" s="55"/>
      <c r="AG15" s="7"/>
      <c r="AH15" s="56">
        <v>101709</v>
      </c>
      <c r="AI15" s="7"/>
      <c r="AJ15" s="7"/>
      <c r="AK15" s="7"/>
      <c r="AL15" s="7"/>
    </row>
    <row r="16" spans="1:38" ht="15.75" customHeight="1" x14ac:dyDescent="0.15">
      <c r="A16" s="57" t="s">
        <v>39</v>
      </c>
      <c r="B16" s="110" t="s">
        <v>40</v>
      </c>
      <c r="C16" s="7" t="s">
        <v>41</v>
      </c>
      <c r="D16" s="7" t="s">
        <v>290</v>
      </c>
      <c r="E16" s="44">
        <v>5</v>
      </c>
      <c r="F16" s="7"/>
      <c r="G16" s="7"/>
      <c r="H16" s="2" t="s">
        <v>261</v>
      </c>
      <c r="I16" s="7" t="s">
        <v>294</v>
      </c>
      <c r="J16" s="7" t="s">
        <v>295</v>
      </c>
      <c r="K16" s="7" t="s">
        <v>48</v>
      </c>
      <c r="L16" s="7" t="s">
        <v>296</v>
      </c>
      <c r="M16" s="7" t="s">
        <v>297</v>
      </c>
      <c r="N16" s="45" t="str">
        <f t="shared" si="8"/>
        <v>@montevallosb</v>
      </c>
      <c r="O16" s="45" t="str">
        <f t="shared" si="9"/>
        <v>Questionnaire</v>
      </c>
      <c r="P16" s="48" t="s">
        <v>272</v>
      </c>
      <c r="Q16" s="47" t="s">
        <v>59</v>
      </c>
      <c r="R16" s="48" t="s">
        <v>272</v>
      </c>
      <c r="S16" s="60" t="s">
        <v>205</v>
      </c>
      <c r="T16" s="49" t="s">
        <v>74</v>
      </c>
      <c r="U16" s="7" t="s">
        <v>75</v>
      </c>
      <c r="V16" s="7"/>
      <c r="W16" s="44">
        <v>3.44</v>
      </c>
      <c r="X16" s="49" t="s">
        <v>275</v>
      </c>
      <c r="Y16" s="49" t="s">
        <v>276</v>
      </c>
      <c r="Z16" s="49" t="s">
        <v>278</v>
      </c>
      <c r="AA16" s="61">
        <v>0.65</v>
      </c>
      <c r="AB16" s="48" t="s">
        <v>279</v>
      </c>
      <c r="AC16" s="62" t="s">
        <v>272</v>
      </c>
      <c r="AD16" s="53" t="str">
        <f t="shared" si="10"/>
        <v>Link</v>
      </c>
      <c r="AE16" s="54">
        <v>2409</v>
      </c>
      <c r="AF16" s="55"/>
      <c r="AG16" s="7"/>
      <c r="AH16" s="56">
        <v>101709</v>
      </c>
      <c r="AI16" s="7"/>
      <c r="AJ16" s="7"/>
      <c r="AK16" s="7"/>
      <c r="AL16" s="7"/>
    </row>
    <row r="17" spans="1:38" ht="15.75" customHeight="1" x14ac:dyDescent="0.15">
      <c r="A17" s="57" t="s">
        <v>39</v>
      </c>
      <c r="B17" s="110" t="s">
        <v>40</v>
      </c>
      <c r="C17" s="7" t="s">
        <v>41</v>
      </c>
      <c r="D17" s="7" t="s">
        <v>310</v>
      </c>
      <c r="E17" s="44">
        <v>5</v>
      </c>
      <c r="F17" s="7"/>
      <c r="G17" s="7"/>
      <c r="H17" s="2" t="s">
        <v>261</v>
      </c>
      <c r="I17" s="7" t="s">
        <v>270</v>
      </c>
      <c r="J17" s="7" t="s">
        <v>314</v>
      </c>
      <c r="K17" s="7" t="s">
        <v>139</v>
      </c>
      <c r="L17" s="7"/>
      <c r="M17" s="7" t="s">
        <v>297</v>
      </c>
      <c r="N17" s="45" t="str">
        <f t="shared" si="8"/>
        <v>@montevallosb</v>
      </c>
      <c r="O17" s="45" t="str">
        <f t="shared" si="9"/>
        <v>Questionnaire</v>
      </c>
      <c r="P17" s="48" t="s">
        <v>272</v>
      </c>
      <c r="Q17" s="47" t="s">
        <v>59</v>
      </c>
      <c r="R17" s="48" t="s">
        <v>272</v>
      </c>
      <c r="S17" s="60" t="s">
        <v>205</v>
      </c>
      <c r="T17" s="49" t="s">
        <v>74</v>
      </c>
      <c r="U17" s="7" t="s">
        <v>75</v>
      </c>
      <c r="V17" s="7"/>
      <c r="W17" s="44">
        <v>3.44</v>
      </c>
      <c r="X17" s="49" t="s">
        <v>275</v>
      </c>
      <c r="Y17" s="49" t="s">
        <v>276</v>
      </c>
      <c r="Z17" s="49" t="s">
        <v>278</v>
      </c>
      <c r="AA17" s="61">
        <v>0.65</v>
      </c>
      <c r="AB17" s="48" t="s">
        <v>279</v>
      </c>
      <c r="AC17" s="62" t="s">
        <v>272</v>
      </c>
      <c r="AD17" s="53" t="str">
        <f t="shared" si="10"/>
        <v>Link</v>
      </c>
      <c r="AE17" s="54">
        <v>2409</v>
      </c>
      <c r="AF17" s="55"/>
      <c r="AG17" s="7"/>
      <c r="AH17" s="56">
        <v>101709</v>
      </c>
      <c r="AI17" s="7"/>
      <c r="AJ17" s="7"/>
      <c r="AK17" s="7"/>
      <c r="AL17" s="7"/>
    </row>
    <row r="18" spans="1:38" ht="15.75" customHeight="1" x14ac:dyDescent="0.15">
      <c r="A18" s="57" t="s">
        <v>182</v>
      </c>
      <c r="B18" s="110" t="s">
        <v>40</v>
      </c>
      <c r="C18" s="7" t="s">
        <v>41</v>
      </c>
      <c r="D18" s="7" t="s">
        <v>325</v>
      </c>
      <c r="E18" s="44">
        <v>5</v>
      </c>
      <c r="F18" s="7"/>
      <c r="G18" s="7" t="s">
        <v>126</v>
      </c>
      <c r="H18" s="2" t="s">
        <v>326</v>
      </c>
      <c r="I18" s="7" t="s">
        <v>327</v>
      </c>
      <c r="J18" s="7"/>
      <c r="K18" s="7"/>
      <c r="L18" s="7"/>
      <c r="M18" s="7"/>
      <c r="N18" s="45" t="str">
        <f t="shared" ref="N18:N19" si="11">HYPERLINK("twitter.com/shc_softball","@shc_softball")</f>
        <v>@shc_softball</v>
      </c>
      <c r="O18" s="45" t="str">
        <f t="shared" ref="O18:O19" si="12">HYPERLINK("https://shcbadgers.com/sports/2017/5/15/recruiting-forms.aspx","Questionnaire")</f>
        <v>Questionnaire</v>
      </c>
      <c r="P18" s="48" t="s">
        <v>341</v>
      </c>
      <c r="Q18" s="47" t="s">
        <v>59</v>
      </c>
      <c r="R18" s="48" t="s">
        <v>342</v>
      </c>
      <c r="S18" s="48" t="s">
        <v>62</v>
      </c>
      <c r="T18" s="49" t="s">
        <v>63</v>
      </c>
      <c r="U18" s="7" t="s">
        <v>343</v>
      </c>
      <c r="V18" s="7"/>
      <c r="W18" s="44">
        <v>3.45</v>
      </c>
      <c r="X18" s="49" t="s">
        <v>344</v>
      </c>
      <c r="Y18" s="49" t="s">
        <v>345</v>
      </c>
      <c r="Z18" s="49" t="s">
        <v>320</v>
      </c>
      <c r="AA18" s="61">
        <v>0.44</v>
      </c>
      <c r="AB18" s="71">
        <v>52854</v>
      </c>
      <c r="AC18" s="62" t="s">
        <v>341</v>
      </c>
      <c r="AD18" s="53" t="str">
        <f t="shared" ref="AD18:AD19" si="13">HYPERLINK("http://www.shc.edu/academics/freshmen-transfer/majors/","Link")</f>
        <v>Link</v>
      </c>
      <c r="AE18" s="54">
        <v>1381</v>
      </c>
      <c r="AF18" s="55"/>
      <c r="AG18" s="7"/>
      <c r="AH18" s="56">
        <v>102234</v>
      </c>
      <c r="AI18" s="7"/>
      <c r="AJ18" s="7"/>
      <c r="AK18" s="7"/>
      <c r="AL18" s="7"/>
    </row>
    <row r="19" spans="1:38" ht="13" x14ac:dyDescent="0.15">
      <c r="A19" s="57" t="s">
        <v>182</v>
      </c>
      <c r="B19" s="110" t="s">
        <v>40</v>
      </c>
      <c r="C19" s="7" t="s">
        <v>41</v>
      </c>
      <c r="D19" s="7" t="s">
        <v>360</v>
      </c>
      <c r="E19" s="44">
        <v>5</v>
      </c>
      <c r="F19" s="7"/>
      <c r="G19" s="7"/>
      <c r="H19" s="2" t="s">
        <v>326</v>
      </c>
      <c r="I19" s="7" t="s">
        <v>363</v>
      </c>
      <c r="J19" s="7" t="s">
        <v>364</v>
      </c>
      <c r="K19" s="7" t="s">
        <v>48</v>
      </c>
      <c r="L19" s="7" t="s">
        <v>366</v>
      </c>
      <c r="M19" s="7" t="s">
        <v>367</v>
      </c>
      <c r="N19" s="45" t="str">
        <f t="shared" si="11"/>
        <v>@shc_softball</v>
      </c>
      <c r="O19" s="45" t="str">
        <f t="shared" si="12"/>
        <v>Questionnaire</v>
      </c>
      <c r="P19" s="48" t="s">
        <v>341</v>
      </c>
      <c r="Q19" s="47" t="s">
        <v>59</v>
      </c>
      <c r="R19" s="48" t="s">
        <v>342</v>
      </c>
      <c r="S19" s="48" t="s">
        <v>62</v>
      </c>
      <c r="T19" s="49" t="s">
        <v>63</v>
      </c>
      <c r="U19" s="7" t="s">
        <v>343</v>
      </c>
      <c r="V19" s="7"/>
      <c r="W19" s="44">
        <v>3.45</v>
      </c>
      <c r="X19" s="49" t="s">
        <v>344</v>
      </c>
      <c r="Y19" s="49" t="s">
        <v>345</v>
      </c>
      <c r="Z19" s="49" t="s">
        <v>320</v>
      </c>
      <c r="AA19" s="61">
        <v>0.44</v>
      </c>
      <c r="AB19" s="71">
        <v>52854</v>
      </c>
      <c r="AC19" s="62" t="s">
        <v>341</v>
      </c>
      <c r="AD19" s="53" t="str">
        <f t="shared" si="13"/>
        <v>Link</v>
      </c>
      <c r="AE19" s="54">
        <v>1381</v>
      </c>
      <c r="AF19" s="55"/>
      <c r="AG19" s="7"/>
      <c r="AH19" s="56">
        <v>102234</v>
      </c>
      <c r="AI19" s="7"/>
      <c r="AJ19" s="7"/>
      <c r="AK19" s="7"/>
      <c r="AL19" s="7"/>
    </row>
    <row r="20" spans="1:38" ht="15" x14ac:dyDescent="0.2">
      <c r="A20" s="57" t="s">
        <v>182</v>
      </c>
      <c r="B20" s="110" t="s">
        <v>40</v>
      </c>
      <c r="C20" s="7" t="s">
        <v>41</v>
      </c>
      <c r="D20" s="7" t="s">
        <v>375</v>
      </c>
      <c r="E20" s="44">
        <v>5</v>
      </c>
      <c r="F20" s="7"/>
      <c r="G20" s="7"/>
      <c r="H20" s="2" t="s">
        <v>377</v>
      </c>
      <c r="I20" s="7" t="s">
        <v>379</v>
      </c>
      <c r="J20" s="7" t="s">
        <v>380</v>
      </c>
      <c r="K20" s="7" t="s">
        <v>55</v>
      </c>
      <c r="L20" s="7" t="s">
        <v>382</v>
      </c>
      <c r="M20" s="7" t="s">
        <v>383</v>
      </c>
      <c r="N20" s="48"/>
      <c r="O20" s="45" t="str">
        <f t="shared" ref="O20:O22" si="14">HYPERLINK("https://goldentigersports.com/sb_output.aspx?form=3","Questionnaire")</f>
        <v>Questionnaire</v>
      </c>
      <c r="P20" s="48" t="s">
        <v>391</v>
      </c>
      <c r="Q20" s="47" t="s">
        <v>59</v>
      </c>
      <c r="R20" s="48" t="s">
        <v>391</v>
      </c>
      <c r="S20" s="60" t="s">
        <v>205</v>
      </c>
      <c r="T20" s="49" t="s">
        <v>63</v>
      </c>
      <c r="U20" s="7" t="s">
        <v>75</v>
      </c>
      <c r="V20" s="7" t="s">
        <v>212</v>
      </c>
      <c r="W20" s="44">
        <v>3.1</v>
      </c>
      <c r="X20" s="49" t="s">
        <v>396</v>
      </c>
      <c r="Y20" s="49" t="s">
        <v>397</v>
      </c>
      <c r="Z20" s="49" t="s">
        <v>398</v>
      </c>
      <c r="AA20" s="61">
        <v>0.5</v>
      </c>
      <c r="AB20" s="71">
        <v>36673</v>
      </c>
      <c r="AC20" s="52" t="s">
        <v>391</v>
      </c>
      <c r="AD20" s="53" t="str">
        <f t="shared" ref="AD20:AD22" si="15">HYPERLINK("https://www.tuskegee.edu/programs-courses","Link")</f>
        <v>Link</v>
      </c>
      <c r="AE20" s="54">
        <v>2393</v>
      </c>
      <c r="AF20" s="55"/>
      <c r="AG20" s="7"/>
      <c r="AH20" s="56">
        <v>102377</v>
      </c>
      <c r="AI20" s="7"/>
      <c r="AJ20" s="7"/>
      <c r="AK20" s="7"/>
      <c r="AL20" s="7"/>
    </row>
    <row r="21" spans="1:38" ht="15" x14ac:dyDescent="0.2">
      <c r="A21" s="57" t="s">
        <v>182</v>
      </c>
      <c r="B21" s="110" t="s">
        <v>40</v>
      </c>
      <c r="C21" s="7" t="s">
        <v>41</v>
      </c>
      <c r="D21" s="7" t="s">
        <v>408</v>
      </c>
      <c r="E21" s="44">
        <v>5</v>
      </c>
      <c r="F21" s="7"/>
      <c r="G21" s="7" t="s">
        <v>126</v>
      </c>
      <c r="H21" s="2" t="s">
        <v>377</v>
      </c>
      <c r="I21" s="7" t="s">
        <v>409</v>
      </c>
      <c r="J21" s="7"/>
      <c r="K21" s="7"/>
      <c r="L21" s="7"/>
      <c r="M21" s="7"/>
      <c r="N21" s="48"/>
      <c r="O21" s="45" t="str">
        <f t="shared" si="14"/>
        <v>Questionnaire</v>
      </c>
      <c r="P21" s="48" t="s">
        <v>391</v>
      </c>
      <c r="Q21" s="47" t="s">
        <v>59</v>
      </c>
      <c r="R21" s="48" t="s">
        <v>391</v>
      </c>
      <c r="S21" s="60" t="s">
        <v>205</v>
      </c>
      <c r="T21" s="49" t="s">
        <v>63</v>
      </c>
      <c r="U21" s="7" t="s">
        <v>75</v>
      </c>
      <c r="V21" s="7" t="s">
        <v>212</v>
      </c>
      <c r="W21" s="44">
        <v>3.1</v>
      </c>
      <c r="X21" s="49" t="s">
        <v>396</v>
      </c>
      <c r="Y21" s="49" t="s">
        <v>397</v>
      </c>
      <c r="Z21" s="49" t="s">
        <v>398</v>
      </c>
      <c r="AA21" s="61">
        <v>0.5</v>
      </c>
      <c r="AB21" s="71">
        <v>36673</v>
      </c>
      <c r="AC21" s="52" t="s">
        <v>391</v>
      </c>
      <c r="AD21" s="53" t="str">
        <f t="shared" si="15"/>
        <v>Link</v>
      </c>
      <c r="AE21" s="54">
        <v>2393</v>
      </c>
      <c r="AF21" s="55"/>
      <c r="AG21" s="7"/>
      <c r="AH21" s="56">
        <v>102377</v>
      </c>
      <c r="AI21" s="7"/>
      <c r="AJ21" s="7"/>
      <c r="AK21" s="7"/>
      <c r="AL21" s="7"/>
    </row>
    <row r="22" spans="1:38" ht="15" x14ac:dyDescent="0.2">
      <c r="A22" s="57" t="s">
        <v>182</v>
      </c>
      <c r="B22" s="110" t="s">
        <v>40</v>
      </c>
      <c r="C22" s="7" t="s">
        <v>41</v>
      </c>
      <c r="D22" s="7" t="s">
        <v>408</v>
      </c>
      <c r="E22" s="44">
        <v>5</v>
      </c>
      <c r="F22" s="7" t="s">
        <v>116</v>
      </c>
      <c r="G22" s="7"/>
      <c r="H22" s="2" t="s">
        <v>377</v>
      </c>
      <c r="I22" s="7" t="s">
        <v>421</v>
      </c>
      <c r="J22" s="7"/>
      <c r="K22" s="7" t="s">
        <v>48</v>
      </c>
      <c r="L22" s="7"/>
      <c r="M22" s="7"/>
      <c r="N22" s="48"/>
      <c r="O22" s="45" t="str">
        <f t="shared" si="14"/>
        <v>Questionnaire</v>
      </c>
      <c r="P22" s="48" t="s">
        <v>391</v>
      </c>
      <c r="Q22" s="47" t="s">
        <v>59</v>
      </c>
      <c r="R22" s="48" t="s">
        <v>391</v>
      </c>
      <c r="S22" s="60" t="s">
        <v>205</v>
      </c>
      <c r="T22" s="49" t="s">
        <v>63</v>
      </c>
      <c r="U22" s="7" t="s">
        <v>75</v>
      </c>
      <c r="V22" s="7" t="s">
        <v>212</v>
      </c>
      <c r="W22" s="44">
        <v>3.1</v>
      </c>
      <c r="X22" s="49" t="s">
        <v>396</v>
      </c>
      <c r="Y22" s="49" t="s">
        <v>397</v>
      </c>
      <c r="Z22" s="49" t="s">
        <v>398</v>
      </c>
      <c r="AA22" s="61">
        <v>0.5</v>
      </c>
      <c r="AB22" s="71">
        <v>36673</v>
      </c>
      <c r="AC22" s="52" t="s">
        <v>391</v>
      </c>
      <c r="AD22" s="53" t="str">
        <f t="shared" si="15"/>
        <v>Link</v>
      </c>
      <c r="AE22" s="54">
        <v>2393</v>
      </c>
      <c r="AF22" s="55"/>
      <c r="AG22" s="7"/>
      <c r="AH22" s="56">
        <v>102377</v>
      </c>
      <c r="AI22" s="7"/>
      <c r="AJ22" s="7"/>
      <c r="AK22" s="7"/>
      <c r="AL22" s="7"/>
    </row>
    <row r="23" spans="1:38" ht="13" x14ac:dyDescent="0.15">
      <c r="A23" s="57" t="s">
        <v>39</v>
      </c>
      <c r="B23" s="110" t="s">
        <v>40</v>
      </c>
      <c r="C23" s="7" t="s">
        <v>41</v>
      </c>
      <c r="D23" s="7" t="s">
        <v>429</v>
      </c>
      <c r="E23" s="44">
        <v>5</v>
      </c>
      <c r="F23" s="7"/>
      <c r="G23" s="7"/>
      <c r="H23" s="2" t="s">
        <v>430</v>
      </c>
      <c r="I23" s="7" t="s">
        <v>431</v>
      </c>
      <c r="J23" s="7" t="s">
        <v>196</v>
      </c>
      <c r="K23" s="7" t="s">
        <v>55</v>
      </c>
      <c r="L23" s="7" t="s">
        <v>432</v>
      </c>
      <c r="M23" s="7" t="s">
        <v>433</v>
      </c>
      <c r="N23" s="45" t="str">
        <f>HYPERLINK("twitter.com/uwa_softball","@uwa_softball")</f>
        <v>@uwa_softball</v>
      </c>
      <c r="O23" s="45" t="str">
        <f t="shared" ref="O23:O25" si="16">HYPERLINK("https://uwaathletics.com/sb_output.aspx?form=3&amp;path=baseball","Questionnaire")</f>
        <v>Questionnaire</v>
      </c>
      <c r="P23" s="48" t="s">
        <v>445</v>
      </c>
      <c r="Q23" s="47" t="s">
        <v>59</v>
      </c>
      <c r="R23" s="48" t="s">
        <v>446</v>
      </c>
      <c r="S23" s="60" t="s">
        <v>205</v>
      </c>
      <c r="T23" s="49" t="s">
        <v>74</v>
      </c>
      <c r="U23" s="7" t="s">
        <v>75</v>
      </c>
      <c r="V23" s="7"/>
      <c r="W23" s="44">
        <v>3.19</v>
      </c>
      <c r="X23" s="49" t="s">
        <v>447</v>
      </c>
      <c r="Y23" s="49" t="s">
        <v>448</v>
      </c>
      <c r="Z23" s="49" t="s">
        <v>449</v>
      </c>
      <c r="AA23" s="61">
        <v>0.53</v>
      </c>
      <c r="AB23" s="48" t="s">
        <v>450</v>
      </c>
      <c r="AC23" s="62" t="s">
        <v>445</v>
      </c>
      <c r="AD23" s="53" t="str">
        <f t="shared" ref="AD23:AD25" si="17">HYPERLINK("http://www.uwa.edu/degrees","Link")</f>
        <v>Link</v>
      </c>
      <c r="AE23" s="54">
        <v>1978</v>
      </c>
      <c r="AF23" s="55"/>
      <c r="AG23" s="7"/>
      <c r="AH23" s="56">
        <v>101587</v>
      </c>
      <c r="AI23" s="7"/>
      <c r="AJ23" s="7"/>
      <c r="AK23" s="7"/>
      <c r="AL23" s="7"/>
    </row>
    <row r="24" spans="1:38" ht="13" x14ac:dyDescent="0.15">
      <c r="A24" s="57" t="s">
        <v>39</v>
      </c>
      <c r="B24" s="110" t="s">
        <v>40</v>
      </c>
      <c r="C24" s="7" t="s">
        <v>41</v>
      </c>
      <c r="D24" s="7" t="s">
        <v>460</v>
      </c>
      <c r="E24" s="44">
        <v>5</v>
      </c>
      <c r="F24" s="7"/>
      <c r="G24" s="7"/>
      <c r="H24" s="2" t="s">
        <v>430</v>
      </c>
      <c r="I24" s="7" t="s">
        <v>462</v>
      </c>
      <c r="J24" s="7" t="s">
        <v>463</v>
      </c>
      <c r="K24" s="7" t="s">
        <v>48</v>
      </c>
      <c r="L24" s="7" t="s">
        <v>465</v>
      </c>
      <c r="M24" s="7" t="s">
        <v>466</v>
      </c>
      <c r="N24" s="45" t="str">
        <f>HYPERLINK("twitter.com/DeverBoaz","@DeverBoaz")</f>
        <v>@DeverBoaz</v>
      </c>
      <c r="O24" s="45" t="str">
        <f t="shared" si="16"/>
        <v>Questionnaire</v>
      </c>
      <c r="P24" s="48" t="s">
        <v>445</v>
      </c>
      <c r="Q24" s="47" t="s">
        <v>59</v>
      </c>
      <c r="R24" s="48" t="s">
        <v>446</v>
      </c>
      <c r="S24" s="60" t="s">
        <v>205</v>
      </c>
      <c r="T24" s="49" t="s">
        <v>74</v>
      </c>
      <c r="U24" s="7" t="s">
        <v>75</v>
      </c>
      <c r="V24" s="7"/>
      <c r="W24" s="44">
        <v>3.19</v>
      </c>
      <c r="X24" s="49" t="s">
        <v>447</v>
      </c>
      <c r="Y24" s="49" t="s">
        <v>448</v>
      </c>
      <c r="Z24" s="49" t="s">
        <v>449</v>
      </c>
      <c r="AA24" s="61">
        <v>0.53</v>
      </c>
      <c r="AB24" s="48" t="s">
        <v>450</v>
      </c>
      <c r="AC24" s="62" t="s">
        <v>445</v>
      </c>
      <c r="AD24" s="53" t="str">
        <f t="shared" si="17"/>
        <v>Link</v>
      </c>
      <c r="AE24" s="54">
        <v>1978</v>
      </c>
      <c r="AF24" s="55"/>
      <c r="AG24" s="7"/>
      <c r="AH24" s="56">
        <v>101587</v>
      </c>
      <c r="AI24" s="7"/>
      <c r="AJ24" s="7"/>
      <c r="AK24" s="7"/>
      <c r="AL24" s="7"/>
    </row>
    <row r="25" spans="1:38" ht="13" x14ac:dyDescent="0.15">
      <c r="A25" s="57" t="s">
        <v>39</v>
      </c>
      <c r="B25" s="110" t="s">
        <v>40</v>
      </c>
      <c r="C25" s="7" t="s">
        <v>41</v>
      </c>
      <c r="D25" s="7" t="s">
        <v>480</v>
      </c>
      <c r="E25" s="44">
        <v>5</v>
      </c>
      <c r="F25" s="7" t="s">
        <v>116</v>
      </c>
      <c r="G25" s="7"/>
      <c r="H25" s="2" t="s">
        <v>430</v>
      </c>
      <c r="I25" s="7" t="s">
        <v>484</v>
      </c>
      <c r="J25" s="7" t="s">
        <v>485</v>
      </c>
      <c r="K25" s="7" t="s">
        <v>120</v>
      </c>
      <c r="L25" s="7" t="s">
        <v>486</v>
      </c>
      <c r="M25" s="7"/>
      <c r="N25" s="45" t="str">
        <f>HYPERLINK("http://twitter.com/@byrds_45","@byrds_45")</f>
        <v>@byrds_45</v>
      </c>
      <c r="O25" s="45" t="str">
        <f t="shared" si="16"/>
        <v>Questionnaire</v>
      </c>
      <c r="P25" s="48" t="s">
        <v>445</v>
      </c>
      <c r="Q25" s="47" t="s">
        <v>59</v>
      </c>
      <c r="R25" s="48" t="s">
        <v>446</v>
      </c>
      <c r="S25" s="60" t="s">
        <v>205</v>
      </c>
      <c r="T25" s="49" t="s">
        <v>74</v>
      </c>
      <c r="U25" s="7" t="s">
        <v>75</v>
      </c>
      <c r="V25" s="7"/>
      <c r="W25" s="44">
        <v>3.19</v>
      </c>
      <c r="X25" s="49" t="s">
        <v>447</v>
      </c>
      <c r="Y25" s="49" t="s">
        <v>448</v>
      </c>
      <c r="Z25" s="49" t="s">
        <v>449</v>
      </c>
      <c r="AA25" s="61">
        <v>0.53</v>
      </c>
      <c r="AB25" s="48" t="s">
        <v>450</v>
      </c>
      <c r="AC25" s="62" t="s">
        <v>445</v>
      </c>
      <c r="AD25" s="53" t="str">
        <f t="shared" si="17"/>
        <v>Link</v>
      </c>
      <c r="AE25" s="54">
        <v>1978</v>
      </c>
      <c r="AF25" s="55"/>
      <c r="AG25" s="7"/>
      <c r="AH25" s="111">
        <v>101587</v>
      </c>
      <c r="AI25" s="57"/>
      <c r="AJ25" s="57"/>
      <c r="AK25" s="57"/>
      <c r="AL25" s="57"/>
    </row>
    <row r="26" spans="1:38" ht="15" x14ac:dyDescent="0.2">
      <c r="A26" s="57" t="s">
        <v>497</v>
      </c>
      <c r="B26" s="110" t="s">
        <v>140</v>
      </c>
      <c r="C26" s="7" t="s">
        <v>41</v>
      </c>
      <c r="D26" s="7" t="s">
        <v>498</v>
      </c>
      <c r="E26" s="44">
        <v>5</v>
      </c>
      <c r="F26" s="7"/>
      <c r="G26" s="7"/>
      <c r="H26" s="2" t="s">
        <v>500</v>
      </c>
      <c r="I26" s="7" t="s">
        <v>501</v>
      </c>
      <c r="J26" s="7" t="s">
        <v>503</v>
      </c>
      <c r="K26" s="7" t="s">
        <v>55</v>
      </c>
      <c r="L26" s="7" t="s">
        <v>505</v>
      </c>
      <c r="M26" s="7" t="s">
        <v>506</v>
      </c>
      <c r="N26" s="45" t="str">
        <f t="shared" ref="N26:N29" si="18">HYPERLINK("twitter.com/ATUSoftball","@ATUSoftball")</f>
        <v>@ATUSoftball</v>
      </c>
      <c r="O26" s="45" t="str">
        <f t="shared" ref="O26:O29" si="19">HYPERLINK("https://arkansastechsports.com/sb_output.aspx?form=3","Questionnaire")</f>
        <v>Questionnaire</v>
      </c>
      <c r="P26" s="48" t="s">
        <v>520</v>
      </c>
      <c r="Q26" s="47" t="s">
        <v>184</v>
      </c>
      <c r="R26" s="48" t="s">
        <v>523</v>
      </c>
      <c r="S26" s="48" t="s">
        <v>468</v>
      </c>
      <c r="T26" s="49" t="s">
        <v>74</v>
      </c>
      <c r="U26" s="7" t="s">
        <v>75</v>
      </c>
      <c r="V26" s="7"/>
      <c r="W26" s="7" t="s">
        <v>524</v>
      </c>
      <c r="X26" s="49" t="s">
        <v>525</v>
      </c>
      <c r="Y26" s="49" t="s">
        <v>525</v>
      </c>
      <c r="Z26" s="49" t="s">
        <v>526</v>
      </c>
      <c r="AA26" s="51">
        <v>0.6391</v>
      </c>
      <c r="AB26" s="48" t="s">
        <v>527</v>
      </c>
      <c r="AC26" s="52" t="s">
        <v>520</v>
      </c>
      <c r="AD26" s="53" t="str">
        <f t="shared" ref="AD26:AD29" si="20">HYPERLINK("https://www.atu.edu/academics/degrees.php","Link")</f>
        <v>Link</v>
      </c>
      <c r="AE26" s="54">
        <v>11053</v>
      </c>
      <c r="AF26" s="55"/>
      <c r="AG26" s="7"/>
      <c r="AH26" s="56">
        <v>106467</v>
      </c>
      <c r="AI26" s="7"/>
      <c r="AJ26" s="7"/>
      <c r="AK26" s="7"/>
      <c r="AL26" s="7"/>
    </row>
    <row r="27" spans="1:38" ht="15" x14ac:dyDescent="0.2">
      <c r="A27" s="57" t="s">
        <v>497</v>
      </c>
      <c r="B27" s="110" t="s">
        <v>140</v>
      </c>
      <c r="C27" s="7" t="s">
        <v>41</v>
      </c>
      <c r="D27" s="7" t="s">
        <v>535</v>
      </c>
      <c r="E27" s="44">
        <v>5</v>
      </c>
      <c r="F27" s="7"/>
      <c r="G27" s="7"/>
      <c r="H27" s="2" t="s">
        <v>500</v>
      </c>
      <c r="I27" s="7" t="s">
        <v>539</v>
      </c>
      <c r="J27" s="7" t="s">
        <v>541</v>
      </c>
      <c r="K27" s="7" t="s">
        <v>120</v>
      </c>
      <c r="L27" s="7"/>
      <c r="M27" s="7" t="s">
        <v>506</v>
      </c>
      <c r="N27" s="45" t="str">
        <f t="shared" si="18"/>
        <v>@ATUSoftball</v>
      </c>
      <c r="O27" s="45" t="str">
        <f t="shared" si="19"/>
        <v>Questionnaire</v>
      </c>
      <c r="P27" s="48" t="s">
        <v>520</v>
      </c>
      <c r="Q27" s="47" t="s">
        <v>184</v>
      </c>
      <c r="R27" s="48" t="s">
        <v>523</v>
      </c>
      <c r="S27" s="48" t="s">
        <v>468</v>
      </c>
      <c r="T27" s="49" t="s">
        <v>74</v>
      </c>
      <c r="U27" s="7" t="s">
        <v>75</v>
      </c>
      <c r="V27" s="7"/>
      <c r="W27" s="7" t="s">
        <v>524</v>
      </c>
      <c r="X27" s="49" t="s">
        <v>525</v>
      </c>
      <c r="Y27" s="49" t="s">
        <v>525</v>
      </c>
      <c r="Z27" s="49" t="s">
        <v>526</v>
      </c>
      <c r="AA27" s="51">
        <v>0.6391</v>
      </c>
      <c r="AB27" s="48" t="s">
        <v>527</v>
      </c>
      <c r="AC27" s="52" t="s">
        <v>520</v>
      </c>
      <c r="AD27" s="53" t="str">
        <f t="shared" si="20"/>
        <v>Link</v>
      </c>
      <c r="AE27" s="54">
        <v>11053</v>
      </c>
      <c r="AF27" s="55"/>
      <c r="AG27" s="7"/>
      <c r="AH27" s="56">
        <v>106467</v>
      </c>
      <c r="AI27" s="7"/>
      <c r="AJ27" s="7"/>
      <c r="AK27" s="7"/>
      <c r="AL27" s="7"/>
    </row>
    <row r="28" spans="1:38" ht="15" x14ac:dyDescent="0.2">
      <c r="A28" s="57" t="s">
        <v>497</v>
      </c>
      <c r="B28" s="110" t="s">
        <v>140</v>
      </c>
      <c r="C28" s="7" t="s">
        <v>41</v>
      </c>
      <c r="D28" s="7" t="s">
        <v>556</v>
      </c>
      <c r="E28" s="44">
        <v>5</v>
      </c>
      <c r="F28" s="7"/>
      <c r="G28" s="7"/>
      <c r="H28" s="2" t="s">
        <v>500</v>
      </c>
      <c r="I28" s="7" t="s">
        <v>557</v>
      </c>
      <c r="J28" s="7" t="s">
        <v>558</v>
      </c>
      <c r="K28" s="7" t="s">
        <v>48</v>
      </c>
      <c r="L28" s="7" t="s">
        <v>559</v>
      </c>
      <c r="M28" s="7" t="s">
        <v>560</v>
      </c>
      <c r="N28" s="45" t="str">
        <f t="shared" si="18"/>
        <v>@ATUSoftball</v>
      </c>
      <c r="O28" s="45" t="str">
        <f t="shared" si="19"/>
        <v>Questionnaire</v>
      </c>
      <c r="P28" s="48" t="s">
        <v>520</v>
      </c>
      <c r="Q28" s="47" t="s">
        <v>184</v>
      </c>
      <c r="R28" s="48" t="s">
        <v>523</v>
      </c>
      <c r="S28" s="48" t="s">
        <v>468</v>
      </c>
      <c r="T28" s="49" t="s">
        <v>74</v>
      </c>
      <c r="U28" s="7" t="s">
        <v>75</v>
      </c>
      <c r="V28" s="7"/>
      <c r="W28" s="7" t="s">
        <v>524</v>
      </c>
      <c r="X28" s="49" t="s">
        <v>525</v>
      </c>
      <c r="Y28" s="49" t="s">
        <v>525</v>
      </c>
      <c r="Z28" s="49" t="s">
        <v>526</v>
      </c>
      <c r="AA28" s="51">
        <v>0.6391</v>
      </c>
      <c r="AB28" s="48" t="s">
        <v>527</v>
      </c>
      <c r="AC28" s="52" t="s">
        <v>520</v>
      </c>
      <c r="AD28" s="53" t="str">
        <f t="shared" si="20"/>
        <v>Link</v>
      </c>
      <c r="AE28" s="54">
        <v>11053</v>
      </c>
      <c r="AF28" s="55"/>
      <c r="AG28" s="7"/>
      <c r="AH28" s="56">
        <v>106467</v>
      </c>
      <c r="AI28" s="7"/>
      <c r="AJ28" s="7"/>
      <c r="AK28" s="7"/>
      <c r="AL28" s="7"/>
    </row>
    <row r="29" spans="1:38" ht="15" x14ac:dyDescent="0.2">
      <c r="A29" s="57" t="s">
        <v>497</v>
      </c>
      <c r="B29" s="110" t="s">
        <v>140</v>
      </c>
      <c r="C29" s="7" t="s">
        <v>41</v>
      </c>
      <c r="D29" s="7" t="s">
        <v>575</v>
      </c>
      <c r="E29" s="44">
        <v>5</v>
      </c>
      <c r="F29" s="7"/>
      <c r="G29" s="7"/>
      <c r="H29" s="2" t="s">
        <v>500</v>
      </c>
      <c r="I29" s="7" t="s">
        <v>577</v>
      </c>
      <c r="J29" s="7" t="s">
        <v>578</v>
      </c>
      <c r="K29" s="7" t="s">
        <v>139</v>
      </c>
      <c r="L29" s="7" t="s">
        <v>581</v>
      </c>
      <c r="M29" s="7" t="s">
        <v>506</v>
      </c>
      <c r="N29" s="45" t="str">
        <f t="shared" si="18"/>
        <v>@ATUSoftball</v>
      </c>
      <c r="O29" s="45" t="str">
        <f t="shared" si="19"/>
        <v>Questionnaire</v>
      </c>
      <c r="P29" s="48" t="s">
        <v>520</v>
      </c>
      <c r="Q29" s="47" t="s">
        <v>184</v>
      </c>
      <c r="R29" s="48" t="s">
        <v>523</v>
      </c>
      <c r="S29" s="48" t="s">
        <v>468</v>
      </c>
      <c r="T29" s="49" t="s">
        <v>74</v>
      </c>
      <c r="U29" s="7" t="s">
        <v>75</v>
      </c>
      <c r="V29" s="7"/>
      <c r="W29" s="7" t="s">
        <v>524</v>
      </c>
      <c r="X29" s="49" t="s">
        <v>525</v>
      </c>
      <c r="Y29" s="49" t="s">
        <v>525</v>
      </c>
      <c r="Z29" s="49" t="s">
        <v>526</v>
      </c>
      <c r="AA29" s="51">
        <v>0.6391</v>
      </c>
      <c r="AB29" s="48" t="s">
        <v>527</v>
      </c>
      <c r="AC29" s="52" t="s">
        <v>520</v>
      </c>
      <c r="AD29" s="53" t="str">
        <f t="shared" si="20"/>
        <v>Link</v>
      </c>
      <c r="AE29" s="54">
        <v>11053</v>
      </c>
      <c r="AF29" s="55"/>
      <c r="AG29" s="7"/>
      <c r="AH29" s="56">
        <v>106467</v>
      </c>
      <c r="AI29" s="7"/>
      <c r="AJ29" s="7"/>
      <c r="AK29" s="7"/>
      <c r="AL29" s="7"/>
    </row>
    <row r="30" spans="1:38" ht="15" x14ac:dyDescent="0.2">
      <c r="A30" s="36" t="s">
        <v>497</v>
      </c>
      <c r="B30" s="110" t="s">
        <v>140</v>
      </c>
      <c r="C30" s="7" t="s">
        <v>41</v>
      </c>
      <c r="D30" s="7" t="s">
        <v>593</v>
      </c>
      <c r="E30" s="44">
        <v>5</v>
      </c>
      <c r="F30" s="7"/>
      <c r="G30" s="7"/>
      <c r="H30" s="2" t="s">
        <v>596</v>
      </c>
      <c r="I30" s="7" t="s">
        <v>597</v>
      </c>
      <c r="J30" s="7" t="s">
        <v>599</v>
      </c>
      <c r="K30" s="7" t="s">
        <v>55</v>
      </c>
      <c r="L30" s="7" t="s">
        <v>602</v>
      </c>
      <c r="M30" s="7" t="s">
        <v>603</v>
      </c>
      <c r="N30" s="45" t="s">
        <v>605</v>
      </c>
      <c r="O30" s="45" t="str">
        <f t="shared" ref="O30:O33" si="21">HYPERLINK("https://www.uamsports.com/sb_output.aspx?form=3","Questionnaire")</f>
        <v>Questionnaire</v>
      </c>
      <c r="P30" s="48" t="s">
        <v>609</v>
      </c>
      <c r="Q30" s="47" t="s">
        <v>184</v>
      </c>
      <c r="R30" s="48" t="s">
        <v>611</v>
      </c>
      <c r="S30" s="60" t="s">
        <v>205</v>
      </c>
      <c r="T30" s="49" t="s">
        <v>74</v>
      </c>
      <c r="U30" s="7" t="s">
        <v>75</v>
      </c>
      <c r="V30" s="7"/>
      <c r="W30" s="44">
        <v>2.71</v>
      </c>
      <c r="X30" s="49" t="s">
        <v>214</v>
      </c>
      <c r="Y30" s="49" t="s">
        <v>214</v>
      </c>
      <c r="Z30" s="49" t="s">
        <v>612</v>
      </c>
      <c r="AA30" s="61">
        <v>0.46</v>
      </c>
      <c r="AB30" s="48" t="s">
        <v>613</v>
      </c>
      <c r="AC30" s="52" t="s">
        <v>609</v>
      </c>
      <c r="AD30" s="53" t="str">
        <f t="shared" ref="AD30:AD33" si="22">HYPERLINK("http://www.uamont.edu/pages/academics/degree-programs/","Link")</f>
        <v>Link</v>
      </c>
      <c r="AE30" s="54">
        <v>3669</v>
      </c>
      <c r="AF30" s="55"/>
      <c r="AG30" s="7"/>
      <c r="AH30" s="56">
        <v>106485</v>
      </c>
      <c r="AI30" s="7"/>
      <c r="AJ30" s="7"/>
      <c r="AK30" s="7"/>
      <c r="AL30" s="7"/>
    </row>
    <row r="31" spans="1:38" ht="15" x14ac:dyDescent="0.2">
      <c r="A31" s="36" t="s">
        <v>497</v>
      </c>
      <c r="B31" s="110" t="s">
        <v>140</v>
      </c>
      <c r="C31" s="7" t="s">
        <v>41</v>
      </c>
      <c r="D31" s="7" t="s">
        <v>615</v>
      </c>
      <c r="E31" s="44">
        <v>5</v>
      </c>
      <c r="F31" s="7"/>
      <c r="G31" s="7" t="s">
        <v>126</v>
      </c>
      <c r="H31" s="2" t="s">
        <v>596</v>
      </c>
      <c r="I31" s="7" t="s">
        <v>617</v>
      </c>
      <c r="J31" s="7"/>
      <c r="K31" s="7"/>
      <c r="L31" s="7"/>
      <c r="M31" s="7"/>
      <c r="N31" s="45" t="s">
        <v>621</v>
      </c>
      <c r="O31" s="45" t="str">
        <f t="shared" si="21"/>
        <v>Questionnaire</v>
      </c>
      <c r="P31" s="48" t="s">
        <v>609</v>
      </c>
      <c r="Q31" s="47" t="s">
        <v>184</v>
      </c>
      <c r="R31" s="48" t="s">
        <v>611</v>
      </c>
      <c r="S31" s="60" t="s">
        <v>205</v>
      </c>
      <c r="T31" s="49" t="s">
        <v>74</v>
      </c>
      <c r="U31" s="7" t="s">
        <v>75</v>
      </c>
      <c r="V31" s="7"/>
      <c r="W31" s="44">
        <v>2.71</v>
      </c>
      <c r="X31" s="49" t="s">
        <v>214</v>
      </c>
      <c r="Y31" s="49" t="s">
        <v>214</v>
      </c>
      <c r="Z31" s="49" t="s">
        <v>612</v>
      </c>
      <c r="AA31" s="61">
        <v>0.46</v>
      </c>
      <c r="AB31" s="48" t="s">
        <v>613</v>
      </c>
      <c r="AC31" s="52" t="s">
        <v>609</v>
      </c>
      <c r="AD31" s="53" t="str">
        <f t="shared" si="22"/>
        <v>Link</v>
      </c>
      <c r="AE31" s="54">
        <v>3669</v>
      </c>
      <c r="AF31" s="55"/>
      <c r="AG31" s="7"/>
      <c r="AH31" s="56">
        <v>106485</v>
      </c>
      <c r="AI31" s="7"/>
      <c r="AJ31" s="7"/>
      <c r="AK31" s="7"/>
      <c r="AL31" s="7"/>
    </row>
    <row r="32" spans="1:38" ht="15" x14ac:dyDescent="0.2">
      <c r="A32" s="36" t="s">
        <v>497</v>
      </c>
      <c r="B32" s="110" t="s">
        <v>140</v>
      </c>
      <c r="C32" s="7" t="s">
        <v>41</v>
      </c>
      <c r="D32" s="7" t="s">
        <v>630</v>
      </c>
      <c r="E32" s="44">
        <v>5</v>
      </c>
      <c r="F32" s="7"/>
      <c r="G32" s="7"/>
      <c r="H32" s="2" t="s">
        <v>596</v>
      </c>
      <c r="I32" s="7" t="s">
        <v>150</v>
      </c>
      <c r="J32" s="7" t="s">
        <v>632</v>
      </c>
      <c r="K32" s="7" t="s">
        <v>48</v>
      </c>
      <c r="L32" s="7" t="s">
        <v>633</v>
      </c>
      <c r="M32" s="7" t="s">
        <v>603</v>
      </c>
      <c r="N32" s="45" t="s">
        <v>621</v>
      </c>
      <c r="O32" s="45" t="str">
        <f t="shared" si="21"/>
        <v>Questionnaire</v>
      </c>
      <c r="P32" s="48" t="s">
        <v>609</v>
      </c>
      <c r="Q32" s="47" t="s">
        <v>184</v>
      </c>
      <c r="R32" s="48" t="s">
        <v>611</v>
      </c>
      <c r="S32" s="60" t="s">
        <v>205</v>
      </c>
      <c r="T32" s="49" t="s">
        <v>74</v>
      </c>
      <c r="U32" s="7" t="s">
        <v>75</v>
      </c>
      <c r="V32" s="7"/>
      <c r="W32" s="44">
        <v>2.71</v>
      </c>
      <c r="X32" s="49" t="s">
        <v>214</v>
      </c>
      <c r="Y32" s="49" t="s">
        <v>214</v>
      </c>
      <c r="Z32" s="49" t="s">
        <v>612</v>
      </c>
      <c r="AA32" s="61">
        <v>0.46</v>
      </c>
      <c r="AB32" s="48" t="s">
        <v>613</v>
      </c>
      <c r="AC32" s="52" t="s">
        <v>609</v>
      </c>
      <c r="AD32" s="53" t="str">
        <f t="shared" si="22"/>
        <v>Link</v>
      </c>
      <c r="AE32" s="54">
        <v>3669</v>
      </c>
      <c r="AF32" s="55"/>
      <c r="AG32" s="7"/>
      <c r="AH32" s="56">
        <v>106485</v>
      </c>
      <c r="AI32" s="7"/>
      <c r="AJ32" s="7"/>
      <c r="AK32" s="7"/>
      <c r="AL32" s="7"/>
    </row>
    <row r="33" spans="1:38" ht="15" x14ac:dyDescent="0.2">
      <c r="A33" s="36" t="s">
        <v>497</v>
      </c>
      <c r="B33" s="110" t="s">
        <v>140</v>
      </c>
      <c r="C33" s="7" t="s">
        <v>41</v>
      </c>
      <c r="D33" s="7" t="s">
        <v>641</v>
      </c>
      <c r="E33" s="44">
        <v>5</v>
      </c>
      <c r="F33" s="7" t="s">
        <v>116</v>
      </c>
      <c r="G33" s="7"/>
      <c r="H33" s="2" t="s">
        <v>596</v>
      </c>
      <c r="I33" s="7" t="s">
        <v>645</v>
      </c>
      <c r="J33" s="7" t="s">
        <v>647</v>
      </c>
      <c r="K33" s="7" t="s">
        <v>120</v>
      </c>
      <c r="L33" s="7" t="s">
        <v>651</v>
      </c>
      <c r="M33" s="7"/>
      <c r="N33" s="45" t="s">
        <v>605</v>
      </c>
      <c r="O33" s="45" t="str">
        <f t="shared" si="21"/>
        <v>Questionnaire</v>
      </c>
      <c r="P33" s="48" t="s">
        <v>609</v>
      </c>
      <c r="Q33" s="47" t="s">
        <v>184</v>
      </c>
      <c r="R33" s="48" t="s">
        <v>611</v>
      </c>
      <c r="S33" s="60" t="s">
        <v>205</v>
      </c>
      <c r="T33" s="49" t="s">
        <v>74</v>
      </c>
      <c r="U33" s="7" t="s">
        <v>75</v>
      </c>
      <c r="V33" s="7"/>
      <c r="W33" s="44">
        <v>2.71</v>
      </c>
      <c r="X33" s="49" t="s">
        <v>214</v>
      </c>
      <c r="Y33" s="49" t="s">
        <v>214</v>
      </c>
      <c r="Z33" s="49" t="s">
        <v>612</v>
      </c>
      <c r="AA33" s="61">
        <v>0.46</v>
      </c>
      <c r="AB33" s="48" t="s">
        <v>613</v>
      </c>
      <c r="AC33" s="52" t="s">
        <v>609</v>
      </c>
      <c r="AD33" s="53" t="str">
        <f t="shared" si="22"/>
        <v>Link</v>
      </c>
      <c r="AE33" s="54">
        <v>3669</v>
      </c>
      <c r="AF33" s="55"/>
      <c r="AG33" s="7"/>
      <c r="AH33" s="111">
        <v>106485</v>
      </c>
      <c r="AI33" s="57"/>
      <c r="AJ33" s="57"/>
      <c r="AK33" s="57"/>
      <c r="AL33" s="57"/>
    </row>
    <row r="34" spans="1:38" ht="13" x14ac:dyDescent="0.15">
      <c r="A34" s="36" t="s">
        <v>497</v>
      </c>
      <c r="B34" s="110" t="s">
        <v>140</v>
      </c>
      <c r="C34" s="7" t="s">
        <v>41</v>
      </c>
      <c r="D34" s="7" t="s">
        <v>666</v>
      </c>
      <c r="E34" s="44">
        <v>5</v>
      </c>
      <c r="F34" s="7"/>
      <c r="G34" s="7"/>
      <c r="H34" s="2" t="s">
        <v>667</v>
      </c>
      <c r="I34" s="7" t="s">
        <v>668</v>
      </c>
      <c r="J34" s="7" t="s">
        <v>669</v>
      </c>
      <c r="K34" s="7" t="s">
        <v>48</v>
      </c>
      <c r="L34" s="7" t="s">
        <v>670</v>
      </c>
      <c r="M34" s="7" t="s">
        <v>671</v>
      </c>
      <c r="N34" s="45" t="str">
        <f t="shared" ref="N34:N36" si="23">HYPERLINK("twitter.com/harding_sb","@harding_sb")</f>
        <v>@harding_sb</v>
      </c>
      <c r="O34" s="45" t="str">
        <f t="shared" ref="O34:O36" si="24">HYPERLINK("https://hardingsports.com/sb_output.aspx?form=3","Questionnaire")</f>
        <v>Questionnaire</v>
      </c>
      <c r="P34" s="48" t="s">
        <v>680</v>
      </c>
      <c r="Q34" s="60" t="s">
        <v>184</v>
      </c>
      <c r="R34" s="48" t="s">
        <v>682</v>
      </c>
      <c r="S34" s="48" t="s">
        <v>172</v>
      </c>
      <c r="T34" s="49" t="s">
        <v>63</v>
      </c>
      <c r="U34" s="7" t="s">
        <v>686</v>
      </c>
      <c r="V34" s="7"/>
      <c r="W34" s="44">
        <v>3.58</v>
      </c>
      <c r="X34" s="49" t="s">
        <v>76</v>
      </c>
      <c r="Y34" s="49" t="s">
        <v>688</v>
      </c>
      <c r="Z34" s="49" t="s">
        <v>689</v>
      </c>
      <c r="AA34" s="61">
        <v>0.7</v>
      </c>
      <c r="AB34" s="71">
        <v>29005</v>
      </c>
      <c r="AC34" s="90" t="s">
        <v>680</v>
      </c>
      <c r="AD34" s="53" t="str">
        <f t="shared" ref="AD34:AD36" si="25">HYPERLINK("https://www.harding.edu/academics","Link")</f>
        <v>Link</v>
      </c>
      <c r="AE34" s="54">
        <v>4419</v>
      </c>
      <c r="AF34" s="55"/>
      <c r="AG34" s="7"/>
      <c r="AH34" s="56">
        <v>107044</v>
      </c>
      <c r="AI34" s="7"/>
      <c r="AJ34" s="7"/>
      <c r="AK34" s="7"/>
      <c r="AL34" s="7"/>
    </row>
    <row r="35" spans="1:38" ht="13" x14ac:dyDescent="0.15">
      <c r="A35" s="36" t="s">
        <v>497</v>
      </c>
      <c r="B35" s="110" t="s">
        <v>140</v>
      </c>
      <c r="C35" s="7" t="s">
        <v>41</v>
      </c>
      <c r="D35" s="7" t="s">
        <v>696</v>
      </c>
      <c r="E35" s="44">
        <v>5</v>
      </c>
      <c r="F35" s="7"/>
      <c r="G35" s="7"/>
      <c r="H35" s="2" t="s">
        <v>667</v>
      </c>
      <c r="I35" s="7" t="s">
        <v>402</v>
      </c>
      <c r="J35" s="7" t="s">
        <v>697</v>
      </c>
      <c r="K35" s="7" t="s">
        <v>55</v>
      </c>
      <c r="L35" s="7" t="s">
        <v>698</v>
      </c>
      <c r="M35" s="7"/>
      <c r="N35" s="45" t="str">
        <f t="shared" si="23"/>
        <v>@harding_sb</v>
      </c>
      <c r="O35" s="45" t="str">
        <f t="shared" si="24"/>
        <v>Questionnaire</v>
      </c>
      <c r="P35" s="48" t="s">
        <v>680</v>
      </c>
      <c r="Q35" s="60" t="s">
        <v>184</v>
      </c>
      <c r="R35" s="48" t="s">
        <v>682</v>
      </c>
      <c r="S35" s="48" t="s">
        <v>172</v>
      </c>
      <c r="T35" s="49" t="s">
        <v>63</v>
      </c>
      <c r="U35" s="7" t="s">
        <v>686</v>
      </c>
      <c r="V35" s="7"/>
      <c r="W35" s="44">
        <v>3.58</v>
      </c>
      <c r="X35" s="49" t="s">
        <v>76</v>
      </c>
      <c r="Y35" s="49" t="s">
        <v>688</v>
      </c>
      <c r="Z35" s="49" t="s">
        <v>689</v>
      </c>
      <c r="AA35" s="61">
        <v>0.7</v>
      </c>
      <c r="AB35" s="71">
        <v>29005</v>
      </c>
      <c r="AC35" s="90" t="s">
        <v>680</v>
      </c>
      <c r="AD35" s="53" t="str">
        <f t="shared" si="25"/>
        <v>Link</v>
      </c>
      <c r="AE35" s="54">
        <v>4419</v>
      </c>
      <c r="AF35" s="55"/>
      <c r="AG35" s="7"/>
      <c r="AH35" s="56">
        <v>107044</v>
      </c>
      <c r="AI35" s="7"/>
      <c r="AJ35" s="7"/>
      <c r="AK35" s="7"/>
      <c r="AL35" s="7"/>
    </row>
    <row r="36" spans="1:38" ht="13" x14ac:dyDescent="0.15">
      <c r="A36" s="36" t="s">
        <v>497</v>
      </c>
      <c r="B36" s="110" t="s">
        <v>140</v>
      </c>
      <c r="C36" s="7" t="s">
        <v>41</v>
      </c>
      <c r="D36" s="7" t="s">
        <v>706</v>
      </c>
      <c r="E36" s="44">
        <v>5</v>
      </c>
      <c r="F36" s="7"/>
      <c r="G36" s="7"/>
      <c r="H36" s="2" t="s">
        <v>667</v>
      </c>
      <c r="I36" s="7" t="s">
        <v>711</v>
      </c>
      <c r="J36" s="7" t="s">
        <v>713</v>
      </c>
      <c r="K36" s="7" t="s">
        <v>120</v>
      </c>
      <c r="L36" s="7" t="s">
        <v>714</v>
      </c>
      <c r="M36" s="7"/>
      <c r="N36" s="45" t="str">
        <f t="shared" si="23"/>
        <v>@harding_sb</v>
      </c>
      <c r="O36" s="45" t="str">
        <f t="shared" si="24"/>
        <v>Questionnaire</v>
      </c>
      <c r="P36" s="48" t="s">
        <v>680</v>
      </c>
      <c r="Q36" s="60" t="s">
        <v>184</v>
      </c>
      <c r="R36" s="48" t="s">
        <v>682</v>
      </c>
      <c r="S36" s="48" t="s">
        <v>172</v>
      </c>
      <c r="T36" s="49" t="s">
        <v>63</v>
      </c>
      <c r="U36" s="7" t="s">
        <v>686</v>
      </c>
      <c r="V36" s="7"/>
      <c r="W36" s="44">
        <v>3.58</v>
      </c>
      <c r="X36" s="49" t="s">
        <v>76</v>
      </c>
      <c r="Y36" s="49" t="s">
        <v>688</v>
      </c>
      <c r="Z36" s="49" t="s">
        <v>689</v>
      </c>
      <c r="AA36" s="61">
        <v>0.7</v>
      </c>
      <c r="AB36" s="71">
        <v>29005</v>
      </c>
      <c r="AC36" s="90" t="s">
        <v>680</v>
      </c>
      <c r="AD36" s="53" t="str">
        <f t="shared" si="25"/>
        <v>Link</v>
      </c>
      <c r="AE36" s="54">
        <v>4419</v>
      </c>
      <c r="AF36" s="55"/>
      <c r="AG36" s="7"/>
      <c r="AH36" s="56">
        <v>107044</v>
      </c>
      <c r="AI36" s="7"/>
      <c r="AJ36" s="7"/>
      <c r="AK36" s="7"/>
      <c r="AL36" s="7"/>
    </row>
    <row r="37" spans="1:38" ht="13" x14ac:dyDescent="0.15">
      <c r="A37" s="36" t="s">
        <v>497</v>
      </c>
      <c r="B37" s="110" t="s">
        <v>140</v>
      </c>
      <c r="C37" s="7" t="s">
        <v>41</v>
      </c>
      <c r="D37" s="7" t="s">
        <v>725</v>
      </c>
      <c r="E37" s="44">
        <v>5</v>
      </c>
      <c r="F37" s="7"/>
      <c r="G37" s="7"/>
      <c r="H37" s="2" t="s">
        <v>727</v>
      </c>
      <c r="I37" s="7" t="s">
        <v>728</v>
      </c>
      <c r="J37" s="7" t="s">
        <v>729</v>
      </c>
      <c r="K37" s="7" t="s">
        <v>55</v>
      </c>
      <c r="L37" s="7" t="s">
        <v>730</v>
      </c>
      <c r="M37" s="7" t="s">
        <v>731</v>
      </c>
      <c r="N37" s="45" t="str">
        <f>HYPERLINK("twitter.com/martinez3d","@martinez3d")</f>
        <v>@martinez3d</v>
      </c>
      <c r="O37" s="45" t="str">
        <f t="shared" ref="O37:O39" si="26">HYPERLINK("https://hsusports.com/sb_output.aspx?form=3","Questionnaire")</f>
        <v>Questionnaire</v>
      </c>
      <c r="P37" s="48" t="s">
        <v>740</v>
      </c>
      <c r="Q37" s="47" t="s">
        <v>184</v>
      </c>
      <c r="R37" s="48" t="s">
        <v>742</v>
      </c>
      <c r="S37" s="48" t="s">
        <v>172</v>
      </c>
      <c r="T37" s="49" t="s">
        <v>74</v>
      </c>
      <c r="U37" s="7" t="s">
        <v>75</v>
      </c>
      <c r="V37" s="7"/>
      <c r="W37" s="44">
        <v>3.19</v>
      </c>
      <c r="X37" s="49" t="s">
        <v>744</v>
      </c>
      <c r="Y37" s="49" t="s">
        <v>745</v>
      </c>
      <c r="Z37" s="49" t="s">
        <v>746</v>
      </c>
      <c r="AA37" s="61">
        <v>0.66</v>
      </c>
      <c r="AB37" s="48" t="s">
        <v>748</v>
      </c>
      <c r="AC37" s="62" t="s">
        <v>740</v>
      </c>
      <c r="AD37" s="53" t="str">
        <f t="shared" ref="AD37:AD39" si="27">HYPERLINK("http://www.hsu.edu/Academics/Undergraduate.html","Link")</f>
        <v>Link</v>
      </c>
      <c r="AE37" s="54">
        <v>3052</v>
      </c>
      <c r="AF37" s="55"/>
      <c r="AG37" s="7"/>
      <c r="AH37" s="56">
        <v>107071</v>
      </c>
      <c r="AI37" s="7"/>
      <c r="AJ37" s="7"/>
      <c r="AK37" s="7"/>
      <c r="AL37" s="7"/>
    </row>
    <row r="38" spans="1:38" ht="13" x14ac:dyDescent="0.15">
      <c r="A38" s="36" t="s">
        <v>497</v>
      </c>
      <c r="B38" s="110" t="s">
        <v>140</v>
      </c>
      <c r="C38" s="7" t="s">
        <v>41</v>
      </c>
      <c r="D38" s="7" t="s">
        <v>756</v>
      </c>
      <c r="E38" s="44">
        <v>5</v>
      </c>
      <c r="F38" s="7"/>
      <c r="G38" s="7"/>
      <c r="H38" s="2" t="s">
        <v>727</v>
      </c>
      <c r="I38" s="7" t="s">
        <v>222</v>
      </c>
      <c r="J38" s="7" t="s">
        <v>757</v>
      </c>
      <c r="K38" s="7" t="s">
        <v>120</v>
      </c>
      <c r="L38" s="7" t="s">
        <v>760</v>
      </c>
      <c r="M38" s="7"/>
      <c r="N38" s="45"/>
      <c r="O38" s="45" t="str">
        <f t="shared" si="26"/>
        <v>Questionnaire</v>
      </c>
      <c r="P38" s="48" t="s">
        <v>740</v>
      </c>
      <c r="Q38" s="47" t="s">
        <v>184</v>
      </c>
      <c r="R38" s="48" t="s">
        <v>742</v>
      </c>
      <c r="S38" s="48" t="s">
        <v>172</v>
      </c>
      <c r="T38" s="49" t="s">
        <v>74</v>
      </c>
      <c r="U38" s="7" t="s">
        <v>75</v>
      </c>
      <c r="V38" s="7"/>
      <c r="W38" s="44">
        <v>3.19</v>
      </c>
      <c r="X38" s="49" t="s">
        <v>744</v>
      </c>
      <c r="Y38" s="49" t="s">
        <v>745</v>
      </c>
      <c r="Z38" s="49" t="s">
        <v>746</v>
      </c>
      <c r="AA38" s="61">
        <v>0.66</v>
      </c>
      <c r="AB38" s="48" t="s">
        <v>748</v>
      </c>
      <c r="AC38" s="62" t="s">
        <v>740</v>
      </c>
      <c r="AD38" s="53" t="str">
        <f t="shared" si="27"/>
        <v>Link</v>
      </c>
      <c r="AE38" s="54">
        <v>3052</v>
      </c>
      <c r="AF38" s="55"/>
      <c r="AG38" s="7"/>
      <c r="AH38" s="56">
        <v>107071</v>
      </c>
      <c r="AI38" s="7"/>
      <c r="AJ38" s="7"/>
      <c r="AK38" s="7"/>
      <c r="AL38" s="7"/>
    </row>
    <row r="39" spans="1:38" ht="13" x14ac:dyDescent="0.15">
      <c r="A39" s="36" t="s">
        <v>497</v>
      </c>
      <c r="B39" s="110" t="s">
        <v>140</v>
      </c>
      <c r="C39" s="7" t="s">
        <v>41</v>
      </c>
      <c r="D39" s="7" t="s">
        <v>771</v>
      </c>
      <c r="E39" s="44">
        <v>5</v>
      </c>
      <c r="F39" s="7"/>
      <c r="G39" s="7"/>
      <c r="H39" s="2" t="s">
        <v>727</v>
      </c>
      <c r="I39" s="7" t="s">
        <v>772</v>
      </c>
      <c r="J39" s="7" t="s">
        <v>773</v>
      </c>
      <c r="K39" s="7" t="s">
        <v>48</v>
      </c>
      <c r="L39" s="7" t="s">
        <v>774</v>
      </c>
      <c r="M39" s="7" t="s">
        <v>731</v>
      </c>
      <c r="N39" s="45"/>
      <c r="O39" s="45" t="str">
        <f t="shared" si="26"/>
        <v>Questionnaire</v>
      </c>
      <c r="P39" s="48" t="s">
        <v>740</v>
      </c>
      <c r="Q39" s="47" t="s">
        <v>184</v>
      </c>
      <c r="R39" s="48" t="s">
        <v>742</v>
      </c>
      <c r="S39" s="48" t="s">
        <v>172</v>
      </c>
      <c r="T39" s="49" t="s">
        <v>74</v>
      </c>
      <c r="U39" s="7" t="s">
        <v>75</v>
      </c>
      <c r="V39" s="7"/>
      <c r="W39" s="44">
        <v>3.19</v>
      </c>
      <c r="X39" s="49" t="s">
        <v>744</v>
      </c>
      <c r="Y39" s="49" t="s">
        <v>745</v>
      </c>
      <c r="Z39" s="49" t="s">
        <v>746</v>
      </c>
      <c r="AA39" s="61">
        <v>0.66</v>
      </c>
      <c r="AB39" s="48" t="s">
        <v>748</v>
      </c>
      <c r="AC39" s="62" t="s">
        <v>740</v>
      </c>
      <c r="AD39" s="53" t="str">
        <f t="shared" si="27"/>
        <v>Link</v>
      </c>
      <c r="AE39" s="54">
        <v>3052</v>
      </c>
      <c r="AF39" s="55"/>
      <c r="AG39" s="7"/>
      <c r="AH39" s="56">
        <v>107071</v>
      </c>
      <c r="AI39" s="7"/>
      <c r="AJ39" s="7"/>
      <c r="AK39" s="7"/>
      <c r="AL39" s="7"/>
    </row>
    <row r="40" spans="1:38" ht="13" x14ac:dyDescent="0.15">
      <c r="A40" s="36" t="s">
        <v>497</v>
      </c>
      <c r="B40" s="110" t="s">
        <v>140</v>
      </c>
      <c r="C40" s="7" t="s">
        <v>41</v>
      </c>
      <c r="D40" s="7" t="s">
        <v>784</v>
      </c>
      <c r="E40" s="44">
        <v>5</v>
      </c>
      <c r="F40" s="7"/>
      <c r="G40" s="7"/>
      <c r="H40" s="2" t="s">
        <v>787</v>
      </c>
      <c r="I40" s="7" t="s">
        <v>789</v>
      </c>
      <c r="J40" s="7" t="s">
        <v>790</v>
      </c>
      <c r="K40" s="7" t="s">
        <v>48</v>
      </c>
      <c r="L40" s="7" t="s">
        <v>791</v>
      </c>
      <c r="M40" s="7"/>
      <c r="N40" s="45" t="str">
        <f t="shared" ref="N40:N41" si="28">HYPERLINK("twitter.com/ouachita_sb","@ouachita_sb")</f>
        <v>@ouachita_sb</v>
      </c>
      <c r="O40" s="45" t="str">
        <f t="shared" ref="O40:O41" si="29">HYPERLINK("https://obutigers.com/sb_output.aspx?form=3","Questionnaire")</f>
        <v>Questionnaire</v>
      </c>
      <c r="P40" s="48" t="s">
        <v>799</v>
      </c>
      <c r="Q40" s="47" t="s">
        <v>184</v>
      </c>
      <c r="R40" s="48" t="s">
        <v>742</v>
      </c>
      <c r="S40" s="48" t="s">
        <v>172</v>
      </c>
      <c r="T40" s="49" t="s">
        <v>63</v>
      </c>
      <c r="U40" s="7" t="s">
        <v>800</v>
      </c>
      <c r="V40" s="7"/>
      <c r="W40" s="44">
        <v>3.55</v>
      </c>
      <c r="X40" s="49" t="s">
        <v>801</v>
      </c>
      <c r="Y40" s="49" t="s">
        <v>802</v>
      </c>
      <c r="Z40" s="49" t="s">
        <v>803</v>
      </c>
      <c r="AA40" s="61">
        <v>0.67</v>
      </c>
      <c r="AB40" s="71">
        <v>35960</v>
      </c>
      <c r="AC40" s="62" t="s">
        <v>799</v>
      </c>
      <c r="AD40" s="53" t="str">
        <f t="shared" ref="AD40:AD41" si="30">HYPERLINK("https://obu.edu/academics/","Link")</f>
        <v>Link</v>
      </c>
      <c r="AE40" s="54">
        <v>1493</v>
      </c>
      <c r="AF40" s="55"/>
      <c r="AG40" s="7"/>
      <c r="AH40" s="56">
        <v>107512</v>
      </c>
      <c r="AI40" s="7"/>
      <c r="AJ40" s="7"/>
      <c r="AK40" s="7"/>
      <c r="AL40" s="7"/>
    </row>
    <row r="41" spans="1:38" ht="13" x14ac:dyDescent="0.15">
      <c r="A41" s="36" t="s">
        <v>497</v>
      </c>
      <c r="B41" s="110" t="s">
        <v>140</v>
      </c>
      <c r="C41" s="7" t="s">
        <v>41</v>
      </c>
      <c r="D41" s="7" t="s">
        <v>810</v>
      </c>
      <c r="E41" s="44">
        <v>5</v>
      </c>
      <c r="F41" s="7" t="s">
        <v>116</v>
      </c>
      <c r="G41" s="7"/>
      <c r="H41" s="2" t="s">
        <v>787</v>
      </c>
      <c r="I41" s="7" t="s">
        <v>811</v>
      </c>
      <c r="J41" s="7" t="s">
        <v>812</v>
      </c>
      <c r="K41" s="7" t="s">
        <v>55</v>
      </c>
      <c r="L41" s="7" t="s">
        <v>813</v>
      </c>
      <c r="M41" s="7" t="s">
        <v>814</v>
      </c>
      <c r="N41" s="45" t="str">
        <f t="shared" si="28"/>
        <v>@ouachita_sb</v>
      </c>
      <c r="O41" s="45" t="str">
        <f t="shared" si="29"/>
        <v>Questionnaire</v>
      </c>
      <c r="P41" s="48" t="s">
        <v>799</v>
      </c>
      <c r="Q41" s="47" t="s">
        <v>184</v>
      </c>
      <c r="R41" s="48" t="s">
        <v>742</v>
      </c>
      <c r="S41" s="48" t="s">
        <v>172</v>
      </c>
      <c r="T41" s="49" t="s">
        <v>63</v>
      </c>
      <c r="U41" s="7" t="s">
        <v>800</v>
      </c>
      <c r="V41" s="7"/>
      <c r="W41" s="44">
        <v>3.55</v>
      </c>
      <c r="X41" s="49" t="s">
        <v>801</v>
      </c>
      <c r="Y41" s="49" t="s">
        <v>802</v>
      </c>
      <c r="Z41" s="49" t="s">
        <v>803</v>
      </c>
      <c r="AA41" s="61">
        <v>0.67</v>
      </c>
      <c r="AB41" s="71">
        <v>35960</v>
      </c>
      <c r="AC41" s="62" t="s">
        <v>799</v>
      </c>
      <c r="AD41" s="53" t="str">
        <f t="shared" si="30"/>
        <v>Link</v>
      </c>
      <c r="AE41" s="54">
        <v>1493</v>
      </c>
      <c r="AF41" s="55"/>
      <c r="AG41" s="7"/>
      <c r="AH41" s="111">
        <v>107512</v>
      </c>
      <c r="AI41" s="57"/>
      <c r="AJ41" s="57"/>
      <c r="AK41" s="57"/>
      <c r="AL41" s="57"/>
    </row>
    <row r="42" spans="1:38" ht="15" x14ac:dyDescent="0.2">
      <c r="A42" s="36" t="s">
        <v>497</v>
      </c>
      <c r="B42" s="110" t="s">
        <v>140</v>
      </c>
      <c r="C42" s="7" t="s">
        <v>41</v>
      </c>
      <c r="D42" s="7" t="s">
        <v>829</v>
      </c>
      <c r="E42" s="44">
        <v>5</v>
      </c>
      <c r="F42" s="7"/>
      <c r="G42" s="7"/>
      <c r="H42" s="2" t="s">
        <v>831</v>
      </c>
      <c r="I42" s="7" t="s">
        <v>306</v>
      </c>
      <c r="J42" s="7" t="s">
        <v>834</v>
      </c>
      <c r="K42" s="7" t="s">
        <v>120</v>
      </c>
      <c r="L42" s="7"/>
      <c r="M42" s="7"/>
      <c r="N42" s="7"/>
      <c r="O42" s="7"/>
      <c r="P42" s="48" t="s">
        <v>838</v>
      </c>
      <c r="Q42" s="47" t="s">
        <v>184</v>
      </c>
      <c r="R42" s="48" t="s">
        <v>839</v>
      </c>
      <c r="S42" s="48" t="s">
        <v>172</v>
      </c>
      <c r="T42" s="49" t="s">
        <v>74</v>
      </c>
      <c r="U42" s="49" t="s">
        <v>75</v>
      </c>
      <c r="V42" s="7"/>
      <c r="W42" s="44">
        <v>3.28</v>
      </c>
      <c r="X42" s="49" t="s">
        <v>840</v>
      </c>
      <c r="Y42" s="49" t="s">
        <v>253</v>
      </c>
      <c r="Z42" s="49" t="s">
        <v>841</v>
      </c>
      <c r="AA42" s="61">
        <v>0.69</v>
      </c>
      <c r="AB42" s="48" t="s">
        <v>842</v>
      </c>
      <c r="AC42" s="52" t="s">
        <v>838</v>
      </c>
      <c r="AD42" s="53" t="str">
        <f t="shared" ref="AD42:AD46" si="31">HYPERLINK("https://web.saumag.edu/academics/degrees/","Link")</f>
        <v>Link</v>
      </c>
      <c r="AE42" s="54">
        <v>3287</v>
      </c>
      <c r="AF42" s="55"/>
      <c r="AG42" s="55"/>
      <c r="AH42" s="56">
        <v>107983</v>
      </c>
      <c r="AI42" s="85"/>
      <c r="AJ42" s="7"/>
      <c r="AK42" s="7"/>
      <c r="AL42" s="7"/>
    </row>
    <row r="43" spans="1:38" ht="15" x14ac:dyDescent="0.2">
      <c r="A43" s="36" t="s">
        <v>497</v>
      </c>
      <c r="B43" s="110" t="s">
        <v>140</v>
      </c>
      <c r="C43" s="7" t="s">
        <v>41</v>
      </c>
      <c r="D43" s="7" t="s">
        <v>851</v>
      </c>
      <c r="E43" s="44">
        <v>5</v>
      </c>
      <c r="F43" s="7"/>
      <c r="G43" s="7"/>
      <c r="H43" s="2" t="s">
        <v>831</v>
      </c>
      <c r="I43" s="7" t="s">
        <v>852</v>
      </c>
      <c r="J43" s="7" t="s">
        <v>853</v>
      </c>
      <c r="K43" s="7" t="s">
        <v>120</v>
      </c>
      <c r="L43" s="7"/>
      <c r="M43" s="7"/>
      <c r="N43" s="7"/>
      <c r="O43" s="7"/>
      <c r="P43" s="48" t="s">
        <v>838</v>
      </c>
      <c r="Q43" s="47" t="s">
        <v>184</v>
      </c>
      <c r="R43" s="48" t="s">
        <v>839</v>
      </c>
      <c r="S43" s="48" t="s">
        <v>172</v>
      </c>
      <c r="T43" s="49" t="s">
        <v>74</v>
      </c>
      <c r="U43" s="49" t="s">
        <v>75</v>
      </c>
      <c r="V43" s="7"/>
      <c r="W43" s="44">
        <v>3.28</v>
      </c>
      <c r="X43" s="49" t="s">
        <v>840</v>
      </c>
      <c r="Y43" s="49" t="s">
        <v>253</v>
      </c>
      <c r="Z43" s="49" t="s">
        <v>841</v>
      </c>
      <c r="AA43" s="61">
        <v>0.69</v>
      </c>
      <c r="AB43" s="48" t="s">
        <v>842</v>
      </c>
      <c r="AC43" s="52" t="s">
        <v>838</v>
      </c>
      <c r="AD43" s="53" t="str">
        <f t="shared" si="31"/>
        <v>Link</v>
      </c>
      <c r="AE43" s="54">
        <v>3287</v>
      </c>
      <c r="AF43" s="55"/>
      <c r="AG43" s="55"/>
      <c r="AH43" s="56">
        <v>107983</v>
      </c>
      <c r="AI43" s="85"/>
      <c r="AJ43" s="7"/>
      <c r="AK43" s="7"/>
      <c r="AL43" s="7"/>
    </row>
    <row r="44" spans="1:38" ht="15" x14ac:dyDescent="0.2">
      <c r="A44" s="36" t="s">
        <v>497</v>
      </c>
      <c r="B44" s="110" t="s">
        <v>140</v>
      </c>
      <c r="C44" s="7" t="s">
        <v>41</v>
      </c>
      <c r="D44" s="7" t="s">
        <v>859</v>
      </c>
      <c r="E44" s="44">
        <v>5</v>
      </c>
      <c r="F44" s="7"/>
      <c r="G44" s="7"/>
      <c r="H44" s="2" t="s">
        <v>831</v>
      </c>
      <c r="I44" s="7" t="s">
        <v>860</v>
      </c>
      <c r="J44" s="7" t="s">
        <v>861</v>
      </c>
      <c r="K44" s="7" t="s">
        <v>55</v>
      </c>
      <c r="L44" s="7" t="s">
        <v>862</v>
      </c>
      <c r="M44" s="7" t="s">
        <v>863</v>
      </c>
      <c r="N44" s="45" t="str">
        <f t="shared" ref="N44:N46" si="32">HYPERLINK("twitter.com/sausoftball","@sausoftball")</f>
        <v>@sausoftball</v>
      </c>
      <c r="O44" s="45" t="str">
        <f t="shared" ref="O44:O46" si="33">HYPERLINK("https://muleriderathletics.com/sports/2012/10/31/GEN_1031125404.aspx","Questionnaire")</f>
        <v>Questionnaire</v>
      </c>
      <c r="P44" s="48" t="s">
        <v>838</v>
      </c>
      <c r="Q44" s="47" t="s">
        <v>184</v>
      </c>
      <c r="R44" s="48" t="s">
        <v>839</v>
      </c>
      <c r="S44" s="48" t="s">
        <v>172</v>
      </c>
      <c r="T44" s="49" t="s">
        <v>74</v>
      </c>
      <c r="U44" s="7" t="s">
        <v>75</v>
      </c>
      <c r="V44" s="7"/>
      <c r="W44" s="44">
        <v>3.28</v>
      </c>
      <c r="X44" s="49" t="s">
        <v>840</v>
      </c>
      <c r="Y44" s="49" t="s">
        <v>253</v>
      </c>
      <c r="Z44" s="49" t="s">
        <v>841</v>
      </c>
      <c r="AA44" s="61">
        <v>0.69</v>
      </c>
      <c r="AB44" s="48" t="s">
        <v>842</v>
      </c>
      <c r="AC44" s="52" t="s">
        <v>838</v>
      </c>
      <c r="AD44" s="53" t="str">
        <f t="shared" si="31"/>
        <v>Link</v>
      </c>
      <c r="AE44" s="54">
        <v>3287</v>
      </c>
      <c r="AF44" s="55"/>
      <c r="AG44" s="7"/>
      <c r="AH44" s="56">
        <v>107983</v>
      </c>
      <c r="AI44" s="7"/>
      <c r="AJ44" s="7"/>
      <c r="AK44" s="7"/>
      <c r="AL44" s="7"/>
    </row>
    <row r="45" spans="1:38" ht="15" x14ac:dyDescent="0.2">
      <c r="A45" s="36" t="s">
        <v>497</v>
      </c>
      <c r="B45" s="110" t="s">
        <v>140</v>
      </c>
      <c r="C45" s="7" t="s">
        <v>41</v>
      </c>
      <c r="D45" s="7" t="s">
        <v>877</v>
      </c>
      <c r="E45" s="44">
        <v>5</v>
      </c>
      <c r="F45" s="7"/>
      <c r="G45" s="7"/>
      <c r="H45" s="2" t="s">
        <v>831</v>
      </c>
      <c r="I45" s="7" t="s">
        <v>878</v>
      </c>
      <c r="J45" s="7" t="s">
        <v>879</v>
      </c>
      <c r="K45" s="7" t="s">
        <v>55</v>
      </c>
      <c r="L45" s="7" t="s">
        <v>880</v>
      </c>
      <c r="M45" s="7" t="s">
        <v>863</v>
      </c>
      <c r="N45" s="45" t="str">
        <f t="shared" si="32"/>
        <v>@sausoftball</v>
      </c>
      <c r="O45" s="45" t="str">
        <f t="shared" si="33"/>
        <v>Questionnaire</v>
      </c>
      <c r="P45" s="48" t="s">
        <v>838</v>
      </c>
      <c r="Q45" s="47" t="s">
        <v>184</v>
      </c>
      <c r="R45" s="48" t="s">
        <v>839</v>
      </c>
      <c r="S45" s="48" t="s">
        <v>172</v>
      </c>
      <c r="T45" s="49" t="s">
        <v>74</v>
      </c>
      <c r="U45" s="7" t="s">
        <v>75</v>
      </c>
      <c r="V45" s="7"/>
      <c r="W45" s="44">
        <v>3.28</v>
      </c>
      <c r="X45" s="49" t="s">
        <v>840</v>
      </c>
      <c r="Y45" s="49" t="s">
        <v>253</v>
      </c>
      <c r="Z45" s="49" t="s">
        <v>841</v>
      </c>
      <c r="AA45" s="61">
        <v>0.69</v>
      </c>
      <c r="AB45" s="48" t="s">
        <v>842</v>
      </c>
      <c r="AC45" s="52" t="s">
        <v>838</v>
      </c>
      <c r="AD45" s="53" t="str">
        <f t="shared" si="31"/>
        <v>Link</v>
      </c>
      <c r="AE45" s="54">
        <v>3287</v>
      </c>
      <c r="AF45" s="55"/>
      <c r="AG45" s="7"/>
      <c r="AH45" s="56">
        <v>107983</v>
      </c>
      <c r="AI45" s="7"/>
      <c r="AJ45" s="7"/>
      <c r="AK45" s="7"/>
      <c r="AL45" s="7"/>
    </row>
    <row r="46" spans="1:38" ht="15" x14ac:dyDescent="0.2">
      <c r="A46" s="36" t="s">
        <v>497</v>
      </c>
      <c r="B46" s="110" t="s">
        <v>140</v>
      </c>
      <c r="C46" s="7" t="s">
        <v>41</v>
      </c>
      <c r="D46" s="7" t="s">
        <v>893</v>
      </c>
      <c r="E46" s="44">
        <v>5</v>
      </c>
      <c r="F46" s="7"/>
      <c r="G46" s="7"/>
      <c r="H46" s="2" t="s">
        <v>831</v>
      </c>
      <c r="I46" s="7" t="s">
        <v>361</v>
      </c>
      <c r="J46" s="7" t="s">
        <v>894</v>
      </c>
      <c r="K46" s="7" t="s">
        <v>48</v>
      </c>
      <c r="L46" s="7" t="s">
        <v>896</v>
      </c>
      <c r="M46" s="7" t="s">
        <v>897</v>
      </c>
      <c r="N46" s="45" t="str">
        <f t="shared" si="32"/>
        <v>@sausoftball</v>
      </c>
      <c r="O46" s="45" t="str">
        <f t="shared" si="33"/>
        <v>Questionnaire</v>
      </c>
      <c r="P46" s="48" t="s">
        <v>838</v>
      </c>
      <c r="Q46" s="47" t="s">
        <v>184</v>
      </c>
      <c r="R46" s="48" t="s">
        <v>839</v>
      </c>
      <c r="S46" s="48" t="s">
        <v>172</v>
      </c>
      <c r="T46" s="49" t="s">
        <v>74</v>
      </c>
      <c r="U46" s="7" t="s">
        <v>75</v>
      </c>
      <c r="V46" s="7"/>
      <c r="W46" s="44">
        <v>3.28</v>
      </c>
      <c r="X46" s="49" t="s">
        <v>840</v>
      </c>
      <c r="Y46" s="49" t="s">
        <v>253</v>
      </c>
      <c r="Z46" s="49" t="s">
        <v>841</v>
      </c>
      <c r="AA46" s="61">
        <v>0.69</v>
      </c>
      <c r="AB46" s="48" t="s">
        <v>842</v>
      </c>
      <c r="AC46" s="52" t="s">
        <v>838</v>
      </c>
      <c r="AD46" s="53" t="str">
        <f t="shared" si="31"/>
        <v>Link</v>
      </c>
      <c r="AE46" s="54">
        <v>3287</v>
      </c>
      <c r="AF46" s="55"/>
      <c r="AG46" s="7"/>
      <c r="AH46" s="56">
        <v>107983</v>
      </c>
      <c r="AI46" s="7"/>
      <c r="AJ46" s="7"/>
      <c r="AK46" s="7"/>
      <c r="AL46" s="7"/>
    </row>
    <row r="47" spans="1:38" ht="13" x14ac:dyDescent="0.15">
      <c r="A47" s="36" t="s">
        <v>906</v>
      </c>
      <c r="B47" s="110" t="s">
        <v>907</v>
      </c>
      <c r="C47" s="7" t="s">
        <v>41</v>
      </c>
      <c r="D47" s="7" t="s">
        <v>908</v>
      </c>
      <c r="E47" s="44">
        <v>5</v>
      </c>
      <c r="F47" s="7"/>
      <c r="G47" s="7"/>
      <c r="H47" s="2" t="s">
        <v>909</v>
      </c>
      <c r="I47" s="7" t="s">
        <v>910</v>
      </c>
      <c r="J47" s="7" t="s">
        <v>911</v>
      </c>
      <c r="K47" s="7" t="s">
        <v>55</v>
      </c>
      <c r="L47" s="7" t="s">
        <v>912</v>
      </c>
      <c r="M47" s="7"/>
      <c r="N47" s="7"/>
      <c r="O47" s="48" t="s">
        <v>22</v>
      </c>
      <c r="P47" s="48" t="s">
        <v>913</v>
      </c>
      <c r="Q47" s="60" t="s">
        <v>914</v>
      </c>
      <c r="R47" s="48" t="s">
        <v>915</v>
      </c>
      <c r="S47" s="48" t="s">
        <v>62</v>
      </c>
      <c r="T47" s="4" t="s">
        <v>916</v>
      </c>
      <c r="U47" s="7" t="s">
        <v>214</v>
      </c>
      <c r="V47" s="7" t="s">
        <v>916</v>
      </c>
      <c r="W47" s="37">
        <v>3.4</v>
      </c>
      <c r="X47" s="49" t="s">
        <v>214</v>
      </c>
      <c r="Y47" s="49" t="s">
        <v>214</v>
      </c>
      <c r="Z47" s="49" t="s">
        <v>214</v>
      </c>
      <c r="AA47" s="65">
        <v>0.56000000000000005</v>
      </c>
      <c r="AB47" s="48" t="s">
        <v>924</v>
      </c>
      <c r="AC47" s="62" t="s">
        <v>913</v>
      </c>
      <c r="AD47" s="53" t="str">
        <f t="shared" ref="AD47:AD49" si="34">HYPERLINK("http://www.sfu.ca/programs","Link")</f>
        <v>Link</v>
      </c>
      <c r="AE47" s="8" t="s">
        <v>214</v>
      </c>
      <c r="AF47" s="55"/>
      <c r="AG47" s="7"/>
      <c r="AH47" s="7"/>
      <c r="AI47" s="7"/>
      <c r="AJ47" s="7"/>
      <c r="AK47" s="7"/>
      <c r="AL47" s="7"/>
    </row>
    <row r="48" spans="1:38" ht="13" x14ac:dyDescent="0.15">
      <c r="A48" s="36" t="s">
        <v>906</v>
      </c>
      <c r="B48" s="110" t="s">
        <v>907</v>
      </c>
      <c r="C48" s="7" t="s">
        <v>41</v>
      </c>
      <c r="D48" s="7" t="s">
        <v>932</v>
      </c>
      <c r="E48" s="44">
        <v>5</v>
      </c>
      <c r="F48" s="7"/>
      <c r="G48" s="7"/>
      <c r="H48" s="2" t="s">
        <v>909</v>
      </c>
      <c r="I48" s="7" t="s">
        <v>933</v>
      </c>
      <c r="J48" s="7" t="s">
        <v>934</v>
      </c>
      <c r="K48" s="7" t="s">
        <v>55</v>
      </c>
      <c r="L48" s="7"/>
      <c r="M48" s="7"/>
      <c r="N48" s="7"/>
      <c r="O48" s="48" t="s">
        <v>22</v>
      </c>
      <c r="P48" s="48" t="s">
        <v>913</v>
      </c>
      <c r="Q48" s="60" t="s">
        <v>914</v>
      </c>
      <c r="R48" s="48" t="s">
        <v>915</v>
      </c>
      <c r="S48" s="48" t="s">
        <v>62</v>
      </c>
      <c r="T48" s="4" t="s">
        <v>916</v>
      </c>
      <c r="U48" s="7" t="s">
        <v>214</v>
      </c>
      <c r="V48" s="7" t="s">
        <v>916</v>
      </c>
      <c r="W48" s="37">
        <v>3.4</v>
      </c>
      <c r="X48" s="49" t="s">
        <v>214</v>
      </c>
      <c r="Y48" s="49" t="s">
        <v>214</v>
      </c>
      <c r="Z48" s="49" t="s">
        <v>214</v>
      </c>
      <c r="AA48" s="65">
        <v>0.56000000000000005</v>
      </c>
      <c r="AB48" s="48" t="s">
        <v>924</v>
      </c>
      <c r="AC48" s="62" t="s">
        <v>913</v>
      </c>
      <c r="AD48" s="53" t="str">
        <f t="shared" si="34"/>
        <v>Link</v>
      </c>
      <c r="AE48" s="8" t="s">
        <v>214</v>
      </c>
      <c r="AF48" s="55"/>
      <c r="AG48" s="7"/>
      <c r="AH48" s="7"/>
      <c r="AI48" s="7"/>
      <c r="AJ48" s="7"/>
      <c r="AK48" s="7"/>
      <c r="AL48" s="7"/>
    </row>
    <row r="49" spans="1:38" ht="13" x14ac:dyDescent="0.15">
      <c r="A49" s="36" t="s">
        <v>906</v>
      </c>
      <c r="B49" s="110" t="s">
        <v>907</v>
      </c>
      <c r="C49" s="7" t="s">
        <v>41</v>
      </c>
      <c r="D49" s="7" t="s">
        <v>947</v>
      </c>
      <c r="E49" s="44">
        <v>5</v>
      </c>
      <c r="F49" s="7"/>
      <c r="G49" s="7"/>
      <c r="H49" s="2" t="s">
        <v>909</v>
      </c>
      <c r="I49" s="7" t="s">
        <v>948</v>
      </c>
      <c r="J49" s="7" t="s">
        <v>949</v>
      </c>
      <c r="K49" s="7" t="s">
        <v>48</v>
      </c>
      <c r="L49" s="7" t="s">
        <v>950</v>
      </c>
      <c r="M49" s="44" t="s">
        <v>951</v>
      </c>
      <c r="N49" s="44"/>
      <c r="O49" s="48" t="s">
        <v>22</v>
      </c>
      <c r="P49" s="48" t="s">
        <v>913</v>
      </c>
      <c r="Q49" s="60" t="s">
        <v>914</v>
      </c>
      <c r="R49" s="48" t="s">
        <v>915</v>
      </c>
      <c r="S49" s="48" t="s">
        <v>62</v>
      </c>
      <c r="T49" s="4" t="s">
        <v>916</v>
      </c>
      <c r="U49" s="7" t="s">
        <v>214</v>
      </c>
      <c r="V49" s="7" t="s">
        <v>916</v>
      </c>
      <c r="W49" s="37">
        <v>3.4</v>
      </c>
      <c r="X49" s="49" t="s">
        <v>214</v>
      </c>
      <c r="Y49" s="49" t="s">
        <v>214</v>
      </c>
      <c r="Z49" s="49" t="s">
        <v>214</v>
      </c>
      <c r="AA49" s="65">
        <v>0.56000000000000005</v>
      </c>
      <c r="AB49" s="48" t="s">
        <v>924</v>
      </c>
      <c r="AC49" s="62" t="s">
        <v>913</v>
      </c>
      <c r="AD49" s="53" t="str">
        <f t="shared" si="34"/>
        <v>Link</v>
      </c>
      <c r="AE49" s="8" t="s">
        <v>214</v>
      </c>
      <c r="AF49" s="55"/>
      <c r="AG49" s="7"/>
      <c r="AH49" s="7"/>
      <c r="AI49" s="7"/>
      <c r="AJ49" s="7"/>
      <c r="AK49" s="44"/>
      <c r="AL49" s="44"/>
    </row>
    <row r="50" spans="1:38" ht="15" x14ac:dyDescent="0.2">
      <c r="A50" s="57" t="s">
        <v>955</v>
      </c>
      <c r="B50" s="110" t="s">
        <v>300</v>
      </c>
      <c r="C50" s="7" t="s">
        <v>41</v>
      </c>
      <c r="D50" s="7" t="s">
        <v>959</v>
      </c>
      <c r="E50" s="44">
        <v>5</v>
      </c>
      <c r="F50" s="7" t="s">
        <v>116</v>
      </c>
      <c r="G50" s="7"/>
      <c r="H50" s="2" t="s">
        <v>961</v>
      </c>
      <c r="I50" s="7" t="s">
        <v>962</v>
      </c>
      <c r="J50" s="7" t="s">
        <v>963</v>
      </c>
      <c r="K50" s="7" t="s">
        <v>55</v>
      </c>
      <c r="L50" s="7" t="s">
        <v>964</v>
      </c>
      <c r="M50" s="7" t="s">
        <v>966</v>
      </c>
      <c r="N50" s="45" t="str">
        <f t="shared" ref="N50:N51" si="35">HYPERLINK("twitter.com/ARTUSoftball","@ARTUSoftball")</f>
        <v>@ARTUSoftball</v>
      </c>
      <c r="O50" s="45" t="str">
        <f t="shared" ref="O50:O52" si="36">HYPERLINK("https://artuathletics.com/sports/2009/7/22/Recruit%20Page.aspx","Questionnaire")</f>
        <v>Questionnaire</v>
      </c>
      <c r="P50" s="48" t="s">
        <v>972</v>
      </c>
      <c r="Q50" s="47" t="s">
        <v>312</v>
      </c>
      <c r="R50" s="48" t="s">
        <v>973</v>
      </c>
      <c r="S50" s="48" t="s">
        <v>354</v>
      </c>
      <c r="T50" s="73" t="s">
        <v>974</v>
      </c>
      <c r="U50" s="7" t="s">
        <v>75</v>
      </c>
      <c r="V50" s="7" t="s">
        <v>976</v>
      </c>
      <c r="W50" s="7" t="s">
        <v>214</v>
      </c>
      <c r="X50" s="49" t="s">
        <v>214</v>
      </c>
      <c r="Y50" s="49" t="s">
        <v>214</v>
      </c>
      <c r="Z50" s="49" t="s">
        <v>214</v>
      </c>
      <c r="AA50" s="55" t="s">
        <v>214</v>
      </c>
      <c r="AB50" s="54">
        <v>41234</v>
      </c>
      <c r="AC50" s="52" t="s">
        <v>972</v>
      </c>
      <c r="AD50" s="53" t="str">
        <f t="shared" ref="AD50:AD52" si="37">HYPERLINK("https://www.academyart.edu/academics","Link")</f>
        <v>Link</v>
      </c>
      <c r="AE50" s="54">
        <v>12608</v>
      </c>
      <c r="AF50" s="55"/>
      <c r="AG50" s="7"/>
      <c r="AH50" s="56">
        <v>108232</v>
      </c>
      <c r="AI50" s="7"/>
      <c r="AJ50" s="7"/>
      <c r="AK50" s="7"/>
      <c r="AL50" s="7"/>
    </row>
    <row r="51" spans="1:38" ht="15" x14ac:dyDescent="0.2">
      <c r="A51" s="57" t="s">
        <v>955</v>
      </c>
      <c r="B51" s="110" t="s">
        <v>300</v>
      </c>
      <c r="C51" s="7" t="s">
        <v>41</v>
      </c>
      <c r="D51" s="7" t="s">
        <v>985</v>
      </c>
      <c r="E51" s="44">
        <v>5</v>
      </c>
      <c r="F51" s="7" t="s">
        <v>116</v>
      </c>
      <c r="G51" s="7"/>
      <c r="H51" s="2" t="s">
        <v>961</v>
      </c>
      <c r="I51" s="7" t="s">
        <v>986</v>
      </c>
      <c r="J51" s="7" t="s">
        <v>987</v>
      </c>
      <c r="K51" s="7" t="s">
        <v>154</v>
      </c>
      <c r="L51" s="7" t="s">
        <v>989</v>
      </c>
      <c r="M51" s="7"/>
      <c r="N51" s="45" t="str">
        <f t="shared" si="35"/>
        <v>@ARTUSoftball</v>
      </c>
      <c r="O51" s="45" t="str">
        <f t="shared" si="36"/>
        <v>Questionnaire</v>
      </c>
      <c r="P51" s="48" t="s">
        <v>972</v>
      </c>
      <c r="Q51" s="47" t="s">
        <v>312</v>
      </c>
      <c r="R51" s="48" t="s">
        <v>973</v>
      </c>
      <c r="S51" s="48" t="s">
        <v>354</v>
      </c>
      <c r="T51" s="73" t="s">
        <v>974</v>
      </c>
      <c r="U51" s="7" t="s">
        <v>75</v>
      </c>
      <c r="V51" s="7" t="s">
        <v>976</v>
      </c>
      <c r="W51" s="7" t="s">
        <v>214</v>
      </c>
      <c r="X51" s="49" t="s">
        <v>214</v>
      </c>
      <c r="Y51" s="49" t="s">
        <v>214</v>
      </c>
      <c r="Z51" s="49" t="s">
        <v>214</v>
      </c>
      <c r="AA51" s="55" t="s">
        <v>214</v>
      </c>
      <c r="AB51" s="54">
        <v>41234</v>
      </c>
      <c r="AC51" s="52" t="s">
        <v>972</v>
      </c>
      <c r="AD51" s="53" t="str">
        <f t="shared" si="37"/>
        <v>Link</v>
      </c>
      <c r="AE51" s="54">
        <v>12608</v>
      </c>
      <c r="AF51" s="55"/>
      <c r="AG51" s="7"/>
      <c r="AH51" s="56">
        <v>108232</v>
      </c>
      <c r="AI51" s="7"/>
      <c r="AJ51" s="7"/>
      <c r="AK51" s="7"/>
      <c r="AL51" s="7"/>
    </row>
    <row r="52" spans="1:38" ht="15" x14ac:dyDescent="0.2">
      <c r="A52" s="57" t="s">
        <v>955</v>
      </c>
      <c r="B52" s="110" t="s">
        <v>300</v>
      </c>
      <c r="C52" s="7" t="s">
        <v>41</v>
      </c>
      <c r="D52" s="7" t="s">
        <v>999</v>
      </c>
      <c r="E52" s="44">
        <v>5</v>
      </c>
      <c r="F52" s="7"/>
      <c r="G52" s="7"/>
      <c r="H52" s="2" t="s">
        <v>961</v>
      </c>
      <c r="I52" s="7" t="s">
        <v>363</v>
      </c>
      <c r="J52" s="7" t="s">
        <v>1002</v>
      </c>
      <c r="K52" s="7" t="s">
        <v>48</v>
      </c>
      <c r="L52" s="7" t="s">
        <v>1003</v>
      </c>
      <c r="M52" s="7" t="s">
        <v>1005</v>
      </c>
      <c r="N52" s="45" t="str">
        <f>HYPERLINK("twitter.com/artusoftball","@artusoftball")</f>
        <v>@artusoftball</v>
      </c>
      <c r="O52" s="45" t="str">
        <f t="shared" si="36"/>
        <v>Questionnaire</v>
      </c>
      <c r="P52" s="48" t="s">
        <v>972</v>
      </c>
      <c r="Q52" s="47" t="s">
        <v>312</v>
      </c>
      <c r="R52" s="48" t="s">
        <v>973</v>
      </c>
      <c r="S52" s="48" t="s">
        <v>354</v>
      </c>
      <c r="T52" s="73" t="s">
        <v>974</v>
      </c>
      <c r="U52" s="7" t="s">
        <v>75</v>
      </c>
      <c r="V52" s="7" t="s">
        <v>976</v>
      </c>
      <c r="W52" s="7" t="s">
        <v>214</v>
      </c>
      <c r="X52" s="49" t="s">
        <v>214</v>
      </c>
      <c r="Y52" s="49" t="s">
        <v>214</v>
      </c>
      <c r="Z52" s="49" t="s">
        <v>214</v>
      </c>
      <c r="AA52" s="55" t="s">
        <v>214</v>
      </c>
      <c r="AB52" s="54">
        <v>41234</v>
      </c>
      <c r="AC52" s="52" t="s">
        <v>972</v>
      </c>
      <c r="AD52" s="53" t="str">
        <f t="shared" si="37"/>
        <v>Link</v>
      </c>
      <c r="AE52" s="54">
        <v>12608</v>
      </c>
      <c r="AF52" s="55"/>
      <c r="AG52" s="7"/>
      <c r="AH52" s="56">
        <v>108232</v>
      </c>
      <c r="AI52" s="7"/>
      <c r="AJ52" s="7"/>
      <c r="AK52" s="7"/>
      <c r="AL52" s="7"/>
    </row>
    <row r="53" spans="1:38" ht="15" x14ac:dyDescent="0.2">
      <c r="A53" s="57" t="s">
        <v>955</v>
      </c>
      <c r="B53" s="110" t="s">
        <v>300</v>
      </c>
      <c r="C53" s="7" t="s">
        <v>41</v>
      </c>
      <c r="D53" s="7" t="s">
        <v>1013</v>
      </c>
      <c r="E53" s="44">
        <v>5</v>
      </c>
      <c r="F53" s="7"/>
      <c r="G53" s="7"/>
      <c r="H53" s="2" t="s">
        <v>1016</v>
      </c>
      <c r="I53" s="7" t="s">
        <v>1017</v>
      </c>
      <c r="J53" s="7" t="s">
        <v>1018</v>
      </c>
      <c r="K53" s="7" t="s">
        <v>55</v>
      </c>
      <c r="L53" s="7"/>
      <c r="M53" s="7"/>
      <c r="N53" s="45" t="str">
        <f t="shared" ref="N53:N58" si="38">HYPERLINK("twitter.com/apusoftball","@apusoftball")</f>
        <v>@apusoftball</v>
      </c>
      <c r="O53" s="45" t="str">
        <f t="shared" ref="O53:O58" si="39">HYPERLINK("https://athletics.apu.edu/sports/2016/8/5/recruiting.aspx","Questionnaire")</f>
        <v>Questionnaire</v>
      </c>
      <c r="P53" s="48" t="s">
        <v>1026</v>
      </c>
      <c r="Q53" s="47" t="s">
        <v>312</v>
      </c>
      <c r="R53" s="48" t="s">
        <v>1027</v>
      </c>
      <c r="S53" s="48" t="s">
        <v>468</v>
      </c>
      <c r="T53" s="49" t="s">
        <v>63</v>
      </c>
      <c r="U53" s="7" t="s">
        <v>1028</v>
      </c>
      <c r="V53" s="7"/>
      <c r="W53" s="44">
        <v>3.68</v>
      </c>
      <c r="X53" s="49" t="s">
        <v>356</v>
      </c>
      <c r="Y53" s="49" t="s">
        <v>1029</v>
      </c>
      <c r="Z53" s="49" t="s">
        <v>278</v>
      </c>
      <c r="AA53" s="51">
        <v>0.61450000000000005</v>
      </c>
      <c r="AB53" s="71">
        <v>50574</v>
      </c>
      <c r="AC53" s="52" t="s">
        <v>1026</v>
      </c>
      <c r="AD53" s="53" t="str">
        <f t="shared" ref="AD53:AD58" si="40">HYPERLINK("https://www.apu.edu/undergraduate-admissions/majors/","Link")</f>
        <v>Link</v>
      </c>
      <c r="AE53" s="54">
        <v>5770</v>
      </c>
      <c r="AF53" s="54">
        <v>187</v>
      </c>
      <c r="AG53" s="7"/>
      <c r="AH53" s="56">
        <v>109785</v>
      </c>
      <c r="AI53" s="7"/>
      <c r="AJ53" s="7"/>
      <c r="AK53" s="7"/>
      <c r="AL53" s="7"/>
    </row>
    <row r="54" spans="1:38" ht="15" x14ac:dyDescent="0.2">
      <c r="A54" s="57" t="s">
        <v>955</v>
      </c>
      <c r="B54" s="110" t="s">
        <v>300</v>
      </c>
      <c r="C54" s="7" t="s">
        <v>41</v>
      </c>
      <c r="D54" s="7" t="s">
        <v>1035</v>
      </c>
      <c r="E54" s="44">
        <v>5</v>
      </c>
      <c r="F54" s="7"/>
      <c r="G54" s="7"/>
      <c r="H54" s="2" t="s">
        <v>1016</v>
      </c>
      <c r="I54" s="7" t="s">
        <v>1037</v>
      </c>
      <c r="J54" s="7" t="s">
        <v>1038</v>
      </c>
      <c r="K54" s="7" t="s">
        <v>55</v>
      </c>
      <c r="L54" s="7"/>
      <c r="M54" s="7"/>
      <c r="N54" s="45" t="str">
        <f t="shared" si="38"/>
        <v>@apusoftball</v>
      </c>
      <c r="O54" s="45" t="str">
        <f t="shared" si="39"/>
        <v>Questionnaire</v>
      </c>
      <c r="P54" s="48" t="s">
        <v>1026</v>
      </c>
      <c r="Q54" s="47" t="s">
        <v>312</v>
      </c>
      <c r="R54" s="48" t="s">
        <v>1027</v>
      </c>
      <c r="S54" s="48" t="s">
        <v>468</v>
      </c>
      <c r="T54" s="49" t="s">
        <v>63</v>
      </c>
      <c r="U54" s="7" t="s">
        <v>1028</v>
      </c>
      <c r="V54" s="7"/>
      <c r="W54" s="44">
        <v>3.68</v>
      </c>
      <c r="X54" s="49" t="s">
        <v>356</v>
      </c>
      <c r="Y54" s="49" t="s">
        <v>1029</v>
      </c>
      <c r="Z54" s="49" t="s">
        <v>278</v>
      </c>
      <c r="AA54" s="51">
        <v>0.61450000000000005</v>
      </c>
      <c r="AB54" s="71">
        <v>50574</v>
      </c>
      <c r="AC54" s="52" t="s">
        <v>1026</v>
      </c>
      <c r="AD54" s="53" t="str">
        <f t="shared" si="40"/>
        <v>Link</v>
      </c>
      <c r="AE54" s="54">
        <v>5770</v>
      </c>
      <c r="AF54" s="54">
        <v>187</v>
      </c>
      <c r="AG54" s="7"/>
      <c r="AH54" s="56">
        <v>109785</v>
      </c>
      <c r="AI54" s="7"/>
      <c r="AJ54" s="7"/>
      <c r="AK54" s="7"/>
      <c r="AL54" s="7"/>
    </row>
    <row r="55" spans="1:38" ht="15" x14ac:dyDescent="0.2">
      <c r="A55" s="57" t="s">
        <v>955</v>
      </c>
      <c r="B55" s="110" t="s">
        <v>300</v>
      </c>
      <c r="C55" s="7" t="s">
        <v>41</v>
      </c>
      <c r="D55" s="7" t="s">
        <v>1045</v>
      </c>
      <c r="E55" s="44">
        <v>5</v>
      </c>
      <c r="F55" s="7"/>
      <c r="G55" s="7"/>
      <c r="H55" s="2" t="s">
        <v>1016</v>
      </c>
      <c r="I55" s="7" t="s">
        <v>1046</v>
      </c>
      <c r="J55" s="7" t="s">
        <v>1047</v>
      </c>
      <c r="K55" s="7" t="s">
        <v>1048</v>
      </c>
      <c r="L55" s="7" t="s">
        <v>1049</v>
      </c>
      <c r="M55" s="7" t="s">
        <v>1050</v>
      </c>
      <c r="N55" s="45" t="str">
        <f t="shared" si="38"/>
        <v>@apusoftball</v>
      </c>
      <c r="O55" s="45" t="str">
        <f t="shared" si="39"/>
        <v>Questionnaire</v>
      </c>
      <c r="P55" s="48" t="s">
        <v>1026</v>
      </c>
      <c r="Q55" s="47" t="s">
        <v>312</v>
      </c>
      <c r="R55" s="48" t="s">
        <v>1027</v>
      </c>
      <c r="S55" s="48" t="s">
        <v>468</v>
      </c>
      <c r="T55" s="49" t="s">
        <v>63</v>
      </c>
      <c r="U55" s="7" t="s">
        <v>1028</v>
      </c>
      <c r="V55" s="7"/>
      <c r="W55" s="44">
        <v>3.68</v>
      </c>
      <c r="X55" s="49" t="s">
        <v>356</v>
      </c>
      <c r="Y55" s="49" t="s">
        <v>1029</v>
      </c>
      <c r="Z55" s="49" t="s">
        <v>278</v>
      </c>
      <c r="AA55" s="51">
        <v>0.61450000000000005</v>
      </c>
      <c r="AB55" s="71">
        <v>50574</v>
      </c>
      <c r="AC55" s="52" t="s">
        <v>1026</v>
      </c>
      <c r="AD55" s="53" t="str">
        <f t="shared" si="40"/>
        <v>Link</v>
      </c>
      <c r="AE55" s="54">
        <v>5770</v>
      </c>
      <c r="AF55" s="54">
        <v>187</v>
      </c>
      <c r="AG55" s="7"/>
      <c r="AH55" s="56">
        <v>109785</v>
      </c>
      <c r="AI55" s="7"/>
      <c r="AJ55" s="7"/>
      <c r="AK55" s="7"/>
      <c r="AL55" s="7"/>
    </row>
    <row r="56" spans="1:38" ht="15" x14ac:dyDescent="0.2">
      <c r="A56" s="57" t="s">
        <v>955</v>
      </c>
      <c r="B56" s="110" t="s">
        <v>300</v>
      </c>
      <c r="C56" s="7" t="s">
        <v>41</v>
      </c>
      <c r="D56" s="7" t="s">
        <v>1045</v>
      </c>
      <c r="E56" s="44">
        <v>5</v>
      </c>
      <c r="F56" s="7"/>
      <c r="G56" s="7"/>
      <c r="H56" s="2" t="s">
        <v>1016</v>
      </c>
      <c r="I56" s="7" t="s">
        <v>1046</v>
      </c>
      <c r="J56" s="7" t="s">
        <v>1047</v>
      </c>
      <c r="K56" s="7" t="s">
        <v>48</v>
      </c>
      <c r="L56" s="7" t="s">
        <v>1062</v>
      </c>
      <c r="M56" s="7" t="s">
        <v>1050</v>
      </c>
      <c r="N56" s="45" t="str">
        <f t="shared" si="38"/>
        <v>@apusoftball</v>
      </c>
      <c r="O56" s="45" t="str">
        <f t="shared" si="39"/>
        <v>Questionnaire</v>
      </c>
      <c r="P56" s="48" t="s">
        <v>1026</v>
      </c>
      <c r="Q56" s="47" t="s">
        <v>312</v>
      </c>
      <c r="R56" s="48" t="s">
        <v>1027</v>
      </c>
      <c r="S56" s="48" t="s">
        <v>468</v>
      </c>
      <c r="T56" s="49" t="s">
        <v>63</v>
      </c>
      <c r="U56" s="7" t="s">
        <v>1028</v>
      </c>
      <c r="V56" s="7"/>
      <c r="W56" s="44">
        <v>3.68</v>
      </c>
      <c r="X56" s="49" t="s">
        <v>356</v>
      </c>
      <c r="Y56" s="49" t="s">
        <v>1029</v>
      </c>
      <c r="Z56" s="49" t="s">
        <v>278</v>
      </c>
      <c r="AA56" s="51">
        <v>0.61450000000000005</v>
      </c>
      <c r="AB56" s="71">
        <v>50574</v>
      </c>
      <c r="AC56" s="52" t="s">
        <v>1026</v>
      </c>
      <c r="AD56" s="53" t="str">
        <f t="shared" si="40"/>
        <v>Link</v>
      </c>
      <c r="AE56" s="54">
        <v>5770</v>
      </c>
      <c r="AF56" s="54">
        <v>187</v>
      </c>
      <c r="AG56" s="7"/>
      <c r="AH56" s="56">
        <v>109785</v>
      </c>
      <c r="AI56" s="7"/>
      <c r="AJ56" s="7"/>
      <c r="AK56" s="7"/>
      <c r="AL56" s="7"/>
    </row>
    <row r="57" spans="1:38" ht="15" x14ac:dyDescent="0.2">
      <c r="A57" s="57" t="s">
        <v>955</v>
      </c>
      <c r="B57" s="110" t="s">
        <v>300</v>
      </c>
      <c r="C57" s="7" t="s">
        <v>41</v>
      </c>
      <c r="D57" s="7" t="s">
        <v>1069</v>
      </c>
      <c r="E57" s="44">
        <v>5</v>
      </c>
      <c r="F57" s="7" t="s">
        <v>116</v>
      </c>
      <c r="G57" s="7"/>
      <c r="H57" s="2" t="s">
        <v>1016</v>
      </c>
      <c r="I57" s="7" t="s">
        <v>1071</v>
      </c>
      <c r="J57" s="7" t="s">
        <v>1072</v>
      </c>
      <c r="K57" s="7" t="s">
        <v>55</v>
      </c>
      <c r="L57" s="7" t="s">
        <v>1073</v>
      </c>
      <c r="M57" s="7"/>
      <c r="N57" s="45" t="str">
        <f t="shared" si="38"/>
        <v>@apusoftball</v>
      </c>
      <c r="O57" s="45" t="str">
        <f t="shared" si="39"/>
        <v>Questionnaire</v>
      </c>
      <c r="P57" s="48" t="s">
        <v>1026</v>
      </c>
      <c r="Q57" s="47" t="s">
        <v>312</v>
      </c>
      <c r="R57" s="48" t="s">
        <v>1027</v>
      </c>
      <c r="S57" s="48" t="s">
        <v>468</v>
      </c>
      <c r="T57" s="49" t="s">
        <v>63</v>
      </c>
      <c r="U57" s="7" t="s">
        <v>1028</v>
      </c>
      <c r="V57" s="7"/>
      <c r="W57" s="44">
        <v>3.68</v>
      </c>
      <c r="X57" s="49" t="s">
        <v>356</v>
      </c>
      <c r="Y57" s="49" t="s">
        <v>1029</v>
      </c>
      <c r="Z57" s="49" t="s">
        <v>278</v>
      </c>
      <c r="AA57" s="51">
        <v>0.61450000000000005</v>
      </c>
      <c r="AB57" s="71">
        <v>50574</v>
      </c>
      <c r="AC57" s="52" t="s">
        <v>1026</v>
      </c>
      <c r="AD57" s="53" t="str">
        <f t="shared" si="40"/>
        <v>Link</v>
      </c>
      <c r="AE57" s="54">
        <v>5770</v>
      </c>
      <c r="AF57" s="54">
        <v>187</v>
      </c>
      <c r="AG57" s="7"/>
      <c r="AH57" s="111">
        <v>109785</v>
      </c>
      <c r="AI57" s="57"/>
      <c r="AJ57" s="57"/>
      <c r="AK57" s="57"/>
      <c r="AL57" s="57"/>
    </row>
    <row r="58" spans="1:38" ht="15" x14ac:dyDescent="0.2">
      <c r="A58" s="57" t="s">
        <v>955</v>
      </c>
      <c r="B58" s="110" t="s">
        <v>300</v>
      </c>
      <c r="C58" s="7" t="s">
        <v>41</v>
      </c>
      <c r="D58" s="7" t="s">
        <v>1085</v>
      </c>
      <c r="E58" s="44">
        <v>5</v>
      </c>
      <c r="F58" s="7" t="s">
        <v>116</v>
      </c>
      <c r="G58" s="7"/>
      <c r="H58" s="2" t="s">
        <v>1016</v>
      </c>
      <c r="I58" s="7" t="s">
        <v>1086</v>
      </c>
      <c r="J58" s="7" t="s">
        <v>1087</v>
      </c>
      <c r="K58" s="7" t="s">
        <v>55</v>
      </c>
      <c r="L58" s="7"/>
      <c r="M58" s="7"/>
      <c r="N58" s="45" t="str">
        <f t="shared" si="38"/>
        <v>@apusoftball</v>
      </c>
      <c r="O58" s="45" t="str">
        <f t="shared" si="39"/>
        <v>Questionnaire</v>
      </c>
      <c r="P58" s="48" t="s">
        <v>1026</v>
      </c>
      <c r="Q58" s="47" t="s">
        <v>312</v>
      </c>
      <c r="R58" s="48" t="s">
        <v>1027</v>
      </c>
      <c r="S58" s="48" t="s">
        <v>468</v>
      </c>
      <c r="T58" s="49" t="s">
        <v>63</v>
      </c>
      <c r="U58" s="7" t="s">
        <v>1028</v>
      </c>
      <c r="V58" s="7"/>
      <c r="W58" s="44">
        <v>3.68</v>
      </c>
      <c r="X58" s="49" t="s">
        <v>356</v>
      </c>
      <c r="Y58" s="49" t="s">
        <v>1029</v>
      </c>
      <c r="Z58" s="49" t="s">
        <v>278</v>
      </c>
      <c r="AA58" s="51">
        <v>0.61450000000000005</v>
      </c>
      <c r="AB58" s="71">
        <v>50574</v>
      </c>
      <c r="AC58" s="52" t="s">
        <v>1026</v>
      </c>
      <c r="AD58" s="53" t="str">
        <f t="shared" si="40"/>
        <v>Link</v>
      </c>
      <c r="AE58" s="54">
        <v>5770</v>
      </c>
      <c r="AF58" s="54">
        <v>187</v>
      </c>
      <c r="AG58" s="7"/>
      <c r="AH58" s="111">
        <v>109785</v>
      </c>
      <c r="AI58" s="57"/>
      <c r="AJ58" s="57"/>
      <c r="AK58" s="57"/>
      <c r="AL58" s="57"/>
    </row>
    <row r="59" spans="1:38" ht="15" x14ac:dyDescent="0.2">
      <c r="A59" s="57" t="s">
        <v>955</v>
      </c>
      <c r="B59" s="110" t="s">
        <v>300</v>
      </c>
      <c r="C59" s="7" t="s">
        <v>41</v>
      </c>
      <c r="D59" s="7" t="s">
        <v>1098</v>
      </c>
      <c r="E59" s="37">
        <v>5</v>
      </c>
      <c r="F59" s="7"/>
      <c r="G59" s="7"/>
      <c r="H59" s="2" t="s">
        <v>1099</v>
      </c>
      <c r="I59" s="7" t="s">
        <v>1100</v>
      </c>
      <c r="J59" s="7" t="s">
        <v>1101</v>
      </c>
      <c r="K59" s="7" t="s">
        <v>55</v>
      </c>
      <c r="L59" s="7"/>
      <c r="M59" s="7"/>
      <c r="N59" s="45" t="str">
        <f t="shared" ref="N59:N62" si="41">HYPERLINK("twitter.com/biolasoftball","@biolasoftball")</f>
        <v>@biolasoftball</v>
      </c>
      <c r="O59" s="45" t="str">
        <f t="shared" ref="O59:O62" si="42">HYPERLINK("https://athletics.biola.edu/sports/2006/11/12/recruiting.aspx","Questionnaire")</f>
        <v>Questionnaire</v>
      </c>
      <c r="P59" s="48" t="s">
        <v>1114</v>
      </c>
      <c r="Q59" s="47" t="s">
        <v>312</v>
      </c>
      <c r="R59" s="48" t="s">
        <v>1115</v>
      </c>
      <c r="S59" s="48" t="s">
        <v>468</v>
      </c>
      <c r="T59" s="73" t="s">
        <v>63</v>
      </c>
      <c r="U59" s="7" t="s">
        <v>1028</v>
      </c>
      <c r="V59" s="7"/>
      <c r="W59" s="44">
        <v>3.54</v>
      </c>
      <c r="X59" s="49" t="s">
        <v>688</v>
      </c>
      <c r="Y59" s="49" t="s">
        <v>801</v>
      </c>
      <c r="Z59" s="49" t="s">
        <v>545</v>
      </c>
      <c r="AA59" s="51">
        <v>0.64849999999999997</v>
      </c>
      <c r="AB59" s="71">
        <v>52242</v>
      </c>
      <c r="AC59" s="52" t="s">
        <v>1114</v>
      </c>
      <c r="AD59" s="53" t="str">
        <f t="shared" ref="AD59:AD62" si="43">HYPERLINK("http://catalog.biola.edu/biola-university-undergraduate/majors/","Link")</f>
        <v>Link</v>
      </c>
      <c r="AE59" s="54">
        <v>4091</v>
      </c>
      <c r="AF59" s="54">
        <v>159</v>
      </c>
      <c r="AG59" s="7"/>
      <c r="AH59" s="56">
        <v>110097</v>
      </c>
      <c r="AI59" s="7"/>
      <c r="AJ59" s="7"/>
      <c r="AK59" s="7"/>
      <c r="AL59" s="7"/>
    </row>
    <row r="60" spans="1:38" ht="15" x14ac:dyDescent="0.2">
      <c r="A60" s="57" t="s">
        <v>955</v>
      </c>
      <c r="B60" s="110" t="s">
        <v>300</v>
      </c>
      <c r="C60" s="7" t="s">
        <v>41</v>
      </c>
      <c r="D60" s="7" t="s">
        <v>1123</v>
      </c>
      <c r="E60" s="37">
        <v>5</v>
      </c>
      <c r="F60" s="7"/>
      <c r="G60" s="7"/>
      <c r="H60" s="2" t="s">
        <v>1099</v>
      </c>
      <c r="I60" s="7" t="s">
        <v>283</v>
      </c>
      <c r="J60" s="7" t="s">
        <v>1125</v>
      </c>
      <c r="K60" s="7" t="s">
        <v>55</v>
      </c>
      <c r="L60" s="7"/>
      <c r="M60" s="7"/>
      <c r="N60" s="45" t="str">
        <f t="shared" si="41"/>
        <v>@biolasoftball</v>
      </c>
      <c r="O60" s="45" t="str">
        <f t="shared" si="42"/>
        <v>Questionnaire</v>
      </c>
      <c r="P60" s="48" t="s">
        <v>1114</v>
      </c>
      <c r="Q60" s="47" t="s">
        <v>312</v>
      </c>
      <c r="R60" s="48" t="s">
        <v>1115</v>
      </c>
      <c r="S60" s="48" t="s">
        <v>468</v>
      </c>
      <c r="T60" s="73" t="s">
        <v>63</v>
      </c>
      <c r="U60" s="7" t="s">
        <v>1028</v>
      </c>
      <c r="V60" s="7"/>
      <c r="W60" s="44">
        <v>3.54</v>
      </c>
      <c r="X60" s="49" t="s">
        <v>688</v>
      </c>
      <c r="Y60" s="49" t="s">
        <v>801</v>
      </c>
      <c r="Z60" s="49" t="s">
        <v>545</v>
      </c>
      <c r="AA60" s="51">
        <v>0.64849999999999997</v>
      </c>
      <c r="AB60" s="71">
        <v>52242</v>
      </c>
      <c r="AC60" s="52" t="s">
        <v>1114</v>
      </c>
      <c r="AD60" s="53" t="str">
        <f t="shared" si="43"/>
        <v>Link</v>
      </c>
      <c r="AE60" s="54">
        <v>4091</v>
      </c>
      <c r="AF60" s="54">
        <v>159</v>
      </c>
      <c r="AG60" s="7"/>
      <c r="AH60" s="56">
        <v>110097</v>
      </c>
      <c r="AI60" s="7"/>
      <c r="AJ60" s="7"/>
      <c r="AK60" s="7"/>
      <c r="AL60" s="7"/>
    </row>
    <row r="61" spans="1:38" ht="15" x14ac:dyDescent="0.2">
      <c r="A61" s="57" t="s">
        <v>955</v>
      </c>
      <c r="B61" s="110" t="s">
        <v>300</v>
      </c>
      <c r="C61" s="7" t="s">
        <v>41</v>
      </c>
      <c r="D61" s="7" t="s">
        <v>1136</v>
      </c>
      <c r="E61" s="37">
        <v>5</v>
      </c>
      <c r="F61" s="7"/>
      <c r="G61" s="7"/>
      <c r="H61" s="2" t="s">
        <v>1099</v>
      </c>
      <c r="I61" s="7" t="s">
        <v>1137</v>
      </c>
      <c r="J61" s="7" t="s">
        <v>1138</v>
      </c>
      <c r="K61" s="7" t="s">
        <v>55</v>
      </c>
      <c r="L61" s="7" t="s">
        <v>1139</v>
      </c>
      <c r="M61" s="7"/>
      <c r="N61" s="45" t="str">
        <f t="shared" si="41"/>
        <v>@biolasoftball</v>
      </c>
      <c r="O61" s="45" t="str">
        <f t="shared" si="42"/>
        <v>Questionnaire</v>
      </c>
      <c r="P61" s="48" t="s">
        <v>1114</v>
      </c>
      <c r="Q61" s="47" t="s">
        <v>312</v>
      </c>
      <c r="R61" s="48" t="s">
        <v>1115</v>
      </c>
      <c r="S61" s="48" t="s">
        <v>468</v>
      </c>
      <c r="T61" s="73" t="s">
        <v>63</v>
      </c>
      <c r="U61" s="7" t="s">
        <v>1028</v>
      </c>
      <c r="V61" s="7"/>
      <c r="W61" s="44">
        <v>3.54</v>
      </c>
      <c r="X61" s="49" t="s">
        <v>688</v>
      </c>
      <c r="Y61" s="49" t="s">
        <v>801</v>
      </c>
      <c r="Z61" s="49" t="s">
        <v>545</v>
      </c>
      <c r="AA61" s="51">
        <v>0.64849999999999997</v>
      </c>
      <c r="AB61" s="71">
        <v>52242</v>
      </c>
      <c r="AC61" s="52" t="s">
        <v>1114</v>
      </c>
      <c r="AD61" s="53" t="str">
        <f t="shared" si="43"/>
        <v>Link</v>
      </c>
      <c r="AE61" s="54">
        <v>4091</v>
      </c>
      <c r="AF61" s="54">
        <v>159</v>
      </c>
      <c r="AG61" s="7"/>
      <c r="AH61" s="56">
        <v>110097</v>
      </c>
      <c r="AI61" s="7"/>
      <c r="AJ61" s="7"/>
      <c r="AK61" s="7"/>
      <c r="AL61" s="7"/>
    </row>
    <row r="62" spans="1:38" ht="15" x14ac:dyDescent="0.2">
      <c r="A62" s="57" t="s">
        <v>955</v>
      </c>
      <c r="B62" s="110" t="s">
        <v>300</v>
      </c>
      <c r="C62" s="7" t="s">
        <v>41</v>
      </c>
      <c r="D62" s="7" t="s">
        <v>1147</v>
      </c>
      <c r="E62" s="37">
        <v>5</v>
      </c>
      <c r="F62" s="7"/>
      <c r="G62" s="7"/>
      <c r="H62" s="2" t="s">
        <v>1099</v>
      </c>
      <c r="I62" s="7" t="s">
        <v>1148</v>
      </c>
      <c r="J62" s="7" t="s">
        <v>1149</v>
      </c>
      <c r="K62" s="7" t="s">
        <v>48</v>
      </c>
      <c r="L62" s="7" t="s">
        <v>1150</v>
      </c>
      <c r="M62" s="7" t="s">
        <v>1152</v>
      </c>
      <c r="N62" s="45" t="str">
        <f t="shared" si="41"/>
        <v>@biolasoftball</v>
      </c>
      <c r="O62" s="45" t="str">
        <f t="shared" si="42"/>
        <v>Questionnaire</v>
      </c>
      <c r="P62" s="48" t="s">
        <v>1114</v>
      </c>
      <c r="Q62" s="47" t="s">
        <v>312</v>
      </c>
      <c r="R62" s="48" t="s">
        <v>1115</v>
      </c>
      <c r="S62" s="48" t="s">
        <v>468</v>
      </c>
      <c r="T62" s="73" t="s">
        <v>63</v>
      </c>
      <c r="U62" s="7" t="s">
        <v>1028</v>
      </c>
      <c r="V62" s="7"/>
      <c r="W62" s="44">
        <v>3.54</v>
      </c>
      <c r="X62" s="49" t="s">
        <v>688</v>
      </c>
      <c r="Y62" s="49" t="s">
        <v>801</v>
      </c>
      <c r="Z62" s="49" t="s">
        <v>545</v>
      </c>
      <c r="AA62" s="51">
        <v>0.64849999999999997</v>
      </c>
      <c r="AB62" s="71">
        <v>52242</v>
      </c>
      <c r="AC62" s="52" t="s">
        <v>1114</v>
      </c>
      <c r="AD62" s="53" t="str">
        <f t="shared" si="43"/>
        <v>Link</v>
      </c>
      <c r="AE62" s="54">
        <v>4091</v>
      </c>
      <c r="AF62" s="54">
        <v>159</v>
      </c>
      <c r="AG62" s="7"/>
      <c r="AH62" s="56">
        <v>110097</v>
      </c>
      <c r="AI62" s="7"/>
      <c r="AJ62" s="7"/>
      <c r="AK62" s="7"/>
      <c r="AL62" s="7"/>
    </row>
    <row r="63" spans="1:38" ht="13" x14ac:dyDescent="0.15">
      <c r="A63" s="57" t="s">
        <v>1160</v>
      </c>
      <c r="B63" s="110" t="s">
        <v>300</v>
      </c>
      <c r="C63" s="7" t="s">
        <v>41</v>
      </c>
      <c r="D63" s="7" t="s">
        <v>1162</v>
      </c>
      <c r="E63" s="44">
        <v>5</v>
      </c>
      <c r="F63" s="7"/>
      <c r="G63" s="7"/>
      <c r="H63" s="2" t="s">
        <v>1165</v>
      </c>
      <c r="I63" s="7" t="s">
        <v>1167</v>
      </c>
      <c r="J63" s="7" t="s">
        <v>1124</v>
      </c>
      <c r="K63" s="7" t="s">
        <v>55</v>
      </c>
      <c r="L63" s="7"/>
      <c r="M63" s="7" t="s">
        <v>1169</v>
      </c>
      <c r="N63" s="45" t="str">
        <f t="shared" ref="N63:N65" si="44">HYPERLINK("twitter.com/chicostatesb","@chicostatesb")</f>
        <v>@chicostatesb</v>
      </c>
      <c r="O63" s="45" t="str">
        <f t="shared" ref="O63:O65" si="45">HYPERLINK("https://chicowildcats.com/sb_output.aspx?form=3&amp;path=msoc","Questionnaire")</f>
        <v>Questionnaire</v>
      </c>
      <c r="P63" s="48" t="s">
        <v>1173</v>
      </c>
      <c r="Q63" s="60" t="s">
        <v>312</v>
      </c>
      <c r="R63" s="48" t="s">
        <v>1174</v>
      </c>
      <c r="S63" s="48" t="s">
        <v>238</v>
      </c>
      <c r="T63" s="49" t="s">
        <v>74</v>
      </c>
      <c r="U63" s="7" t="s">
        <v>75</v>
      </c>
      <c r="V63" s="7"/>
      <c r="W63" s="44">
        <v>3.27</v>
      </c>
      <c r="X63" s="49" t="s">
        <v>1144</v>
      </c>
      <c r="Y63" s="49" t="s">
        <v>1144</v>
      </c>
      <c r="Z63" s="49" t="s">
        <v>125</v>
      </c>
      <c r="AA63" s="51">
        <v>0.68130000000000002</v>
      </c>
      <c r="AB63" s="48" t="s">
        <v>1181</v>
      </c>
      <c r="AC63" s="92" t="s">
        <v>1173</v>
      </c>
      <c r="AD63" s="53" t="str">
        <f t="shared" ref="AD63:AD65" si="46">HYPERLINK("https://catalog.csuchico.edu/viewer/search/programs.html","Link")</f>
        <v>Link</v>
      </c>
      <c r="AE63" s="54">
        <v>16471</v>
      </c>
      <c r="AF63" s="55"/>
      <c r="AG63" s="7"/>
      <c r="AH63" s="56">
        <v>110538</v>
      </c>
      <c r="AI63" s="7"/>
      <c r="AJ63" s="7"/>
      <c r="AK63" s="7"/>
      <c r="AL63" s="7"/>
    </row>
    <row r="64" spans="1:38" ht="13" x14ac:dyDescent="0.15">
      <c r="A64" s="57" t="s">
        <v>1160</v>
      </c>
      <c r="B64" s="110" t="s">
        <v>300</v>
      </c>
      <c r="C64" s="7" t="s">
        <v>41</v>
      </c>
      <c r="D64" s="7" t="s">
        <v>1192</v>
      </c>
      <c r="E64" s="44">
        <v>5</v>
      </c>
      <c r="F64" s="7"/>
      <c r="G64" s="7"/>
      <c r="H64" s="2" t="s">
        <v>1165</v>
      </c>
      <c r="I64" s="7" t="s">
        <v>431</v>
      </c>
      <c r="J64" s="7" t="s">
        <v>1197</v>
      </c>
      <c r="K64" s="7" t="s">
        <v>48</v>
      </c>
      <c r="L64" s="7" t="s">
        <v>1199</v>
      </c>
      <c r="M64" s="7" t="s">
        <v>1169</v>
      </c>
      <c r="N64" s="45" t="str">
        <f t="shared" si="44"/>
        <v>@chicostatesb</v>
      </c>
      <c r="O64" s="45" t="str">
        <f t="shared" si="45"/>
        <v>Questionnaire</v>
      </c>
      <c r="P64" s="48" t="s">
        <v>1173</v>
      </c>
      <c r="Q64" s="60" t="s">
        <v>312</v>
      </c>
      <c r="R64" s="48" t="s">
        <v>1174</v>
      </c>
      <c r="S64" s="48" t="s">
        <v>238</v>
      </c>
      <c r="T64" s="49" t="s">
        <v>74</v>
      </c>
      <c r="U64" s="7" t="s">
        <v>75</v>
      </c>
      <c r="V64" s="7"/>
      <c r="W64" s="44">
        <v>3.27</v>
      </c>
      <c r="X64" s="49" t="s">
        <v>1144</v>
      </c>
      <c r="Y64" s="49" t="s">
        <v>1144</v>
      </c>
      <c r="Z64" s="49" t="s">
        <v>125</v>
      </c>
      <c r="AA64" s="51">
        <v>0.68130000000000002</v>
      </c>
      <c r="AB64" s="48" t="s">
        <v>1181</v>
      </c>
      <c r="AC64" s="92" t="s">
        <v>1173</v>
      </c>
      <c r="AD64" s="53" t="str">
        <f t="shared" si="46"/>
        <v>Link</v>
      </c>
      <c r="AE64" s="54">
        <v>16471</v>
      </c>
      <c r="AF64" s="55"/>
      <c r="AG64" s="7"/>
      <c r="AH64" s="56">
        <v>110538</v>
      </c>
      <c r="AI64" s="7"/>
      <c r="AJ64" s="7"/>
      <c r="AK64" s="7"/>
      <c r="AL64" s="7"/>
    </row>
    <row r="65" spans="1:38" ht="13" x14ac:dyDescent="0.15">
      <c r="A65" s="57" t="s">
        <v>1160</v>
      </c>
      <c r="B65" s="110" t="s">
        <v>300</v>
      </c>
      <c r="C65" s="7" t="s">
        <v>41</v>
      </c>
      <c r="D65" s="7" t="s">
        <v>1205</v>
      </c>
      <c r="E65" s="44">
        <v>5</v>
      </c>
      <c r="F65" s="7" t="s">
        <v>116</v>
      </c>
      <c r="G65" s="7"/>
      <c r="H65" s="2" t="s">
        <v>1165</v>
      </c>
      <c r="I65" s="7" t="s">
        <v>852</v>
      </c>
      <c r="J65" s="7" t="s">
        <v>1206</v>
      </c>
      <c r="K65" s="7" t="s">
        <v>55</v>
      </c>
      <c r="L65" s="7"/>
      <c r="M65" s="7" t="s">
        <v>1169</v>
      </c>
      <c r="N65" s="45" t="str">
        <f t="shared" si="44"/>
        <v>@chicostatesb</v>
      </c>
      <c r="O65" s="45" t="str">
        <f t="shared" si="45"/>
        <v>Questionnaire</v>
      </c>
      <c r="P65" s="48" t="s">
        <v>1173</v>
      </c>
      <c r="Q65" s="60" t="s">
        <v>312</v>
      </c>
      <c r="R65" s="48" t="s">
        <v>1174</v>
      </c>
      <c r="S65" s="48" t="s">
        <v>238</v>
      </c>
      <c r="T65" s="49" t="s">
        <v>74</v>
      </c>
      <c r="U65" s="7" t="s">
        <v>75</v>
      </c>
      <c r="V65" s="7"/>
      <c r="W65" s="44">
        <v>3.27</v>
      </c>
      <c r="X65" s="49" t="s">
        <v>1144</v>
      </c>
      <c r="Y65" s="49" t="s">
        <v>1144</v>
      </c>
      <c r="Z65" s="49" t="s">
        <v>125</v>
      </c>
      <c r="AA65" s="51">
        <v>0.68130000000000002</v>
      </c>
      <c r="AB65" s="48" t="s">
        <v>1181</v>
      </c>
      <c r="AC65" s="92" t="s">
        <v>1173</v>
      </c>
      <c r="AD65" s="53" t="str">
        <f t="shared" si="46"/>
        <v>Link</v>
      </c>
      <c r="AE65" s="54">
        <v>16471</v>
      </c>
      <c r="AF65" s="55"/>
      <c r="AG65" s="7"/>
      <c r="AH65" s="111">
        <v>110538</v>
      </c>
      <c r="AI65" s="57"/>
      <c r="AJ65" s="57"/>
      <c r="AK65" s="57"/>
      <c r="AL65" s="57"/>
    </row>
    <row r="66" spans="1:38" ht="15" x14ac:dyDescent="0.2">
      <c r="A66" s="57" t="s">
        <v>1160</v>
      </c>
      <c r="B66" s="110" t="s">
        <v>300</v>
      </c>
      <c r="C66" s="7" t="s">
        <v>41</v>
      </c>
      <c r="D66" s="7" t="s">
        <v>1220</v>
      </c>
      <c r="E66" s="44">
        <v>5</v>
      </c>
      <c r="F66" s="7"/>
      <c r="G66" s="7"/>
      <c r="H66" s="2" t="s">
        <v>1224</v>
      </c>
      <c r="I66" s="7" t="s">
        <v>234</v>
      </c>
      <c r="J66" s="7" t="s">
        <v>1226</v>
      </c>
      <c r="K66" s="7" t="s">
        <v>55</v>
      </c>
      <c r="L66" s="7" t="s">
        <v>1227</v>
      </c>
      <c r="M66" s="7" t="s">
        <v>1228</v>
      </c>
      <c r="N66" s="45" t="str">
        <f t="shared" ref="N66:N68" si="47">HYPERLINK("twitter.com/csudhsoftball","@csudhsoftball")</f>
        <v>@csudhsoftball</v>
      </c>
      <c r="O66" s="45" t="str">
        <f t="shared" ref="O66:O68" si="48">HYPERLINK("https://gotoros.com/sb_output.aspx?form=7&amp;path=baseball","Questionnaire")</f>
        <v>Questionnaire</v>
      </c>
      <c r="P66" s="48" t="s">
        <v>1241</v>
      </c>
      <c r="Q66" s="60" t="s">
        <v>312</v>
      </c>
      <c r="R66" s="48" t="s">
        <v>1242</v>
      </c>
      <c r="S66" s="48" t="s">
        <v>238</v>
      </c>
      <c r="T66" s="49" t="s">
        <v>74</v>
      </c>
      <c r="U66" s="7" t="s">
        <v>75</v>
      </c>
      <c r="V66" s="7"/>
      <c r="W66" s="44">
        <v>3.13</v>
      </c>
      <c r="X66" s="49" t="s">
        <v>1244</v>
      </c>
      <c r="Y66" s="49" t="s">
        <v>1244</v>
      </c>
      <c r="Z66" s="49" t="s">
        <v>214</v>
      </c>
      <c r="AA66" s="51">
        <v>0.47910000000000003</v>
      </c>
      <c r="AB66" s="48" t="s">
        <v>1248</v>
      </c>
      <c r="AC66" s="52" t="s">
        <v>1241</v>
      </c>
      <c r="AD66" s="53" t="str">
        <f t="shared" ref="AD66:AD68" si="49">HYPERLINK("https://www.csudh.edu/future-students/more-info/undergrad-majors-programs/","Link")</f>
        <v>Link</v>
      </c>
      <c r="AE66" s="54">
        <v>12685</v>
      </c>
      <c r="AF66" s="55"/>
      <c r="AG66" s="7"/>
      <c r="AH66" s="56">
        <v>110547</v>
      </c>
      <c r="AI66" s="7"/>
      <c r="AJ66" s="7"/>
      <c r="AK66" s="7"/>
      <c r="AL66" s="7"/>
    </row>
    <row r="67" spans="1:38" ht="15" x14ac:dyDescent="0.2">
      <c r="A67" s="57" t="s">
        <v>1160</v>
      </c>
      <c r="B67" s="110" t="s">
        <v>300</v>
      </c>
      <c r="C67" s="7" t="s">
        <v>41</v>
      </c>
      <c r="D67" s="7" t="s">
        <v>1256</v>
      </c>
      <c r="E67" s="44">
        <v>5</v>
      </c>
      <c r="F67" s="7"/>
      <c r="G67" s="7"/>
      <c r="H67" s="2" t="s">
        <v>1224</v>
      </c>
      <c r="I67" s="7" t="s">
        <v>1258</v>
      </c>
      <c r="J67" s="7" t="s">
        <v>1259</v>
      </c>
      <c r="K67" s="7" t="s">
        <v>55</v>
      </c>
      <c r="L67" s="7" t="s">
        <v>1260</v>
      </c>
      <c r="M67" s="7" t="s">
        <v>1228</v>
      </c>
      <c r="N67" s="45" t="str">
        <f t="shared" si="47"/>
        <v>@csudhsoftball</v>
      </c>
      <c r="O67" s="45" t="str">
        <f t="shared" si="48"/>
        <v>Questionnaire</v>
      </c>
      <c r="P67" s="48" t="s">
        <v>1241</v>
      </c>
      <c r="Q67" s="60" t="s">
        <v>312</v>
      </c>
      <c r="R67" s="48" t="s">
        <v>1242</v>
      </c>
      <c r="S67" s="48" t="s">
        <v>238</v>
      </c>
      <c r="T67" s="49" t="s">
        <v>74</v>
      </c>
      <c r="U67" s="7" t="s">
        <v>75</v>
      </c>
      <c r="V67" s="7"/>
      <c r="W67" s="44">
        <v>3.13</v>
      </c>
      <c r="X67" s="49" t="s">
        <v>1244</v>
      </c>
      <c r="Y67" s="49" t="s">
        <v>1244</v>
      </c>
      <c r="Z67" s="49" t="s">
        <v>214</v>
      </c>
      <c r="AA67" s="51">
        <v>0.47910000000000003</v>
      </c>
      <c r="AB67" s="48" t="s">
        <v>1248</v>
      </c>
      <c r="AC67" s="52" t="s">
        <v>1241</v>
      </c>
      <c r="AD67" s="53" t="str">
        <f t="shared" si="49"/>
        <v>Link</v>
      </c>
      <c r="AE67" s="54">
        <v>12685</v>
      </c>
      <c r="AF67" s="55"/>
      <c r="AG67" s="7"/>
      <c r="AH67" s="56">
        <v>110547</v>
      </c>
      <c r="AI67" s="7"/>
      <c r="AJ67" s="7"/>
      <c r="AK67" s="7"/>
      <c r="AL67" s="7"/>
    </row>
    <row r="68" spans="1:38" ht="15" x14ac:dyDescent="0.2">
      <c r="A68" s="57" t="s">
        <v>1160</v>
      </c>
      <c r="B68" s="110" t="s">
        <v>300</v>
      </c>
      <c r="C68" s="7" t="s">
        <v>41</v>
      </c>
      <c r="D68" s="7" t="s">
        <v>1269</v>
      </c>
      <c r="E68" s="44">
        <v>5</v>
      </c>
      <c r="F68" s="7"/>
      <c r="G68" s="7"/>
      <c r="H68" s="2" t="s">
        <v>1224</v>
      </c>
      <c r="I68" s="7" t="s">
        <v>991</v>
      </c>
      <c r="J68" s="7" t="s">
        <v>1270</v>
      </c>
      <c r="K68" s="7" t="s">
        <v>48</v>
      </c>
      <c r="L68" s="7" t="s">
        <v>1271</v>
      </c>
      <c r="M68" s="7" t="s">
        <v>1272</v>
      </c>
      <c r="N68" s="45" t="str">
        <f t="shared" si="47"/>
        <v>@csudhsoftball</v>
      </c>
      <c r="O68" s="45" t="str">
        <f t="shared" si="48"/>
        <v>Questionnaire</v>
      </c>
      <c r="P68" s="48" t="s">
        <v>1241</v>
      </c>
      <c r="Q68" s="60" t="s">
        <v>312</v>
      </c>
      <c r="R68" s="48" t="s">
        <v>1242</v>
      </c>
      <c r="S68" s="48" t="s">
        <v>238</v>
      </c>
      <c r="T68" s="49" t="s">
        <v>74</v>
      </c>
      <c r="U68" s="7" t="s">
        <v>75</v>
      </c>
      <c r="V68" s="7"/>
      <c r="W68" s="44">
        <v>3.13</v>
      </c>
      <c r="X68" s="49" t="s">
        <v>1244</v>
      </c>
      <c r="Y68" s="49" t="s">
        <v>1244</v>
      </c>
      <c r="Z68" s="49" t="s">
        <v>214</v>
      </c>
      <c r="AA68" s="51">
        <v>0.47910000000000003</v>
      </c>
      <c r="AB68" s="48" t="s">
        <v>1248</v>
      </c>
      <c r="AC68" s="52" t="s">
        <v>1241</v>
      </c>
      <c r="AD68" s="53" t="str">
        <f t="shared" si="49"/>
        <v>Link</v>
      </c>
      <c r="AE68" s="54">
        <v>12685</v>
      </c>
      <c r="AF68" s="55"/>
      <c r="AG68" s="7"/>
      <c r="AH68" s="56">
        <v>110547</v>
      </c>
      <c r="AI68" s="7"/>
      <c r="AJ68" s="7"/>
      <c r="AK68" s="7"/>
      <c r="AL68" s="7"/>
    </row>
    <row r="69" spans="1:38" ht="15" x14ac:dyDescent="0.2">
      <c r="A69" s="57" t="s">
        <v>1160</v>
      </c>
      <c r="B69" s="110" t="s">
        <v>300</v>
      </c>
      <c r="C69" s="7" t="s">
        <v>41</v>
      </c>
      <c r="D69" s="7" t="s">
        <v>1283</v>
      </c>
      <c r="E69" s="44">
        <v>5</v>
      </c>
      <c r="F69" s="7"/>
      <c r="G69" s="7"/>
      <c r="H69" s="2" t="s">
        <v>1284</v>
      </c>
      <c r="I69" s="7" t="s">
        <v>1286</v>
      </c>
      <c r="J69" s="7" t="s">
        <v>1287</v>
      </c>
      <c r="K69" s="7" t="s">
        <v>55</v>
      </c>
      <c r="L69" s="7" t="s">
        <v>1288</v>
      </c>
      <c r="M69" s="7" t="s">
        <v>1289</v>
      </c>
      <c r="N69" s="45" t="str">
        <f t="shared" ref="N69:N70" si="50">HYPERLINK("twitter.com/csuebsoftball","@csuebsoftball")</f>
        <v>@csuebsoftball</v>
      </c>
      <c r="O69" s="45" t="str">
        <f t="shared" ref="O69:O70" si="51">HYPERLINK("https://eastbaypioneers.com/sb_output.aspx?form=3","Questionnaire")</f>
        <v>Questionnaire</v>
      </c>
      <c r="P69" s="48" t="s">
        <v>1297</v>
      </c>
      <c r="Q69" s="60" t="s">
        <v>312</v>
      </c>
      <c r="R69" s="48" t="s">
        <v>1299</v>
      </c>
      <c r="S69" s="55" t="s">
        <v>62</v>
      </c>
      <c r="T69" s="49" t="s">
        <v>74</v>
      </c>
      <c r="U69" s="7" t="s">
        <v>75</v>
      </c>
      <c r="V69" s="7"/>
      <c r="W69" s="44">
        <v>3.1</v>
      </c>
      <c r="X69" s="49" t="s">
        <v>1301</v>
      </c>
      <c r="Y69" s="49" t="s">
        <v>1301</v>
      </c>
      <c r="Z69" s="49" t="s">
        <v>1302</v>
      </c>
      <c r="AA69" s="51">
        <v>0.69750000000000001</v>
      </c>
      <c r="AB69" s="48" t="s">
        <v>1303</v>
      </c>
      <c r="AC69" s="52" t="s">
        <v>1297</v>
      </c>
      <c r="AD69" s="53" t="str">
        <f t="shared" ref="AD69:AD70" si="52">HYPERLINK("https://www.csueastbay.edu/academic/fields-of-study/undergraduate-programs/majors-minors.html","Link")</f>
        <v>Link</v>
      </c>
      <c r="AE69" s="54">
        <v>13407</v>
      </c>
      <c r="AF69" s="55"/>
      <c r="AG69" s="7"/>
      <c r="AH69" s="56">
        <v>110574</v>
      </c>
      <c r="AI69" s="7"/>
      <c r="AJ69" s="7"/>
      <c r="AK69" s="7"/>
      <c r="AL69" s="7"/>
    </row>
    <row r="70" spans="1:38" ht="15" x14ac:dyDescent="0.2">
      <c r="A70" s="57" t="s">
        <v>1160</v>
      </c>
      <c r="B70" s="110" t="s">
        <v>300</v>
      </c>
      <c r="C70" s="7" t="s">
        <v>41</v>
      </c>
      <c r="D70" s="7" t="s">
        <v>1314</v>
      </c>
      <c r="E70" s="44">
        <v>5</v>
      </c>
      <c r="F70" s="7"/>
      <c r="G70" s="7"/>
      <c r="H70" s="2" t="s">
        <v>1284</v>
      </c>
      <c r="I70" s="7" t="s">
        <v>1315</v>
      </c>
      <c r="J70" s="7" t="s">
        <v>1316</v>
      </c>
      <c r="K70" s="7" t="s">
        <v>48</v>
      </c>
      <c r="L70" s="7" t="s">
        <v>1317</v>
      </c>
      <c r="M70" s="7" t="s">
        <v>1289</v>
      </c>
      <c r="N70" s="45" t="str">
        <f t="shared" si="50"/>
        <v>@csuebsoftball</v>
      </c>
      <c r="O70" s="45" t="str">
        <f t="shared" si="51"/>
        <v>Questionnaire</v>
      </c>
      <c r="P70" s="48" t="s">
        <v>1297</v>
      </c>
      <c r="Q70" s="60" t="s">
        <v>312</v>
      </c>
      <c r="R70" s="48" t="s">
        <v>1299</v>
      </c>
      <c r="S70" s="55" t="s">
        <v>62</v>
      </c>
      <c r="T70" s="49" t="s">
        <v>74</v>
      </c>
      <c r="U70" s="7" t="s">
        <v>75</v>
      </c>
      <c r="V70" s="7"/>
      <c r="W70" s="44">
        <v>3.1</v>
      </c>
      <c r="X70" s="49" t="s">
        <v>1301</v>
      </c>
      <c r="Y70" s="49" t="s">
        <v>1301</v>
      </c>
      <c r="Z70" s="49" t="s">
        <v>1302</v>
      </c>
      <c r="AA70" s="51">
        <v>0.69750000000000001</v>
      </c>
      <c r="AB70" s="48" t="s">
        <v>1303</v>
      </c>
      <c r="AC70" s="52" t="s">
        <v>1297</v>
      </c>
      <c r="AD70" s="53" t="str">
        <f t="shared" si="52"/>
        <v>Link</v>
      </c>
      <c r="AE70" s="54">
        <v>13407</v>
      </c>
      <c r="AF70" s="55"/>
      <c r="AG70" s="7"/>
      <c r="AH70" s="56">
        <v>110574</v>
      </c>
      <c r="AI70" s="7"/>
      <c r="AJ70" s="7"/>
      <c r="AK70" s="7"/>
      <c r="AL70" s="7"/>
    </row>
    <row r="71" spans="1:38" ht="15" x14ac:dyDescent="0.2">
      <c r="A71" s="57" t="s">
        <v>1160</v>
      </c>
      <c r="B71" s="110" t="s">
        <v>300</v>
      </c>
      <c r="C71" s="7" t="s">
        <v>41</v>
      </c>
      <c r="D71" s="7" t="s">
        <v>1325</v>
      </c>
      <c r="E71" s="44">
        <v>5</v>
      </c>
      <c r="F71" s="7"/>
      <c r="G71" s="7"/>
      <c r="H71" s="2" t="s">
        <v>1326</v>
      </c>
      <c r="I71" s="7" t="s">
        <v>1327</v>
      </c>
      <c r="J71" s="7" t="s">
        <v>1328</v>
      </c>
      <c r="K71" s="7" t="s">
        <v>48</v>
      </c>
      <c r="L71" s="7" t="s">
        <v>1329</v>
      </c>
      <c r="M71" s="7" t="s">
        <v>1331</v>
      </c>
      <c r="N71" s="45" t="str">
        <f t="shared" ref="N71:N74" si="53">HYPERLINK("twitter.com/csumbsoftball","@csumbsoftball")</f>
        <v>@csumbsoftball</v>
      </c>
      <c r="O71" s="45" t="str">
        <f t="shared" ref="O71:O74" si="54">HYPERLINK("https://otterathletics.com/sb_output.aspx?form=18&amp;path=softball","Questionnaire")</f>
        <v>Questionnaire</v>
      </c>
      <c r="P71" s="48" t="s">
        <v>1336</v>
      </c>
      <c r="Q71" s="60" t="s">
        <v>312</v>
      </c>
      <c r="R71" s="48" t="s">
        <v>1337</v>
      </c>
      <c r="S71" s="48" t="s">
        <v>468</v>
      </c>
      <c r="T71" s="49" t="s">
        <v>74</v>
      </c>
      <c r="U71" s="7" t="s">
        <v>75</v>
      </c>
      <c r="V71" s="7"/>
      <c r="W71" s="44">
        <v>3.33</v>
      </c>
      <c r="X71" s="49" t="s">
        <v>1338</v>
      </c>
      <c r="Y71" s="49" t="s">
        <v>1338</v>
      </c>
      <c r="Z71" s="49" t="s">
        <v>1339</v>
      </c>
      <c r="AA71" s="51">
        <v>0.3523</v>
      </c>
      <c r="AB71" s="48" t="s">
        <v>1340</v>
      </c>
      <c r="AC71" s="52" t="s">
        <v>1336</v>
      </c>
      <c r="AD71" s="53" t="str">
        <f t="shared" ref="AD71:AD74" si="55">HYPERLINK("https://csumb.edu/academics/majors-programs","Link")</f>
        <v>Link</v>
      </c>
      <c r="AE71" s="54">
        <v>6758</v>
      </c>
      <c r="AF71" s="55"/>
      <c r="AG71" s="7"/>
      <c r="AH71" s="56">
        <v>110592</v>
      </c>
      <c r="AI71" s="7"/>
      <c r="AJ71" s="7"/>
      <c r="AK71" s="7"/>
      <c r="AL71" s="7"/>
    </row>
    <row r="72" spans="1:38" ht="15" x14ac:dyDescent="0.2">
      <c r="A72" s="57" t="s">
        <v>1160</v>
      </c>
      <c r="B72" s="110" t="s">
        <v>300</v>
      </c>
      <c r="C72" s="7" t="s">
        <v>41</v>
      </c>
      <c r="D72" s="7" t="s">
        <v>1344</v>
      </c>
      <c r="E72" s="44">
        <v>5</v>
      </c>
      <c r="F72" s="7" t="s">
        <v>116</v>
      </c>
      <c r="G72" s="7"/>
      <c r="H72" s="2" t="s">
        <v>1326</v>
      </c>
      <c r="I72" s="7" t="s">
        <v>1345</v>
      </c>
      <c r="J72" s="7" t="s">
        <v>1346</v>
      </c>
      <c r="K72" s="7" t="s">
        <v>55</v>
      </c>
      <c r="L72" s="7"/>
      <c r="M72" s="7"/>
      <c r="N72" s="45" t="str">
        <f t="shared" si="53"/>
        <v>@csumbsoftball</v>
      </c>
      <c r="O72" s="45" t="str">
        <f t="shared" si="54"/>
        <v>Questionnaire</v>
      </c>
      <c r="P72" s="48" t="s">
        <v>1336</v>
      </c>
      <c r="Q72" s="60" t="s">
        <v>312</v>
      </c>
      <c r="R72" s="48" t="s">
        <v>1337</v>
      </c>
      <c r="S72" s="48" t="s">
        <v>468</v>
      </c>
      <c r="T72" s="49" t="s">
        <v>74</v>
      </c>
      <c r="U72" s="7" t="s">
        <v>75</v>
      </c>
      <c r="V72" s="7"/>
      <c r="W72" s="44">
        <v>3.33</v>
      </c>
      <c r="X72" s="49" t="s">
        <v>1338</v>
      </c>
      <c r="Y72" s="49" t="s">
        <v>1338</v>
      </c>
      <c r="Z72" s="49" t="s">
        <v>1339</v>
      </c>
      <c r="AA72" s="51">
        <v>0.3523</v>
      </c>
      <c r="AB72" s="48" t="s">
        <v>1340</v>
      </c>
      <c r="AC72" s="52" t="s">
        <v>1336</v>
      </c>
      <c r="AD72" s="53" t="str">
        <f t="shared" si="55"/>
        <v>Link</v>
      </c>
      <c r="AE72" s="54">
        <v>6758</v>
      </c>
      <c r="AF72" s="55"/>
      <c r="AG72" s="7"/>
      <c r="AH72" s="111">
        <v>110592</v>
      </c>
      <c r="AI72" s="57"/>
      <c r="AJ72" s="57"/>
      <c r="AK72" s="57"/>
      <c r="AL72" s="57"/>
    </row>
    <row r="73" spans="1:38" ht="15" x14ac:dyDescent="0.2">
      <c r="A73" s="57" t="s">
        <v>1160</v>
      </c>
      <c r="B73" s="110" t="s">
        <v>300</v>
      </c>
      <c r="C73" s="7" t="s">
        <v>41</v>
      </c>
      <c r="D73" s="7" t="s">
        <v>1368</v>
      </c>
      <c r="E73" s="44">
        <v>5</v>
      </c>
      <c r="F73" s="7" t="s">
        <v>116</v>
      </c>
      <c r="G73" s="7"/>
      <c r="H73" s="2" t="s">
        <v>1326</v>
      </c>
      <c r="I73" s="7" t="s">
        <v>222</v>
      </c>
      <c r="J73" s="7" t="s">
        <v>1369</v>
      </c>
      <c r="K73" s="7" t="s">
        <v>55</v>
      </c>
      <c r="L73" s="7"/>
      <c r="M73" s="7"/>
      <c r="N73" s="45" t="str">
        <f t="shared" si="53"/>
        <v>@csumbsoftball</v>
      </c>
      <c r="O73" s="45" t="str">
        <f t="shared" si="54"/>
        <v>Questionnaire</v>
      </c>
      <c r="P73" s="48" t="s">
        <v>1336</v>
      </c>
      <c r="Q73" s="60" t="s">
        <v>312</v>
      </c>
      <c r="R73" s="48" t="s">
        <v>1337</v>
      </c>
      <c r="S73" s="48" t="s">
        <v>468</v>
      </c>
      <c r="T73" s="49" t="s">
        <v>74</v>
      </c>
      <c r="U73" s="7" t="s">
        <v>75</v>
      </c>
      <c r="V73" s="7"/>
      <c r="W73" s="44">
        <v>3.33</v>
      </c>
      <c r="X73" s="49" t="s">
        <v>1338</v>
      </c>
      <c r="Y73" s="49" t="s">
        <v>1338</v>
      </c>
      <c r="Z73" s="49" t="s">
        <v>1339</v>
      </c>
      <c r="AA73" s="51">
        <v>0.3523</v>
      </c>
      <c r="AB73" s="48" t="s">
        <v>1340</v>
      </c>
      <c r="AC73" s="52" t="s">
        <v>1336</v>
      </c>
      <c r="AD73" s="53" t="str">
        <f t="shared" si="55"/>
        <v>Link</v>
      </c>
      <c r="AE73" s="54">
        <v>6758</v>
      </c>
      <c r="AF73" s="55"/>
      <c r="AG73" s="7"/>
      <c r="AH73" s="111">
        <v>110592</v>
      </c>
      <c r="AI73" s="57"/>
      <c r="AJ73" s="57"/>
      <c r="AK73" s="57"/>
      <c r="AL73" s="57"/>
    </row>
    <row r="74" spans="1:38" ht="15" x14ac:dyDescent="0.2">
      <c r="A74" s="57" t="s">
        <v>1160</v>
      </c>
      <c r="B74" s="110" t="s">
        <v>300</v>
      </c>
      <c r="C74" s="7" t="s">
        <v>41</v>
      </c>
      <c r="D74" s="7" t="s">
        <v>1378</v>
      </c>
      <c r="E74" s="44">
        <v>5</v>
      </c>
      <c r="F74" s="7" t="s">
        <v>116</v>
      </c>
      <c r="G74" s="7"/>
      <c r="H74" s="2" t="s">
        <v>1326</v>
      </c>
      <c r="I74" s="7" t="s">
        <v>1379</v>
      </c>
      <c r="J74" s="7" t="s">
        <v>1380</v>
      </c>
      <c r="K74" s="7" t="s">
        <v>55</v>
      </c>
      <c r="L74" s="7"/>
      <c r="M74" s="7"/>
      <c r="N74" s="45" t="str">
        <f t="shared" si="53"/>
        <v>@csumbsoftball</v>
      </c>
      <c r="O74" s="45" t="str">
        <f t="shared" si="54"/>
        <v>Questionnaire</v>
      </c>
      <c r="P74" s="48" t="s">
        <v>1336</v>
      </c>
      <c r="Q74" s="60" t="s">
        <v>312</v>
      </c>
      <c r="R74" s="48" t="s">
        <v>1337</v>
      </c>
      <c r="S74" s="48" t="s">
        <v>468</v>
      </c>
      <c r="T74" s="49" t="s">
        <v>74</v>
      </c>
      <c r="U74" s="7" t="s">
        <v>75</v>
      </c>
      <c r="V74" s="7"/>
      <c r="W74" s="44">
        <v>3.33</v>
      </c>
      <c r="X74" s="49" t="s">
        <v>1338</v>
      </c>
      <c r="Y74" s="49" t="s">
        <v>1338</v>
      </c>
      <c r="Z74" s="49" t="s">
        <v>1339</v>
      </c>
      <c r="AA74" s="51">
        <v>0.3523</v>
      </c>
      <c r="AB74" s="48" t="s">
        <v>1340</v>
      </c>
      <c r="AC74" s="52" t="s">
        <v>1336</v>
      </c>
      <c r="AD74" s="53" t="str">
        <f t="shared" si="55"/>
        <v>Link</v>
      </c>
      <c r="AE74" s="54">
        <v>6758</v>
      </c>
      <c r="AF74" s="55"/>
      <c r="AG74" s="7"/>
      <c r="AH74" s="111">
        <v>110592</v>
      </c>
      <c r="AI74" s="57"/>
      <c r="AJ74" s="57"/>
      <c r="AK74" s="57"/>
      <c r="AL74" s="57"/>
    </row>
    <row r="75" spans="1:38" ht="15" x14ac:dyDescent="0.2">
      <c r="A75" s="57" t="s">
        <v>1160</v>
      </c>
      <c r="B75" s="110" t="s">
        <v>300</v>
      </c>
      <c r="C75" s="7" t="s">
        <v>41</v>
      </c>
      <c r="D75" s="7" t="s">
        <v>1388</v>
      </c>
      <c r="E75" s="44">
        <v>5</v>
      </c>
      <c r="F75" s="7"/>
      <c r="G75" s="7"/>
      <c r="H75" s="2" t="s">
        <v>1389</v>
      </c>
      <c r="I75" s="7" t="s">
        <v>1390</v>
      </c>
      <c r="J75" s="7" t="s">
        <v>1391</v>
      </c>
      <c r="K75" s="7" t="s">
        <v>55</v>
      </c>
      <c r="L75" s="7" t="s">
        <v>1392</v>
      </c>
      <c r="M75" s="7"/>
      <c r="N75" s="45" t="str">
        <f t="shared" ref="N75:N77" si="56">HYPERLINK("twitter.com/csusb_softball","@csusb_softball")</f>
        <v>@csusb_softball</v>
      </c>
      <c r="O75" s="45" t="str">
        <f t="shared" ref="O75:O77" si="57">HYPERLINK("https://www.csusbathletics.com/sb_output.aspx?form=3","Questionnaire")</f>
        <v>Questionnaire</v>
      </c>
      <c r="P75" s="48" t="s">
        <v>1397</v>
      </c>
      <c r="Q75" s="60" t="s">
        <v>312</v>
      </c>
      <c r="R75" s="48" t="s">
        <v>1398</v>
      </c>
      <c r="S75" s="48" t="s">
        <v>62</v>
      </c>
      <c r="T75" s="49" t="s">
        <v>74</v>
      </c>
      <c r="U75" s="7" t="s">
        <v>75</v>
      </c>
      <c r="V75" s="7"/>
      <c r="W75" s="44">
        <v>3.21</v>
      </c>
      <c r="X75" s="49" t="s">
        <v>1399</v>
      </c>
      <c r="Y75" s="49" t="s">
        <v>1399</v>
      </c>
      <c r="Z75" s="49" t="s">
        <v>1400</v>
      </c>
      <c r="AA75" s="51">
        <v>0.58140000000000003</v>
      </c>
      <c r="AB75" s="48" t="s">
        <v>1401</v>
      </c>
      <c r="AC75" s="52" t="s">
        <v>1397</v>
      </c>
      <c r="AD75" s="53" t="str">
        <f t="shared" ref="AD75:AD77" si="58">HYPERLINK("http://bulletin.csusb.edu/programs-az/","Link")</f>
        <v>Link</v>
      </c>
      <c r="AE75" s="54">
        <v>18476</v>
      </c>
      <c r="AF75" s="55"/>
      <c r="AG75" s="7"/>
      <c r="AH75" s="56">
        <v>110510</v>
      </c>
      <c r="AI75" s="7"/>
      <c r="AJ75" s="7"/>
      <c r="AK75" s="7"/>
      <c r="AL75" s="7"/>
    </row>
    <row r="76" spans="1:38" ht="15" x14ac:dyDescent="0.2">
      <c r="A76" s="57" t="s">
        <v>1160</v>
      </c>
      <c r="B76" s="110" t="s">
        <v>300</v>
      </c>
      <c r="C76" s="7" t="s">
        <v>41</v>
      </c>
      <c r="D76" s="7" t="s">
        <v>1411</v>
      </c>
      <c r="E76" s="44">
        <v>5</v>
      </c>
      <c r="F76" s="7"/>
      <c r="G76" s="7"/>
      <c r="H76" s="2" t="s">
        <v>1389</v>
      </c>
      <c r="I76" s="7" t="s">
        <v>1412</v>
      </c>
      <c r="J76" s="7" t="s">
        <v>1413</v>
      </c>
      <c r="K76" s="7" t="s">
        <v>55</v>
      </c>
      <c r="L76" s="7" t="s">
        <v>1414</v>
      </c>
      <c r="M76" s="7"/>
      <c r="N76" s="45" t="str">
        <f t="shared" si="56"/>
        <v>@csusb_softball</v>
      </c>
      <c r="O76" s="45" t="str">
        <f t="shared" si="57"/>
        <v>Questionnaire</v>
      </c>
      <c r="P76" s="48" t="s">
        <v>1397</v>
      </c>
      <c r="Q76" s="60" t="s">
        <v>312</v>
      </c>
      <c r="R76" s="48" t="s">
        <v>1398</v>
      </c>
      <c r="S76" s="48" t="s">
        <v>62</v>
      </c>
      <c r="T76" s="49" t="s">
        <v>74</v>
      </c>
      <c r="U76" s="7" t="s">
        <v>75</v>
      </c>
      <c r="V76" s="7"/>
      <c r="W76" s="44">
        <v>3.21</v>
      </c>
      <c r="X76" s="49" t="s">
        <v>1399</v>
      </c>
      <c r="Y76" s="49" t="s">
        <v>1399</v>
      </c>
      <c r="Z76" s="49" t="s">
        <v>1400</v>
      </c>
      <c r="AA76" s="51">
        <v>0.58140000000000003</v>
      </c>
      <c r="AB76" s="48" t="s">
        <v>1401</v>
      </c>
      <c r="AC76" s="52" t="s">
        <v>1397</v>
      </c>
      <c r="AD76" s="53" t="str">
        <f t="shared" si="58"/>
        <v>Link</v>
      </c>
      <c r="AE76" s="54">
        <v>18476</v>
      </c>
      <c r="AF76" s="55"/>
      <c r="AG76" s="7"/>
      <c r="AH76" s="56">
        <v>110510</v>
      </c>
      <c r="AI76" s="7"/>
      <c r="AJ76" s="7"/>
      <c r="AK76" s="7"/>
      <c r="AL76" s="7"/>
    </row>
    <row r="77" spans="1:38" ht="15" x14ac:dyDescent="0.2">
      <c r="A77" s="57" t="s">
        <v>1160</v>
      </c>
      <c r="B77" s="110" t="s">
        <v>300</v>
      </c>
      <c r="C77" s="7" t="s">
        <v>41</v>
      </c>
      <c r="D77" s="7" t="s">
        <v>1427</v>
      </c>
      <c r="E77" s="44">
        <v>5</v>
      </c>
      <c r="F77" s="7"/>
      <c r="G77" s="7"/>
      <c r="H77" s="2" t="s">
        <v>1389</v>
      </c>
      <c r="I77" s="7" t="s">
        <v>1428</v>
      </c>
      <c r="J77" s="7" t="s">
        <v>1429</v>
      </c>
      <c r="K77" s="7" t="s">
        <v>48</v>
      </c>
      <c r="L77" s="7" t="s">
        <v>1430</v>
      </c>
      <c r="M77" s="7" t="s">
        <v>1431</v>
      </c>
      <c r="N77" s="45" t="str">
        <f t="shared" si="56"/>
        <v>@csusb_softball</v>
      </c>
      <c r="O77" s="45" t="str">
        <f t="shared" si="57"/>
        <v>Questionnaire</v>
      </c>
      <c r="P77" s="48" t="s">
        <v>1397</v>
      </c>
      <c r="Q77" s="60" t="s">
        <v>312</v>
      </c>
      <c r="R77" s="48" t="s">
        <v>1398</v>
      </c>
      <c r="S77" s="48" t="s">
        <v>62</v>
      </c>
      <c r="T77" s="49" t="s">
        <v>74</v>
      </c>
      <c r="U77" s="7" t="s">
        <v>75</v>
      </c>
      <c r="V77" s="7"/>
      <c r="W77" s="44">
        <v>3.21</v>
      </c>
      <c r="X77" s="49" t="s">
        <v>1399</v>
      </c>
      <c r="Y77" s="49" t="s">
        <v>1399</v>
      </c>
      <c r="Z77" s="49" t="s">
        <v>1400</v>
      </c>
      <c r="AA77" s="51">
        <v>0.58140000000000003</v>
      </c>
      <c r="AB77" s="48" t="s">
        <v>1401</v>
      </c>
      <c r="AC77" s="52" t="s">
        <v>1397</v>
      </c>
      <c r="AD77" s="53" t="str">
        <f t="shared" si="58"/>
        <v>Link</v>
      </c>
      <c r="AE77" s="54">
        <v>18476</v>
      </c>
      <c r="AF77" s="55"/>
      <c r="AG77" s="7"/>
      <c r="AH77" s="56">
        <v>110510</v>
      </c>
      <c r="AI77" s="7"/>
      <c r="AJ77" s="7"/>
      <c r="AK77" s="7"/>
      <c r="AL77" s="7"/>
    </row>
    <row r="78" spans="1:38" ht="15" x14ac:dyDescent="0.2">
      <c r="A78" s="57" t="s">
        <v>1160</v>
      </c>
      <c r="B78" s="110" t="s">
        <v>300</v>
      </c>
      <c r="C78" s="7" t="s">
        <v>41</v>
      </c>
      <c r="D78" s="7" t="s">
        <v>1439</v>
      </c>
      <c r="E78" s="44">
        <v>5</v>
      </c>
      <c r="F78" s="7"/>
      <c r="G78" s="7"/>
      <c r="H78" s="2" t="s">
        <v>1442</v>
      </c>
      <c r="I78" s="7" t="s">
        <v>1443</v>
      </c>
      <c r="J78" s="7" t="s">
        <v>1133</v>
      </c>
      <c r="K78" s="7" t="s">
        <v>55</v>
      </c>
      <c r="L78" s="7" t="s">
        <v>1444</v>
      </c>
      <c r="M78" s="7" t="s">
        <v>1445</v>
      </c>
      <c r="N78" s="45" t="str">
        <f t="shared" ref="N78:N80" si="59">HYPERLINK("twitter.com/CSUSMsoftball","@CSUSMsoftball")</f>
        <v>@CSUSMsoftball</v>
      </c>
      <c r="O78" s="45" t="str">
        <f t="shared" ref="O78:O80" si="60">HYPERLINK("https://csusmcougars.com/sb_output.aspx?form=3","Questionnaire")</f>
        <v>Questionnaire</v>
      </c>
      <c r="P78" s="48" t="s">
        <v>1449</v>
      </c>
      <c r="Q78" s="60" t="s">
        <v>312</v>
      </c>
      <c r="R78" s="48" t="s">
        <v>1450</v>
      </c>
      <c r="S78" s="48" t="s">
        <v>238</v>
      </c>
      <c r="T78" s="49" t="s">
        <v>74</v>
      </c>
      <c r="U78" s="7" t="s">
        <v>75</v>
      </c>
      <c r="V78" s="7"/>
      <c r="W78" s="44">
        <v>3.27</v>
      </c>
      <c r="X78" s="49" t="s">
        <v>1452</v>
      </c>
      <c r="Y78" s="49" t="s">
        <v>1453</v>
      </c>
      <c r="Z78" s="49" t="s">
        <v>449</v>
      </c>
      <c r="AA78" s="51">
        <v>0.51829999999999998</v>
      </c>
      <c r="AB78" s="48" t="s">
        <v>1456</v>
      </c>
      <c r="AC78" s="52" t="s">
        <v>1449</v>
      </c>
      <c r="AD78" s="53" t="str">
        <f t="shared" ref="AD78:AD80" si="61">HYPERLINK("https://www.csusm.edu/admissions/majors-and-programs/index.html","Link")</f>
        <v>Link</v>
      </c>
      <c r="AE78" s="54">
        <v>12567</v>
      </c>
      <c r="AF78" s="55"/>
      <c r="AG78" s="7"/>
      <c r="AH78" s="56">
        <v>366711</v>
      </c>
      <c r="AI78" s="7"/>
      <c r="AJ78" s="7"/>
      <c r="AK78" s="7"/>
      <c r="AL78" s="7"/>
    </row>
    <row r="79" spans="1:38" ht="15" x14ac:dyDescent="0.2">
      <c r="A79" s="57" t="s">
        <v>1160</v>
      </c>
      <c r="B79" s="110" t="s">
        <v>300</v>
      </c>
      <c r="C79" s="7" t="s">
        <v>41</v>
      </c>
      <c r="D79" s="7" t="s">
        <v>1463</v>
      </c>
      <c r="E79" s="44">
        <v>5</v>
      </c>
      <c r="F79" s="7"/>
      <c r="G79" s="7"/>
      <c r="H79" s="2" t="s">
        <v>1442</v>
      </c>
      <c r="I79" s="7" t="s">
        <v>1465</v>
      </c>
      <c r="J79" s="7" t="s">
        <v>1467</v>
      </c>
      <c r="K79" s="7" t="s">
        <v>1048</v>
      </c>
      <c r="L79" s="7" t="s">
        <v>1469</v>
      </c>
      <c r="M79" s="7" t="s">
        <v>1445</v>
      </c>
      <c r="N79" s="45" t="str">
        <f t="shared" si="59"/>
        <v>@CSUSMsoftball</v>
      </c>
      <c r="O79" s="45" t="str">
        <f t="shared" si="60"/>
        <v>Questionnaire</v>
      </c>
      <c r="P79" s="48" t="s">
        <v>1449</v>
      </c>
      <c r="Q79" s="60" t="s">
        <v>312</v>
      </c>
      <c r="R79" s="48" t="s">
        <v>1450</v>
      </c>
      <c r="S79" s="48" t="s">
        <v>238</v>
      </c>
      <c r="T79" s="49" t="s">
        <v>74</v>
      </c>
      <c r="U79" s="7" t="s">
        <v>75</v>
      </c>
      <c r="V79" s="7"/>
      <c r="W79" s="44">
        <v>3.27</v>
      </c>
      <c r="X79" s="49" t="s">
        <v>1452</v>
      </c>
      <c r="Y79" s="49" t="s">
        <v>1453</v>
      </c>
      <c r="Z79" s="49" t="s">
        <v>449</v>
      </c>
      <c r="AA79" s="51">
        <v>0.51829999999999998</v>
      </c>
      <c r="AB79" s="48" t="s">
        <v>1456</v>
      </c>
      <c r="AC79" s="52" t="s">
        <v>1449</v>
      </c>
      <c r="AD79" s="53" t="str">
        <f t="shared" si="61"/>
        <v>Link</v>
      </c>
      <c r="AE79" s="54">
        <v>12567</v>
      </c>
      <c r="AF79" s="55"/>
      <c r="AG79" s="7"/>
      <c r="AH79" s="56">
        <v>366711</v>
      </c>
      <c r="AI79" s="7"/>
      <c r="AJ79" s="7"/>
      <c r="AK79" s="7"/>
      <c r="AL79" s="7"/>
    </row>
    <row r="80" spans="1:38" ht="15" x14ac:dyDescent="0.2">
      <c r="A80" s="57" t="s">
        <v>1160</v>
      </c>
      <c r="B80" s="110" t="s">
        <v>300</v>
      </c>
      <c r="C80" s="7" t="s">
        <v>41</v>
      </c>
      <c r="D80" s="7" t="s">
        <v>1463</v>
      </c>
      <c r="E80" s="44">
        <v>5</v>
      </c>
      <c r="F80" s="7"/>
      <c r="G80" s="7"/>
      <c r="H80" s="2" t="s">
        <v>1442</v>
      </c>
      <c r="I80" s="7" t="s">
        <v>1465</v>
      </c>
      <c r="J80" s="7" t="s">
        <v>1467</v>
      </c>
      <c r="K80" s="7" t="s">
        <v>48</v>
      </c>
      <c r="L80" s="7" t="s">
        <v>1479</v>
      </c>
      <c r="M80" s="7" t="s">
        <v>1445</v>
      </c>
      <c r="N80" s="45" t="str">
        <f t="shared" si="59"/>
        <v>@CSUSMsoftball</v>
      </c>
      <c r="O80" s="45" t="str">
        <f t="shared" si="60"/>
        <v>Questionnaire</v>
      </c>
      <c r="P80" s="48" t="s">
        <v>1449</v>
      </c>
      <c r="Q80" s="60" t="s">
        <v>312</v>
      </c>
      <c r="R80" s="48" t="s">
        <v>1450</v>
      </c>
      <c r="S80" s="48" t="s">
        <v>238</v>
      </c>
      <c r="T80" s="49" t="s">
        <v>74</v>
      </c>
      <c r="U80" s="7" t="s">
        <v>75</v>
      </c>
      <c r="V80" s="7"/>
      <c r="W80" s="44">
        <v>3.27</v>
      </c>
      <c r="X80" s="49" t="s">
        <v>1452</v>
      </c>
      <c r="Y80" s="49" t="s">
        <v>1453</v>
      </c>
      <c r="Z80" s="49" t="s">
        <v>449</v>
      </c>
      <c r="AA80" s="51">
        <v>0.51829999999999998</v>
      </c>
      <c r="AB80" s="48" t="s">
        <v>1456</v>
      </c>
      <c r="AC80" s="52" t="s">
        <v>1449</v>
      </c>
      <c r="AD80" s="53" t="str">
        <f t="shared" si="61"/>
        <v>Link</v>
      </c>
      <c r="AE80" s="54">
        <v>12567</v>
      </c>
      <c r="AF80" s="55"/>
      <c r="AG80" s="7"/>
      <c r="AH80" s="56">
        <v>366711</v>
      </c>
      <c r="AI80" s="7"/>
      <c r="AJ80" s="7"/>
      <c r="AK80" s="7"/>
      <c r="AL80" s="7"/>
    </row>
    <row r="81" spans="1:38" ht="13" x14ac:dyDescent="0.15">
      <c r="A81" s="57" t="s">
        <v>1160</v>
      </c>
      <c r="B81" s="110" t="s">
        <v>300</v>
      </c>
      <c r="C81" s="7" t="s">
        <v>41</v>
      </c>
      <c r="D81" s="7" t="s">
        <v>1494</v>
      </c>
      <c r="E81" s="44">
        <v>5</v>
      </c>
      <c r="F81" s="7"/>
      <c r="G81" s="7"/>
      <c r="H81" s="2" t="s">
        <v>1497</v>
      </c>
      <c r="I81" s="7" t="s">
        <v>1498</v>
      </c>
      <c r="J81" s="7" t="s">
        <v>729</v>
      </c>
      <c r="K81" s="7" t="s">
        <v>55</v>
      </c>
      <c r="L81" s="7" t="s">
        <v>1499</v>
      </c>
      <c r="M81" s="7"/>
      <c r="N81" s="45" t="str">
        <f t="shared" ref="N81:N82" si="62">HYPERLINK("twitter.com/stanstatesb","@stanstatesb")</f>
        <v>@stanstatesb</v>
      </c>
      <c r="O81" s="45" t="str">
        <f t="shared" ref="O81:O82" si="63">HYPERLINK("https://warriorathletics.com/sb_output.aspx?form=3","Questionnaire")</f>
        <v>Questionnaire</v>
      </c>
      <c r="P81" s="48" t="s">
        <v>1505</v>
      </c>
      <c r="Q81" s="60" t="s">
        <v>312</v>
      </c>
      <c r="R81" s="48" t="s">
        <v>1506</v>
      </c>
      <c r="S81" s="48" t="s">
        <v>186</v>
      </c>
      <c r="T81" s="49" t="s">
        <v>74</v>
      </c>
      <c r="U81" s="7" t="s">
        <v>75</v>
      </c>
      <c r="V81" s="7"/>
      <c r="W81" s="44">
        <v>3.3</v>
      </c>
      <c r="X81" s="49" t="s">
        <v>1508</v>
      </c>
      <c r="Y81" s="49" t="s">
        <v>1508</v>
      </c>
      <c r="Z81" s="49" t="s">
        <v>1302</v>
      </c>
      <c r="AA81" s="51">
        <v>0.74329999999999996</v>
      </c>
      <c r="AB81" s="48" t="s">
        <v>1511</v>
      </c>
      <c r="AC81" s="90" t="s">
        <v>1505</v>
      </c>
      <c r="AD81" s="53" t="str">
        <f t="shared" ref="AD81:AD82" si="64">HYPERLINK("https://catalog.csustan.edu/content.php?catoid=12&amp;navoid=518","Link")</f>
        <v>Link</v>
      </c>
      <c r="AE81" s="54">
        <v>8620</v>
      </c>
      <c r="AF81" s="55"/>
      <c r="AG81" s="7"/>
      <c r="AH81" s="56">
        <v>110495</v>
      </c>
      <c r="AI81" s="7"/>
      <c r="AJ81" s="7"/>
      <c r="AK81" s="7"/>
      <c r="AL81" s="7"/>
    </row>
    <row r="82" spans="1:38" ht="13" x14ac:dyDescent="0.15">
      <c r="A82" s="57" t="s">
        <v>1160</v>
      </c>
      <c r="B82" s="110" t="s">
        <v>300</v>
      </c>
      <c r="C82" s="7" t="s">
        <v>41</v>
      </c>
      <c r="D82" s="7" t="s">
        <v>1514</v>
      </c>
      <c r="E82" s="44">
        <v>5</v>
      </c>
      <c r="F82" s="7"/>
      <c r="G82" s="7"/>
      <c r="H82" s="2" t="s">
        <v>1497</v>
      </c>
      <c r="I82" s="7" t="s">
        <v>201</v>
      </c>
      <c r="J82" s="7" t="s">
        <v>1519</v>
      </c>
      <c r="K82" s="7" t="s">
        <v>48</v>
      </c>
      <c r="L82" s="7" t="s">
        <v>1522</v>
      </c>
      <c r="M82" s="7" t="s">
        <v>1523</v>
      </c>
      <c r="N82" s="45" t="str">
        <f t="shared" si="62"/>
        <v>@stanstatesb</v>
      </c>
      <c r="O82" s="45" t="str">
        <f t="shared" si="63"/>
        <v>Questionnaire</v>
      </c>
      <c r="P82" s="48" t="s">
        <v>1505</v>
      </c>
      <c r="Q82" s="60" t="s">
        <v>312</v>
      </c>
      <c r="R82" s="48" t="s">
        <v>1506</v>
      </c>
      <c r="S82" s="48" t="s">
        <v>186</v>
      </c>
      <c r="T82" s="49" t="s">
        <v>74</v>
      </c>
      <c r="U82" s="7" t="s">
        <v>75</v>
      </c>
      <c r="V82" s="7"/>
      <c r="W82" s="44">
        <v>3.3</v>
      </c>
      <c r="X82" s="49" t="s">
        <v>1508</v>
      </c>
      <c r="Y82" s="49" t="s">
        <v>1508</v>
      </c>
      <c r="Z82" s="49" t="s">
        <v>1302</v>
      </c>
      <c r="AA82" s="51">
        <v>0.74329999999999996</v>
      </c>
      <c r="AB82" s="48" t="s">
        <v>1511</v>
      </c>
      <c r="AC82" s="90" t="s">
        <v>1505</v>
      </c>
      <c r="AD82" s="53" t="str">
        <f t="shared" si="64"/>
        <v>Link</v>
      </c>
      <c r="AE82" s="54">
        <v>8620</v>
      </c>
      <c r="AF82" s="55"/>
      <c r="AG82" s="7"/>
      <c r="AH82" s="56">
        <v>110495</v>
      </c>
      <c r="AI82" s="7"/>
      <c r="AJ82" s="7"/>
      <c r="AK82" s="7"/>
      <c r="AL82" s="7"/>
    </row>
    <row r="83" spans="1:38" ht="13" x14ac:dyDescent="0.15">
      <c r="A83" s="57" t="s">
        <v>1160</v>
      </c>
      <c r="B83" s="110" t="s">
        <v>300</v>
      </c>
      <c r="C83" s="7" t="s">
        <v>41</v>
      </c>
      <c r="D83" s="7" t="s">
        <v>1529</v>
      </c>
      <c r="E83" s="44">
        <v>5</v>
      </c>
      <c r="F83" s="7"/>
      <c r="G83" s="7"/>
      <c r="H83" s="2" t="s">
        <v>1533</v>
      </c>
      <c r="I83" s="7" t="s">
        <v>1534</v>
      </c>
      <c r="J83" s="7" t="s">
        <v>1535</v>
      </c>
      <c r="K83" s="7" t="s">
        <v>55</v>
      </c>
      <c r="L83" s="7" t="s">
        <v>1536</v>
      </c>
      <c r="M83" s="7" t="s">
        <v>1537</v>
      </c>
      <c r="N83" s="45" t="str">
        <f t="shared" ref="N83:N87" si="65">HYPERLINK("twitter.com/ucsdsoftball","@ucsdsoftball")</f>
        <v>@ucsdsoftball</v>
      </c>
      <c r="O83" s="45" t="str">
        <f t="shared" ref="O83:O87" si="66">HYPERLINK("http://www.ucsdtritons.com/ViewArticle.dbml?DB_OEM_ID=5800&amp;ATCLID=188420","Questionnaire")</f>
        <v>Questionnaire</v>
      </c>
      <c r="P83" s="48" t="s">
        <v>1546</v>
      </c>
      <c r="Q83" s="60" t="s">
        <v>312</v>
      </c>
      <c r="R83" s="48" t="s">
        <v>1547</v>
      </c>
      <c r="S83" s="48" t="s">
        <v>288</v>
      </c>
      <c r="T83" s="49" t="s">
        <v>74</v>
      </c>
      <c r="U83" s="7" t="s">
        <v>75</v>
      </c>
      <c r="V83" s="7"/>
      <c r="W83" s="44">
        <v>4</v>
      </c>
      <c r="X83" s="49" t="s">
        <v>1372</v>
      </c>
      <c r="Y83" s="49" t="s">
        <v>1548</v>
      </c>
      <c r="Z83" s="49" t="s">
        <v>1549</v>
      </c>
      <c r="AA83" s="51">
        <v>0.36</v>
      </c>
      <c r="AB83" s="48" t="s">
        <v>1550</v>
      </c>
      <c r="AC83" s="62" t="s">
        <v>1546</v>
      </c>
      <c r="AD83" s="53" t="str">
        <f t="shared" ref="AD83:AD87" si="67">HYPERLINK("https://students.ucsd.edu/academics/advising/majors-minors/undergraduate-majors.html","Link")</f>
        <v>Link</v>
      </c>
      <c r="AE83" s="54">
        <v>28127</v>
      </c>
      <c r="AF83" s="54">
        <v>42</v>
      </c>
      <c r="AG83" s="7"/>
      <c r="AH83" s="56">
        <v>110680</v>
      </c>
      <c r="AI83" s="7"/>
      <c r="AJ83" s="7"/>
      <c r="AK83" s="7"/>
      <c r="AL83" s="7"/>
    </row>
    <row r="84" spans="1:38" ht="13" x14ac:dyDescent="0.15">
      <c r="A84" s="57" t="s">
        <v>1160</v>
      </c>
      <c r="B84" s="110" t="s">
        <v>300</v>
      </c>
      <c r="C84" s="7" t="s">
        <v>41</v>
      </c>
      <c r="D84" s="7" t="s">
        <v>1556</v>
      </c>
      <c r="E84" s="44">
        <v>5</v>
      </c>
      <c r="F84" s="7"/>
      <c r="G84" s="7"/>
      <c r="H84" s="2" t="s">
        <v>1533</v>
      </c>
      <c r="I84" s="7" t="s">
        <v>201</v>
      </c>
      <c r="J84" s="7" t="s">
        <v>1557</v>
      </c>
      <c r="K84" s="7" t="s">
        <v>1558</v>
      </c>
      <c r="L84" s="7" t="s">
        <v>1559</v>
      </c>
      <c r="M84" s="7" t="s">
        <v>1561</v>
      </c>
      <c r="N84" s="45" t="str">
        <f t="shared" si="65"/>
        <v>@ucsdsoftball</v>
      </c>
      <c r="O84" s="45" t="str">
        <f t="shared" si="66"/>
        <v>Questionnaire</v>
      </c>
      <c r="P84" s="48" t="s">
        <v>1546</v>
      </c>
      <c r="Q84" s="60" t="s">
        <v>312</v>
      </c>
      <c r="R84" s="48" t="s">
        <v>1547</v>
      </c>
      <c r="S84" s="48" t="s">
        <v>288</v>
      </c>
      <c r="T84" s="49" t="s">
        <v>74</v>
      </c>
      <c r="U84" s="7" t="s">
        <v>75</v>
      </c>
      <c r="V84" s="7"/>
      <c r="W84" s="44">
        <v>4</v>
      </c>
      <c r="X84" s="49" t="s">
        <v>1372</v>
      </c>
      <c r="Y84" s="49" t="s">
        <v>1548</v>
      </c>
      <c r="Z84" s="49" t="s">
        <v>1549</v>
      </c>
      <c r="AA84" s="51">
        <v>0.36</v>
      </c>
      <c r="AB84" s="48" t="s">
        <v>1550</v>
      </c>
      <c r="AC84" s="62" t="s">
        <v>1546</v>
      </c>
      <c r="AD84" s="53" t="str">
        <f t="shared" si="67"/>
        <v>Link</v>
      </c>
      <c r="AE84" s="54">
        <v>28127</v>
      </c>
      <c r="AF84" s="54">
        <v>42</v>
      </c>
      <c r="AG84" s="7"/>
      <c r="AH84" s="56">
        <v>110680</v>
      </c>
      <c r="AI84" s="7"/>
      <c r="AJ84" s="7"/>
      <c r="AK84" s="7"/>
      <c r="AL84" s="7"/>
    </row>
    <row r="85" spans="1:38" ht="13" x14ac:dyDescent="0.15">
      <c r="A85" s="57" t="s">
        <v>1160</v>
      </c>
      <c r="B85" s="110" t="s">
        <v>300</v>
      </c>
      <c r="C85" s="7" t="s">
        <v>41</v>
      </c>
      <c r="D85" s="7" t="s">
        <v>1572</v>
      </c>
      <c r="E85" s="44">
        <v>5</v>
      </c>
      <c r="F85" s="7"/>
      <c r="G85" s="7"/>
      <c r="H85" s="2" t="s">
        <v>1533</v>
      </c>
      <c r="I85" s="7" t="s">
        <v>1574</v>
      </c>
      <c r="J85" s="7" t="s">
        <v>1575</v>
      </c>
      <c r="K85" s="7" t="s">
        <v>48</v>
      </c>
      <c r="L85" s="7" t="s">
        <v>1576</v>
      </c>
      <c r="M85" s="7" t="s">
        <v>1561</v>
      </c>
      <c r="N85" s="45" t="str">
        <f t="shared" si="65"/>
        <v>@ucsdsoftball</v>
      </c>
      <c r="O85" s="45" t="str">
        <f t="shared" si="66"/>
        <v>Questionnaire</v>
      </c>
      <c r="P85" s="48" t="s">
        <v>1546</v>
      </c>
      <c r="Q85" s="60" t="s">
        <v>312</v>
      </c>
      <c r="R85" s="48" t="s">
        <v>1547</v>
      </c>
      <c r="S85" s="48" t="s">
        <v>288</v>
      </c>
      <c r="T85" s="49" t="s">
        <v>74</v>
      </c>
      <c r="U85" s="7" t="s">
        <v>75</v>
      </c>
      <c r="V85" s="7"/>
      <c r="W85" s="44">
        <v>4</v>
      </c>
      <c r="X85" s="49" t="s">
        <v>1372</v>
      </c>
      <c r="Y85" s="49" t="s">
        <v>1548</v>
      </c>
      <c r="Z85" s="49" t="s">
        <v>1549</v>
      </c>
      <c r="AA85" s="51">
        <v>0.36</v>
      </c>
      <c r="AB85" s="48" t="s">
        <v>1550</v>
      </c>
      <c r="AC85" s="62" t="s">
        <v>1546</v>
      </c>
      <c r="AD85" s="53" t="str">
        <f t="shared" si="67"/>
        <v>Link</v>
      </c>
      <c r="AE85" s="54">
        <v>28127</v>
      </c>
      <c r="AF85" s="54">
        <v>42</v>
      </c>
      <c r="AG85" s="7"/>
      <c r="AH85" s="56">
        <v>110680</v>
      </c>
      <c r="AI85" s="7"/>
      <c r="AJ85" s="7"/>
      <c r="AK85" s="7"/>
      <c r="AL85" s="7"/>
    </row>
    <row r="86" spans="1:38" ht="13" x14ac:dyDescent="0.15">
      <c r="A86" s="57" t="s">
        <v>1160</v>
      </c>
      <c r="B86" s="110" t="s">
        <v>300</v>
      </c>
      <c r="C86" s="7" t="s">
        <v>41</v>
      </c>
      <c r="D86" s="7" t="s">
        <v>1588</v>
      </c>
      <c r="E86" s="44">
        <v>5</v>
      </c>
      <c r="F86" s="7"/>
      <c r="G86" s="7"/>
      <c r="H86" s="2" t="s">
        <v>1533</v>
      </c>
      <c r="I86" s="7" t="s">
        <v>1589</v>
      </c>
      <c r="J86" s="7" t="s">
        <v>1590</v>
      </c>
      <c r="K86" s="7" t="s">
        <v>139</v>
      </c>
      <c r="L86" s="7" t="s">
        <v>1591</v>
      </c>
      <c r="M86" s="7" t="s">
        <v>1561</v>
      </c>
      <c r="N86" s="45" t="str">
        <f t="shared" si="65"/>
        <v>@ucsdsoftball</v>
      </c>
      <c r="O86" s="45" t="str">
        <f t="shared" si="66"/>
        <v>Questionnaire</v>
      </c>
      <c r="P86" s="48" t="s">
        <v>1546</v>
      </c>
      <c r="Q86" s="60" t="s">
        <v>312</v>
      </c>
      <c r="R86" s="48" t="s">
        <v>1547</v>
      </c>
      <c r="S86" s="48" t="s">
        <v>288</v>
      </c>
      <c r="T86" s="49" t="s">
        <v>74</v>
      </c>
      <c r="U86" s="7" t="s">
        <v>75</v>
      </c>
      <c r="V86" s="7"/>
      <c r="W86" s="44">
        <v>4</v>
      </c>
      <c r="X86" s="49" t="s">
        <v>1372</v>
      </c>
      <c r="Y86" s="49" t="s">
        <v>1548</v>
      </c>
      <c r="Z86" s="49" t="s">
        <v>1549</v>
      </c>
      <c r="AA86" s="51">
        <v>0.36</v>
      </c>
      <c r="AB86" s="48" t="s">
        <v>1550</v>
      </c>
      <c r="AC86" s="62" t="s">
        <v>1546</v>
      </c>
      <c r="AD86" s="53" t="str">
        <f t="shared" si="67"/>
        <v>Link</v>
      </c>
      <c r="AE86" s="54">
        <v>28127</v>
      </c>
      <c r="AF86" s="54">
        <v>42</v>
      </c>
      <c r="AG86" s="7"/>
      <c r="AH86" s="56">
        <v>110680</v>
      </c>
      <c r="AI86" s="7"/>
      <c r="AJ86" s="7"/>
      <c r="AK86" s="7"/>
      <c r="AL86" s="7"/>
    </row>
    <row r="87" spans="1:38" ht="13" x14ac:dyDescent="0.15">
      <c r="A87" s="57" t="s">
        <v>1160</v>
      </c>
      <c r="B87" s="110" t="s">
        <v>300</v>
      </c>
      <c r="C87" s="7" t="s">
        <v>41</v>
      </c>
      <c r="D87" s="7" t="s">
        <v>1599</v>
      </c>
      <c r="E87" s="44">
        <v>5</v>
      </c>
      <c r="F87" s="7"/>
      <c r="G87" s="7"/>
      <c r="H87" s="2" t="s">
        <v>1533</v>
      </c>
      <c r="I87" s="7" t="s">
        <v>1600</v>
      </c>
      <c r="J87" s="7" t="s">
        <v>1460</v>
      </c>
      <c r="K87" s="7" t="s">
        <v>139</v>
      </c>
      <c r="L87" s="7" t="s">
        <v>1601</v>
      </c>
      <c r="M87" s="7" t="s">
        <v>1561</v>
      </c>
      <c r="N87" s="45" t="str">
        <f t="shared" si="65"/>
        <v>@ucsdsoftball</v>
      </c>
      <c r="O87" s="45" t="str">
        <f t="shared" si="66"/>
        <v>Questionnaire</v>
      </c>
      <c r="P87" s="48" t="s">
        <v>1546</v>
      </c>
      <c r="Q87" s="60" t="s">
        <v>312</v>
      </c>
      <c r="R87" s="48" t="s">
        <v>1547</v>
      </c>
      <c r="S87" s="48" t="s">
        <v>288</v>
      </c>
      <c r="T87" s="49" t="s">
        <v>74</v>
      </c>
      <c r="U87" s="7" t="s">
        <v>75</v>
      </c>
      <c r="V87" s="7"/>
      <c r="W87" s="44">
        <v>4</v>
      </c>
      <c r="X87" s="49" t="s">
        <v>1372</v>
      </c>
      <c r="Y87" s="49" t="s">
        <v>1548</v>
      </c>
      <c r="Z87" s="49" t="s">
        <v>1549</v>
      </c>
      <c r="AA87" s="51">
        <v>0.36</v>
      </c>
      <c r="AB87" s="48" t="s">
        <v>1550</v>
      </c>
      <c r="AC87" s="62" t="s">
        <v>1546</v>
      </c>
      <c r="AD87" s="53" t="str">
        <f t="shared" si="67"/>
        <v>Link</v>
      </c>
      <c r="AE87" s="54">
        <v>28127</v>
      </c>
      <c r="AF87" s="54">
        <v>42</v>
      </c>
      <c r="AG87" s="7"/>
      <c r="AH87" s="56">
        <v>110680</v>
      </c>
      <c r="AI87" s="7"/>
      <c r="AJ87" s="7"/>
      <c r="AK87" s="7"/>
      <c r="AL87" s="7"/>
    </row>
    <row r="88" spans="1:38" ht="13" x14ac:dyDescent="0.15">
      <c r="A88" s="57" t="s">
        <v>955</v>
      </c>
      <c r="B88" s="110" t="s">
        <v>300</v>
      </c>
      <c r="C88" s="7" t="s">
        <v>41</v>
      </c>
      <c r="D88" s="7" t="s">
        <v>1602</v>
      </c>
      <c r="E88" s="44">
        <v>5</v>
      </c>
      <c r="F88" s="7"/>
      <c r="G88" s="7"/>
      <c r="H88" s="2" t="s">
        <v>1603</v>
      </c>
      <c r="I88" s="7" t="s">
        <v>1604</v>
      </c>
      <c r="J88" s="7" t="s">
        <v>1605</v>
      </c>
      <c r="K88" s="7" t="s">
        <v>55</v>
      </c>
      <c r="L88" s="7" t="s">
        <v>1606</v>
      </c>
      <c r="M88" s="7" t="s">
        <v>1608</v>
      </c>
      <c r="N88" s="45" t="str">
        <f t="shared" ref="N88:N93" si="68">HYPERLINK("twitter.com/cuisoftball","@cuisoftball")</f>
        <v>@cuisoftball</v>
      </c>
      <c r="O88" s="45" t="str">
        <f t="shared" ref="O88:O93" si="69">HYPERLINK("https://cuieagles.com/sports/2015/5/14/Be_An_Eagle.aspx","Questionnaire")</f>
        <v>Questionnaire</v>
      </c>
      <c r="P88" s="48" t="s">
        <v>1618</v>
      </c>
      <c r="Q88" s="47" t="s">
        <v>312</v>
      </c>
      <c r="R88" s="48" t="s">
        <v>1619</v>
      </c>
      <c r="S88" s="48" t="s">
        <v>62</v>
      </c>
      <c r="T88" s="73" t="s">
        <v>63</v>
      </c>
      <c r="U88" s="7" t="s">
        <v>1620</v>
      </c>
      <c r="V88" s="7"/>
      <c r="W88" s="44">
        <v>3.44</v>
      </c>
      <c r="X88" s="49" t="s">
        <v>1621</v>
      </c>
      <c r="Y88" s="49" t="s">
        <v>1622</v>
      </c>
      <c r="Z88" s="49" t="s">
        <v>278</v>
      </c>
      <c r="AA88" s="61">
        <v>0.65</v>
      </c>
      <c r="AB88" s="71">
        <v>47650</v>
      </c>
      <c r="AC88" s="62" t="s">
        <v>1618</v>
      </c>
      <c r="AD88" s="53" t="str">
        <f t="shared" ref="AD88:AD93" si="70">HYPERLINK("https://www.cui.edu/admissions/undergraduate/academics/majors","Link")</f>
        <v>Link</v>
      </c>
      <c r="AE88" s="54">
        <v>1925</v>
      </c>
      <c r="AF88" s="55"/>
      <c r="AG88" s="7"/>
      <c r="AH88" s="56">
        <v>112075</v>
      </c>
      <c r="AI88" s="7"/>
      <c r="AJ88" s="7"/>
      <c r="AK88" s="7"/>
      <c r="AL88" s="7"/>
    </row>
    <row r="89" spans="1:38" ht="13" x14ac:dyDescent="0.15">
      <c r="A89" s="57" t="s">
        <v>955</v>
      </c>
      <c r="B89" s="110" t="s">
        <v>300</v>
      </c>
      <c r="C89" s="7" t="s">
        <v>41</v>
      </c>
      <c r="D89" s="7" t="s">
        <v>1627</v>
      </c>
      <c r="E89" s="44">
        <v>5</v>
      </c>
      <c r="F89" s="7"/>
      <c r="G89" s="7"/>
      <c r="H89" s="2" t="s">
        <v>1603</v>
      </c>
      <c r="I89" s="7" t="s">
        <v>1630</v>
      </c>
      <c r="J89" s="7" t="s">
        <v>1632</v>
      </c>
      <c r="K89" s="7" t="s">
        <v>120</v>
      </c>
      <c r="L89" s="7"/>
      <c r="M89" s="7"/>
      <c r="N89" s="45" t="str">
        <f t="shared" si="68"/>
        <v>@cuisoftball</v>
      </c>
      <c r="O89" s="45" t="str">
        <f t="shared" si="69"/>
        <v>Questionnaire</v>
      </c>
      <c r="P89" s="48" t="s">
        <v>1618</v>
      </c>
      <c r="Q89" s="47" t="s">
        <v>312</v>
      </c>
      <c r="R89" s="48" t="s">
        <v>1619</v>
      </c>
      <c r="S89" s="48" t="s">
        <v>62</v>
      </c>
      <c r="T89" s="73" t="s">
        <v>63</v>
      </c>
      <c r="U89" s="7" t="s">
        <v>1620</v>
      </c>
      <c r="V89" s="7"/>
      <c r="W89" s="44">
        <v>3.44</v>
      </c>
      <c r="X89" s="49" t="s">
        <v>1621</v>
      </c>
      <c r="Y89" s="49" t="s">
        <v>1622</v>
      </c>
      <c r="Z89" s="49" t="s">
        <v>278</v>
      </c>
      <c r="AA89" s="61">
        <v>0.65</v>
      </c>
      <c r="AB89" s="71">
        <v>47650</v>
      </c>
      <c r="AC89" s="62" t="s">
        <v>1618</v>
      </c>
      <c r="AD89" s="53" t="str">
        <f t="shared" si="70"/>
        <v>Link</v>
      </c>
      <c r="AE89" s="54">
        <v>1925</v>
      </c>
      <c r="AF89" s="55"/>
      <c r="AG89" s="7"/>
      <c r="AH89" s="56">
        <v>112075</v>
      </c>
      <c r="AI89" s="7"/>
      <c r="AJ89" s="7"/>
      <c r="AK89" s="7"/>
      <c r="AL89" s="7"/>
    </row>
    <row r="90" spans="1:38" ht="13" x14ac:dyDescent="0.15">
      <c r="A90" s="57" t="s">
        <v>955</v>
      </c>
      <c r="B90" s="110" t="s">
        <v>300</v>
      </c>
      <c r="C90" s="7" t="s">
        <v>41</v>
      </c>
      <c r="D90" s="7" t="s">
        <v>1644</v>
      </c>
      <c r="E90" s="44">
        <v>5</v>
      </c>
      <c r="F90" s="7"/>
      <c r="G90" s="7"/>
      <c r="H90" s="2" t="s">
        <v>1603</v>
      </c>
      <c r="I90" s="7" t="s">
        <v>294</v>
      </c>
      <c r="J90" s="7" t="s">
        <v>1645</v>
      </c>
      <c r="K90" s="7" t="s">
        <v>120</v>
      </c>
      <c r="L90" s="7"/>
      <c r="M90" s="7"/>
      <c r="N90" s="45" t="str">
        <f t="shared" si="68"/>
        <v>@cuisoftball</v>
      </c>
      <c r="O90" s="45" t="str">
        <f t="shared" si="69"/>
        <v>Questionnaire</v>
      </c>
      <c r="P90" s="48" t="s">
        <v>1618</v>
      </c>
      <c r="Q90" s="47" t="s">
        <v>312</v>
      </c>
      <c r="R90" s="48" t="s">
        <v>1619</v>
      </c>
      <c r="S90" s="48" t="s">
        <v>62</v>
      </c>
      <c r="T90" s="73" t="s">
        <v>63</v>
      </c>
      <c r="U90" s="7" t="s">
        <v>1620</v>
      </c>
      <c r="V90" s="7"/>
      <c r="W90" s="44">
        <v>3.44</v>
      </c>
      <c r="X90" s="49" t="s">
        <v>1621</v>
      </c>
      <c r="Y90" s="49" t="s">
        <v>1622</v>
      </c>
      <c r="Z90" s="49" t="s">
        <v>278</v>
      </c>
      <c r="AA90" s="61">
        <v>0.65</v>
      </c>
      <c r="AB90" s="71">
        <v>47650</v>
      </c>
      <c r="AC90" s="62" t="s">
        <v>1618</v>
      </c>
      <c r="AD90" s="53" t="str">
        <f t="shared" si="70"/>
        <v>Link</v>
      </c>
      <c r="AE90" s="54">
        <v>1925</v>
      </c>
      <c r="AF90" s="55"/>
      <c r="AG90" s="7"/>
      <c r="AH90" s="56">
        <v>112075</v>
      </c>
      <c r="AI90" s="7"/>
      <c r="AJ90" s="7"/>
      <c r="AK90" s="7"/>
      <c r="AL90" s="7"/>
    </row>
    <row r="91" spans="1:38" ht="13" x14ac:dyDescent="0.15">
      <c r="A91" s="57" t="s">
        <v>955</v>
      </c>
      <c r="B91" s="110" t="s">
        <v>300</v>
      </c>
      <c r="C91" s="7" t="s">
        <v>41</v>
      </c>
      <c r="D91" s="7" t="s">
        <v>1659</v>
      </c>
      <c r="E91" s="44">
        <v>5</v>
      </c>
      <c r="F91" s="7"/>
      <c r="G91" s="7"/>
      <c r="H91" s="2" t="s">
        <v>1603</v>
      </c>
      <c r="I91" s="7" t="s">
        <v>1660</v>
      </c>
      <c r="J91" s="7" t="s">
        <v>1661</v>
      </c>
      <c r="K91" s="7" t="s">
        <v>120</v>
      </c>
      <c r="L91" s="7"/>
      <c r="M91" s="7"/>
      <c r="N91" s="45" t="str">
        <f t="shared" si="68"/>
        <v>@cuisoftball</v>
      </c>
      <c r="O91" s="45" t="str">
        <f t="shared" si="69"/>
        <v>Questionnaire</v>
      </c>
      <c r="P91" s="48" t="s">
        <v>1618</v>
      </c>
      <c r="Q91" s="47" t="s">
        <v>312</v>
      </c>
      <c r="R91" s="48" t="s">
        <v>1619</v>
      </c>
      <c r="S91" s="48" t="s">
        <v>62</v>
      </c>
      <c r="T91" s="73" t="s">
        <v>63</v>
      </c>
      <c r="U91" s="7" t="s">
        <v>1620</v>
      </c>
      <c r="V91" s="7"/>
      <c r="W91" s="44">
        <v>3.44</v>
      </c>
      <c r="X91" s="49" t="s">
        <v>1621</v>
      </c>
      <c r="Y91" s="49" t="s">
        <v>1622</v>
      </c>
      <c r="Z91" s="49" t="s">
        <v>278</v>
      </c>
      <c r="AA91" s="61">
        <v>0.65</v>
      </c>
      <c r="AB91" s="71">
        <v>47650</v>
      </c>
      <c r="AC91" s="62" t="s">
        <v>1618</v>
      </c>
      <c r="AD91" s="53" t="str">
        <f t="shared" si="70"/>
        <v>Link</v>
      </c>
      <c r="AE91" s="54">
        <v>1925</v>
      </c>
      <c r="AF91" s="55"/>
      <c r="AG91" s="7"/>
      <c r="AH91" s="56">
        <v>112075</v>
      </c>
      <c r="AI91" s="7"/>
      <c r="AJ91" s="7"/>
      <c r="AK91" s="7"/>
      <c r="AL91" s="7"/>
    </row>
    <row r="92" spans="1:38" ht="13" x14ac:dyDescent="0.15">
      <c r="A92" s="57" t="s">
        <v>955</v>
      </c>
      <c r="B92" s="110" t="s">
        <v>300</v>
      </c>
      <c r="C92" s="7" t="s">
        <v>41</v>
      </c>
      <c r="D92" s="7" t="s">
        <v>1670</v>
      </c>
      <c r="E92" s="44">
        <v>5</v>
      </c>
      <c r="F92" s="7"/>
      <c r="G92" s="7"/>
      <c r="H92" s="2" t="s">
        <v>1603</v>
      </c>
      <c r="I92" s="7" t="s">
        <v>1671</v>
      </c>
      <c r="J92" s="7" t="s">
        <v>1672</v>
      </c>
      <c r="K92" s="7" t="s">
        <v>48</v>
      </c>
      <c r="L92" s="7" t="s">
        <v>1674</v>
      </c>
      <c r="M92" s="7" t="s">
        <v>1676</v>
      </c>
      <c r="N92" s="45" t="str">
        <f t="shared" si="68"/>
        <v>@cuisoftball</v>
      </c>
      <c r="O92" s="45" t="str">
        <f t="shared" si="69"/>
        <v>Questionnaire</v>
      </c>
      <c r="P92" s="48" t="s">
        <v>1618</v>
      </c>
      <c r="Q92" s="47" t="s">
        <v>312</v>
      </c>
      <c r="R92" s="48" t="s">
        <v>1619</v>
      </c>
      <c r="S92" s="48" t="s">
        <v>62</v>
      </c>
      <c r="T92" s="73" t="s">
        <v>63</v>
      </c>
      <c r="U92" s="7" t="s">
        <v>1620</v>
      </c>
      <c r="V92" s="7"/>
      <c r="W92" s="44">
        <v>3.44</v>
      </c>
      <c r="X92" s="49" t="s">
        <v>1621</v>
      </c>
      <c r="Y92" s="49" t="s">
        <v>1622</v>
      </c>
      <c r="Z92" s="49" t="s">
        <v>278</v>
      </c>
      <c r="AA92" s="61">
        <v>0.65</v>
      </c>
      <c r="AB92" s="71">
        <v>47650</v>
      </c>
      <c r="AC92" s="62" t="s">
        <v>1618</v>
      </c>
      <c r="AD92" s="53" t="str">
        <f t="shared" si="70"/>
        <v>Link</v>
      </c>
      <c r="AE92" s="54">
        <v>1925</v>
      </c>
      <c r="AF92" s="55"/>
      <c r="AG92" s="7"/>
      <c r="AH92" s="56">
        <v>112075</v>
      </c>
      <c r="AI92" s="7"/>
      <c r="AJ92" s="7"/>
      <c r="AK92" s="7"/>
      <c r="AL92" s="7"/>
    </row>
    <row r="93" spans="1:38" ht="13" x14ac:dyDescent="0.15">
      <c r="A93" s="57" t="s">
        <v>955</v>
      </c>
      <c r="B93" s="110" t="s">
        <v>300</v>
      </c>
      <c r="C93" s="7" t="s">
        <v>41</v>
      </c>
      <c r="D93" s="7" t="s">
        <v>1680</v>
      </c>
      <c r="E93" s="44">
        <v>5</v>
      </c>
      <c r="F93" s="7"/>
      <c r="G93" s="7" t="s">
        <v>126</v>
      </c>
      <c r="H93" s="2" t="s">
        <v>1603</v>
      </c>
      <c r="I93" s="7" t="s">
        <v>1682</v>
      </c>
      <c r="J93" s="7"/>
      <c r="K93" s="7"/>
      <c r="L93" s="7"/>
      <c r="M93" s="7"/>
      <c r="N93" s="45" t="str">
        <f t="shared" si="68"/>
        <v>@cuisoftball</v>
      </c>
      <c r="O93" s="45" t="str">
        <f t="shared" si="69"/>
        <v>Questionnaire</v>
      </c>
      <c r="P93" s="48" t="s">
        <v>1618</v>
      </c>
      <c r="Q93" s="47" t="s">
        <v>312</v>
      </c>
      <c r="R93" s="48" t="s">
        <v>1619</v>
      </c>
      <c r="S93" s="48" t="s">
        <v>62</v>
      </c>
      <c r="T93" s="73" t="s">
        <v>63</v>
      </c>
      <c r="U93" s="7" t="s">
        <v>1620</v>
      </c>
      <c r="V93" s="7"/>
      <c r="W93" s="44">
        <v>3.44</v>
      </c>
      <c r="X93" s="49" t="s">
        <v>1621</v>
      </c>
      <c r="Y93" s="49" t="s">
        <v>1622</v>
      </c>
      <c r="Z93" s="49" t="s">
        <v>278</v>
      </c>
      <c r="AA93" s="61">
        <v>0.65</v>
      </c>
      <c r="AB93" s="71">
        <v>47650</v>
      </c>
      <c r="AC93" s="62" t="s">
        <v>1618</v>
      </c>
      <c r="AD93" s="53" t="str">
        <f t="shared" si="70"/>
        <v>Link</v>
      </c>
      <c r="AE93" s="54">
        <v>1925</v>
      </c>
      <c r="AF93" s="55"/>
      <c r="AG93" s="7"/>
      <c r="AH93" s="56">
        <v>112075</v>
      </c>
      <c r="AI93" s="7"/>
      <c r="AJ93" s="7"/>
      <c r="AK93" s="7"/>
      <c r="AL93" s="7"/>
    </row>
    <row r="94" spans="1:38" ht="13" x14ac:dyDescent="0.15">
      <c r="A94" s="57" t="s">
        <v>955</v>
      </c>
      <c r="B94" s="110" t="s">
        <v>300</v>
      </c>
      <c r="C94" s="7" t="s">
        <v>41</v>
      </c>
      <c r="D94" s="7" t="s">
        <v>1690</v>
      </c>
      <c r="E94" s="44">
        <v>5</v>
      </c>
      <c r="F94" s="7"/>
      <c r="G94" s="7"/>
      <c r="H94" s="2" t="s">
        <v>1691</v>
      </c>
      <c r="I94" s="7" t="s">
        <v>1692</v>
      </c>
      <c r="J94" s="7" t="s">
        <v>1693</v>
      </c>
      <c r="K94" s="7" t="s">
        <v>55</v>
      </c>
      <c r="L94" s="7" t="s">
        <v>1695</v>
      </c>
      <c r="M94" s="7"/>
      <c r="N94" s="45" t="str">
        <f t="shared" ref="N94:N97" si="71">HYPERLINK("twitter.com/dominican_sb","@dominican_sb")</f>
        <v>@dominican_sb</v>
      </c>
      <c r="O94" s="45" t="str">
        <f t="shared" ref="O94:O97" si="72">HYPERLINK("https://dominicanathletics.com/sb_output.aspx?form=3&amp;path=mgolf","Questionnaire")</f>
        <v>Questionnaire</v>
      </c>
      <c r="P94" s="48" t="s">
        <v>1706</v>
      </c>
      <c r="Q94" s="60" t="s">
        <v>312</v>
      </c>
      <c r="R94" s="48" t="s">
        <v>1708</v>
      </c>
      <c r="S94" s="48" t="s">
        <v>186</v>
      </c>
      <c r="T94" s="4" t="s">
        <v>63</v>
      </c>
      <c r="U94" s="7" t="s">
        <v>75</v>
      </c>
      <c r="V94" s="7"/>
      <c r="W94" s="37">
        <v>3.5</v>
      </c>
      <c r="X94" s="49" t="s">
        <v>1713</v>
      </c>
      <c r="Y94" s="49" t="s">
        <v>1714</v>
      </c>
      <c r="Z94" s="49" t="s">
        <v>1715</v>
      </c>
      <c r="AA94" s="65">
        <v>0.78</v>
      </c>
      <c r="AB94" s="39">
        <v>62010</v>
      </c>
      <c r="AC94" s="90" t="s">
        <v>1706</v>
      </c>
      <c r="AD94" s="53" t="str">
        <f t="shared" ref="AD94:AD97" si="73">HYPERLINK("https://www.dominican.edu/academics/majorsprograms","Link")</f>
        <v>Link</v>
      </c>
      <c r="AE94" s="42">
        <v>1388</v>
      </c>
      <c r="AF94" s="55"/>
      <c r="AG94" s="7"/>
      <c r="AH94" s="56">
        <v>113698</v>
      </c>
      <c r="AI94" s="7"/>
      <c r="AJ94" s="7"/>
      <c r="AK94" s="7"/>
      <c r="AL94" s="7"/>
    </row>
    <row r="95" spans="1:38" ht="13" x14ac:dyDescent="0.15">
      <c r="A95" s="57" t="s">
        <v>955</v>
      </c>
      <c r="B95" s="110" t="s">
        <v>300</v>
      </c>
      <c r="C95" s="7" t="s">
        <v>41</v>
      </c>
      <c r="D95" s="7" t="s">
        <v>1730</v>
      </c>
      <c r="E95" s="44">
        <v>5</v>
      </c>
      <c r="F95" s="7"/>
      <c r="G95" s="7"/>
      <c r="H95" s="2" t="s">
        <v>1691</v>
      </c>
      <c r="I95" s="7" t="s">
        <v>1731</v>
      </c>
      <c r="J95" s="7" t="s">
        <v>1732</v>
      </c>
      <c r="K95" s="7" t="s">
        <v>48</v>
      </c>
      <c r="L95" s="7" t="s">
        <v>1734</v>
      </c>
      <c r="M95" s="7"/>
      <c r="N95" s="45" t="str">
        <f t="shared" si="71"/>
        <v>@dominican_sb</v>
      </c>
      <c r="O95" s="45" t="str">
        <f t="shared" si="72"/>
        <v>Questionnaire</v>
      </c>
      <c r="P95" s="48" t="s">
        <v>1706</v>
      </c>
      <c r="Q95" s="60" t="s">
        <v>312</v>
      </c>
      <c r="R95" s="48" t="s">
        <v>1708</v>
      </c>
      <c r="S95" s="48" t="s">
        <v>186</v>
      </c>
      <c r="T95" s="4" t="s">
        <v>63</v>
      </c>
      <c r="U95" s="7" t="s">
        <v>75</v>
      </c>
      <c r="V95" s="7"/>
      <c r="W95" s="37">
        <v>3.5</v>
      </c>
      <c r="X95" s="49" t="s">
        <v>1713</v>
      </c>
      <c r="Y95" s="49" t="s">
        <v>1714</v>
      </c>
      <c r="Z95" s="49" t="s">
        <v>1715</v>
      </c>
      <c r="AA95" s="65">
        <v>0.78</v>
      </c>
      <c r="AB95" s="39">
        <v>62010</v>
      </c>
      <c r="AC95" s="90" t="s">
        <v>1706</v>
      </c>
      <c r="AD95" s="53" t="str">
        <f t="shared" si="73"/>
        <v>Link</v>
      </c>
      <c r="AE95" s="42">
        <v>1388</v>
      </c>
      <c r="AF95" s="55"/>
      <c r="AG95" s="7"/>
      <c r="AH95" s="56">
        <v>113698</v>
      </c>
      <c r="AI95" s="7"/>
      <c r="AJ95" s="7"/>
      <c r="AK95" s="7"/>
      <c r="AL95" s="7"/>
    </row>
    <row r="96" spans="1:38" ht="13" x14ac:dyDescent="0.15">
      <c r="A96" s="57" t="s">
        <v>955</v>
      </c>
      <c r="B96" s="110" t="s">
        <v>300</v>
      </c>
      <c r="C96" s="7" t="s">
        <v>41</v>
      </c>
      <c r="D96" s="7" t="s">
        <v>1740</v>
      </c>
      <c r="E96" s="44">
        <v>5</v>
      </c>
      <c r="F96" s="7"/>
      <c r="G96" s="7"/>
      <c r="H96" s="2" t="s">
        <v>1691</v>
      </c>
      <c r="I96" s="7" t="s">
        <v>1741</v>
      </c>
      <c r="J96" s="7" t="s">
        <v>1742</v>
      </c>
      <c r="K96" s="7" t="s">
        <v>139</v>
      </c>
      <c r="L96" s="7"/>
      <c r="M96" s="7"/>
      <c r="N96" s="45" t="str">
        <f t="shared" si="71"/>
        <v>@dominican_sb</v>
      </c>
      <c r="O96" s="45" t="str">
        <f t="shared" si="72"/>
        <v>Questionnaire</v>
      </c>
      <c r="P96" s="48" t="s">
        <v>1706</v>
      </c>
      <c r="Q96" s="60" t="s">
        <v>312</v>
      </c>
      <c r="R96" s="48" t="s">
        <v>1708</v>
      </c>
      <c r="S96" s="48" t="s">
        <v>186</v>
      </c>
      <c r="T96" s="4" t="s">
        <v>63</v>
      </c>
      <c r="U96" s="7" t="s">
        <v>75</v>
      </c>
      <c r="V96" s="7"/>
      <c r="W96" s="37">
        <v>3.5</v>
      </c>
      <c r="X96" s="49" t="s">
        <v>1713</v>
      </c>
      <c r="Y96" s="49" t="s">
        <v>1714</v>
      </c>
      <c r="Z96" s="49" t="s">
        <v>1715</v>
      </c>
      <c r="AA96" s="65">
        <v>0.78</v>
      </c>
      <c r="AB96" s="39">
        <v>62010</v>
      </c>
      <c r="AC96" s="90" t="s">
        <v>1706</v>
      </c>
      <c r="AD96" s="53" t="str">
        <f t="shared" si="73"/>
        <v>Link</v>
      </c>
      <c r="AE96" s="42">
        <v>1388</v>
      </c>
      <c r="AF96" s="55"/>
      <c r="AG96" s="7"/>
      <c r="AH96" s="56">
        <v>113698</v>
      </c>
      <c r="AI96" s="7"/>
      <c r="AJ96" s="7"/>
      <c r="AK96" s="7"/>
      <c r="AL96" s="7"/>
    </row>
    <row r="97" spans="1:38" ht="13" x14ac:dyDescent="0.15">
      <c r="A97" s="57" t="s">
        <v>955</v>
      </c>
      <c r="B97" s="110" t="s">
        <v>300</v>
      </c>
      <c r="C97" s="7" t="s">
        <v>41</v>
      </c>
      <c r="D97" s="7" t="s">
        <v>1750</v>
      </c>
      <c r="E97" s="44">
        <v>5</v>
      </c>
      <c r="F97" s="7"/>
      <c r="G97" s="7"/>
      <c r="H97" s="2" t="s">
        <v>1691</v>
      </c>
      <c r="I97" s="7" t="s">
        <v>754</v>
      </c>
      <c r="J97" s="7" t="s">
        <v>1751</v>
      </c>
      <c r="K97" s="7" t="s">
        <v>139</v>
      </c>
      <c r="L97" s="7"/>
      <c r="M97" s="7"/>
      <c r="N97" s="45" t="str">
        <f t="shared" si="71"/>
        <v>@dominican_sb</v>
      </c>
      <c r="O97" s="45" t="str">
        <f t="shared" si="72"/>
        <v>Questionnaire</v>
      </c>
      <c r="P97" s="48" t="s">
        <v>1706</v>
      </c>
      <c r="Q97" s="60" t="s">
        <v>312</v>
      </c>
      <c r="R97" s="48" t="s">
        <v>1708</v>
      </c>
      <c r="S97" s="48" t="s">
        <v>186</v>
      </c>
      <c r="T97" s="4" t="s">
        <v>63</v>
      </c>
      <c r="U97" s="7" t="s">
        <v>75</v>
      </c>
      <c r="V97" s="7"/>
      <c r="W97" s="37">
        <v>3.5</v>
      </c>
      <c r="X97" s="49" t="s">
        <v>1713</v>
      </c>
      <c r="Y97" s="49" t="s">
        <v>1714</v>
      </c>
      <c r="Z97" s="49" t="s">
        <v>1715</v>
      </c>
      <c r="AA97" s="65">
        <v>0.78</v>
      </c>
      <c r="AB97" s="39">
        <v>62010</v>
      </c>
      <c r="AC97" s="90" t="s">
        <v>1706</v>
      </c>
      <c r="AD97" s="53" t="str">
        <f t="shared" si="73"/>
        <v>Link</v>
      </c>
      <c r="AE97" s="42">
        <v>1388</v>
      </c>
      <c r="AF97" s="55"/>
      <c r="AG97" s="7"/>
      <c r="AH97" s="56">
        <v>113698</v>
      </c>
      <c r="AI97" s="7"/>
      <c r="AJ97" s="7"/>
      <c r="AK97" s="7"/>
      <c r="AL97" s="7"/>
    </row>
    <row r="98" spans="1:38" ht="13" x14ac:dyDescent="0.15">
      <c r="A98" s="57" t="s">
        <v>955</v>
      </c>
      <c r="B98" s="110" t="s">
        <v>300</v>
      </c>
      <c r="C98" s="7" t="s">
        <v>41</v>
      </c>
      <c r="D98" s="7" t="s">
        <v>1758</v>
      </c>
      <c r="E98" s="44">
        <v>5</v>
      </c>
      <c r="F98" s="7"/>
      <c r="G98" s="7"/>
      <c r="H98" s="2" t="s">
        <v>1759</v>
      </c>
      <c r="I98" s="7" t="s">
        <v>1760</v>
      </c>
      <c r="J98" s="7" t="s">
        <v>1761</v>
      </c>
      <c r="K98" s="7" t="s">
        <v>55</v>
      </c>
      <c r="L98" s="7"/>
      <c r="M98" s="7"/>
      <c r="N98" s="7"/>
      <c r="O98" s="44" t="s">
        <v>22</v>
      </c>
      <c r="P98" s="48" t="s">
        <v>1767</v>
      </c>
      <c r="Q98" s="60" t="s">
        <v>312</v>
      </c>
      <c r="R98" s="48" t="s">
        <v>1768</v>
      </c>
      <c r="S98" s="48" t="s">
        <v>354</v>
      </c>
      <c r="T98" s="49" t="s">
        <v>63</v>
      </c>
      <c r="U98" s="7" t="s">
        <v>1769</v>
      </c>
      <c r="V98" s="7"/>
      <c r="W98" s="44">
        <v>3.54</v>
      </c>
      <c r="X98" s="49" t="s">
        <v>253</v>
      </c>
      <c r="Y98" s="49" t="s">
        <v>1338</v>
      </c>
      <c r="Z98" s="49" t="s">
        <v>841</v>
      </c>
      <c r="AA98" s="61">
        <v>0.68</v>
      </c>
      <c r="AB98" s="71">
        <v>41637</v>
      </c>
      <c r="AC98" s="62" t="s">
        <v>1767</v>
      </c>
      <c r="AD98" s="53" t="str">
        <f t="shared" ref="AD98:AD103" si="74">HYPERLINK("https://www.fresno.edu/programs-majors/undergraduate","Link")</f>
        <v>Link</v>
      </c>
      <c r="AE98" s="54">
        <v>2431</v>
      </c>
      <c r="AF98" s="55"/>
      <c r="AG98" s="7"/>
      <c r="AH98" s="56">
        <v>114813</v>
      </c>
      <c r="AI98" s="7"/>
      <c r="AJ98" s="7"/>
      <c r="AK98" s="7"/>
      <c r="AL98" s="7"/>
    </row>
    <row r="99" spans="1:38" ht="13" x14ac:dyDescent="0.15">
      <c r="A99" s="57" t="s">
        <v>955</v>
      </c>
      <c r="B99" s="110" t="s">
        <v>300</v>
      </c>
      <c r="C99" s="7" t="s">
        <v>41</v>
      </c>
      <c r="D99" s="7" t="s">
        <v>1782</v>
      </c>
      <c r="E99" s="44">
        <v>5</v>
      </c>
      <c r="F99" s="7"/>
      <c r="G99" s="7"/>
      <c r="H99" s="2" t="s">
        <v>1759</v>
      </c>
      <c r="I99" s="7" t="s">
        <v>1783</v>
      </c>
      <c r="J99" s="7" t="s">
        <v>1784</v>
      </c>
      <c r="K99" s="7" t="s">
        <v>55</v>
      </c>
      <c r="L99" s="7"/>
      <c r="M99" s="7"/>
      <c r="N99" s="7"/>
      <c r="O99" s="44" t="s">
        <v>22</v>
      </c>
      <c r="P99" s="48" t="s">
        <v>1767</v>
      </c>
      <c r="Q99" s="60" t="s">
        <v>312</v>
      </c>
      <c r="R99" s="48" t="s">
        <v>1768</v>
      </c>
      <c r="S99" s="48" t="s">
        <v>354</v>
      </c>
      <c r="T99" s="49" t="s">
        <v>63</v>
      </c>
      <c r="U99" s="7" t="s">
        <v>1769</v>
      </c>
      <c r="V99" s="7"/>
      <c r="W99" s="44">
        <v>3.54</v>
      </c>
      <c r="X99" s="49" t="s">
        <v>253</v>
      </c>
      <c r="Y99" s="49" t="s">
        <v>1338</v>
      </c>
      <c r="Z99" s="49" t="s">
        <v>841</v>
      </c>
      <c r="AA99" s="61">
        <v>0.68</v>
      </c>
      <c r="AB99" s="71">
        <v>41637</v>
      </c>
      <c r="AC99" s="62" t="s">
        <v>1767</v>
      </c>
      <c r="AD99" s="53" t="str">
        <f t="shared" si="74"/>
        <v>Link</v>
      </c>
      <c r="AE99" s="54">
        <v>2431</v>
      </c>
      <c r="AF99" s="55"/>
      <c r="AG99" s="7"/>
      <c r="AH99" s="56">
        <v>114813</v>
      </c>
      <c r="AI99" s="7"/>
      <c r="AJ99" s="7"/>
      <c r="AK99" s="7"/>
      <c r="AL99" s="7"/>
    </row>
    <row r="100" spans="1:38" ht="13" x14ac:dyDescent="0.15">
      <c r="A100" s="57" t="s">
        <v>955</v>
      </c>
      <c r="B100" s="110" t="s">
        <v>300</v>
      </c>
      <c r="C100" s="7" t="s">
        <v>41</v>
      </c>
      <c r="D100" s="7" t="s">
        <v>1790</v>
      </c>
      <c r="E100" s="44">
        <v>5</v>
      </c>
      <c r="F100" s="7"/>
      <c r="G100" s="7"/>
      <c r="H100" s="2" t="s">
        <v>1759</v>
      </c>
      <c r="I100" s="7" t="s">
        <v>1791</v>
      </c>
      <c r="J100" s="7" t="s">
        <v>1792</v>
      </c>
      <c r="K100" s="7" t="s">
        <v>55</v>
      </c>
      <c r="L100" s="7"/>
      <c r="M100" s="7"/>
      <c r="N100" s="7"/>
      <c r="O100" s="44" t="s">
        <v>22</v>
      </c>
      <c r="P100" s="48" t="s">
        <v>1767</v>
      </c>
      <c r="Q100" s="60" t="s">
        <v>312</v>
      </c>
      <c r="R100" s="48" t="s">
        <v>1768</v>
      </c>
      <c r="S100" s="48" t="s">
        <v>354</v>
      </c>
      <c r="T100" s="49" t="s">
        <v>63</v>
      </c>
      <c r="U100" s="7" t="s">
        <v>1769</v>
      </c>
      <c r="V100" s="7"/>
      <c r="W100" s="44">
        <v>3.54</v>
      </c>
      <c r="X100" s="49" t="s">
        <v>253</v>
      </c>
      <c r="Y100" s="49" t="s">
        <v>1338</v>
      </c>
      <c r="Z100" s="49" t="s">
        <v>841</v>
      </c>
      <c r="AA100" s="61">
        <v>0.68</v>
      </c>
      <c r="AB100" s="71">
        <v>41637</v>
      </c>
      <c r="AC100" s="62" t="s">
        <v>1767</v>
      </c>
      <c r="AD100" s="53" t="str">
        <f t="shared" si="74"/>
        <v>Link</v>
      </c>
      <c r="AE100" s="54">
        <v>2431</v>
      </c>
      <c r="AF100" s="55"/>
      <c r="AG100" s="7"/>
      <c r="AH100" s="56">
        <v>114813</v>
      </c>
      <c r="AI100" s="7"/>
      <c r="AJ100" s="7"/>
      <c r="AK100" s="7"/>
      <c r="AL100" s="7"/>
    </row>
    <row r="101" spans="1:38" ht="13" x14ac:dyDescent="0.15">
      <c r="A101" s="57" t="s">
        <v>955</v>
      </c>
      <c r="B101" s="110" t="s">
        <v>300</v>
      </c>
      <c r="C101" s="7" t="s">
        <v>41</v>
      </c>
      <c r="D101" s="7" t="s">
        <v>1795</v>
      </c>
      <c r="E101" s="44">
        <v>5</v>
      </c>
      <c r="F101" s="7"/>
      <c r="G101" s="7"/>
      <c r="H101" s="2" t="s">
        <v>1759</v>
      </c>
      <c r="I101" s="7" t="s">
        <v>1418</v>
      </c>
      <c r="J101" s="7" t="s">
        <v>1796</v>
      </c>
      <c r="K101" s="7" t="s">
        <v>55</v>
      </c>
      <c r="L101" s="7"/>
      <c r="M101" s="7"/>
      <c r="N101" s="7"/>
      <c r="O101" s="44" t="s">
        <v>22</v>
      </c>
      <c r="P101" s="48" t="s">
        <v>1767</v>
      </c>
      <c r="Q101" s="60" t="s">
        <v>312</v>
      </c>
      <c r="R101" s="48" t="s">
        <v>1768</v>
      </c>
      <c r="S101" s="48" t="s">
        <v>354</v>
      </c>
      <c r="T101" s="49" t="s">
        <v>63</v>
      </c>
      <c r="U101" s="7" t="s">
        <v>1769</v>
      </c>
      <c r="V101" s="7"/>
      <c r="W101" s="44">
        <v>3.54</v>
      </c>
      <c r="X101" s="49" t="s">
        <v>253</v>
      </c>
      <c r="Y101" s="49" t="s">
        <v>1338</v>
      </c>
      <c r="Z101" s="49" t="s">
        <v>841</v>
      </c>
      <c r="AA101" s="61">
        <v>0.68</v>
      </c>
      <c r="AB101" s="71">
        <v>41637</v>
      </c>
      <c r="AC101" s="62" t="s">
        <v>1767</v>
      </c>
      <c r="AD101" s="53" t="str">
        <f t="shared" si="74"/>
        <v>Link</v>
      </c>
      <c r="AE101" s="54">
        <v>2431</v>
      </c>
      <c r="AF101" s="55"/>
      <c r="AG101" s="7"/>
      <c r="AH101" s="56">
        <v>114813</v>
      </c>
      <c r="AI101" s="7"/>
      <c r="AJ101" s="7"/>
      <c r="AK101" s="7"/>
      <c r="AL101" s="7"/>
    </row>
    <row r="102" spans="1:38" ht="13" x14ac:dyDescent="0.15">
      <c r="A102" s="57" t="s">
        <v>955</v>
      </c>
      <c r="B102" s="110" t="s">
        <v>300</v>
      </c>
      <c r="C102" s="7" t="s">
        <v>41</v>
      </c>
      <c r="D102" s="7" t="s">
        <v>1807</v>
      </c>
      <c r="E102" s="44">
        <v>5</v>
      </c>
      <c r="F102" s="7"/>
      <c r="G102" s="7"/>
      <c r="H102" s="2" t="s">
        <v>1759</v>
      </c>
      <c r="I102" s="7" t="s">
        <v>1735</v>
      </c>
      <c r="J102" s="7" t="s">
        <v>1810</v>
      </c>
      <c r="K102" s="7" t="s">
        <v>48</v>
      </c>
      <c r="L102" s="7" t="s">
        <v>1811</v>
      </c>
      <c r="M102" s="44" t="s">
        <v>1812</v>
      </c>
      <c r="N102" s="44"/>
      <c r="O102" s="44" t="s">
        <v>22</v>
      </c>
      <c r="P102" s="48" t="s">
        <v>1767</v>
      </c>
      <c r="Q102" s="60" t="s">
        <v>312</v>
      </c>
      <c r="R102" s="48" t="s">
        <v>1768</v>
      </c>
      <c r="S102" s="48" t="s">
        <v>354</v>
      </c>
      <c r="T102" s="49" t="s">
        <v>63</v>
      </c>
      <c r="U102" s="7" t="s">
        <v>1769</v>
      </c>
      <c r="V102" s="7"/>
      <c r="W102" s="44">
        <v>3.54</v>
      </c>
      <c r="X102" s="49" t="s">
        <v>253</v>
      </c>
      <c r="Y102" s="49" t="s">
        <v>1338</v>
      </c>
      <c r="Z102" s="49" t="s">
        <v>841</v>
      </c>
      <c r="AA102" s="61">
        <v>0.68</v>
      </c>
      <c r="AB102" s="71">
        <v>41637</v>
      </c>
      <c r="AC102" s="62" t="s">
        <v>1767</v>
      </c>
      <c r="AD102" s="53" t="str">
        <f t="shared" si="74"/>
        <v>Link</v>
      </c>
      <c r="AE102" s="54">
        <v>2431</v>
      </c>
      <c r="AF102" s="55"/>
      <c r="AG102" s="7"/>
      <c r="AH102" s="56">
        <v>114813</v>
      </c>
      <c r="AI102" s="7"/>
      <c r="AJ102" s="7"/>
      <c r="AK102" s="7"/>
      <c r="AL102" s="7"/>
    </row>
    <row r="103" spans="1:38" ht="13" x14ac:dyDescent="0.15">
      <c r="A103" s="57" t="s">
        <v>955</v>
      </c>
      <c r="B103" s="110" t="s">
        <v>300</v>
      </c>
      <c r="C103" s="7" t="s">
        <v>41</v>
      </c>
      <c r="D103" s="7" t="s">
        <v>1829</v>
      </c>
      <c r="E103" s="44">
        <v>5</v>
      </c>
      <c r="F103" s="7"/>
      <c r="G103" s="7"/>
      <c r="H103" s="2" t="s">
        <v>1759</v>
      </c>
      <c r="I103" s="7" t="s">
        <v>1830</v>
      </c>
      <c r="J103" s="7" t="s">
        <v>1831</v>
      </c>
      <c r="K103" s="7" t="s">
        <v>55</v>
      </c>
      <c r="L103" s="7"/>
      <c r="M103" s="7"/>
      <c r="N103" s="7"/>
      <c r="O103" s="7" t="s">
        <v>22</v>
      </c>
      <c r="P103" s="48" t="s">
        <v>1767</v>
      </c>
      <c r="Q103" s="60" t="s">
        <v>312</v>
      </c>
      <c r="R103" s="48" t="s">
        <v>1768</v>
      </c>
      <c r="S103" s="48" t="s">
        <v>354</v>
      </c>
      <c r="T103" s="49" t="s">
        <v>63</v>
      </c>
      <c r="U103" s="7" t="s">
        <v>1769</v>
      </c>
      <c r="V103" s="7"/>
      <c r="W103" s="44">
        <v>3.54</v>
      </c>
      <c r="X103" s="49" t="s">
        <v>253</v>
      </c>
      <c r="Y103" s="49" t="s">
        <v>1338</v>
      </c>
      <c r="Z103" s="49" t="s">
        <v>841</v>
      </c>
      <c r="AA103" s="61">
        <v>0.68</v>
      </c>
      <c r="AB103" s="71">
        <v>41637</v>
      </c>
      <c r="AC103" s="62" t="s">
        <v>1767</v>
      </c>
      <c r="AD103" s="53" t="str">
        <f t="shared" si="74"/>
        <v>Link</v>
      </c>
      <c r="AE103" s="54">
        <v>2431</v>
      </c>
      <c r="AF103" s="55"/>
      <c r="AG103" s="7"/>
      <c r="AH103" s="56">
        <v>114813</v>
      </c>
      <c r="AI103" s="7"/>
      <c r="AJ103" s="7"/>
      <c r="AK103" s="7"/>
      <c r="AL103" s="7"/>
    </row>
    <row r="104" spans="1:38" ht="13" x14ac:dyDescent="0.15">
      <c r="A104" s="57" t="s">
        <v>955</v>
      </c>
      <c r="B104" s="110" t="s">
        <v>300</v>
      </c>
      <c r="C104" s="7" t="s">
        <v>41</v>
      </c>
      <c r="D104" s="7" t="s">
        <v>1838</v>
      </c>
      <c r="E104" s="44">
        <v>5</v>
      </c>
      <c r="F104" s="7"/>
      <c r="G104" s="7"/>
      <c r="H104" s="2" t="s">
        <v>1839</v>
      </c>
      <c r="I104" s="7" t="s">
        <v>1840</v>
      </c>
      <c r="J104" s="7" t="s">
        <v>1841</v>
      </c>
      <c r="K104" s="7" t="s">
        <v>55</v>
      </c>
      <c r="L104" s="7" t="s">
        <v>1842</v>
      </c>
      <c r="M104" s="7"/>
      <c r="N104" s="48"/>
      <c r="O104" s="45" t="str">
        <f t="shared" ref="O104:O105" si="75">HYPERLINK("https://hnuhawks.com/sb_output.aspx?form=3","Questionnaire")</f>
        <v>Questionnaire</v>
      </c>
      <c r="P104" s="48" t="s">
        <v>1851</v>
      </c>
      <c r="Q104" s="47" t="s">
        <v>312</v>
      </c>
      <c r="R104" s="48" t="s">
        <v>1853</v>
      </c>
      <c r="S104" s="48" t="s">
        <v>354</v>
      </c>
      <c r="T104" s="49" t="s">
        <v>63</v>
      </c>
      <c r="U104" s="7" t="s">
        <v>343</v>
      </c>
      <c r="V104" s="7"/>
      <c r="W104" s="44">
        <v>3.23</v>
      </c>
      <c r="X104" s="49" t="s">
        <v>1854</v>
      </c>
      <c r="Y104" s="49" t="s">
        <v>448</v>
      </c>
      <c r="Z104" s="49" t="s">
        <v>1855</v>
      </c>
      <c r="AA104" s="61">
        <v>0.48</v>
      </c>
      <c r="AB104" s="71">
        <v>54604</v>
      </c>
      <c r="AC104" s="62" t="s">
        <v>1851</v>
      </c>
      <c r="AD104" s="53" t="str">
        <f t="shared" ref="AD104:AD105" si="76">HYPERLINK("https://www.hnu.edu/prospective-students/academics-community/hnu-experience/majors-minors","Link")</f>
        <v>Link</v>
      </c>
      <c r="AE104" s="54">
        <v>526</v>
      </c>
      <c r="AF104" s="55"/>
      <c r="AG104" s="7"/>
      <c r="AH104" s="56">
        <v>115728</v>
      </c>
      <c r="AI104" s="7"/>
      <c r="AJ104" s="7"/>
      <c r="AK104" s="7"/>
      <c r="AL104" s="7"/>
    </row>
    <row r="105" spans="1:38" ht="13" x14ac:dyDescent="0.15">
      <c r="A105" s="57" t="s">
        <v>955</v>
      </c>
      <c r="B105" s="110" t="s">
        <v>300</v>
      </c>
      <c r="C105" s="7" t="s">
        <v>41</v>
      </c>
      <c r="D105" s="7" t="s">
        <v>1860</v>
      </c>
      <c r="E105" s="44">
        <v>5</v>
      </c>
      <c r="F105" s="7"/>
      <c r="G105" s="7"/>
      <c r="H105" s="2" t="s">
        <v>1839</v>
      </c>
      <c r="I105" s="7" t="s">
        <v>201</v>
      </c>
      <c r="J105" s="7" t="s">
        <v>1863</v>
      </c>
      <c r="K105" s="7" t="s">
        <v>48</v>
      </c>
      <c r="L105" s="7" t="s">
        <v>1865</v>
      </c>
      <c r="M105" s="7" t="s">
        <v>1867</v>
      </c>
      <c r="N105" s="48"/>
      <c r="O105" s="45" t="str">
        <f t="shared" si="75"/>
        <v>Questionnaire</v>
      </c>
      <c r="P105" s="48" t="s">
        <v>1851</v>
      </c>
      <c r="Q105" s="47" t="s">
        <v>312</v>
      </c>
      <c r="R105" s="48" t="s">
        <v>1853</v>
      </c>
      <c r="S105" s="48" t="s">
        <v>354</v>
      </c>
      <c r="T105" s="49" t="s">
        <v>63</v>
      </c>
      <c r="U105" s="7" t="s">
        <v>343</v>
      </c>
      <c r="V105" s="7"/>
      <c r="W105" s="44">
        <v>3.23</v>
      </c>
      <c r="X105" s="49" t="s">
        <v>1854</v>
      </c>
      <c r="Y105" s="49" t="s">
        <v>448</v>
      </c>
      <c r="Z105" s="49" t="s">
        <v>1855</v>
      </c>
      <c r="AA105" s="61">
        <v>0.48</v>
      </c>
      <c r="AB105" s="71">
        <v>54604</v>
      </c>
      <c r="AC105" s="62" t="s">
        <v>1851</v>
      </c>
      <c r="AD105" s="53" t="str">
        <f t="shared" si="76"/>
        <v>Link</v>
      </c>
      <c r="AE105" s="54">
        <v>526</v>
      </c>
      <c r="AF105" s="55"/>
      <c r="AG105" s="7"/>
      <c r="AH105" s="56">
        <v>115728</v>
      </c>
      <c r="AI105" s="7"/>
      <c r="AJ105" s="7"/>
      <c r="AK105" s="7"/>
      <c r="AL105" s="7"/>
    </row>
    <row r="106" spans="1:38" ht="13" x14ac:dyDescent="0.15">
      <c r="A106" s="57" t="s">
        <v>1160</v>
      </c>
      <c r="B106" s="110" t="s">
        <v>300</v>
      </c>
      <c r="C106" s="7" t="s">
        <v>41</v>
      </c>
      <c r="D106" s="7" t="s">
        <v>1874</v>
      </c>
      <c r="E106" s="44">
        <v>5</v>
      </c>
      <c r="F106" s="7"/>
      <c r="G106" s="7"/>
      <c r="H106" s="2" t="s">
        <v>1876</v>
      </c>
      <c r="I106" s="7" t="s">
        <v>1879</v>
      </c>
      <c r="J106" s="7" t="s">
        <v>1880</v>
      </c>
      <c r="K106" s="7" t="s">
        <v>55</v>
      </c>
      <c r="L106" s="7" t="s">
        <v>1882</v>
      </c>
      <c r="M106" s="7" t="s">
        <v>1883</v>
      </c>
      <c r="N106" s="69" t="str">
        <f t="shared" ref="N106:N108" si="77">HYPERLINK("twitter.com/softballhsu","@softballhsu")</f>
        <v>@softballhsu</v>
      </c>
      <c r="O106" s="45" t="str">
        <f t="shared" ref="O106:O108" si="78">HYPERLINK("https://questionnaires.armssoftware.com/2a06d2d557bd?path=softball","Questionnaire")</f>
        <v>Questionnaire</v>
      </c>
      <c r="P106" s="48" t="s">
        <v>1892</v>
      </c>
      <c r="Q106" s="60" t="s">
        <v>312</v>
      </c>
      <c r="R106" s="48" t="s">
        <v>1893</v>
      </c>
      <c r="S106" s="48" t="s">
        <v>172</v>
      </c>
      <c r="T106" s="4" t="s">
        <v>74</v>
      </c>
      <c r="U106" s="7" t="s">
        <v>75</v>
      </c>
      <c r="V106" s="7"/>
      <c r="W106" s="37">
        <v>3.22</v>
      </c>
      <c r="X106" s="49" t="s">
        <v>1144</v>
      </c>
      <c r="Y106" s="49" t="s">
        <v>1453</v>
      </c>
      <c r="Z106" s="49" t="s">
        <v>841</v>
      </c>
      <c r="AA106" s="65">
        <v>0.77</v>
      </c>
      <c r="AB106" s="48" t="s">
        <v>1895</v>
      </c>
      <c r="AC106" s="90" t="s">
        <v>1892</v>
      </c>
      <c r="AD106" s="53" t="str">
        <f t="shared" ref="AD106:AD108" si="79">HYPERLINK("https://www.humboldt.edu/programs/type","Link")</f>
        <v>Link</v>
      </c>
      <c r="AE106" s="42">
        <v>7982</v>
      </c>
      <c r="AF106" s="55"/>
      <c r="AG106" s="7"/>
      <c r="AH106" s="56">
        <v>115755</v>
      </c>
      <c r="AI106" s="7"/>
      <c r="AJ106" s="7"/>
      <c r="AK106" s="7"/>
      <c r="AL106" s="7"/>
    </row>
    <row r="107" spans="1:38" ht="13" x14ac:dyDescent="0.15">
      <c r="A107" s="57" t="s">
        <v>1160</v>
      </c>
      <c r="B107" s="110" t="s">
        <v>300</v>
      </c>
      <c r="C107" s="7" t="s">
        <v>41</v>
      </c>
      <c r="D107" s="7" t="s">
        <v>1904</v>
      </c>
      <c r="E107" s="44">
        <v>5</v>
      </c>
      <c r="F107" s="7" t="s">
        <v>116</v>
      </c>
      <c r="G107" s="7"/>
      <c r="H107" s="2" t="s">
        <v>1876</v>
      </c>
      <c r="I107" s="7" t="s">
        <v>1905</v>
      </c>
      <c r="J107" s="7" t="s">
        <v>1906</v>
      </c>
      <c r="K107" s="7" t="s">
        <v>55</v>
      </c>
      <c r="L107" s="7" t="s">
        <v>1907</v>
      </c>
      <c r="M107" s="7"/>
      <c r="N107" s="69" t="str">
        <f t="shared" si="77"/>
        <v>@softballhsu</v>
      </c>
      <c r="O107" s="45" t="str">
        <f t="shared" si="78"/>
        <v>Questionnaire</v>
      </c>
      <c r="P107" s="48" t="s">
        <v>1892</v>
      </c>
      <c r="Q107" s="60" t="s">
        <v>312</v>
      </c>
      <c r="R107" s="48" t="s">
        <v>1893</v>
      </c>
      <c r="S107" s="48" t="s">
        <v>172</v>
      </c>
      <c r="T107" s="4" t="s">
        <v>74</v>
      </c>
      <c r="U107" s="7" t="s">
        <v>75</v>
      </c>
      <c r="V107" s="7"/>
      <c r="W107" s="37">
        <v>3.22</v>
      </c>
      <c r="X107" s="49" t="s">
        <v>1144</v>
      </c>
      <c r="Y107" s="49" t="s">
        <v>1453</v>
      </c>
      <c r="Z107" s="49" t="s">
        <v>841</v>
      </c>
      <c r="AA107" s="65">
        <v>0.77</v>
      </c>
      <c r="AB107" s="48" t="s">
        <v>1895</v>
      </c>
      <c r="AC107" s="90" t="s">
        <v>1892</v>
      </c>
      <c r="AD107" s="53" t="str">
        <f t="shared" si="79"/>
        <v>Link</v>
      </c>
      <c r="AE107" s="42">
        <v>7982</v>
      </c>
      <c r="AF107" s="55"/>
      <c r="AG107" s="7"/>
      <c r="AH107" s="56">
        <v>115755</v>
      </c>
      <c r="AI107" s="7"/>
      <c r="AJ107" s="7"/>
      <c r="AK107" s="7"/>
      <c r="AL107" s="7"/>
    </row>
    <row r="108" spans="1:38" ht="13" x14ac:dyDescent="0.15">
      <c r="A108" s="57" t="s">
        <v>1160</v>
      </c>
      <c r="B108" s="110" t="s">
        <v>300</v>
      </c>
      <c r="C108" s="7" t="s">
        <v>41</v>
      </c>
      <c r="D108" s="7" t="s">
        <v>1917</v>
      </c>
      <c r="E108" s="44">
        <v>5</v>
      </c>
      <c r="F108" s="7"/>
      <c r="G108" s="7"/>
      <c r="H108" s="2" t="s">
        <v>1876</v>
      </c>
      <c r="I108" s="7" t="s">
        <v>1918</v>
      </c>
      <c r="J108" s="7" t="s">
        <v>1919</v>
      </c>
      <c r="K108" s="7" t="s">
        <v>48</v>
      </c>
      <c r="L108" s="7" t="s">
        <v>1920</v>
      </c>
      <c r="M108" s="7" t="s">
        <v>1921</v>
      </c>
      <c r="N108" s="69" t="str">
        <f t="shared" si="77"/>
        <v>@softballhsu</v>
      </c>
      <c r="O108" s="45" t="str">
        <f t="shared" si="78"/>
        <v>Questionnaire</v>
      </c>
      <c r="P108" s="48" t="s">
        <v>1892</v>
      </c>
      <c r="Q108" s="60" t="s">
        <v>312</v>
      </c>
      <c r="R108" s="48" t="s">
        <v>1893</v>
      </c>
      <c r="S108" s="48" t="s">
        <v>172</v>
      </c>
      <c r="T108" s="4" t="s">
        <v>74</v>
      </c>
      <c r="U108" s="7" t="s">
        <v>75</v>
      </c>
      <c r="V108" s="7"/>
      <c r="W108" s="37">
        <v>3.22</v>
      </c>
      <c r="X108" s="49" t="s">
        <v>1144</v>
      </c>
      <c r="Y108" s="49" t="s">
        <v>1453</v>
      </c>
      <c r="Z108" s="49" t="s">
        <v>841</v>
      </c>
      <c r="AA108" s="65">
        <v>0.77</v>
      </c>
      <c r="AB108" s="48" t="s">
        <v>1895</v>
      </c>
      <c r="AC108" s="90" t="s">
        <v>1892</v>
      </c>
      <c r="AD108" s="53" t="str">
        <f t="shared" si="79"/>
        <v>Link</v>
      </c>
      <c r="AE108" s="42">
        <v>7982</v>
      </c>
      <c r="AF108" s="55"/>
      <c r="AG108" s="7"/>
      <c r="AH108" s="56">
        <v>115755</v>
      </c>
      <c r="AI108" s="7"/>
      <c r="AJ108" s="7"/>
      <c r="AK108" s="7"/>
      <c r="AL108" s="7"/>
    </row>
    <row r="109" spans="1:38" ht="13" x14ac:dyDescent="0.15">
      <c r="A109" s="57" t="s">
        <v>955</v>
      </c>
      <c r="B109" s="110" t="s">
        <v>300</v>
      </c>
      <c r="C109" s="7" t="s">
        <v>41</v>
      </c>
      <c r="D109" s="7" t="s">
        <v>1931</v>
      </c>
      <c r="E109" s="44">
        <v>5</v>
      </c>
      <c r="F109" s="7"/>
      <c r="G109" s="7"/>
      <c r="H109" s="2" t="s">
        <v>1932</v>
      </c>
      <c r="I109" s="7" t="s">
        <v>1933</v>
      </c>
      <c r="J109" s="7" t="s">
        <v>1934</v>
      </c>
      <c r="K109" s="7" t="s">
        <v>55</v>
      </c>
      <c r="L109" s="7"/>
      <c r="M109" s="7"/>
      <c r="N109" s="69" t="str">
        <f t="shared" ref="N109:N111" si="80">HYPERLINK("twitter.com/ndnusoftball","@ndnusoftball")</f>
        <v>@ndnusoftball</v>
      </c>
      <c r="O109" s="45" t="str">
        <f t="shared" ref="O109:O111" si="81">HYPERLINK("https://ndnuargos.com/sb_output.aspx?form=3","Questionnaire")</f>
        <v>Questionnaire</v>
      </c>
      <c r="P109" s="48" t="s">
        <v>1942</v>
      </c>
      <c r="Q109" s="60" t="s">
        <v>312</v>
      </c>
      <c r="R109" s="48" t="s">
        <v>1943</v>
      </c>
      <c r="S109" s="48" t="s">
        <v>468</v>
      </c>
      <c r="T109" s="5" t="s">
        <v>63</v>
      </c>
      <c r="U109" s="2" t="s">
        <v>343</v>
      </c>
      <c r="V109" s="7"/>
      <c r="W109" s="37">
        <v>3.2</v>
      </c>
      <c r="X109" s="49" t="s">
        <v>1946</v>
      </c>
      <c r="Y109" s="49" t="s">
        <v>1947</v>
      </c>
      <c r="Z109" s="49" t="s">
        <v>1948</v>
      </c>
      <c r="AA109" s="65">
        <v>0.97</v>
      </c>
      <c r="AB109" s="39">
        <v>52844</v>
      </c>
      <c r="AC109" s="62" t="s">
        <v>1942</v>
      </c>
      <c r="AD109" s="53" t="str">
        <f t="shared" ref="AD109:AD111" si="82">HYPERLINK("http://www.ndnu.edu/academics/majors-programs/","Link")</f>
        <v>Link</v>
      </c>
      <c r="AE109" s="42">
        <v>982</v>
      </c>
      <c r="AF109" s="55"/>
      <c r="AG109" s="7"/>
      <c r="AH109" s="56">
        <v>120184</v>
      </c>
      <c r="AI109" s="7"/>
      <c r="AJ109" s="7"/>
      <c r="AK109" s="7"/>
      <c r="AL109" s="7"/>
    </row>
    <row r="110" spans="1:38" ht="13" x14ac:dyDescent="0.15">
      <c r="A110" s="57" t="s">
        <v>955</v>
      </c>
      <c r="B110" s="110" t="s">
        <v>300</v>
      </c>
      <c r="C110" s="7" t="s">
        <v>41</v>
      </c>
      <c r="D110" s="7" t="s">
        <v>1953</v>
      </c>
      <c r="E110" s="44">
        <v>5</v>
      </c>
      <c r="F110" s="7"/>
      <c r="G110" s="7"/>
      <c r="H110" s="2" t="s">
        <v>1932</v>
      </c>
      <c r="I110" s="7" t="s">
        <v>1956</v>
      </c>
      <c r="J110" s="7" t="s">
        <v>1957</v>
      </c>
      <c r="K110" s="7" t="s">
        <v>48</v>
      </c>
      <c r="L110" s="7" t="s">
        <v>1960</v>
      </c>
      <c r="M110" s="7" t="s">
        <v>1961</v>
      </c>
      <c r="N110" s="69" t="str">
        <f t="shared" si="80"/>
        <v>@ndnusoftball</v>
      </c>
      <c r="O110" s="45" t="str">
        <f t="shared" si="81"/>
        <v>Questionnaire</v>
      </c>
      <c r="P110" s="48" t="s">
        <v>1942</v>
      </c>
      <c r="Q110" s="60" t="s">
        <v>312</v>
      </c>
      <c r="R110" s="48" t="s">
        <v>1943</v>
      </c>
      <c r="S110" s="48" t="s">
        <v>468</v>
      </c>
      <c r="T110" s="5" t="s">
        <v>63</v>
      </c>
      <c r="U110" s="2" t="s">
        <v>343</v>
      </c>
      <c r="V110" s="7"/>
      <c r="W110" s="37">
        <v>3.2</v>
      </c>
      <c r="X110" s="49" t="s">
        <v>1946</v>
      </c>
      <c r="Y110" s="49" t="s">
        <v>1947</v>
      </c>
      <c r="Z110" s="49" t="s">
        <v>1948</v>
      </c>
      <c r="AA110" s="65">
        <v>0.97</v>
      </c>
      <c r="AB110" s="39">
        <v>52844</v>
      </c>
      <c r="AC110" s="62" t="s">
        <v>1942</v>
      </c>
      <c r="AD110" s="53" t="str">
        <f t="shared" si="82"/>
        <v>Link</v>
      </c>
      <c r="AE110" s="42">
        <v>982</v>
      </c>
      <c r="AF110" s="55"/>
      <c r="AG110" s="7"/>
      <c r="AH110" s="56">
        <v>120184</v>
      </c>
      <c r="AI110" s="7"/>
      <c r="AJ110" s="7"/>
      <c r="AK110" s="7"/>
      <c r="AL110" s="7"/>
    </row>
    <row r="111" spans="1:38" ht="13" x14ac:dyDescent="0.15">
      <c r="A111" s="57" t="s">
        <v>955</v>
      </c>
      <c r="B111" s="110" t="s">
        <v>300</v>
      </c>
      <c r="C111" s="7" t="s">
        <v>41</v>
      </c>
      <c r="D111" s="7" t="s">
        <v>1967</v>
      </c>
      <c r="E111" s="44">
        <v>5</v>
      </c>
      <c r="F111" s="7" t="s">
        <v>116</v>
      </c>
      <c r="G111" s="7"/>
      <c r="H111" s="2" t="s">
        <v>1932</v>
      </c>
      <c r="I111" s="7" t="s">
        <v>1969</v>
      </c>
      <c r="J111" s="7" t="s">
        <v>1971</v>
      </c>
      <c r="K111" s="7" t="s">
        <v>55</v>
      </c>
      <c r="L111" s="7"/>
      <c r="M111" s="7"/>
      <c r="N111" s="45" t="str">
        <f t="shared" si="80"/>
        <v>@ndnusoftball</v>
      </c>
      <c r="O111" s="45" t="str">
        <f t="shared" si="81"/>
        <v>Questionnaire</v>
      </c>
      <c r="P111" s="48" t="s">
        <v>1942</v>
      </c>
      <c r="Q111" s="60" t="s">
        <v>312</v>
      </c>
      <c r="R111" s="48" t="s">
        <v>1943</v>
      </c>
      <c r="S111" s="48" t="s">
        <v>468</v>
      </c>
      <c r="T111" s="5" t="s">
        <v>63</v>
      </c>
      <c r="U111" s="2" t="s">
        <v>343</v>
      </c>
      <c r="V111" s="7"/>
      <c r="W111" s="37">
        <v>3.2</v>
      </c>
      <c r="X111" s="49" t="s">
        <v>1946</v>
      </c>
      <c r="Y111" s="49" t="s">
        <v>1947</v>
      </c>
      <c r="Z111" s="49" t="s">
        <v>1948</v>
      </c>
      <c r="AA111" s="65">
        <v>0.97</v>
      </c>
      <c r="AB111" s="39">
        <v>52844</v>
      </c>
      <c r="AC111" s="62" t="s">
        <v>1942</v>
      </c>
      <c r="AD111" s="53" t="str">
        <f t="shared" si="82"/>
        <v>Link</v>
      </c>
      <c r="AE111" s="42">
        <v>982</v>
      </c>
      <c r="AF111" s="55"/>
      <c r="AG111" s="7"/>
      <c r="AH111" s="111">
        <v>120184</v>
      </c>
      <c r="AI111" s="57"/>
      <c r="AJ111" s="57"/>
      <c r="AK111" s="57"/>
      <c r="AL111" s="57"/>
    </row>
    <row r="112" spans="1:38" ht="15" x14ac:dyDescent="0.2">
      <c r="A112" s="57" t="s">
        <v>1160</v>
      </c>
      <c r="B112" s="110" t="s">
        <v>300</v>
      </c>
      <c r="C112" s="7" t="s">
        <v>41</v>
      </c>
      <c r="D112" s="7" t="s">
        <v>1977</v>
      </c>
      <c r="E112" s="44">
        <v>5</v>
      </c>
      <c r="F112" s="7"/>
      <c r="G112" s="7"/>
      <c r="H112" s="2" t="s">
        <v>1978</v>
      </c>
      <c r="I112" s="7" t="s">
        <v>1979</v>
      </c>
      <c r="J112" s="7" t="s">
        <v>1981</v>
      </c>
      <c r="K112" s="7" t="s">
        <v>55</v>
      </c>
      <c r="L112" s="7" t="s">
        <v>1983</v>
      </c>
      <c r="M112" s="7"/>
      <c r="N112" s="45" t="str">
        <f t="shared" ref="N112:N113" si="83">HYPERLINK("twitter.com/sfstate_sb","@sfstate_sb")</f>
        <v>@sfstate_sb</v>
      </c>
      <c r="O112" s="45" t="str">
        <f t="shared" ref="O112:O113" si="84">HYPERLINK("https://questionnaires.armssoftware.com/20ac01b28216","Questionnaire")</f>
        <v>Questionnaire</v>
      </c>
      <c r="P112" s="48" t="s">
        <v>1997</v>
      </c>
      <c r="Q112" s="60" t="s">
        <v>312</v>
      </c>
      <c r="R112" s="48" t="s">
        <v>973</v>
      </c>
      <c r="S112" s="48" t="s">
        <v>354</v>
      </c>
      <c r="T112" s="49" t="s">
        <v>74</v>
      </c>
      <c r="U112" s="7" t="s">
        <v>75</v>
      </c>
      <c r="V112" s="7"/>
      <c r="W112" s="44">
        <v>3.23</v>
      </c>
      <c r="X112" s="49" t="s">
        <v>1453</v>
      </c>
      <c r="Y112" s="49" t="s">
        <v>1628</v>
      </c>
      <c r="Z112" s="49" t="s">
        <v>841</v>
      </c>
      <c r="AA112" s="61">
        <v>0.68</v>
      </c>
      <c r="AB112" s="48" t="s">
        <v>1999</v>
      </c>
      <c r="AC112" s="52" t="s">
        <v>1997</v>
      </c>
      <c r="AD112" s="53" t="str">
        <f t="shared" ref="AD112:AD113" si="85">HYPERLINK("http://www.sfsu.edu/~bulletin/previous_bulletins/1112/degrees-tc.htm","Link")</f>
        <v>Link</v>
      </c>
      <c r="AE112" s="54">
        <v>25945</v>
      </c>
      <c r="AF112" s="55"/>
      <c r="AG112" s="7"/>
      <c r="AH112" s="56">
        <v>122597</v>
      </c>
      <c r="AI112" s="7"/>
      <c r="AJ112" s="7"/>
      <c r="AK112" s="7"/>
      <c r="AL112" s="7"/>
    </row>
    <row r="113" spans="1:38" ht="15" x14ac:dyDescent="0.2">
      <c r="A113" s="57" t="s">
        <v>1160</v>
      </c>
      <c r="B113" s="110" t="s">
        <v>300</v>
      </c>
      <c r="C113" s="7" t="s">
        <v>41</v>
      </c>
      <c r="D113" s="7" t="s">
        <v>2010</v>
      </c>
      <c r="E113" s="44">
        <v>5</v>
      </c>
      <c r="F113" s="7"/>
      <c r="G113" s="7"/>
      <c r="H113" s="2" t="s">
        <v>1978</v>
      </c>
      <c r="I113" s="7" t="s">
        <v>1298</v>
      </c>
      <c r="J113" s="7" t="s">
        <v>2015</v>
      </c>
      <c r="K113" s="7" t="s">
        <v>48</v>
      </c>
      <c r="L113" s="7" t="s">
        <v>2016</v>
      </c>
      <c r="M113" s="7" t="s">
        <v>2017</v>
      </c>
      <c r="N113" s="45" t="str">
        <f t="shared" si="83"/>
        <v>@sfstate_sb</v>
      </c>
      <c r="O113" s="45" t="str">
        <f t="shared" si="84"/>
        <v>Questionnaire</v>
      </c>
      <c r="P113" s="48" t="s">
        <v>1997</v>
      </c>
      <c r="Q113" s="60" t="s">
        <v>312</v>
      </c>
      <c r="R113" s="48" t="s">
        <v>973</v>
      </c>
      <c r="S113" s="48" t="s">
        <v>354</v>
      </c>
      <c r="T113" s="49" t="s">
        <v>74</v>
      </c>
      <c r="U113" s="7" t="s">
        <v>75</v>
      </c>
      <c r="V113" s="7"/>
      <c r="W113" s="44">
        <v>3.23</v>
      </c>
      <c r="X113" s="49" t="s">
        <v>1453</v>
      </c>
      <c r="Y113" s="49" t="s">
        <v>1628</v>
      </c>
      <c r="Z113" s="49" t="s">
        <v>841</v>
      </c>
      <c r="AA113" s="61">
        <v>0.68</v>
      </c>
      <c r="AB113" s="48" t="s">
        <v>1999</v>
      </c>
      <c r="AC113" s="52" t="s">
        <v>1997</v>
      </c>
      <c r="AD113" s="53" t="str">
        <f t="shared" si="85"/>
        <v>Link</v>
      </c>
      <c r="AE113" s="54">
        <v>25945</v>
      </c>
      <c r="AF113" s="55"/>
      <c r="AG113" s="7"/>
      <c r="AH113" s="56">
        <v>122597</v>
      </c>
      <c r="AI113" s="7"/>
      <c r="AJ113" s="7"/>
      <c r="AK113" s="7"/>
      <c r="AL113" s="7"/>
    </row>
    <row r="114" spans="1:38" ht="13" x14ac:dyDescent="0.15">
      <c r="A114" s="57" t="s">
        <v>1160</v>
      </c>
      <c r="B114" s="110" t="s">
        <v>300</v>
      </c>
      <c r="C114" s="7" t="s">
        <v>41</v>
      </c>
      <c r="D114" s="7" t="s">
        <v>2026</v>
      </c>
      <c r="E114" s="44">
        <v>5</v>
      </c>
      <c r="F114" s="7"/>
      <c r="G114" s="7"/>
      <c r="H114" s="2" t="s">
        <v>2027</v>
      </c>
      <c r="I114" s="7" t="s">
        <v>2028</v>
      </c>
      <c r="J114" s="7" t="s">
        <v>1226</v>
      </c>
      <c r="K114" s="7" t="s">
        <v>55</v>
      </c>
      <c r="L114" s="7"/>
      <c r="M114" s="7"/>
      <c r="N114" s="45" t="str">
        <f t="shared" ref="N114:N116" si="86">HYPERLINK("twitter.com/SSUsoftball","@SSUsoftball")</f>
        <v>@SSUsoftball</v>
      </c>
      <c r="O114" s="45" t="str">
        <f t="shared" ref="O114:O116" si="87">HYPERLINK("https://questionnaires.armssoftware.com/8a66cdfaca45","Questionnaire")</f>
        <v>Questionnaire</v>
      </c>
      <c r="P114" s="48" t="s">
        <v>2040</v>
      </c>
      <c r="Q114" s="47" t="s">
        <v>312</v>
      </c>
      <c r="R114" s="48" t="s">
        <v>2042</v>
      </c>
      <c r="S114" s="48" t="s">
        <v>468</v>
      </c>
      <c r="T114" s="49" t="s">
        <v>74</v>
      </c>
      <c r="U114" s="7" t="s">
        <v>75</v>
      </c>
      <c r="V114" s="7"/>
      <c r="W114" s="44">
        <v>3.23</v>
      </c>
      <c r="X114" s="49" t="s">
        <v>1145</v>
      </c>
      <c r="Y114" s="49" t="s">
        <v>1145</v>
      </c>
      <c r="Z114" s="49" t="s">
        <v>125</v>
      </c>
      <c r="AA114" s="61">
        <v>0.76</v>
      </c>
      <c r="AB114" s="48" t="s">
        <v>2044</v>
      </c>
      <c r="AC114" s="62" t="s">
        <v>2040</v>
      </c>
      <c r="AD114" s="53" t="str">
        <f t="shared" ref="AD114:AD116" si="88">HYPERLINK("http://www.sonoma.edu/academics/degree-programs","Link")</f>
        <v>Link</v>
      </c>
      <c r="AE114" s="54">
        <v>8631</v>
      </c>
      <c r="AF114" s="55"/>
      <c r="AG114" s="7"/>
      <c r="AH114" s="56">
        <v>123572</v>
      </c>
      <c r="AI114" s="7"/>
      <c r="AJ114" s="7"/>
      <c r="AK114" s="7"/>
      <c r="AL114" s="7"/>
    </row>
    <row r="115" spans="1:38" ht="13" x14ac:dyDescent="0.15">
      <c r="A115" s="57" t="s">
        <v>1160</v>
      </c>
      <c r="B115" s="110" t="s">
        <v>300</v>
      </c>
      <c r="C115" s="7" t="s">
        <v>41</v>
      </c>
      <c r="D115" s="7" t="s">
        <v>2048</v>
      </c>
      <c r="E115" s="44">
        <v>5</v>
      </c>
      <c r="F115" s="7"/>
      <c r="G115" s="7"/>
      <c r="H115" s="2" t="s">
        <v>2027</v>
      </c>
      <c r="I115" s="7" t="s">
        <v>2028</v>
      </c>
      <c r="J115" s="7" t="s">
        <v>1226</v>
      </c>
      <c r="K115" s="7" t="s">
        <v>55</v>
      </c>
      <c r="L115" s="7" t="s">
        <v>2052</v>
      </c>
      <c r="M115" s="7"/>
      <c r="N115" s="45" t="str">
        <f t="shared" si="86"/>
        <v>@SSUsoftball</v>
      </c>
      <c r="O115" s="45" t="str">
        <f t="shared" si="87"/>
        <v>Questionnaire</v>
      </c>
      <c r="P115" s="48" t="s">
        <v>2040</v>
      </c>
      <c r="Q115" s="47" t="s">
        <v>312</v>
      </c>
      <c r="R115" s="48" t="s">
        <v>2042</v>
      </c>
      <c r="S115" s="48" t="s">
        <v>468</v>
      </c>
      <c r="T115" s="49" t="s">
        <v>74</v>
      </c>
      <c r="U115" s="7" t="s">
        <v>75</v>
      </c>
      <c r="V115" s="7"/>
      <c r="W115" s="44">
        <v>3.23</v>
      </c>
      <c r="X115" s="49" t="s">
        <v>1145</v>
      </c>
      <c r="Y115" s="49" t="s">
        <v>1145</v>
      </c>
      <c r="Z115" s="49" t="s">
        <v>125</v>
      </c>
      <c r="AA115" s="61">
        <v>0.76</v>
      </c>
      <c r="AB115" s="48" t="s">
        <v>2044</v>
      </c>
      <c r="AC115" s="62" t="s">
        <v>2040</v>
      </c>
      <c r="AD115" s="53" t="str">
        <f t="shared" si="88"/>
        <v>Link</v>
      </c>
      <c r="AE115" s="54">
        <v>8631</v>
      </c>
      <c r="AF115" s="55"/>
      <c r="AG115" s="7"/>
      <c r="AH115" s="56">
        <v>123572</v>
      </c>
      <c r="AI115" s="7"/>
      <c r="AJ115" s="7"/>
      <c r="AK115" s="7"/>
      <c r="AL115" s="7"/>
    </row>
    <row r="116" spans="1:38" ht="13" x14ac:dyDescent="0.15">
      <c r="A116" s="57" t="s">
        <v>1160</v>
      </c>
      <c r="B116" s="110" t="s">
        <v>300</v>
      </c>
      <c r="C116" s="7" t="s">
        <v>41</v>
      </c>
      <c r="D116" s="7" t="s">
        <v>2055</v>
      </c>
      <c r="E116" s="44">
        <v>5</v>
      </c>
      <c r="F116" s="7"/>
      <c r="G116" s="7"/>
      <c r="H116" s="2" t="s">
        <v>2027</v>
      </c>
      <c r="I116" s="7" t="s">
        <v>1080</v>
      </c>
      <c r="J116" s="7" t="s">
        <v>2056</v>
      </c>
      <c r="K116" s="7" t="s">
        <v>48</v>
      </c>
      <c r="L116" s="7" t="s">
        <v>2057</v>
      </c>
      <c r="M116" s="7" t="s">
        <v>2058</v>
      </c>
      <c r="N116" s="45" t="str">
        <f t="shared" si="86"/>
        <v>@SSUsoftball</v>
      </c>
      <c r="O116" s="45" t="str">
        <f t="shared" si="87"/>
        <v>Questionnaire</v>
      </c>
      <c r="P116" s="48" t="s">
        <v>2040</v>
      </c>
      <c r="Q116" s="47" t="s">
        <v>312</v>
      </c>
      <c r="R116" s="48" t="s">
        <v>2042</v>
      </c>
      <c r="S116" s="48" t="s">
        <v>468</v>
      </c>
      <c r="T116" s="49" t="s">
        <v>74</v>
      </c>
      <c r="U116" s="7" t="s">
        <v>75</v>
      </c>
      <c r="V116" s="7"/>
      <c r="W116" s="44">
        <v>3.23</v>
      </c>
      <c r="X116" s="49" t="s">
        <v>1145</v>
      </c>
      <c r="Y116" s="49" t="s">
        <v>1145</v>
      </c>
      <c r="Z116" s="49" t="s">
        <v>125</v>
      </c>
      <c r="AA116" s="61">
        <v>0.76</v>
      </c>
      <c r="AB116" s="48" t="s">
        <v>2044</v>
      </c>
      <c r="AC116" s="62" t="s">
        <v>2040</v>
      </c>
      <c r="AD116" s="53" t="str">
        <f t="shared" si="88"/>
        <v>Link</v>
      </c>
      <c r="AE116" s="54">
        <v>8631</v>
      </c>
      <c r="AF116" s="55"/>
      <c r="AG116" s="7"/>
      <c r="AH116" s="56">
        <v>123572</v>
      </c>
      <c r="AI116" s="7"/>
      <c r="AJ116" s="7"/>
      <c r="AK116" s="7"/>
      <c r="AL116" s="7"/>
    </row>
    <row r="117" spans="1:38" ht="15" x14ac:dyDescent="0.2">
      <c r="A117" s="57" t="s">
        <v>2071</v>
      </c>
      <c r="B117" s="110" t="s">
        <v>2072</v>
      </c>
      <c r="C117" s="7" t="s">
        <v>41</v>
      </c>
      <c r="D117" s="7" t="s">
        <v>2073</v>
      </c>
      <c r="E117" s="44">
        <v>5</v>
      </c>
      <c r="F117" s="7"/>
      <c r="G117" s="7" t="s">
        <v>126</v>
      </c>
      <c r="H117" s="2" t="s">
        <v>2074</v>
      </c>
      <c r="I117" s="7" t="s">
        <v>2075</v>
      </c>
      <c r="J117" s="7"/>
      <c r="K117" s="7"/>
      <c r="L117" s="7"/>
      <c r="M117" s="7"/>
      <c r="N117" s="45" t="str">
        <f t="shared" ref="N117:N119" si="89">HYPERLINK("twitter.com/grizzsoftball","@grizzsoftball")</f>
        <v>@grizzsoftball</v>
      </c>
      <c r="O117" s="45" t="str">
        <f t="shared" ref="O117:O119" si="90">HYPERLINK("https://asugrizzlies.com/sports/2013/5/28/RECRUITFORM.aspx","Questionnaire")</f>
        <v>Questionnaire</v>
      </c>
      <c r="P117" s="48" t="s">
        <v>2087</v>
      </c>
      <c r="Q117" s="47" t="s">
        <v>2088</v>
      </c>
      <c r="R117" s="48" t="s">
        <v>2089</v>
      </c>
      <c r="S117" s="60" t="s">
        <v>205</v>
      </c>
      <c r="T117" s="49" t="s">
        <v>74</v>
      </c>
      <c r="U117" s="49" t="s">
        <v>75</v>
      </c>
      <c r="V117" s="49"/>
      <c r="W117" s="44">
        <v>3.11</v>
      </c>
      <c r="X117" s="49" t="s">
        <v>2090</v>
      </c>
      <c r="Y117" s="49" t="s">
        <v>447</v>
      </c>
      <c r="Z117" s="49" t="s">
        <v>1948</v>
      </c>
      <c r="AA117" s="51">
        <v>0.98560000000000003</v>
      </c>
      <c r="AB117" s="48" t="s">
        <v>2092</v>
      </c>
      <c r="AC117" s="52" t="s">
        <v>2087</v>
      </c>
      <c r="AD117" s="53" t="str">
        <f t="shared" ref="AD117:AD119" si="91">HYPERLINK("https://www.adams.edu/academics/undergraduate-programs-academics.php","Link")</f>
        <v>Link</v>
      </c>
      <c r="AE117" s="54">
        <v>2014</v>
      </c>
      <c r="AF117" s="55"/>
      <c r="AG117" s="55"/>
      <c r="AH117" s="56">
        <v>126182</v>
      </c>
      <c r="AI117" s="7"/>
      <c r="AJ117" s="7"/>
      <c r="AK117" s="7"/>
      <c r="AL117" s="7"/>
    </row>
    <row r="118" spans="1:38" ht="15" x14ac:dyDescent="0.2">
      <c r="A118" s="57" t="s">
        <v>2071</v>
      </c>
      <c r="B118" s="110" t="s">
        <v>2072</v>
      </c>
      <c r="C118" s="7" t="s">
        <v>41</v>
      </c>
      <c r="D118" s="7" t="s">
        <v>2098</v>
      </c>
      <c r="E118" s="44">
        <v>5</v>
      </c>
      <c r="F118" s="7"/>
      <c r="G118" s="7"/>
      <c r="H118" s="2" t="s">
        <v>2074</v>
      </c>
      <c r="I118" s="7" t="s">
        <v>2101</v>
      </c>
      <c r="J118" s="7" t="s">
        <v>1124</v>
      </c>
      <c r="K118" s="7" t="s">
        <v>48</v>
      </c>
      <c r="L118" s="7" t="s">
        <v>2106</v>
      </c>
      <c r="M118" s="7" t="s">
        <v>2108</v>
      </c>
      <c r="N118" s="45" t="str">
        <f t="shared" si="89"/>
        <v>@grizzsoftball</v>
      </c>
      <c r="O118" s="45" t="str">
        <f t="shared" si="90"/>
        <v>Questionnaire</v>
      </c>
      <c r="P118" s="48" t="s">
        <v>2087</v>
      </c>
      <c r="Q118" s="47" t="s">
        <v>2088</v>
      </c>
      <c r="R118" s="48" t="s">
        <v>2089</v>
      </c>
      <c r="S118" s="60" t="s">
        <v>205</v>
      </c>
      <c r="T118" s="49" t="s">
        <v>74</v>
      </c>
      <c r="U118" s="49" t="s">
        <v>75</v>
      </c>
      <c r="V118" s="49"/>
      <c r="W118" s="44">
        <v>3.11</v>
      </c>
      <c r="X118" s="49" t="s">
        <v>2090</v>
      </c>
      <c r="Y118" s="49" t="s">
        <v>447</v>
      </c>
      <c r="Z118" s="49" t="s">
        <v>1948</v>
      </c>
      <c r="AA118" s="51">
        <v>0.98560000000000003</v>
      </c>
      <c r="AB118" s="48" t="s">
        <v>2092</v>
      </c>
      <c r="AC118" s="52" t="s">
        <v>2087</v>
      </c>
      <c r="AD118" s="53" t="str">
        <f t="shared" si="91"/>
        <v>Link</v>
      </c>
      <c r="AE118" s="54">
        <v>2014</v>
      </c>
      <c r="AF118" s="55"/>
      <c r="AG118" s="55"/>
      <c r="AH118" s="56">
        <v>126182</v>
      </c>
      <c r="AI118" s="7"/>
      <c r="AJ118" s="7"/>
      <c r="AK118" s="7"/>
      <c r="AL118" s="7"/>
    </row>
    <row r="119" spans="1:38" ht="15" x14ac:dyDescent="0.2">
      <c r="A119" s="57" t="s">
        <v>2071</v>
      </c>
      <c r="B119" s="110" t="s">
        <v>2072</v>
      </c>
      <c r="C119" s="7" t="s">
        <v>41</v>
      </c>
      <c r="D119" s="7" t="s">
        <v>2110</v>
      </c>
      <c r="E119" s="44">
        <v>5</v>
      </c>
      <c r="F119" s="7" t="s">
        <v>116</v>
      </c>
      <c r="G119" s="7"/>
      <c r="H119" s="2" t="s">
        <v>2074</v>
      </c>
      <c r="I119" s="7" t="s">
        <v>431</v>
      </c>
      <c r="J119" s="7" t="s">
        <v>2112</v>
      </c>
      <c r="K119" s="7" t="s">
        <v>55</v>
      </c>
      <c r="L119" s="7"/>
      <c r="M119" s="7"/>
      <c r="N119" s="45" t="str">
        <f t="shared" si="89"/>
        <v>@grizzsoftball</v>
      </c>
      <c r="O119" s="45" t="str">
        <f t="shared" si="90"/>
        <v>Questionnaire</v>
      </c>
      <c r="P119" s="48" t="s">
        <v>2087</v>
      </c>
      <c r="Q119" s="47" t="s">
        <v>2088</v>
      </c>
      <c r="R119" s="48" t="s">
        <v>2089</v>
      </c>
      <c r="S119" s="60" t="s">
        <v>205</v>
      </c>
      <c r="T119" s="49" t="s">
        <v>74</v>
      </c>
      <c r="U119" s="49" t="s">
        <v>75</v>
      </c>
      <c r="V119" s="49"/>
      <c r="W119" s="44">
        <v>3.11</v>
      </c>
      <c r="X119" s="49" t="s">
        <v>2090</v>
      </c>
      <c r="Y119" s="49" t="s">
        <v>447</v>
      </c>
      <c r="Z119" s="49" t="s">
        <v>1948</v>
      </c>
      <c r="AA119" s="51">
        <v>0.98560000000000003</v>
      </c>
      <c r="AB119" s="48" t="s">
        <v>2092</v>
      </c>
      <c r="AC119" s="52" t="s">
        <v>2087</v>
      </c>
      <c r="AD119" s="53" t="str">
        <f t="shared" si="91"/>
        <v>Link</v>
      </c>
      <c r="AE119" s="54">
        <v>2014</v>
      </c>
      <c r="AF119" s="55"/>
      <c r="AG119" s="55"/>
      <c r="AH119" s="111">
        <v>126182</v>
      </c>
      <c r="AI119" s="57"/>
      <c r="AJ119" s="57"/>
      <c r="AK119" s="57"/>
      <c r="AL119" s="57"/>
    </row>
    <row r="120" spans="1:38" ht="13" x14ac:dyDescent="0.15">
      <c r="A120" s="57" t="s">
        <v>2071</v>
      </c>
      <c r="B120" s="110" t="s">
        <v>2072</v>
      </c>
      <c r="C120" s="7" t="s">
        <v>41</v>
      </c>
      <c r="D120" s="7" t="s">
        <v>2117</v>
      </c>
      <c r="E120" s="44">
        <v>5</v>
      </c>
      <c r="F120" s="7"/>
      <c r="G120" s="7"/>
      <c r="H120" s="2" t="s">
        <v>2118</v>
      </c>
      <c r="I120" s="7" t="s">
        <v>2119</v>
      </c>
      <c r="J120" s="7" t="s">
        <v>304</v>
      </c>
      <c r="K120" s="7" t="s">
        <v>55</v>
      </c>
      <c r="L120" s="7" t="s">
        <v>2120</v>
      </c>
      <c r="M120" s="7"/>
      <c r="N120" s="45" t="str">
        <f t="shared" ref="N120:N122" si="92">HYPERLINK("twitter.com/ccu_softball","@ccu_softball")</f>
        <v>@ccu_softball</v>
      </c>
      <c r="O120" s="45" t="str">
        <f t="shared" ref="O120:O122" si="93">HYPERLINK("https://ccucougars.com/sports/2011/1/21/GEN_0121112443.aspx","Questionnaire")</f>
        <v>Questionnaire</v>
      </c>
      <c r="P120" s="48" t="s">
        <v>2131</v>
      </c>
      <c r="Q120" s="47" t="s">
        <v>2088</v>
      </c>
      <c r="R120" s="48" t="s">
        <v>2133</v>
      </c>
      <c r="S120" s="48" t="s">
        <v>62</v>
      </c>
      <c r="T120" s="73" t="s">
        <v>63</v>
      </c>
      <c r="U120" s="49" t="s">
        <v>1028</v>
      </c>
      <c r="V120" s="49"/>
      <c r="W120" s="44">
        <v>3.61</v>
      </c>
      <c r="X120" s="49" t="s">
        <v>214</v>
      </c>
      <c r="Y120" s="49" t="s">
        <v>214</v>
      </c>
      <c r="Z120" s="49" t="s">
        <v>214</v>
      </c>
      <c r="AA120" s="55" t="s">
        <v>214</v>
      </c>
      <c r="AB120" s="71">
        <v>42276</v>
      </c>
      <c r="AC120" s="62" t="s">
        <v>2131</v>
      </c>
      <c r="AD120" s="53" t="str">
        <f t="shared" ref="AD120:AD122" si="94">HYPERLINK("https://www.colorado.edu/academics/programs","Link")</f>
        <v>Link</v>
      </c>
      <c r="AE120" s="54">
        <v>6307</v>
      </c>
      <c r="AF120" s="55"/>
      <c r="AG120" s="55"/>
      <c r="AH120" s="56">
        <v>126669</v>
      </c>
      <c r="AI120" s="7"/>
      <c r="AJ120" s="7"/>
      <c r="AK120" s="7"/>
      <c r="AL120" s="7"/>
    </row>
    <row r="121" spans="1:38" ht="13" x14ac:dyDescent="0.15">
      <c r="A121" s="57" t="s">
        <v>2071</v>
      </c>
      <c r="B121" s="110" t="s">
        <v>2072</v>
      </c>
      <c r="C121" s="7" t="s">
        <v>41</v>
      </c>
      <c r="D121" s="7" t="s">
        <v>2143</v>
      </c>
      <c r="E121" s="44">
        <v>5</v>
      </c>
      <c r="F121" s="7"/>
      <c r="G121" s="7"/>
      <c r="H121" s="2" t="s">
        <v>2118</v>
      </c>
      <c r="I121" s="7" t="s">
        <v>2144</v>
      </c>
      <c r="J121" s="7" t="s">
        <v>2145</v>
      </c>
      <c r="K121" s="7" t="s">
        <v>120</v>
      </c>
      <c r="L121" s="7"/>
      <c r="M121" s="7"/>
      <c r="N121" s="45" t="str">
        <f t="shared" si="92"/>
        <v>@ccu_softball</v>
      </c>
      <c r="O121" s="45" t="str">
        <f t="shared" si="93"/>
        <v>Questionnaire</v>
      </c>
      <c r="P121" s="48" t="s">
        <v>2131</v>
      </c>
      <c r="Q121" s="47" t="s">
        <v>2088</v>
      </c>
      <c r="R121" s="48" t="s">
        <v>2133</v>
      </c>
      <c r="S121" s="48" t="s">
        <v>62</v>
      </c>
      <c r="T121" s="73" t="s">
        <v>63</v>
      </c>
      <c r="U121" s="49" t="s">
        <v>1028</v>
      </c>
      <c r="V121" s="49"/>
      <c r="W121" s="44">
        <v>3.61</v>
      </c>
      <c r="X121" s="49" t="s">
        <v>214</v>
      </c>
      <c r="Y121" s="49" t="s">
        <v>214</v>
      </c>
      <c r="Z121" s="49" t="s">
        <v>214</v>
      </c>
      <c r="AA121" s="55" t="s">
        <v>214</v>
      </c>
      <c r="AB121" s="71">
        <v>42276</v>
      </c>
      <c r="AC121" s="62" t="s">
        <v>2131</v>
      </c>
      <c r="AD121" s="53" t="str">
        <f t="shared" si="94"/>
        <v>Link</v>
      </c>
      <c r="AE121" s="54">
        <v>6307</v>
      </c>
      <c r="AF121" s="55"/>
      <c r="AG121" s="55"/>
      <c r="AH121" s="56">
        <v>126669</v>
      </c>
      <c r="AI121" s="7"/>
      <c r="AJ121" s="7"/>
      <c r="AK121" s="7"/>
      <c r="AL121" s="7"/>
    </row>
    <row r="122" spans="1:38" ht="13" x14ac:dyDescent="0.15">
      <c r="A122" s="57" t="s">
        <v>2071</v>
      </c>
      <c r="B122" s="110" t="s">
        <v>2072</v>
      </c>
      <c r="C122" s="7" t="s">
        <v>41</v>
      </c>
      <c r="D122" s="7" t="s">
        <v>2154</v>
      </c>
      <c r="E122" s="44">
        <v>5</v>
      </c>
      <c r="F122" s="7"/>
      <c r="G122" s="7"/>
      <c r="H122" s="2" t="s">
        <v>2118</v>
      </c>
      <c r="I122" s="7" t="s">
        <v>2157</v>
      </c>
      <c r="J122" s="7" t="s">
        <v>2158</v>
      </c>
      <c r="K122" s="7" t="s">
        <v>48</v>
      </c>
      <c r="L122" s="7" t="s">
        <v>2159</v>
      </c>
      <c r="M122" s="7"/>
      <c r="N122" s="45" t="str">
        <f t="shared" si="92"/>
        <v>@ccu_softball</v>
      </c>
      <c r="O122" s="45" t="str">
        <f t="shared" si="93"/>
        <v>Questionnaire</v>
      </c>
      <c r="P122" s="48" t="s">
        <v>2131</v>
      </c>
      <c r="Q122" s="47" t="s">
        <v>2088</v>
      </c>
      <c r="R122" s="48" t="s">
        <v>2133</v>
      </c>
      <c r="S122" s="48" t="s">
        <v>62</v>
      </c>
      <c r="T122" s="73" t="s">
        <v>63</v>
      </c>
      <c r="U122" s="49" t="s">
        <v>1028</v>
      </c>
      <c r="V122" s="49"/>
      <c r="W122" s="44">
        <v>3.61</v>
      </c>
      <c r="X122" s="49" t="s">
        <v>214</v>
      </c>
      <c r="Y122" s="49" t="s">
        <v>214</v>
      </c>
      <c r="Z122" s="49" t="s">
        <v>214</v>
      </c>
      <c r="AA122" s="55" t="s">
        <v>214</v>
      </c>
      <c r="AB122" s="71">
        <v>42276</v>
      </c>
      <c r="AC122" s="62" t="s">
        <v>2131</v>
      </c>
      <c r="AD122" s="53" t="str">
        <f t="shared" si="94"/>
        <v>Link</v>
      </c>
      <c r="AE122" s="54">
        <v>6307</v>
      </c>
      <c r="AF122" s="55"/>
      <c r="AG122" s="55"/>
      <c r="AH122" s="56">
        <v>126669</v>
      </c>
      <c r="AI122" s="7"/>
      <c r="AJ122" s="7"/>
      <c r="AK122" s="7"/>
      <c r="AL122" s="7"/>
    </row>
    <row r="123" spans="1:38" ht="13" x14ac:dyDescent="0.15">
      <c r="A123" s="57" t="s">
        <v>2071</v>
      </c>
      <c r="B123" s="110" t="s">
        <v>2072</v>
      </c>
      <c r="C123" s="7" t="s">
        <v>41</v>
      </c>
      <c r="D123" s="7" t="s">
        <v>2166</v>
      </c>
      <c r="E123" s="44">
        <v>5</v>
      </c>
      <c r="F123" s="7"/>
      <c r="G123" s="7"/>
      <c r="H123" s="2" t="s">
        <v>2167</v>
      </c>
      <c r="I123" s="7" t="s">
        <v>2168</v>
      </c>
      <c r="J123" s="7" t="s">
        <v>2169</v>
      </c>
      <c r="K123" s="7" t="s">
        <v>55</v>
      </c>
      <c r="L123" s="7" t="s">
        <v>2170</v>
      </c>
      <c r="M123" s="7" t="s">
        <v>2171</v>
      </c>
      <c r="N123" s="45" t="str">
        <f t="shared" ref="N123:N124" si="95">HYPERLINK("twitter.com/colomesasb","@colomesasb")</f>
        <v>@colomesasb</v>
      </c>
      <c r="O123" s="45" t="str">
        <f t="shared" ref="O123:O124" si="96">HYPERLINK("https://cmumavericks.com/sb_output.aspx?form=1","Questionnaire")</f>
        <v>Questionnaire</v>
      </c>
      <c r="P123" s="48" t="s">
        <v>2181</v>
      </c>
      <c r="Q123" s="47" t="s">
        <v>2088</v>
      </c>
      <c r="R123" s="48" t="s">
        <v>2183</v>
      </c>
      <c r="S123" s="48" t="s">
        <v>186</v>
      </c>
      <c r="T123" s="49" t="s">
        <v>74</v>
      </c>
      <c r="U123" s="49" t="s">
        <v>75</v>
      </c>
      <c r="V123" s="49"/>
      <c r="W123" s="44">
        <v>3</v>
      </c>
      <c r="X123" s="49" t="s">
        <v>2185</v>
      </c>
      <c r="Y123" s="49" t="s">
        <v>2187</v>
      </c>
      <c r="Z123" s="49" t="s">
        <v>841</v>
      </c>
      <c r="AA123" s="61">
        <v>0.83</v>
      </c>
      <c r="AB123" s="48" t="s">
        <v>2188</v>
      </c>
      <c r="AC123" s="62" t="s">
        <v>2181</v>
      </c>
      <c r="AD123" s="53" t="str">
        <f t="shared" ref="AD123:AD124" si="97">HYPERLINK("http://www.coloradomesa.edu/advising/explore-major.html","Link")</f>
        <v>Link</v>
      </c>
      <c r="AE123" s="54">
        <v>9595</v>
      </c>
      <c r="AF123" s="55"/>
      <c r="AG123" s="55"/>
      <c r="AH123" s="56">
        <v>127556</v>
      </c>
      <c r="AI123" s="7"/>
      <c r="AJ123" s="7"/>
      <c r="AK123" s="7"/>
      <c r="AL123" s="7"/>
    </row>
    <row r="124" spans="1:38" ht="13" x14ac:dyDescent="0.15">
      <c r="A124" s="57" t="s">
        <v>2071</v>
      </c>
      <c r="B124" s="110" t="s">
        <v>2072</v>
      </c>
      <c r="C124" s="7" t="s">
        <v>41</v>
      </c>
      <c r="D124" s="7" t="s">
        <v>2192</v>
      </c>
      <c r="E124" s="44">
        <v>5</v>
      </c>
      <c r="F124" s="7"/>
      <c r="G124" s="7"/>
      <c r="H124" s="2" t="s">
        <v>2167</v>
      </c>
      <c r="I124" s="7" t="s">
        <v>2194</v>
      </c>
      <c r="J124" s="7" t="s">
        <v>2195</v>
      </c>
      <c r="K124" s="7" t="s">
        <v>48</v>
      </c>
      <c r="L124" s="7" t="s">
        <v>2197</v>
      </c>
      <c r="M124" s="7" t="s">
        <v>2171</v>
      </c>
      <c r="N124" s="45" t="str">
        <f t="shared" si="95"/>
        <v>@colomesasb</v>
      </c>
      <c r="O124" s="45" t="str">
        <f t="shared" si="96"/>
        <v>Questionnaire</v>
      </c>
      <c r="P124" s="48" t="s">
        <v>2181</v>
      </c>
      <c r="Q124" s="47" t="s">
        <v>2088</v>
      </c>
      <c r="R124" s="48" t="s">
        <v>2183</v>
      </c>
      <c r="S124" s="48" t="s">
        <v>186</v>
      </c>
      <c r="T124" s="49" t="s">
        <v>74</v>
      </c>
      <c r="U124" s="49" t="s">
        <v>75</v>
      </c>
      <c r="V124" s="49"/>
      <c r="W124" s="44">
        <v>3</v>
      </c>
      <c r="X124" s="49" t="s">
        <v>2185</v>
      </c>
      <c r="Y124" s="49" t="s">
        <v>2187</v>
      </c>
      <c r="Z124" s="49" t="s">
        <v>841</v>
      </c>
      <c r="AA124" s="61">
        <v>0.83</v>
      </c>
      <c r="AB124" s="48" t="s">
        <v>2188</v>
      </c>
      <c r="AC124" s="62" t="s">
        <v>2181</v>
      </c>
      <c r="AD124" s="53" t="str">
        <f t="shared" si="97"/>
        <v>Link</v>
      </c>
      <c r="AE124" s="54">
        <v>9595</v>
      </c>
      <c r="AF124" s="55"/>
      <c r="AG124" s="55"/>
      <c r="AH124" s="56">
        <v>127556</v>
      </c>
      <c r="AI124" s="7"/>
      <c r="AJ124" s="7"/>
      <c r="AK124" s="7"/>
      <c r="AL124" s="7"/>
    </row>
    <row r="125" spans="1:38" ht="15" x14ac:dyDescent="0.2">
      <c r="A125" s="57" t="s">
        <v>2071</v>
      </c>
      <c r="B125" s="110" t="s">
        <v>2072</v>
      </c>
      <c r="C125" s="7" t="s">
        <v>41</v>
      </c>
      <c r="D125" s="7" t="s">
        <v>2205</v>
      </c>
      <c r="E125" s="44">
        <v>5</v>
      </c>
      <c r="F125" s="7"/>
      <c r="G125" s="7"/>
      <c r="H125" s="2" t="s">
        <v>2206</v>
      </c>
      <c r="I125" s="7" t="s">
        <v>2207</v>
      </c>
      <c r="J125" s="7" t="s">
        <v>1287</v>
      </c>
      <c r="K125" s="7" t="s">
        <v>55</v>
      </c>
      <c r="L125" s="7"/>
      <c r="M125" s="7" t="s">
        <v>2208</v>
      </c>
      <c r="N125" s="45" t="str">
        <f t="shared" ref="N125:N127" si="98">HYPERLINK("twitter.com/minessoftball","@minessoftball")</f>
        <v>@minessoftball</v>
      </c>
      <c r="O125" s="45" t="str">
        <f t="shared" ref="O125:O127" si="99">HYPERLINK("https://minesathletics.com/sb_output.aspx?form=8","Questionnaire")</f>
        <v>Questionnaire</v>
      </c>
      <c r="P125" s="48" t="s">
        <v>2206</v>
      </c>
      <c r="Q125" s="47" t="s">
        <v>2088</v>
      </c>
      <c r="R125" s="48" t="s">
        <v>2213</v>
      </c>
      <c r="S125" s="48" t="s">
        <v>172</v>
      </c>
      <c r="T125" s="49" t="s">
        <v>74</v>
      </c>
      <c r="U125" s="49" t="s">
        <v>75</v>
      </c>
      <c r="V125" s="49"/>
      <c r="W125" s="44">
        <v>3.8</v>
      </c>
      <c r="X125" s="49" t="s">
        <v>1096</v>
      </c>
      <c r="Y125" s="49" t="s">
        <v>628</v>
      </c>
      <c r="Z125" s="49" t="s">
        <v>631</v>
      </c>
      <c r="AA125" s="61">
        <v>0.4</v>
      </c>
      <c r="AB125" s="48" t="s">
        <v>2215</v>
      </c>
      <c r="AC125" s="52" t="s">
        <v>2206</v>
      </c>
      <c r="AD125" s="53" t="str">
        <f t="shared" ref="AD125:AD127" si="100">HYPERLINK("https://inside.mines.edu/Degrees-Offered","Link")</f>
        <v>Link</v>
      </c>
      <c r="AE125" s="54">
        <v>4610</v>
      </c>
      <c r="AF125" s="54">
        <v>75</v>
      </c>
      <c r="AG125" s="55"/>
      <c r="AH125" s="56">
        <v>126775</v>
      </c>
      <c r="AI125" s="7"/>
      <c r="AJ125" s="7"/>
      <c r="AK125" s="7"/>
      <c r="AL125" s="7"/>
    </row>
    <row r="126" spans="1:38" ht="15" x14ac:dyDescent="0.2">
      <c r="A126" s="57" t="s">
        <v>2071</v>
      </c>
      <c r="B126" s="110" t="s">
        <v>2072</v>
      </c>
      <c r="C126" s="7" t="s">
        <v>41</v>
      </c>
      <c r="D126" s="7" t="s">
        <v>2222</v>
      </c>
      <c r="E126" s="44">
        <v>5</v>
      </c>
      <c r="F126" s="7"/>
      <c r="G126" s="7"/>
      <c r="H126" s="2" t="s">
        <v>2206</v>
      </c>
      <c r="I126" s="7" t="s">
        <v>2223</v>
      </c>
      <c r="J126" s="7" t="s">
        <v>812</v>
      </c>
      <c r="K126" s="7" t="s">
        <v>120</v>
      </c>
      <c r="L126" s="7"/>
      <c r="M126" s="7"/>
      <c r="N126" s="45" t="str">
        <f t="shared" si="98"/>
        <v>@minessoftball</v>
      </c>
      <c r="O126" s="45" t="str">
        <f t="shared" si="99"/>
        <v>Questionnaire</v>
      </c>
      <c r="P126" s="48" t="s">
        <v>2206</v>
      </c>
      <c r="Q126" s="47" t="s">
        <v>2088</v>
      </c>
      <c r="R126" s="48" t="s">
        <v>2213</v>
      </c>
      <c r="S126" s="48" t="s">
        <v>172</v>
      </c>
      <c r="T126" s="49" t="s">
        <v>74</v>
      </c>
      <c r="U126" s="49" t="s">
        <v>75</v>
      </c>
      <c r="V126" s="49"/>
      <c r="W126" s="44">
        <v>3.8</v>
      </c>
      <c r="X126" s="49" t="s">
        <v>1096</v>
      </c>
      <c r="Y126" s="49" t="s">
        <v>628</v>
      </c>
      <c r="Z126" s="49" t="s">
        <v>631</v>
      </c>
      <c r="AA126" s="61">
        <v>0.4</v>
      </c>
      <c r="AB126" s="48" t="s">
        <v>2215</v>
      </c>
      <c r="AC126" s="52" t="s">
        <v>2206</v>
      </c>
      <c r="AD126" s="53" t="str">
        <f t="shared" si="100"/>
        <v>Link</v>
      </c>
      <c r="AE126" s="54">
        <v>4610</v>
      </c>
      <c r="AF126" s="54">
        <v>75</v>
      </c>
      <c r="AG126" s="55"/>
      <c r="AH126" s="56">
        <v>126775</v>
      </c>
      <c r="AI126" s="7"/>
      <c r="AJ126" s="7"/>
      <c r="AK126" s="7"/>
      <c r="AL126" s="7"/>
    </row>
    <row r="127" spans="1:38" ht="15" x14ac:dyDescent="0.2">
      <c r="A127" s="57" t="s">
        <v>2071</v>
      </c>
      <c r="B127" s="110" t="s">
        <v>2072</v>
      </c>
      <c r="C127" s="7" t="s">
        <v>41</v>
      </c>
      <c r="D127" s="7" t="s">
        <v>2231</v>
      </c>
      <c r="E127" s="44">
        <v>5</v>
      </c>
      <c r="F127" s="7"/>
      <c r="G127" s="7"/>
      <c r="H127" s="2" t="s">
        <v>2206</v>
      </c>
      <c r="I127" s="7" t="s">
        <v>513</v>
      </c>
      <c r="J127" s="7" t="s">
        <v>2235</v>
      </c>
      <c r="K127" s="7" t="s">
        <v>1423</v>
      </c>
      <c r="L127" s="7" t="s">
        <v>2236</v>
      </c>
      <c r="M127" s="7" t="s">
        <v>2208</v>
      </c>
      <c r="N127" s="45" t="str">
        <f t="shared" si="98"/>
        <v>@minessoftball</v>
      </c>
      <c r="O127" s="45" t="str">
        <f t="shared" si="99"/>
        <v>Questionnaire</v>
      </c>
      <c r="P127" s="48" t="s">
        <v>2206</v>
      </c>
      <c r="Q127" s="47" t="s">
        <v>2088</v>
      </c>
      <c r="R127" s="48" t="s">
        <v>2213</v>
      </c>
      <c r="S127" s="48" t="s">
        <v>172</v>
      </c>
      <c r="T127" s="49" t="s">
        <v>74</v>
      </c>
      <c r="U127" s="49" t="s">
        <v>75</v>
      </c>
      <c r="V127" s="49"/>
      <c r="W127" s="44">
        <v>3.8</v>
      </c>
      <c r="X127" s="49" t="s">
        <v>1096</v>
      </c>
      <c r="Y127" s="49" t="s">
        <v>628</v>
      </c>
      <c r="Z127" s="49" t="s">
        <v>631</v>
      </c>
      <c r="AA127" s="61">
        <v>0.4</v>
      </c>
      <c r="AB127" s="48" t="s">
        <v>2215</v>
      </c>
      <c r="AC127" s="52" t="s">
        <v>2206</v>
      </c>
      <c r="AD127" s="53" t="str">
        <f t="shared" si="100"/>
        <v>Link</v>
      </c>
      <c r="AE127" s="54">
        <v>4610</v>
      </c>
      <c r="AF127" s="54">
        <v>75</v>
      </c>
      <c r="AG127" s="55"/>
      <c r="AH127" s="56">
        <v>126775</v>
      </c>
      <c r="AI127" s="7"/>
      <c r="AJ127" s="7"/>
      <c r="AK127" s="7"/>
      <c r="AL127" s="7"/>
    </row>
    <row r="128" spans="1:38" ht="15" x14ac:dyDescent="0.2">
      <c r="A128" s="57" t="s">
        <v>2071</v>
      </c>
      <c r="B128" s="110" t="s">
        <v>2072</v>
      </c>
      <c r="C128" s="7" t="s">
        <v>41</v>
      </c>
      <c r="D128" s="7" t="s">
        <v>2242</v>
      </c>
      <c r="E128" s="44">
        <v>5</v>
      </c>
      <c r="F128" s="7"/>
      <c r="G128" s="7"/>
      <c r="H128" s="2" t="s">
        <v>2243</v>
      </c>
      <c r="I128" s="7" t="s">
        <v>1327</v>
      </c>
      <c r="J128" s="7" t="s">
        <v>1810</v>
      </c>
      <c r="K128" s="7" t="s">
        <v>55</v>
      </c>
      <c r="L128" s="7" t="s">
        <v>2244</v>
      </c>
      <c r="M128" s="7" t="s">
        <v>2245</v>
      </c>
      <c r="N128" s="45" t="str">
        <f t="shared" ref="N128:N130" si="101">HYPERLINK("twitter.com/csupsoftball","@csupsoftball")</f>
        <v>@csupsoftball</v>
      </c>
      <c r="O128" s="45" t="str">
        <f t="shared" ref="O128:O130" si="102">HYPERLINK("https://gothunderwolves.com/sports/2018/11/26/csu-pueblo-softball-recruit-questionnaire.aspx","Questionnaire")</f>
        <v>Questionnaire</v>
      </c>
      <c r="P128" s="48" t="s">
        <v>2254</v>
      </c>
      <c r="Q128" s="47" t="s">
        <v>2088</v>
      </c>
      <c r="R128" s="48" t="s">
        <v>2256</v>
      </c>
      <c r="S128" s="48" t="s">
        <v>238</v>
      </c>
      <c r="T128" s="49" t="s">
        <v>74</v>
      </c>
      <c r="U128" s="49" t="s">
        <v>75</v>
      </c>
      <c r="V128" s="49"/>
      <c r="W128" s="44">
        <v>3.23</v>
      </c>
      <c r="X128" s="49" t="s">
        <v>253</v>
      </c>
      <c r="Y128" s="49" t="s">
        <v>2257</v>
      </c>
      <c r="Z128" s="49" t="s">
        <v>449</v>
      </c>
      <c r="AA128" s="61">
        <v>0.96</v>
      </c>
      <c r="AB128" s="48" t="s">
        <v>2258</v>
      </c>
      <c r="AC128" s="52" t="s">
        <v>2254</v>
      </c>
      <c r="AD128" s="53" t="str">
        <f t="shared" ref="AD128:AD130" si="103">HYPERLINK("https://www.csupueblo.edu/academics/index.html","Link")</f>
        <v>Link</v>
      </c>
      <c r="AE128" s="54">
        <v>5024</v>
      </c>
      <c r="AF128" s="55"/>
      <c r="AG128" s="55"/>
      <c r="AH128" s="56">
        <v>128106</v>
      </c>
      <c r="AI128" s="7"/>
      <c r="AJ128" s="7"/>
      <c r="AK128" s="7"/>
      <c r="AL128" s="7"/>
    </row>
    <row r="129" spans="1:38" ht="15" x14ac:dyDescent="0.2">
      <c r="A129" s="57" t="s">
        <v>2071</v>
      </c>
      <c r="B129" s="110" t="s">
        <v>2072</v>
      </c>
      <c r="C129" s="7" t="s">
        <v>41</v>
      </c>
      <c r="D129" s="7" t="s">
        <v>2265</v>
      </c>
      <c r="E129" s="44">
        <v>5</v>
      </c>
      <c r="F129" s="7"/>
      <c r="G129" s="7"/>
      <c r="H129" s="2" t="s">
        <v>2243</v>
      </c>
      <c r="I129" s="7" t="s">
        <v>481</v>
      </c>
      <c r="J129" s="7" t="s">
        <v>2267</v>
      </c>
      <c r="K129" s="7" t="s">
        <v>55</v>
      </c>
      <c r="L129" s="7"/>
      <c r="M129" s="7"/>
      <c r="N129" s="45" t="str">
        <f t="shared" si="101"/>
        <v>@csupsoftball</v>
      </c>
      <c r="O129" s="45" t="str">
        <f t="shared" si="102"/>
        <v>Questionnaire</v>
      </c>
      <c r="P129" s="48" t="s">
        <v>2254</v>
      </c>
      <c r="Q129" s="47" t="s">
        <v>2088</v>
      </c>
      <c r="R129" s="48" t="s">
        <v>2256</v>
      </c>
      <c r="S129" s="48" t="s">
        <v>238</v>
      </c>
      <c r="T129" s="49" t="s">
        <v>74</v>
      </c>
      <c r="U129" s="49" t="s">
        <v>75</v>
      </c>
      <c r="V129" s="49"/>
      <c r="W129" s="44">
        <v>3.23</v>
      </c>
      <c r="X129" s="49" t="s">
        <v>253</v>
      </c>
      <c r="Y129" s="49" t="s">
        <v>2257</v>
      </c>
      <c r="Z129" s="49" t="s">
        <v>449</v>
      </c>
      <c r="AA129" s="61">
        <v>0.96</v>
      </c>
      <c r="AB129" s="48" t="s">
        <v>2258</v>
      </c>
      <c r="AC129" s="52" t="s">
        <v>2254</v>
      </c>
      <c r="AD129" s="53" t="str">
        <f t="shared" si="103"/>
        <v>Link</v>
      </c>
      <c r="AE129" s="54">
        <v>5024</v>
      </c>
      <c r="AF129" s="55"/>
      <c r="AG129" s="55"/>
      <c r="AH129" s="56">
        <v>128106</v>
      </c>
      <c r="AI129" s="7"/>
      <c r="AJ129" s="7"/>
      <c r="AK129" s="7"/>
      <c r="AL129" s="7"/>
    </row>
    <row r="130" spans="1:38" ht="15" x14ac:dyDescent="0.2">
      <c r="A130" s="57" t="s">
        <v>2071</v>
      </c>
      <c r="B130" s="110" t="s">
        <v>2072</v>
      </c>
      <c r="C130" s="7" t="s">
        <v>41</v>
      </c>
      <c r="D130" s="7" t="s">
        <v>2274</v>
      </c>
      <c r="E130" s="44">
        <v>5</v>
      </c>
      <c r="F130" s="7"/>
      <c r="G130" s="7"/>
      <c r="H130" s="2" t="s">
        <v>2243</v>
      </c>
      <c r="I130" s="7" t="s">
        <v>193</v>
      </c>
      <c r="J130" s="7" t="s">
        <v>2275</v>
      </c>
      <c r="K130" s="7" t="s">
        <v>48</v>
      </c>
      <c r="L130" s="7" t="s">
        <v>2278</v>
      </c>
      <c r="M130" s="7" t="s">
        <v>2280</v>
      </c>
      <c r="N130" s="45" t="str">
        <f t="shared" si="101"/>
        <v>@csupsoftball</v>
      </c>
      <c r="O130" s="45" t="str">
        <f t="shared" si="102"/>
        <v>Questionnaire</v>
      </c>
      <c r="P130" s="48" t="s">
        <v>2254</v>
      </c>
      <c r="Q130" s="47" t="s">
        <v>2088</v>
      </c>
      <c r="R130" s="48" t="s">
        <v>2256</v>
      </c>
      <c r="S130" s="48" t="s">
        <v>238</v>
      </c>
      <c r="T130" s="49" t="s">
        <v>74</v>
      </c>
      <c r="U130" s="49" t="s">
        <v>75</v>
      </c>
      <c r="V130" s="49"/>
      <c r="W130" s="44">
        <v>3.23</v>
      </c>
      <c r="X130" s="49" t="s">
        <v>253</v>
      </c>
      <c r="Y130" s="49" t="s">
        <v>2257</v>
      </c>
      <c r="Z130" s="49" t="s">
        <v>449</v>
      </c>
      <c r="AA130" s="61">
        <v>0.96</v>
      </c>
      <c r="AB130" s="48" t="s">
        <v>2258</v>
      </c>
      <c r="AC130" s="52" t="s">
        <v>2254</v>
      </c>
      <c r="AD130" s="53" t="str">
        <f t="shared" si="103"/>
        <v>Link</v>
      </c>
      <c r="AE130" s="54">
        <v>5024</v>
      </c>
      <c r="AF130" s="55"/>
      <c r="AG130" s="55"/>
      <c r="AH130" s="56">
        <v>128106</v>
      </c>
      <c r="AI130" s="7"/>
      <c r="AJ130" s="7"/>
      <c r="AK130" s="7"/>
      <c r="AL130" s="7"/>
    </row>
    <row r="131" spans="1:38" ht="15" x14ac:dyDescent="0.2">
      <c r="A131" s="57" t="s">
        <v>2071</v>
      </c>
      <c r="B131" s="110" t="s">
        <v>2072</v>
      </c>
      <c r="C131" s="7" t="s">
        <v>41</v>
      </c>
      <c r="D131" s="7" t="s">
        <v>2291</v>
      </c>
      <c r="E131" s="44">
        <v>5</v>
      </c>
      <c r="F131" s="7"/>
      <c r="G131" s="7"/>
      <c r="H131" s="2" t="s">
        <v>2294</v>
      </c>
      <c r="I131" s="7" t="s">
        <v>981</v>
      </c>
      <c r="J131" s="7" t="s">
        <v>2295</v>
      </c>
      <c r="K131" s="7" t="s">
        <v>120</v>
      </c>
      <c r="L131" s="7" t="s">
        <v>2296</v>
      </c>
      <c r="M131" s="7" t="s">
        <v>2297</v>
      </c>
      <c r="N131" s="7"/>
      <c r="O131" s="45" t="str">
        <f t="shared" ref="O131:O132" si="104">HYPERLINK("https://gomountainlions.com/sports/2014/8/7/GEN_0807143147.aspx","Questionnaire")</f>
        <v>Questionnaire</v>
      </c>
      <c r="P131" s="48" t="s">
        <v>2308</v>
      </c>
      <c r="Q131" s="47" t="s">
        <v>2088</v>
      </c>
      <c r="R131" s="48" t="s">
        <v>2309</v>
      </c>
      <c r="S131" s="48" t="s">
        <v>354</v>
      </c>
      <c r="T131" s="49" t="s">
        <v>74</v>
      </c>
      <c r="U131" s="49" t="s">
        <v>75</v>
      </c>
      <c r="V131" s="49"/>
      <c r="W131" s="44">
        <v>3.36</v>
      </c>
      <c r="X131" s="49" t="s">
        <v>2310</v>
      </c>
      <c r="Y131" s="49" t="s">
        <v>1648</v>
      </c>
      <c r="Z131" s="49" t="s">
        <v>278</v>
      </c>
      <c r="AA131" s="61">
        <v>0.93</v>
      </c>
      <c r="AB131" s="48" t="s">
        <v>2312</v>
      </c>
      <c r="AC131" s="52" t="s">
        <v>2308</v>
      </c>
      <c r="AD131" s="53" t="str">
        <f t="shared" ref="AD131:AD132" si="105">HYPERLINK("https://www.uccs.edu/academics/degrees.html","Link")</f>
        <v>Link</v>
      </c>
      <c r="AE131" s="54">
        <v>10619</v>
      </c>
      <c r="AF131" s="55"/>
      <c r="AG131" s="55"/>
      <c r="AH131" s="56">
        <v>126580</v>
      </c>
      <c r="AI131" s="7"/>
      <c r="AJ131" s="7"/>
      <c r="AK131" s="7"/>
      <c r="AL131" s="7"/>
    </row>
    <row r="132" spans="1:38" ht="15" x14ac:dyDescent="0.2">
      <c r="A132" s="57" t="s">
        <v>2071</v>
      </c>
      <c r="B132" s="110" t="s">
        <v>2072</v>
      </c>
      <c r="C132" s="7" t="s">
        <v>41</v>
      </c>
      <c r="D132" s="7" t="s">
        <v>2320</v>
      </c>
      <c r="E132" s="44">
        <v>5</v>
      </c>
      <c r="F132" s="7"/>
      <c r="G132" s="7"/>
      <c r="H132" s="2" t="s">
        <v>2294</v>
      </c>
      <c r="I132" s="7" t="s">
        <v>2322</v>
      </c>
      <c r="J132" s="7" t="s">
        <v>2323</v>
      </c>
      <c r="K132" s="7" t="s">
        <v>48</v>
      </c>
      <c r="L132" s="7" t="s">
        <v>2325</v>
      </c>
      <c r="M132" s="7" t="s">
        <v>2297</v>
      </c>
      <c r="N132" s="7"/>
      <c r="O132" s="45" t="str">
        <f t="shared" si="104"/>
        <v>Questionnaire</v>
      </c>
      <c r="P132" s="48" t="s">
        <v>2308</v>
      </c>
      <c r="Q132" s="47" t="s">
        <v>2088</v>
      </c>
      <c r="R132" s="48" t="s">
        <v>2309</v>
      </c>
      <c r="S132" s="48" t="s">
        <v>354</v>
      </c>
      <c r="T132" s="49" t="s">
        <v>74</v>
      </c>
      <c r="U132" s="49" t="s">
        <v>75</v>
      </c>
      <c r="V132" s="49"/>
      <c r="W132" s="44">
        <v>3.36</v>
      </c>
      <c r="X132" s="49" t="s">
        <v>2310</v>
      </c>
      <c r="Y132" s="49" t="s">
        <v>1648</v>
      </c>
      <c r="Z132" s="49" t="s">
        <v>278</v>
      </c>
      <c r="AA132" s="61">
        <v>0.93</v>
      </c>
      <c r="AB132" s="48" t="s">
        <v>2312</v>
      </c>
      <c r="AC132" s="52" t="s">
        <v>2308</v>
      </c>
      <c r="AD132" s="53" t="str">
        <f t="shared" si="105"/>
        <v>Link</v>
      </c>
      <c r="AE132" s="54">
        <v>10619</v>
      </c>
      <c r="AF132" s="55"/>
      <c r="AG132" s="55"/>
      <c r="AH132" s="56">
        <v>126580</v>
      </c>
      <c r="AI132" s="7"/>
      <c r="AJ132" s="7"/>
      <c r="AK132" s="7"/>
      <c r="AL132" s="7"/>
    </row>
    <row r="133" spans="1:38" ht="13" x14ac:dyDescent="0.15">
      <c r="A133" s="57" t="s">
        <v>2071</v>
      </c>
      <c r="B133" s="110" t="s">
        <v>2072</v>
      </c>
      <c r="C133" s="7" t="s">
        <v>41</v>
      </c>
      <c r="D133" s="7" t="s">
        <v>2338</v>
      </c>
      <c r="E133" s="37">
        <v>5</v>
      </c>
      <c r="F133" s="7"/>
      <c r="G133" s="7"/>
      <c r="H133" s="2" t="s">
        <v>2339</v>
      </c>
      <c r="I133" s="7" t="s">
        <v>2340</v>
      </c>
      <c r="J133" s="7" t="s">
        <v>2342</v>
      </c>
      <c r="K133" s="7" t="s">
        <v>55</v>
      </c>
      <c r="L133" s="7" t="s">
        <v>2344</v>
      </c>
      <c r="M133" s="7" t="s">
        <v>2345</v>
      </c>
      <c r="N133" s="45" t="str">
        <f t="shared" ref="N133:N134" si="106">HYPERLINK("twitter.com/flcsoftball","@flcsoftball")</f>
        <v>@flcsoftball</v>
      </c>
      <c r="O133" s="48" t="s">
        <v>22</v>
      </c>
      <c r="P133" s="48" t="s">
        <v>2349</v>
      </c>
      <c r="Q133" s="60" t="s">
        <v>2088</v>
      </c>
      <c r="R133" s="48" t="s">
        <v>2352</v>
      </c>
      <c r="S133" s="48" t="s">
        <v>172</v>
      </c>
      <c r="T133" s="5" t="s">
        <v>74</v>
      </c>
      <c r="U133" s="48" t="s">
        <v>75</v>
      </c>
      <c r="V133" s="49"/>
      <c r="W133" s="37">
        <v>3.16</v>
      </c>
      <c r="X133" s="49" t="s">
        <v>522</v>
      </c>
      <c r="Y133" s="49" t="s">
        <v>1577</v>
      </c>
      <c r="Z133" s="49" t="s">
        <v>125</v>
      </c>
      <c r="AA133" s="65">
        <v>0.92</v>
      </c>
      <c r="AB133" s="48" t="s">
        <v>2362</v>
      </c>
      <c r="AC133" s="90" t="s">
        <v>2349</v>
      </c>
      <c r="AD133" s="53" t="str">
        <f t="shared" ref="AD133:AD135" si="107">HYPERLINK("https://www.fortlewis.edu/majorsandprograms/UndergraduateMajorsandPrograms.aspx","Link")</f>
        <v>Link</v>
      </c>
      <c r="AE133" s="42">
        <v>3590</v>
      </c>
      <c r="AF133" s="55"/>
      <c r="AG133" s="55"/>
      <c r="AH133" s="56">
        <v>127185</v>
      </c>
      <c r="AI133" s="7"/>
      <c r="AJ133" s="7"/>
      <c r="AK133" s="7"/>
      <c r="AL133" s="7"/>
    </row>
    <row r="134" spans="1:38" ht="13" x14ac:dyDescent="0.15">
      <c r="A134" s="57" t="s">
        <v>2071</v>
      </c>
      <c r="B134" s="110" t="s">
        <v>2072</v>
      </c>
      <c r="C134" s="7" t="s">
        <v>41</v>
      </c>
      <c r="D134" s="7" t="s">
        <v>2372</v>
      </c>
      <c r="E134" s="37">
        <v>5</v>
      </c>
      <c r="F134" s="7"/>
      <c r="G134" s="7"/>
      <c r="H134" s="2" t="s">
        <v>2339</v>
      </c>
      <c r="I134" s="7" t="s">
        <v>421</v>
      </c>
      <c r="J134" s="7"/>
      <c r="K134" s="7" t="s">
        <v>48</v>
      </c>
      <c r="L134" s="7"/>
      <c r="M134" s="7"/>
      <c r="N134" s="45" t="str">
        <f t="shared" si="106"/>
        <v>@flcsoftball</v>
      </c>
      <c r="O134" s="48" t="s">
        <v>22</v>
      </c>
      <c r="P134" s="48" t="s">
        <v>2349</v>
      </c>
      <c r="Q134" s="60" t="s">
        <v>2088</v>
      </c>
      <c r="R134" s="48" t="s">
        <v>2352</v>
      </c>
      <c r="S134" s="48" t="s">
        <v>172</v>
      </c>
      <c r="T134" s="5" t="s">
        <v>74</v>
      </c>
      <c r="U134" s="48" t="s">
        <v>75</v>
      </c>
      <c r="V134" s="49"/>
      <c r="W134" s="37">
        <v>3.16</v>
      </c>
      <c r="X134" s="49" t="s">
        <v>522</v>
      </c>
      <c r="Y134" s="49" t="s">
        <v>1577</v>
      </c>
      <c r="Z134" s="49" t="s">
        <v>125</v>
      </c>
      <c r="AA134" s="65">
        <v>0.92</v>
      </c>
      <c r="AB134" s="48" t="s">
        <v>2362</v>
      </c>
      <c r="AC134" s="90" t="s">
        <v>2349</v>
      </c>
      <c r="AD134" s="53" t="str">
        <f t="shared" si="107"/>
        <v>Link</v>
      </c>
      <c r="AE134" s="42">
        <v>3590</v>
      </c>
      <c r="AF134" s="55"/>
      <c r="AG134" s="55"/>
      <c r="AH134" s="56">
        <v>127185</v>
      </c>
      <c r="AI134" s="7"/>
      <c r="AJ134" s="7"/>
      <c r="AK134" s="7"/>
      <c r="AL134" s="7"/>
    </row>
    <row r="135" spans="1:38" ht="13" x14ac:dyDescent="0.15">
      <c r="A135" s="57" t="s">
        <v>2071</v>
      </c>
      <c r="B135" s="110" t="s">
        <v>2072</v>
      </c>
      <c r="C135" s="7" t="s">
        <v>41</v>
      </c>
      <c r="D135" s="7" t="s">
        <v>2384</v>
      </c>
      <c r="E135" s="44">
        <v>5</v>
      </c>
      <c r="F135" s="7" t="s">
        <v>116</v>
      </c>
      <c r="G135" s="7"/>
      <c r="H135" s="2" t="s">
        <v>2339</v>
      </c>
      <c r="I135" s="7" t="s">
        <v>981</v>
      </c>
      <c r="J135" s="7" t="s">
        <v>2385</v>
      </c>
      <c r="K135" s="7" t="s">
        <v>48</v>
      </c>
      <c r="L135" s="7" t="s">
        <v>2386</v>
      </c>
      <c r="M135" s="7" t="s">
        <v>2388</v>
      </c>
      <c r="N135" s="74" t="str">
        <f>HYPERLINK("twitter.com/@coach_reeves10","@coach_reeves10")</f>
        <v>@coach_reeves10</v>
      </c>
      <c r="O135" s="48" t="s">
        <v>22</v>
      </c>
      <c r="P135" s="48" t="s">
        <v>2349</v>
      </c>
      <c r="Q135" s="60" t="s">
        <v>2088</v>
      </c>
      <c r="R135" s="48" t="s">
        <v>2352</v>
      </c>
      <c r="S135" s="48" t="s">
        <v>172</v>
      </c>
      <c r="T135" s="5" t="s">
        <v>74</v>
      </c>
      <c r="U135" s="48" t="s">
        <v>75</v>
      </c>
      <c r="V135" s="49"/>
      <c r="W135" s="37">
        <v>3.16</v>
      </c>
      <c r="X135" s="49" t="s">
        <v>522</v>
      </c>
      <c r="Y135" s="49" t="s">
        <v>1577</v>
      </c>
      <c r="Z135" s="49" t="s">
        <v>125</v>
      </c>
      <c r="AA135" s="65">
        <v>0.92</v>
      </c>
      <c r="AB135" s="48" t="s">
        <v>2362</v>
      </c>
      <c r="AC135" s="90" t="s">
        <v>2349</v>
      </c>
      <c r="AD135" s="53" t="str">
        <f t="shared" si="107"/>
        <v>Link</v>
      </c>
      <c r="AE135" s="42">
        <v>3590</v>
      </c>
      <c r="AF135" s="55"/>
      <c r="AG135" s="55"/>
      <c r="AH135" s="111">
        <v>127185</v>
      </c>
      <c r="AI135" s="57"/>
      <c r="AJ135" s="57"/>
      <c r="AK135" s="57"/>
      <c r="AL135" s="57"/>
    </row>
    <row r="136" spans="1:38" ht="15" x14ac:dyDescent="0.2">
      <c r="A136" s="57" t="s">
        <v>2071</v>
      </c>
      <c r="B136" s="110" t="s">
        <v>2072</v>
      </c>
      <c r="C136" s="7" t="s">
        <v>41</v>
      </c>
      <c r="D136" s="7" t="s">
        <v>2401</v>
      </c>
      <c r="E136" s="44">
        <v>5</v>
      </c>
      <c r="F136" s="7"/>
      <c r="G136" s="7"/>
      <c r="H136" s="2" t="s">
        <v>2405</v>
      </c>
      <c r="I136" s="7" t="s">
        <v>2408</v>
      </c>
      <c r="J136" s="7" t="s">
        <v>2412</v>
      </c>
      <c r="K136" s="7" t="s">
        <v>55</v>
      </c>
      <c r="L136" s="7" t="s">
        <v>2414</v>
      </c>
      <c r="M136" s="7" t="s">
        <v>2415</v>
      </c>
      <c r="N136" s="45" t="str">
        <f>HYPERLINK("twitter.com/J_Flo24","@J_Flo24")</f>
        <v>@J_Flo24</v>
      </c>
      <c r="O136" s="45" t="str">
        <f t="shared" ref="O136:O137" si="108">HYPERLINK("https://roadrunnersathletics.com/sb_output.aspx?form=3","Questionnaire")</f>
        <v>Questionnaire</v>
      </c>
      <c r="P136" s="48" t="s">
        <v>2423</v>
      </c>
      <c r="Q136" s="47" t="s">
        <v>2088</v>
      </c>
      <c r="R136" s="48" t="s">
        <v>2424</v>
      </c>
      <c r="S136" s="48" t="s">
        <v>354</v>
      </c>
      <c r="T136" s="49" t="s">
        <v>74</v>
      </c>
      <c r="U136" s="49" t="s">
        <v>75</v>
      </c>
      <c r="V136" s="49"/>
      <c r="W136" s="44">
        <v>2.92</v>
      </c>
      <c r="X136" s="49" t="s">
        <v>397</v>
      </c>
      <c r="Y136" s="49" t="s">
        <v>1628</v>
      </c>
      <c r="Z136" s="49" t="s">
        <v>1339</v>
      </c>
      <c r="AA136" s="61">
        <v>0.64</v>
      </c>
      <c r="AB136" s="48" t="s">
        <v>2425</v>
      </c>
      <c r="AC136" s="52" t="s">
        <v>2423</v>
      </c>
      <c r="AD136" s="53" t="str">
        <f t="shared" ref="AD136:AD137" si="109">HYPERLINK("http://catalog.msudenver.edu/content.php?catoid=15&amp;navoid=591","Link")</f>
        <v>Link</v>
      </c>
      <c r="AE136" s="54">
        <v>19940</v>
      </c>
      <c r="AF136" s="55"/>
      <c r="AG136" s="55"/>
      <c r="AH136" s="56">
        <v>127565</v>
      </c>
      <c r="AI136" s="7"/>
      <c r="AJ136" s="7"/>
      <c r="AK136" s="7"/>
      <c r="AL136" s="7"/>
    </row>
    <row r="137" spans="1:38" ht="15" x14ac:dyDescent="0.2">
      <c r="A137" s="57" t="s">
        <v>2071</v>
      </c>
      <c r="B137" s="110" t="s">
        <v>2072</v>
      </c>
      <c r="C137" s="7" t="s">
        <v>41</v>
      </c>
      <c r="D137" s="7" t="s">
        <v>2432</v>
      </c>
      <c r="E137" s="44">
        <v>5</v>
      </c>
      <c r="F137" s="7"/>
      <c r="G137" s="7"/>
      <c r="H137" s="2" t="s">
        <v>2405</v>
      </c>
      <c r="I137" s="7" t="s">
        <v>1345</v>
      </c>
      <c r="J137" s="7" t="s">
        <v>2436</v>
      </c>
      <c r="K137" s="7" t="s">
        <v>48</v>
      </c>
      <c r="L137" s="7" t="s">
        <v>2438</v>
      </c>
      <c r="M137" s="6" t="s">
        <v>2440</v>
      </c>
      <c r="N137" s="45" t="str">
        <f>HYPERLINK("twitter.com/CoachVanW","@CoachVanW")</f>
        <v>@CoachVanW</v>
      </c>
      <c r="O137" s="45" t="str">
        <f t="shared" si="108"/>
        <v>Questionnaire</v>
      </c>
      <c r="P137" s="48" t="s">
        <v>2423</v>
      </c>
      <c r="Q137" s="47" t="s">
        <v>2088</v>
      </c>
      <c r="R137" s="48" t="s">
        <v>2424</v>
      </c>
      <c r="S137" s="48" t="s">
        <v>354</v>
      </c>
      <c r="T137" s="49" t="s">
        <v>74</v>
      </c>
      <c r="U137" s="49" t="s">
        <v>75</v>
      </c>
      <c r="V137" s="49"/>
      <c r="W137" s="44">
        <v>2.92</v>
      </c>
      <c r="X137" s="49" t="s">
        <v>397</v>
      </c>
      <c r="Y137" s="49" t="s">
        <v>1628</v>
      </c>
      <c r="Z137" s="49" t="s">
        <v>1339</v>
      </c>
      <c r="AA137" s="61">
        <v>0.64</v>
      </c>
      <c r="AB137" s="48" t="s">
        <v>2425</v>
      </c>
      <c r="AC137" s="52" t="s">
        <v>2423</v>
      </c>
      <c r="AD137" s="53" t="str">
        <f t="shared" si="109"/>
        <v>Link</v>
      </c>
      <c r="AE137" s="54">
        <v>19940</v>
      </c>
      <c r="AF137" s="55"/>
      <c r="AG137" s="55"/>
      <c r="AH137" s="56">
        <v>127565</v>
      </c>
      <c r="AI137" s="7"/>
      <c r="AJ137" s="7"/>
      <c r="AK137" s="7"/>
      <c r="AL137" s="7"/>
    </row>
    <row r="138" spans="1:38" ht="13" x14ac:dyDescent="0.15">
      <c r="A138" s="57" t="s">
        <v>2071</v>
      </c>
      <c r="B138" s="110" t="s">
        <v>2072</v>
      </c>
      <c r="C138" s="7" t="s">
        <v>41</v>
      </c>
      <c r="D138" s="7" t="s">
        <v>2451</v>
      </c>
      <c r="E138" s="44">
        <v>5</v>
      </c>
      <c r="F138" s="7"/>
      <c r="G138" s="7"/>
      <c r="H138" s="2" t="s">
        <v>2452</v>
      </c>
      <c r="I138" s="7" t="s">
        <v>427</v>
      </c>
      <c r="J138" s="7" t="s">
        <v>2454</v>
      </c>
      <c r="K138" s="7" t="s">
        <v>55</v>
      </c>
      <c r="L138" s="7" t="s">
        <v>2456</v>
      </c>
      <c r="M138" s="7" t="s">
        <v>2457</v>
      </c>
      <c r="N138" s="7"/>
      <c r="O138" s="7"/>
      <c r="P138" s="48" t="s">
        <v>2458</v>
      </c>
      <c r="Q138" s="60" t="s">
        <v>2088</v>
      </c>
      <c r="R138" s="48" t="s">
        <v>2424</v>
      </c>
      <c r="S138" s="48" t="s">
        <v>354</v>
      </c>
      <c r="T138" s="49" t="s">
        <v>63</v>
      </c>
      <c r="U138" s="49" t="s">
        <v>343</v>
      </c>
      <c r="V138" s="49"/>
      <c r="W138" s="44">
        <v>3.56</v>
      </c>
      <c r="X138" s="49" t="s">
        <v>1649</v>
      </c>
      <c r="Y138" s="49" t="s">
        <v>522</v>
      </c>
      <c r="Z138" s="49" t="s">
        <v>1510</v>
      </c>
      <c r="AA138" s="61">
        <v>0.56999999999999995</v>
      </c>
      <c r="AB138" s="71">
        <v>49216</v>
      </c>
      <c r="AC138" s="62" t="s">
        <v>2458</v>
      </c>
      <c r="AD138" s="53" t="str">
        <f t="shared" ref="AD138:AD140" si="110">HYPERLINK("https://www.regis.edu/Academics/Degrees-and-Programs/Undergraduate-Programs.aspx","Link")</f>
        <v>Link</v>
      </c>
      <c r="AE138" s="54">
        <v>4070</v>
      </c>
      <c r="AF138" s="55"/>
      <c r="AG138" s="55"/>
      <c r="AH138" s="56">
        <v>127918</v>
      </c>
      <c r="AI138" s="85"/>
      <c r="AJ138" s="7"/>
      <c r="AK138" s="7"/>
      <c r="AL138" s="7"/>
    </row>
    <row r="139" spans="1:38" ht="13" x14ac:dyDescent="0.15">
      <c r="A139" s="57" t="s">
        <v>2071</v>
      </c>
      <c r="B139" s="110" t="s">
        <v>2072</v>
      </c>
      <c r="C139" s="7" t="s">
        <v>41</v>
      </c>
      <c r="D139" s="7" t="s">
        <v>2469</v>
      </c>
      <c r="E139" s="44">
        <v>5</v>
      </c>
      <c r="F139" s="7"/>
      <c r="G139" s="7"/>
      <c r="H139" s="2" t="s">
        <v>2452</v>
      </c>
      <c r="I139" s="7" t="s">
        <v>981</v>
      </c>
      <c r="J139" s="7" t="s">
        <v>2470</v>
      </c>
      <c r="K139" s="7" t="s">
        <v>120</v>
      </c>
      <c r="L139" s="7" t="s">
        <v>2471</v>
      </c>
      <c r="M139" s="7"/>
      <c r="N139" s="7"/>
      <c r="O139" s="7"/>
      <c r="P139" s="48" t="s">
        <v>2458</v>
      </c>
      <c r="Q139" s="60" t="s">
        <v>2088</v>
      </c>
      <c r="R139" s="48" t="s">
        <v>2424</v>
      </c>
      <c r="S139" s="48" t="s">
        <v>354</v>
      </c>
      <c r="T139" s="49" t="s">
        <v>63</v>
      </c>
      <c r="U139" s="49" t="s">
        <v>343</v>
      </c>
      <c r="V139" s="49"/>
      <c r="W139" s="44">
        <v>3.56</v>
      </c>
      <c r="X139" s="49" t="s">
        <v>1649</v>
      </c>
      <c r="Y139" s="49" t="s">
        <v>522</v>
      </c>
      <c r="Z139" s="49" t="s">
        <v>1510</v>
      </c>
      <c r="AA139" s="61">
        <v>0.56999999999999995</v>
      </c>
      <c r="AB139" s="71">
        <v>49216</v>
      </c>
      <c r="AC139" s="62" t="s">
        <v>2458</v>
      </c>
      <c r="AD139" s="53" t="str">
        <f t="shared" si="110"/>
        <v>Link</v>
      </c>
      <c r="AE139" s="54">
        <v>4070</v>
      </c>
      <c r="AF139" s="55"/>
      <c r="AG139" s="55"/>
      <c r="AH139" s="56">
        <v>127918</v>
      </c>
      <c r="AI139" s="85"/>
      <c r="AJ139" s="7"/>
      <c r="AK139" s="7"/>
      <c r="AL139" s="7"/>
    </row>
    <row r="140" spans="1:38" ht="13" x14ac:dyDescent="0.15">
      <c r="A140" s="57" t="s">
        <v>2071</v>
      </c>
      <c r="B140" s="110" t="s">
        <v>2072</v>
      </c>
      <c r="C140" s="7" t="s">
        <v>41</v>
      </c>
      <c r="D140" s="7" t="s">
        <v>2480</v>
      </c>
      <c r="E140" s="44">
        <v>5</v>
      </c>
      <c r="F140" s="7"/>
      <c r="G140" s="7"/>
      <c r="H140" s="2" t="s">
        <v>2452</v>
      </c>
      <c r="I140" s="7" t="s">
        <v>1052</v>
      </c>
      <c r="J140" s="7" t="s">
        <v>2482</v>
      </c>
      <c r="K140" s="7" t="s">
        <v>48</v>
      </c>
      <c r="L140" s="7" t="s">
        <v>2483</v>
      </c>
      <c r="M140" s="7" t="s">
        <v>2484</v>
      </c>
      <c r="N140" s="45" t="str">
        <f>HYPERLINK("twitter.com/regissoftball","@regissoftball")</f>
        <v>@regissoftball</v>
      </c>
      <c r="O140" s="45" t="str">
        <f>HYPERLINK("https://regisrangers.com/sports/2016/5/26/prospective-student-athletes.aspx","Questionnaire")</f>
        <v>Questionnaire</v>
      </c>
      <c r="P140" s="48" t="s">
        <v>2458</v>
      </c>
      <c r="Q140" s="60" t="s">
        <v>2088</v>
      </c>
      <c r="R140" s="48" t="s">
        <v>2424</v>
      </c>
      <c r="S140" s="48" t="s">
        <v>354</v>
      </c>
      <c r="T140" s="49" t="s">
        <v>63</v>
      </c>
      <c r="U140" s="49" t="s">
        <v>343</v>
      </c>
      <c r="V140" s="49"/>
      <c r="W140" s="44">
        <v>3.56</v>
      </c>
      <c r="X140" s="49" t="s">
        <v>1649</v>
      </c>
      <c r="Y140" s="49" t="s">
        <v>522</v>
      </c>
      <c r="Z140" s="49" t="s">
        <v>1510</v>
      </c>
      <c r="AA140" s="61">
        <v>0.56999999999999995</v>
      </c>
      <c r="AB140" s="71">
        <v>49216</v>
      </c>
      <c r="AC140" s="62" t="s">
        <v>2458</v>
      </c>
      <c r="AD140" s="53" t="str">
        <f t="shared" si="110"/>
        <v>Link</v>
      </c>
      <c r="AE140" s="54">
        <v>4070</v>
      </c>
      <c r="AF140" s="55"/>
      <c r="AG140" s="55"/>
      <c r="AH140" s="56">
        <v>127918</v>
      </c>
      <c r="AI140" s="7"/>
      <c r="AJ140" s="7"/>
      <c r="AK140" s="7"/>
      <c r="AL140" s="7"/>
    </row>
    <row r="141" spans="1:38" ht="13" x14ac:dyDescent="0.15">
      <c r="A141" s="57" t="s">
        <v>2502</v>
      </c>
      <c r="B141" s="110" t="s">
        <v>761</v>
      </c>
      <c r="C141" s="7" t="s">
        <v>41</v>
      </c>
      <c r="D141" s="7" t="s">
        <v>2505</v>
      </c>
      <c r="E141" s="44">
        <v>5</v>
      </c>
      <c r="F141" s="7"/>
      <c r="G141" s="7"/>
      <c r="H141" s="2" t="s">
        <v>2507</v>
      </c>
      <c r="I141" s="7" t="s">
        <v>2289</v>
      </c>
      <c r="J141" s="7" t="s">
        <v>2509</v>
      </c>
      <c r="K141" s="7" t="s">
        <v>55</v>
      </c>
      <c r="L141" s="7"/>
      <c r="M141" s="7"/>
      <c r="N141" s="45" t="str">
        <f t="shared" ref="N141:N144" si="111">HYPERLINK("twitter.com/ub_softball","@ub_softball")</f>
        <v>@ub_softball</v>
      </c>
      <c r="O141" s="45" t="str">
        <f t="shared" ref="O141:O144" si="112">HYPERLINK("https://www.ubknights.com/sports/sball/2015-16/releases/20160705ld17go","Questionnaire")</f>
        <v>Questionnaire</v>
      </c>
      <c r="P141" s="48" t="s">
        <v>2517</v>
      </c>
      <c r="Q141" s="60" t="s">
        <v>158</v>
      </c>
      <c r="R141" s="48" t="s">
        <v>2519</v>
      </c>
      <c r="S141" s="48" t="s">
        <v>238</v>
      </c>
      <c r="T141" s="49" t="s">
        <v>63</v>
      </c>
      <c r="U141" s="49" t="s">
        <v>75</v>
      </c>
      <c r="V141" s="49"/>
      <c r="W141" s="44">
        <v>2.98</v>
      </c>
      <c r="X141" s="49" t="s">
        <v>2522</v>
      </c>
      <c r="Y141" s="49" t="s">
        <v>448</v>
      </c>
      <c r="Z141" s="49" t="s">
        <v>449</v>
      </c>
      <c r="AA141" s="51">
        <v>0.57779999999999998</v>
      </c>
      <c r="AB141" s="71">
        <v>53618</v>
      </c>
      <c r="AC141" s="90" t="s">
        <v>2517</v>
      </c>
      <c r="AD141" s="53" t="str">
        <f t="shared" ref="AD141:AD144" si="113">HYPERLINK("https://www.bridgeport.edu/academics/","Link")</f>
        <v>Link</v>
      </c>
      <c r="AE141" s="54">
        <v>2941</v>
      </c>
      <c r="AF141" s="55"/>
      <c r="AG141" s="55"/>
      <c r="AH141" s="56">
        <v>128744</v>
      </c>
      <c r="AI141" s="7"/>
      <c r="AJ141" s="7"/>
      <c r="AK141" s="7"/>
      <c r="AL141" s="7"/>
    </row>
    <row r="142" spans="1:38" ht="13" x14ac:dyDescent="0.15">
      <c r="A142" s="57" t="s">
        <v>2502</v>
      </c>
      <c r="B142" s="110" t="s">
        <v>761</v>
      </c>
      <c r="C142" s="7" t="s">
        <v>41</v>
      </c>
      <c r="D142" s="7" t="s">
        <v>2530</v>
      </c>
      <c r="E142" s="44">
        <v>5</v>
      </c>
      <c r="F142" s="7"/>
      <c r="G142" s="7"/>
      <c r="H142" s="2" t="s">
        <v>2507</v>
      </c>
      <c r="I142" s="7" t="s">
        <v>1589</v>
      </c>
      <c r="J142" s="7" t="s">
        <v>2532</v>
      </c>
      <c r="K142" s="7" t="s">
        <v>55</v>
      </c>
      <c r="L142" s="7"/>
      <c r="M142" s="7"/>
      <c r="N142" s="45" t="str">
        <f t="shared" si="111"/>
        <v>@ub_softball</v>
      </c>
      <c r="O142" s="45" t="str">
        <f t="shared" si="112"/>
        <v>Questionnaire</v>
      </c>
      <c r="P142" s="48" t="s">
        <v>2517</v>
      </c>
      <c r="Q142" s="60" t="s">
        <v>158</v>
      </c>
      <c r="R142" s="48" t="s">
        <v>2519</v>
      </c>
      <c r="S142" s="48" t="s">
        <v>238</v>
      </c>
      <c r="T142" s="49" t="s">
        <v>63</v>
      </c>
      <c r="U142" s="49" t="s">
        <v>75</v>
      </c>
      <c r="V142" s="49"/>
      <c r="W142" s="44">
        <v>2.98</v>
      </c>
      <c r="X142" s="49" t="s">
        <v>2522</v>
      </c>
      <c r="Y142" s="49" t="s">
        <v>448</v>
      </c>
      <c r="Z142" s="49" t="s">
        <v>449</v>
      </c>
      <c r="AA142" s="51">
        <v>0.57779999999999998</v>
      </c>
      <c r="AB142" s="71">
        <v>53618</v>
      </c>
      <c r="AC142" s="90" t="s">
        <v>2517</v>
      </c>
      <c r="AD142" s="53" t="str">
        <f t="shared" si="113"/>
        <v>Link</v>
      </c>
      <c r="AE142" s="54">
        <v>2941</v>
      </c>
      <c r="AF142" s="55"/>
      <c r="AG142" s="55"/>
      <c r="AH142" s="56">
        <v>128744</v>
      </c>
      <c r="AI142" s="7"/>
      <c r="AJ142" s="7"/>
      <c r="AK142" s="7"/>
      <c r="AL142" s="7"/>
    </row>
    <row r="143" spans="1:38" ht="13" x14ac:dyDescent="0.15">
      <c r="A143" s="57" t="s">
        <v>2502</v>
      </c>
      <c r="B143" s="110" t="s">
        <v>761</v>
      </c>
      <c r="C143" s="7" t="s">
        <v>41</v>
      </c>
      <c r="D143" s="7" t="s">
        <v>2546</v>
      </c>
      <c r="E143" s="44">
        <v>5</v>
      </c>
      <c r="F143" s="7"/>
      <c r="G143" s="7"/>
      <c r="H143" s="2" t="s">
        <v>2507</v>
      </c>
      <c r="I143" s="7" t="s">
        <v>2549</v>
      </c>
      <c r="J143" s="7" t="s">
        <v>2550</v>
      </c>
      <c r="K143" s="7" t="s">
        <v>55</v>
      </c>
      <c r="L143" s="7"/>
      <c r="M143" s="7"/>
      <c r="N143" s="45" t="str">
        <f t="shared" si="111"/>
        <v>@ub_softball</v>
      </c>
      <c r="O143" s="45" t="str">
        <f t="shared" si="112"/>
        <v>Questionnaire</v>
      </c>
      <c r="P143" s="48" t="s">
        <v>2517</v>
      </c>
      <c r="Q143" s="60" t="s">
        <v>158</v>
      </c>
      <c r="R143" s="48" t="s">
        <v>2519</v>
      </c>
      <c r="S143" s="48" t="s">
        <v>238</v>
      </c>
      <c r="T143" s="49" t="s">
        <v>63</v>
      </c>
      <c r="U143" s="49" t="s">
        <v>75</v>
      </c>
      <c r="V143" s="49"/>
      <c r="W143" s="44">
        <v>2.98</v>
      </c>
      <c r="X143" s="49" t="s">
        <v>2522</v>
      </c>
      <c r="Y143" s="49" t="s">
        <v>448</v>
      </c>
      <c r="Z143" s="49" t="s">
        <v>449</v>
      </c>
      <c r="AA143" s="51">
        <v>0.57779999999999998</v>
      </c>
      <c r="AB143" s="71">
        <v>53618</v>
      </c>
      <c r="AC143" s="90" t="s">
        <v>2517</v>
      </c>
      <c r="AD143" s="53" t="str">
        <f t="shared" si="113"/>
        <v>Link</v>
      </c>
      <c r="AE143" s="54">
        <v>2941</v>
      </c>
      <c r="AF143" s="55"/>
      <c r="AG143" s="55"/>
      <c r="AH143" s="56">
        <v>128744</v>
      </c>
      <c r="AI143" s="7"/>
      <c r="AJ143" s="7"/>
      <c r="AK143" s="7"/>
      <c r="AL143" s="7"/>
    </row>
    <row r="144" spans="1:38" ht="13" x14ac:dyDescent="0.15">
      <c r="A144" s="57" t="s">
        <v>2502</v>
      </c>
      <c r="B144" s="110" t="s">
        <v>761</v>
      </c>
      <c r="C144" s="7" t="s">
        <v>41</v>
      </c>
      <c r="D144" s="7" t="s">
        <v>2562</v>
      </c>
      <c r="E144" s="44">
        <v>5</v>
      </c>
      <c r="F144" s="7"/>
      <c r="G144" s="7"/>
      <c r="H144" s="2" t="s">
        <v>2507</v>
      </c>
      <c r="I144" s="7" t="s">
        <v>922</v>
      </c>
      <c r="J144" s="7" t="s">
        <v>2564</v>
      </c>
      <c r="K144" s="7" t="s">
        <v>48</v>
      </c>
      <c r="L144" s="7" t="s">
        <v>2566</v>
      </c>
      <c r="M144" s="7" t="s">
        <v>2567</v>
      </c>
      <c r="N144" s="45" t="str">
        <f t="shared" si="111"/>
        <v>@ub_softball</v>
      </c>
      <c r="O144" s="45" t="str">
        <f t="shared" si="112"/>
        <v>Questionnaire</v>
      </c>
      <c r="P144" s="48" t="s">
        <v>2517</v>
      </c>
      <c r="Q144" s="60" t="s">
        <v>158</v>
      </c>
      <c r="R144" s="48" t="s">
        <v>2519</v>
      </c>
      <c r="S144" s="48" t="s">
        <v>238</v>
      </c>
      <c r="T144" s="49" t="s">
        <v>63</v>
      </c>
      <c r="U144" s="49" t="s">
        <v>75</v>
      </c>
      <c r="V144" s="49"/>
      <c r="W144" s="44">
        <v>2.98</v>
      </c>
      <c r="X144" s="49" t="s">
        <v>2522</v>
      </c>
      <c r="Y144" s="49" t="s">
        <v>448</v>
      </c>
      <c r="Z144" s="49" t="s">
        <v>449</v>
      </c>
      <c r="AA144" s="51">
        <v>0.57779999999999998</v>
      </c>
      <c r="AB144" s="71">
        <v>53618</v>
      </c>
      <c r="AC144" s="90" t="s">
        <v>2517</v>
      </c>
      <c r="AD144" s="53" t="str">
        <f t="shared" si="113"/>
        <v>Link</v>
      </c>
      <c r="AE144" s="54">
        <v>2941</v>
      </c>
      <c r="AF144" s="55"/>
      <c r="AG144" s="55"/>
      <c r="AH144" s="56">
        <v>128744</v>
      </c>
      <c r="AI144" s="7"/>
      <c r="AJ144" s="7"/>
      <c r="AK144" s="7"/>
      <c r="AL144" s="7"/>
    </row>
    <row r="145" spans="1:38" ht="13" x14ac:dyDescent="0.15">
      <c r="A145" s="36" t="s">
        <v>2576</v>
      </c>
      <c r="B145" s="110" t="s">
        <v>761</v>
      </c>
      <c r="C145" s="7" t="s">
        <v>41</v>
      </c>
      <c r="D145" s="7" t="s">
        <v>2578</v>
      </c>
      <c r="E145" s="44">
        <v>5</v>
      </c>
      <c r="F145" s="7"/>
      <c r="G145" s="7"/>
      <c r="H145" s="2" t="s">
        <v>2579</v>
      </c>
      <c r="I145" s="7" t="s">
        <v>2580</v>
      </c>
      <c r="J145" s="7" t="s">
        <v>2581</v>
      </c>
      <c r="K145" s="7" t="s">
        <v>55</v>
      </c>
      <c r="L145" s="7"/>
      <c r="M145" s="7" t="s">
        <v>2584</v>
      </c>
      <c r="N145" s="45" t="str">
        <f t="shared" ref="N145:N147" si="114">HYPERLINK("twitter.com/unhsoftball","@unhsoftball")</f>
        <v>@unhsoftball</v>
      </c>
      <c r="O145" s="45" t="str">
        <f t="shared" ref="O145:O147" si="115">HYPERLINK("https://newhavenchargers.com/sb_output.aspx?form=3","Questionnaire")</f>
        <v>Questionnaire</v>
      </c>
      <c r="P145" s="48" t="s">
        <v>776</v>
      </c>
      <c r="Q145" s="47" t="s">
        <v>158</v>
      </c>
      <c r="R145" s="48" t="s">
        <v>776</v>
      </c>
      <c r="S145" s="48" t="s">
        <v>238</v>
      </c>
      <c r="T145" s="49" t="s">
        <v>63</v>
      </c>
      <c r="U145" s="49" t="s">
        <v>75</v>
      </c>
      <c r="V145" s="49"/>
      <c r="W145" s="44">
        <v>3.38</v>
      </c>
      <c r="X145" s="49" t="s">
        <v>522</v>
      </c>
      <c r="Y145" s="49" t="s">
        <v>720</v>
      </c>
      <c r="Z145" s="49" t="s">
        <v>278</v>
      </c>
      <c r="AA145" s="61">
        <v>0.81</v>
      </c>
      <c r="AB145" s="71">
        <v>54850</v>
      </c>
      <c r="AC145" s="62" t="s">
        <v>776</v>
      </c>
      <c r="AD145" s="53" t="str">
        <f t="shared" ref="AD145:AD147" si="116">HYPERLINK("https://www.newhaven.edu/academics/programs/","Link")</f>
        <v>Link</v>
      </c>
      <c r="AE145" s="54">
        <v>4936</v>
      </c>
      <c r="AF145" s="55"/>
      <c r="AG145" s="55"/>
      <c r="AH145" s="56">
        <v>129941</v>
      </c>
      <c r="AI145" s="7"/>
      <c r="AJ145" s="7"/>
      <c r="AK145" s="7"/>
      <c r="AL145" s="7"/>
    </row>
    <row r="146" spans="1:38" ht="13" x14ac:dyDescent="0.15">
      <c r="A146" s="36" t="s">
        <v>2576</v>
      </c>
      <c r="B146" s="110" t="s">
        <v>761</v>
      </c>
      <c r="C146" s="7" t="s">
        <v>41</v>
      </c>
      <c r="D146" s="7" t="s">
        <v>2612</v>
      </c>
      <c r="E146" s="44">
        <v>5</v>
      </c>
      <c r="F146" s="7"/>
      <c r="G146" s="7"/>
      <c r="H146" s="2" t="s">
        <v>2579</v>
      </c>
      <c r="I146" s="7" t="s">
        <v>1075</v>
      </c>
      <c r="J146" s="7" t="s">
        <v>2614</v>
      </c>
      <c r="K146" s="7" t="s">
        <v>55</v>
      </c>
      <c r="L146" s="7" t="s">
        <v>2616</v>
      </c>
      <c r="M146" s="7"/>
      <c r="N146" s="45" t="str">
        <f t="shared" si="114"/>
        <v>@unhsoftball</v>
      </c>
      <c r="O146" s="45" t="str">
        <f t="shared" si="115"/>
        <v>Questionnaire</v>
      </c>
      <c r="P146" s="48" t="s">
        <v>776</v>
      </c>
      <c r="Q146" s="47" t="s">
        <v>158</v>
      </c>
      <c r="R146" s="48" t="s">
        <v>776</v>
      </c>
      <c r="S146" s="48" t="s">
        <v>238</v>
      </c>
      <c r="T146" s="49" t="s">
        <v>63</v>
      </c>
      <c r="U146" s="49" t="s">
        <v>75</v>
      </c>
      <c r="V146" s="49"/>
      <c r="W146" s="44">
        <v>3.38</v>
      </c>
      <c r="X146" s="49" t="s">
        <v>522</v>
      </c>
      <c r="Y146" s="49" t="s">
        <v>720</v>
      </c>
      <c r="Z146" s="49" t="s">
        <v>278</v>
      </c>
      <c r="AA146" s="61">
        <v>0.81</v>
      </c>
      <c r="AB146" s="71">
        <v>54850</v>
      </c>
      <c r="AC146" s="62" t="s">
        <v>776</v>
      </c>
      <c r="AD146" s="53" t="str">
        <f t="shared" si="116"/>
        <v>Link</v>
      </c>
      <c r="AE146" s="54">
        <v>4936</v>
      </c>
      <c r="AF146" s="55"/>
      <c r="AG146" s="55"/>
      <c r="AH146" s="56">
        <v>129941</v>
      </c>
      <c r="AI146" s="7"/>
      <c r="AJ146" s="7"/>
      <c r="AK146" s="7"/>
      <c r="AL146" s="7"/>
    </row>
    <row r="147" spans="1:38" ht="13" x14ac:dyDescent="0.15">
      <c r="A147" s="36" t="s">
        <v>2576</v>
      </c>
      <c r="B147" s="110" t="s">
        <v>761</v>
      </c>
      <c r="C147" s="7" t="s">
        <v>41</v>
      </c>
      <c r="D147" s="7" t="s">
        <v>2626</v>
      </c>
      <c r="E147" s="44">
        <v>5</v>
      </c>
      <c r="F147" s="7"/>
      <c r="G147" s="7"/>
      <c r="H147" s="2" t="s">
        <v>2579</v>
      </c>
      <c r="I147" s="7" t="s">
        <v>1092</v>
      </c>
      <c r="J147" s="7" t="s">
        <v>2629</v>
      </c>
      <c r="K147" s="7" t="s">
        <v>48</v>
      </c>
      <c r="L147" s="7" t="s">
        <v>2632</v>
      </c>
      <c r="M147" s="7" t="s">
        <v>2584</v>
      </c>
      <c r="N147" s="45" t="str">
        <f t="shared" si="114"/>
        <v>@unhsoftball</v>
      </c>
      <c r="O147" s="45" t="str">
        <f t="shared" si="115"/>
        <v>Questionnaire</v>
      </c>
      <c r="P147" s="48" t="s">
        <v>776</v>
      </c>
      <c r="Q147" s="47" t="s">
        <v>158</v>
      </c>
      <c r="R147" s="48" t="s">
        <v>776</v>
      </c>
      <c r="S147" s="48" t="s">
        <v>238</v>
      </c>
      <c r="T147" s="49" t="s">
        <v>63</v>
      </c>
      <c r="U147" s="49" t="s">
        <v>75</v>
      </c>
      <c r="V147" s="49"/>
      <c r="W147" s="44">
        <v>3.38</v>
      </c>
      <c r="X147" s="49" t="s">
        <v>522</v>
      </c>
      <c r="Y147" s="49" t="s">
        <v>720</v>
      </c>
      <c r="Z147" s="49" t="s">
        <v>278</v>
      </c>
      <c r="AA147" s="61">
        <v>0.81</v>
      </c>
      <c r="AB147" s="71">
        <v>54850</v>
      </c>
      <c r="AC147" s="62" t="s">
        <v>776</v>
      </c>
      <c r="AD147" s="53" t="str">
        <f t="shared" si="116"/>
        <v>Link</v>
      </c>
      <c r="AE147" s="54">
        <v>4936</v>
      </c>
      <c r="AF147" s="55"/>
      <c r="AG147" s="55"/>
      <c r="AH147" s="56">
        <v>129941</v>
      </c>
      <c r="AI147" s="7"/>
      <c r="AJ147" s="7"/>
      <c r="AK147" s="7"/>
      <c r="AL147" s="7"/>
    </row>
    <row r="148" spans="1:38" ht="13" x14ac:dyDescent="0.15">
      <c r="A148" s="57" t="s">
        <v>2641</v>
      </c>
      <c r="B148" s="110" t="s">
        <v>761</v>
      </c>
      <c r="C148" s="7" t="s">
        <v>41</v>
      </c>
      <c r="D148" s="7" t="s">
        <v>2642</v>
      </c>
      <c r="E148" s="44">
        <v>5</v>
      </c>
      <c r="F148" s="7"/>
      <c r="G148" s="7"/>
      <c r="H148" s="2" t="s">
        <v>2643</v>
      </c>
      <c r="I148" s="7" t="s">
        <v>143</v>
      </c>
      <c r="J148" s="7" t="s">
        <v>2645</v>
      </c>
      <c r="K148" s="7" t="s">
        <v>55</v>
      </c>
      <c r="L148" s="7"/>
      <c r="M148" s="7"/>
      <c r="N148" s="45" t="s">
        <v>2647</v>
      </c>
      <c r="O148" s="45" t="str">
        <f t="shared" ref="O148:O150" si="117">HYPERLINK("https://posteagles.com/sb_output.aspx?form=3","Questionnaire")</f>
        <v>Questionnaire</v>
      </c>
      <c r="P148" s="48" t="s">
        <v>2650</v>
      </c>
      <c r="Q148" s="60" t="s">
        <v>158</v>
      </c>
      <c r="R148" s="48" t="s">
        <v>2651</v>
      </c>
      <c r="S148" s="48" t="s">
        <v>238</v>
      </c>
      <c r="T148" s="49" t="s">
        <v>974</v>
      </c>
      <c r="U148" s="49" t="s">
        <v>75</v>
      </c>
      <c r="V148" s="49"/>
      <c r="W148" s="44">
        <v>2.68</v>
      </c>
      <c r="X148" s="49" t="s">
        <v>252</v>
      </c>
      <c r="Y148" s="49" t="s">
        <v>252</v>
      </c>
      <c r="Z148" s="49" t="s">
        <v>2662</v>
      </c>
      <c r="AA148" s="61">
        <v>0.41</v>
      </c>
      <c r="AB148" s="71">
        <v>32760</v>
      </c>
      <c r="AC148" s="62" t="s">
        <v>2650</v>
      </c>
      <c r="AD148" s="53" t="str">
        <f t="shared" ref="AD148:AD150" si="118">HYPERLINK("http://post.edu/academics","Link")</f>
        <v>Link</v>
      </c>
      <c r="AE148" s="54">
        <v>7059</v>
      </c>
      <c r="AF148" s="55"/>
      <c r="AG148" s="55"/>
      <c r="AH148" s="56">
        <v>130183</v>
      </c>
      <c r="AI148" s="7"/>
      <c r="AJ148" s="7"/>
      <c r="AK148" s="7"/>
      <c r="AL148" s="7"/>
    </row>
    <row r="149" spans="1:38" ht="13" x14ac:dyDescent="0.15">
      <c r="A149" s="57" t="s">
        <v>2641</v>
      </c>
      <c r="B149" s="110" t="s">
        <v>761</v>
      </c>
      <c r="C149" s="7" t="s">
        <v>41</v>
      </c>
      <c r="D149" s="7" t="s">
        <v>2670</v>
      </c>
      <c r="E149" s="44">
        <v>5</v>
      </c>
      <c r="F149" s="7"/>
      <c r="G149" s="7"/>
      <c r="H149" s="2" t="s">
        <v>2643</v>
      </c>
      <c r="I149" s="7" t="s">
        <v>1351</v>
      </c>
      <c r="J149" s="7" t="s">
        <v>2673</v>
      </c>
      <c r="K149" s="7" t="s">
        <v>55</v>
      </c>
      <c r="L149" s="7" t="s">
        <v>2674</v>
      </c>
      <c r="M149" s="7" t="s">
        <v>2675</v>
      </c>
      <c r="N149" s="45" t="s">
        <v>2647</v>
      </c>
      <c r="O149" s="45" t="str">
        <f t="shared" si="117"/>
        <v>Questionnaire</v>
      </c>
      <c r="P149" s="48" t="s">
        <v>2650</v>
      </c>
      <c r="Q149" s="60" t="s">
        <v>158</v>
      </c>
      <c r="R149" s="48" t="s">
        <v>2651</v>
      </c>
      <c r="S149" s="48" t="s">
        <v>238</v>
      </c>
      <c r="T149" s="49" t="s">
        <v>974</v>
      </c>
      <c r="U149" s="49" t="s">
        <v>75</v>
      </c>
      <c r="V149" s="49"/>
      <c r="W149" s="44">
        <v>2.68</v>
      </c>
      <c r="X149" s="49" t="s">
        <v>252</v>
      </c>
      <c r="Y149" s="49" t="s">
        <v>252</v>
      </c>
      <c r="Z149" s="49" t="s">
        <v>2662</v>
      </c>
      <c r="AA149" s="61">
        <v>0.41</v>
      </c>
      <c r="AB149" s="71">
        <v>32760</v>
      </c>
      <c r="AC149" s="62" t="s">
        <v>2650</v>
      </c>
      <c r="AD149" s="53" t="str">
        <f t="shared" si="118"/>
        <v>Link</v>
      </c>
      <c r="AE149" s="54">
        <v>7059</v>
      </c>
      <c r="AF149" s="55"/>
      <c r="AG149" s="55"/>
      <c r="AH149" s="56">
        <v>130183</v>
      </c>
      <c r="AI149" s="7"/>
      <c r="AJ149" s="7"/>
      <c r="AK149" s="7"/>
      <c r="AL149" s="7"/>
    </row>
    <row r="150" spans="1:38" ht="13" x14ac:dyDescent="0.15">
      <c r="A150" s="57" t="s">
        <v>2641</v>
      </c>
      <c r="B150" s="110" t="s">
        <v>761</v>
      </c>
      <c r="C150" s="7" t="s">
        <v>41</v>
      </c>
      <c r="D150" s="7" t="s">
        <v>2682</v>
      </c>
      <c r="E150" s="44">
        <v>5</v>
      </c>
      <c r="F150" s="7"/>
      <c r="G150" s="7"/>
      <c r="H150" s="2" t="s">
        <v>2643</v>
      </c>
      <c r="I150" s="7" t="s">
        <v>2684</v>
      </c>
      <c r="J150" s="7" t="s">
        <v>2686</v>
      </c>
      <c r="K150" s="7" t="s">
        <v>48</v>
      </c>
      <c r="L150" s="7" t="s">
        <v>2687</v>
      </c>
      <c r="M150" s="7" t="s">
        <v>2688</v>
      </c>
      <c r="N150" s="45" t="s">
        <v>2647</v>
      </c>
      <c r="O150" s="45" t="str">
        <f t="shared" si="117"/>
        <v>Questionnaire</v>
      </c>
      <c r="P150" s="48" t="s">
        <v>2650</v>
      </c>
      <c r="Q150" s="60" t="s">
        <v>158</v>
      </c>
      <c r="R150" s="48" t="s">
        <v>2651</v>
      </c>
      <c r="S150" s="48" t="s">
        <v>238</v>
      </c>
      <c r="T150" s="49" t="s">
        <v>974</v>
      </c>
      <c r="U150" s="49" t="s">
        <v>75</v>
      </c>
      <c r="V150" s="49"/>
      <c r="W150" s="44">
        <v>2.68</v>
      </c>
      <c r="X150" s="49" t="s">
        <v>252</v>
      </c>
      <c r="Y150" s="49" t="s">
        <v>252</v>
      </c>
      <c r="Z150" s="49" t="s">
        <v>2662</v>
      </c>
      <c r="AA150" s="61">
        <v>0.41</v>
      </c>
      <c r="AB150" s="71">
        <v>32760</v>
      </c>
      <c r="AC150" s="62" t="s">
        <v>2650</v>
      </c>
      <c r="AD150" s="53" t="str">
        <f t="shared" si="118"/>
        <v>Link</v>
      </c>
      <c r="AE150" s="54">
        <v>7059</v>
      </c>
      <c r="AF150" s="55"/>
      <c r="AG150" s="55"/>
      <c r="AH150" s="56">
        <v>130183</v>
      </c>
      <c r="AI150" s="7"/>
      <c r="AJ150" s="7"/>
      <c r="AK150" s="7"/>
      <c r="AL150" s="7"/>
    </row>
    <row r="151" spans="1:38" ht="15" x14ac:dyDescent="0.2">
      <c r="A151" s="57" t="s">
        <v>2694</v>
      </c>
      <c r="B151" s="110" t="s">
        <v>761</v>
      </c>
      <c r="C151" s="7" t="s">
        <v>41</v>
      </c>
      <c r="D151" s="7" t="s">
        <v>2696</v>
      </c>
      <c r="E151" s="44">
        <v>5</v>
      </c>
      <c r="F151" s="7"/>
      <c r="G151" s="7"/>
      <c r="H151" s="2" t="s">
        <v>2697</v>
      </c>
      <c r="I151" s="7" t="s">
        <v>1137</v>
      </c>
      <c r="J151" s="7" t="s">
        <v>2698</v>
      </c>
      <c r="K151" s="7" t="s">
        <v>55</v>
      </c>
      <c r="L151" s="7" t="s">
        <v>2699</v>
      </c>
      <c r="M151" s="7"/>
      <c r="N151" s="45" t="str">
        <f t="shared" ref="N151:N154" si="119">HYPERLINK("twitter.com/scsu_softball","@scsu_softball")</f>
        <v>@scsu_softball</v>
      </c>
      <c r="O151" s="45" t="str">
        <f t="shared" ref="O151:O154" si="120">HYPERLINK("https://southernctowls.com/sports/2015/12/8/GEN_1208154314.aspx","Questionnaire")</f>
        <v>Questionnaire</v>
      </c>
      <c r="P151" s="48" t="s">
        <v>2708</v>
      </c>
      <c r="Q151" s="47" t="s">
        <v>158</v>
      </c>
      <c r="R151" s="48" t="s">
        <v>776</v>
      </c>
      <c r="S151" s="48" t="s">
        <v>238</v>
      </c>
      <c r="T151" s="49" t="s">
        <v>74</v>
      </c>
      <c r="U151" s="49" t="s">
        <v>75</v>
      </c>
      <c r="V151" s="49"/>
      <c r="W151" s="44">
        <v>3</v>
      </c>
      <c r="X151" s="49" t="s">
        <v>1785</v>
      </c>
      <c r="Y151" s="49" t="s">
        <v>2709</v>
      </c>
      <c r="Z151" s="49" t="s">
        <v>449</v>
      </c>
      <c r="AA151" s="61">
        <v>0.64</v>
      </c>
      <c r="AB151" s="48" t="s">
        <v>2710</v>
      </c>
      <c r="AC151" s="52" t="s">
        <v>2708</v>
      </c>
      <c r="AD151" s="53" t="str">
        <f t="shared" ref="AD151:AD154" si="121">HYPERLINK("http://www.southernct.edu/academics/degree-programs/undergraduate.html","Link")</f>
        <v>Link</v>
      </c>
      <c r="AE151" s="54">
        <v>7963</v>
      </c>
      <c r="AF151" s="55"/>
      <c r="AG151" s="55"/>
      <c r="AH151" s="56">
        <v>130493</v>
      </c>
      <c r="AI151" s="7"/>
      <c r="AJ151" s="7"/>
      <c r="AK151" s="7"/>
      <c r="AL151" s="7"/>
    </row>
    <row r="152" spans="1:38" ht="15" x14ac:dyDescent="0.2">
      <c r="A152" s="57" t="s">
        <v>2694</v>
      </c>
      <c r="B152" s="110" t="s">
        <v>761</v>
      </c>
      <c r="C152" s="7" t="s">
        <v>41</v>
      </c>
      <c r="D152" s="7" t="s">
        <v>2716</v>
      </c>
      <c r="E152" s="44">
        <v>5</v>
      </c>
      <c r="F152" s="7"/>
      <c r="G152" s="7"/>
      <c r="H152" s="2" t="s">
        <v>2697</v>
      </c>
      <c r="I152" s="7" t="s">
        <v>484</v>
      </c>
      <c r="J152" s="7" t="s">
        <v>2718</v>
      </c>
      <c r="K152" s="7" t="s">
        <v>55</v>
      </c>
      <c r="L152" s="7" t="s">
        <v>2720</v>
      </c>
      <c r="M152" s="7"/>
      <c r="N152" s="45" t="str">
        <f t="shared" si="119"/>
        <v>@scsu_softball</v>
      </c>
      <c r="O152" s="45" t="str">
        <f t="shared" si="120"/>
        <v>Questionnaire</v>
      </c>
      <c r="P152" s="48" t="s">
        <v>2708</v>
      </c>
      <c r="Q152" s="47" t="s">
        <v>158</v>
      </c>
      <c r="R152" s="48" t="s">
        <v>776</v>
      </c>
      <c r="S152" s="48" t="s">
        <v>238</v>
      </c>
      <c r="T152" s="49" t="s">
        <v>74</v>
      </c>
      <c r="U152" s="49" t="s">
        <v>75</v>
      </c>
      <c r="V152" s="49"/>
      <c r="W152" s="44">
        <v>3</v>
      </c>
      <c r="X152" s="49" t="s">
        <v>1785</v>
      </c>
      <c r="Y152" s="49" t="s">
        <v>2709</v>
      </c>
      <c r="Z152" s="49" t="s">
        <v>449</v>
      </c>
      <c r="AA152" s="61">
        <v>0.64</v>
      </c>
      <c r="AB152" s="48" t="s">
        <v>2710</v>
      </c>
      <c r="AC152" s="52" t="s">
        <v>2708</v>
      </c>
      <c r="AD152" s="53" t="str">
        <f t="shared" si="121"/>
        <v>Link</v>
      </c>
      <c r="AE152" s="54">
        <v>7963</v>
      </c>
      <c r="AF152" s="55"/>
      <c r="AG152" s="55"/>
      <c r="AH152" s="56">
        <v>130493</v>
      </c>
      <c r="AI152" s="7"/>
      <c r="AJ152" s="7"/>
      <c r="AK152" s="7"/>
      <c r="AL152" s="7"/>
    </row>
    <row r="153" spans="1:38" ht="15" x14ac:dyDescent="0.2">
      <c r="A153" s="57" t="s">
        <v>2694</v>
      </c>
      <c r="B153" s="110" t="s">
        <v>761</v>
      </c>
      <c r="C153" s="7" t="s">
        <v>41</v>
      </c>
      <c r="D153" s="7" t="s">
        <v>2729</v>
      </c>
      <c r="E153" s="44">
        <v>5</v>
      </c>
      <c r="F153" s="7"/>
      <c r="G153" s="7" t="s">
        <v>126</v>
      </c>
      <c r="H153" s="2" t="s">
        <v>2697</v>
      </c>
      <c r="I153" s="7" t="s">
        <v>2732</v>
      </c>
      <c r="J153" s="7"/>
      <c r="K153" s="7"/>
      <c r="L153" s="7"/>
      <c r="M153" s="7"/>
      <c r="N153" s="45" t="str">
        <f t="shared" si="119"/>
        <v>@scsu_softball</v>
      </c>
      <c r="O153" s="45" t="str">
        <f t="shared" si="120"/>
        <v>Questionnaire</v>
      </c>
      <c r="P153" s="48" t="s">
        <v>2708</v>
      </c>
      <c r="Q153" s="47" t="s">
        <v>158</v>
      </c>
      <c r="R153" s="48" t="s">
        <v>776</v>
      </c>
      <c r="S153" s="48" t="s">
        <v>238</v>
      </c>
      <c r="T153" s="49" t="s">
        <v>74</v>
      </c>
      <c r="U153" s="49" t="s">
        <v>75</v>
      </c>
      <c r="V153" s="49"/>
      <c r="W153" s="44">
        <v>3</v>
      </c>
      <c r="X153" s="49" t="s">
        <v>1785</v>
      </c>
      <c r="Y153" s="49" t="s">
        <v>2709</v>
      </c>
      <c r="Z153" s="49" t="s">
        <v>449</v>
      </c>
      <c r="AA153" s="61">
        <v>0.64</v>
      </c>
      <c r="AB153" s="48" t="s">
        <v>2710</v>
      </c>
      <c r="AC153" s="52" t="s">
        <v>2708</v>
      </c>
      <c r="AD153" s="53" t="str">
        <f t="shared" si="121"/>
        <v>Link</v>
      </c>
      <c r="AE153" s="54">
        <v>7963</v>
      </c>
      <c r="AF153" s="55"/>
      <c r="AG153" s="55"/>
      <c r="AH153" s="56">
        <v>130493</v>
      </c>
      <c r="AI153" s="7"/>
      <c r="AJ153" s="7"/>
      <c r="AK153" s="7"/>
      <c r="AL153" s="7"/>
    </row>
    <row r="154" spans="1:38" ht="15" x14ac:dyDescent="0.2">
      <c r="A154" s="57" t="s">
        <v>2694</v>
      </c>
      <c r="B154" s="110" t="s">
        <v>761</v>
      </c>
      <c r="C154" s="7" t="s">
        <v>41</v>
      </c>
      <c r="D154" s="7" t="s">
        <v>2738</v>
      </c>
      <c r="E154" s="44">
        <v>5</v>
      </c>
      <c r="F154" s="7"/>
      <c r="G154" s="7"/>
      <c r="H154" s="2" t="s">
        <v>2697</v>
      </c>
      <c r="I154" s="7" t="s">
        <v>1251</v>
      </c>
      <c r="J154" s="7" t="s">
        <v>2743</v>
      </c>
      <c r="K154" s="7" t="s">
        <v>48</v>
      </c>
      <c r="L154" s="7" t="s">
        <v>2744</v>
      </c>
      <c r="M154" s="7" t="s">
        <v>2745</v>
      </c>
      <c r="N154" s="45" t="str">
        <f t="shared" si="119"/>
        <v>@scsu_softball</v>
      </c>
      <c r="O154" s="45" t="str">
        <f t="shared" si="120"/>
        <v>Questionnaire</v>
      </c>
      <c r="P154" s="48" t="s">
        <v>2708</v>
      </c>
      <c r="Q154" s="47" t="s">
        <v>158</v>
      </c>
      <c r="R154" s="48" t="s">
        <v>776</v>
      </c>
      <c r="S154" s="48" t="s">
        <v>238</v>
      </c>
      <c r="T154" s="49" t="s">
        <v>74</v>
      </c>
      <c r="U154" s="49" t="s">
        <v>75</v>
      </c>
      <c r="V154" s="49"/>
      <c r="W154" s="44">
        <v>3</v>
      </c>
      <c r="X154" s="49" t="s">
        <v>1785</v>
      </c>
      <c r="Y154" s="49" t="s">
        <v>2709</v>
      </c>
      <c r="Z154" s="49" t="s">
        <v>449</v>
      </c>
      <c r="AA154" s="61">
        <v>0.64</v>
      </c>
      <c r="AB154" s="48" t="s">
        <v>2710</v>
      </c>
      <c r="AC154" s="52" t="s">
        <v>2708</v>
      </c>
      <c r="AD154" s="53" t="str">
        <f t="shared" si="121"/>
        <v>Link</v>
      </c>
      <c r="AE154" s="54">
        <v>7963</v>
      </c>
      <c r="AF154" s="55"/>
      <c r="AG154" s="55"/>
      <c r="AH154" s="56">
        <v>130493</v>
      </c>
      <c r="AI154" s="7"/>
      <c r="AJ154" s="7"/>
      <c r="AK154" s="7"/>
      <c r="AL154" s="7"/>
    </row>
    <row r="155" spans="1:38" ht="13" x14ac:dyDescent="0.15">
      <c r="A155" s="57" t="s">
        <v>2641</v>
      </c>
      <c r="B155" s="110" t="s">
        <v>1175</v>
      </c>
      <c r="C155" s="7" t="s">
        <v>41</v>
      </c>
      <c r="D155" s="7" t="s">
        <v>2753</v>
      </c>
      <c r="E155" s="44">
        <v>5</v>
      </c>
      <c r="F155" s="7"/>
      <c r="G155" s="7"/>
      <c r="H155" s="2" t="s">
        <v>2755</v>
      </c>
      <c r="I155" s="7" t="s">
        <v>1351</v>
      </c>
      <c r="J155" s="7" t="s">
        <v>2756</v>
      </c>
      <c r="K155" s="7" t="s">
        <v>55</v>
      </c>
      <c r="L155" s="7" t="s">
        <v>2757</v>
      </c>
      <c r="M155" s="7"/>
      <c r="N155" s="48"/>
      <c r="O155" s="45" t="str">
        <f t="shared" ref="O155:O159" si="122">HYPERLINK("https://www.gbcathletics.com/sb_output.aspx?form=3","Questionnaire")</f>
        <v>Questionnaire</v>
      </c>
      <c r="P155" s="48" t="s">
        <v>2763</v>
      </c>
      <c r="Q155" s="47" t="s">
        <v>1189</v>
      </c>
      <c r="R155" s="48" t="s">
        <v>2765</v>
      </c>
      <c r="S155" s="48" t="s">
        <v>186</v>
      </c>
      <c r="T155" s="73" t="s">
        <v>63</v>
      </c>
      <c r="U155" s="7" t="s">
        <v>75</v>
      </c>
      <c r="V155" s="7"/>
      <c r="W155" s="44">
        <v>2.9</v>
      </c>
      <c r="X155" s="49" t="s">
        <v>214</v>
      </c>
      <c r="Y155" s="49" t="s">
        <v>214</v>
      </c>
      <c r="Z155" s="49" t="s">
        <v>214</v>
      </c>
      <c r="AA155" s="61">
        <v>0.57999999999999996</v>
      </c>
      <c r="AB155" s="71">
        <v>38046</v>
      </c>
      <c r="AC155" s="62" t="s">
        <v>2763</v>
      </c>
      <c r="AD155" s="53" t="str">
        <f t="shared" ref="AD155:AD159" si="123">HYPERLINK("https://www.gbc.edu/academics/programs/majors-minors/","Link")</f>
        <v>Link</v>
      </c>
      <c r="AE155" s="54">
        <v>698</v>
      </c>
      <c r="AF155" s="55"/>
      <c r="AG155" s="7"/>
      <c r="AH155" s="56">
        <v>130989</v>
      </c>
      <c r="AI155" s="7"/>
      <c r="AJ155" s="7"/>
      <c r="AK155" s="7"/>
      <c r="AL155" s="7"/>
    </row>
    <row r="156" spans="1:38" ht="13" x14ac:dyDescent="0.15">
      <c r="A156" s="57" t="s">
        <v>2641</v>
      </c>
      <c r="B156" s="110" t="s">
        <v>1175</v>
      </c>
      <c r="C156" s="7" t="s">
        <v>41</v>
      </c>
      <c r="D156" s="7" t="s">
        <v>2770</v>
      </c>
      <c r="E156" s="44">
        <v>5</v>
      </c>
      <c r="F156" s="7"/>
      <c r="G156" s="7"/>
      <c r="H156" s="2" t="s">
        <v>2755</v>
      </c>
      <c r="I156" s="7" t="s">
        <v>2772</v>
      </c>
      <c r="J156" s="7" t="s">
        <v>118</v>
      </c>
      <c r="K156" s="7" t="s">
        <v>55</v>
      </c>
      <c r="L156" s="7"/>
      <c r="M156" s="7"/>
      <c r="N156" s="48"/>
      <c r="O156" s="45" t="str">
        <f t="shared" si="122"/>
        <v>Questionnaire</v>
      </c>
      <c r="P156" s="48" t="s">
        <v>2763</v>
      </c>
      <c r="Q156" s="47" t="s">
        <v>1189</v>
      </c>
      <c r="R156" s="48" t="s">
        <v>2765</v>
      </c>
      <c r="S156" s="48" t="s">
        <v>186</v>
      </c>
      <c r="T156" s="73" t="s">
        <v>63</v>
      </c>
      <c r="U156" s="7" t="s">
        <v>75</v>
      </c>
      <c r="V156" s="7"/>
      <c r="W156" s="44">
        <v>2.9</v>
      </c>
      <c r="X156" s="49" t="s">
        <v>214</v>
      </c>
      <c r="Y156" s="49" t="s">
        <v>214</v>
      </c>
      <c r="Z156" s="49" t="s">
        <v>214</v>
      </c>
      <c r="AA156" s="61">
        <v>0.57999999999999996</v>
      </c>
      <c r="AB156" s="71">
        <v>38046</v>
      </c>
      <c r="AC156" s="62" t="s">
        <v>2763</v>
      </c>
      <c r="AD156" s="53" t="str">
        <f t="shared" si="123"/>
        <v>Link</v>
      </c>
      <c r="AE156" s="54">
        <v>698</v>
      </c>
      <c r="AF156" s="55"/>
      <c r="AG156" s="7"/>
      <c r="AH156" s="56">
        <v>130989</v>
      </c>
      <c r="AI156" s="7"/>
      <c r="AJ156" s="7"/>
      <c r="AK156" s="7"/>
      <c r="AL156" s="7"/>
    </row>
    <row r="157" spans="1:38" ht="13" x14ac:dyDescent="0.15">
      <c r="A157" s="57" t="s">
        <v>2641</v>
      </c>
      <c r="B157" s="110" t="s">
        <v>1175</v>
      </c>
      <c r="C157" s="7" t="s">
        <v>41</v>
      </c>
      <c r="D157" s="7" t="s">
        <v>2779</v>
      </c>
      <c r="E157" s="44">
        <v>5</v>
      </c>
      <c r="F157" s="7"/>
      <c r="G157" s="7"/>
      <c r="H157" s="2" t="s">
        <v>2755</v>
      </c>
      <c r="I157" s="7" t="s">
        <v>2780</v>
      </c>
      <c r="J157" s="7" t="s">
        <v>2782</v>
      </c>
      <c r="K157" s="7" t="s">
        <v>55</v>
      </c>
      <c r="L157" s="7"/>
      <c r="M157" s="7"/>
      <c r="N157" s="48"/>
      <c r="O157" s="45" t="str">
        <f t="shared" si="122"/>
        <v>Questionnaire</v>
      </c>
      <c r="P157" s="48" t="s">
        <v>2763</v>
      </c>
      <c r="Q157" s="47" t="s">
        <v>1189</v>
      </c>
      <c r="R157" s="48" t="s">
        <v>2765</v>
      </c>
      <c r="S157" s="48" t="s">
        <v>186</v>
      </c>
      <c r="T157" s="73" t="s">
        <v>63</v>
      </c>
      <c r="U157" s="7" t="s">
        <v>75</v>
      </c>
      <c r="V157" s="7"/>
      <c r="W157" s="44">
        <v>2.9</v>
      </c>
      <c r="X157" s="49" t="s">
        <v>214</v>
      </c>
      <c r="Y157" s="49" t="s">
        <v>214</v>
      </c>
      <c r="Z157" s="49" t="s">
        <v>214</v>
      </c>
      <c r="AA157" s="61">
        <v>0.57999999999999996</v>
      </c>
      <c r="AB157" s="71">
        <v>38046</v>
      </c>
      <c r="AC157" s="62" t="s">
        <v>2763</v>
      </c>
      <c r="AD157" s="53" t="str">
        <f t="shared" si="123"/>
        <v>Link</v>
      </c>
      <c r="AE157" s="54">
        <v>698</v>
      </c>
      <c r="AF157" s="55"/>
      <c r="AG157" s="7"/>
      <c r="AH157" s="56">
        <v>130989</v>
      </c>
      <c r="AI157" s="7"/>
      <c r="AJ157" s="7"/>
      <c r="AK157" s="7"/>
      <c r="AL157" s="7"/>
    </row>
    <row r="158" spans="1:38" ht="13" x14ac:dyDescent="0.15">
      <c r="A158" s="57" t="s">
        <v>2641</v>
      </c>
      <c r="B158" s="110" t="s">
        <v>1175</v>
      </c>
      <c r="C158" s="7" t="s">
        <v>41</v>
      </c>
      <c r="D158" s="7" t="s">
        <v>2794</v>
      </c>
      <c r="E158" s="44">
        <v>5</v>
      </c>
      <c r="F158" s="7"/>
      <c r="G158" s="7"/>
      <c r="H158" s="2" t="s">
        <v>2755</v>
      </c>
      <c r="I158" s="7" t="s">
        <v>2795</v>
      </c>
      <c r="J158" s="7" t="s">
        <v>2796</v>
      </c>
      <c r="K158" s="7" t="s">
        <v>55</v>
      </c>
      <c r="L158" s="7"/>
      <c r="M158" s="7"/>
      <c r="N158" s="48"/>
      <c r="O158" s="45" t="str">
        <f t="shared" si="122"/>
        <v>Questionnaire</v>
      </c>
      <c r="P158" s="48" t="s">
        <v>2763</v>
      </c>
      <c r="Q158" s="47" t="s">
        <v>1189</v>
      </c>
      <c r="R158" s="48" t="s">
        <v>2765</v>
      </c>
      <c r="S158" s="48" t="s">
        <v>186</v>
      </c>
      <c r="T158" s="73" t="s">
        <v>63</v>
      </c>
      <c r="U158" s="7" t="s">
        <v>75</v>
      </c>
      <c r="V158" s="7"/>
      <c r="W158" s="44">
        <v>2.9</v>
      </c>
      <c r="X158" s="49" t="s">
        <v>214</v>
      </c>
      <c r="Y158" s="49" t="s">
        <v>214</v>
      </c>
      <c r="Z158" s="49" t="s">
        <v>214</v>
      </c>
      <c r="AA158" s="61">
        <v>0.57999999999999996</v>
      </c>
      <c r="AB158" s="71">
        <v>38046</v>
      </c>
      <c r="AC158" s="62" t="s">
        <v>2763</v>
      </c>
      <c r="AD158" s="53" t="str">
        <f t="shared" si="123"/>
        <v>Link</v>
      </c>
      <c r="AE158" s="54">
        <v>698</v>
      </c>
      <c r="AF158" s="55"/>
      <c r="AG158" s="7"/>
      <c r="AH158" s="56">
        <v>130989</v>
      </c>
      <c r="AI158" s="7"/>
      <c r="AJ158" s="7"/>
      <c r="AK158" s="7"/>
      <c r="AL158" s="7"/>
    </row>
    <row r="159" spans="1:38" ht="13" x14ac:dyDescent="0.15">
      <c r="A159" s="57" t="s">
        <v>2641</v>
      </c>
      <c r="B159" s="110" t="s">
        <v>1175</v>
      </c>
      <c r="C159" s="7" t="s">
        <v>41</v>
      </c>
      <c r="D159" s="7" t="s">
        <v>2803</v>
      </c>
      <c r="E159" s="44">
        <v>5</v>
      </c>
      <c r="F159" s="7"/>
      <c r="G159" s="7"/>
      <c r="H159" s="2" t="s">
        <v>2755</v>
      </c>
      <c r="I159" s="7" t="s">
        <v>2806</v>
      </c>
      <c r="J159" s="7" t="s">
        <v>2807</v>
      </c>
      <c r="K159" s="7" t="s">
        <v>48</v>
      </c>
      <c r="L159" s="7" t="s">
        <v>2808</v>
      </c>
      <c r="M159" s="7" t="s">
        <v>2809</v>
      </c>
      <c r="N159" s="7"/>
      <c r="O159" s="45" t="str">
        <f t="shared" si="122"/>
        <v>Questionnaire</v>
      </c>
      <c r="P159" s="48" t="s">
        <v>2763</v>
      </c>
      <c r="Q159" s="47" t="s">
        <v>1189</v>
      </c>
      <c r="R159" s="48" t="s">
        <v>2765</v>
      </c>
      <c r="S159" s="48" t="s">
        <v>186</v>
      </c>
      <c r="T159" s="73" t="s">
        <v>63</v>
      </c>
      <c r="U159" s="7" t="s">
        <v>75</v>
      </c>
      <c r="V159" s="7"/>
      <c r="W159" s="44">
        <v>2.9</v>
      </c>
      <c r="X159" s="49" t="s">
        <v>214</v>
      </c>
      <c r="Y159" s="49" t="s">
        <v>214</v>
      </c>
      <c r="Z159" s="49" t="s">
        <v>214</v>
      </c>
      <c r="AA159" s="61">
        <v>0.57999999999999996</v>
      </c>
      <c r="AB159" s="71">
        <v>38046</v>
      </c>
      <c r="AC159" s="62" t="s">
        <v>2763</v>
      </c>
      <c r="AD159" s="53" t="str">
        <f t="shared" si="123"/>
        <v>Link</v>
      </c>
      <c r="AE159" s="54">
        <v>698</v>
      </c>
      <c r="AF159" s="55"/>
      <c r="AG159" s="7"/>
      <c r="AH159" s="56">
        <v>130989</v>
      </c>
      <c r="AI159" s="7"/>
      <c r="AJ159" s="7"/>
      <c r="AK159" s="7"/>
      <c r="AL159" s="7"/>
    </row>
    <row r="160" spans="1:38" ht="13" x14ac:dyDescent="0.15">
      <c r="A160" s="57" t="s">
        <v>2641</v>
      </c>
      <c r="B160" s="110" t="s">
        <v>1175</v>
      </c>
      <c r="C160" s="7" t="s">
        <v>41</v>
      </c>
      <c r="D160" s="7" t="s">
        <v>2813</v>
      </c>
      <c r="E160" s="44">
        <v>5</v>
      </c>
      <c r="F160" s="7"/>
      <c r="G160" s="7"/>
      <c r="H160" s="2" t="s">
        <v>2814</v>
      </c>
      <c r="I160" s="7" t="s">
        <v>2816</v>
      </c>
      <c r="J160" s="7" t="s">
        <v>2817</v>
      </c>
      <c r="K160" s="7" t="s">
        <v>55</v>
      </c>
      <c r="L160" s="7" t="s">
        <v>2818</v>
      </c>
      <c r="M160" s="7"/>
      <c r="N160" s="45" t="str">
        <f t="shared" ref="N160:N162" si="124">HYPERLINK("twitter.com/wilmusoftball","@wilmusoftball")</f>
        <v>@wilmusoftball</v>
      </c>
      <c r="O160" s="45" t="str">
        <f t="shared" ref="O160:O162" si="125">HYPERLINK("https://athletics.wilmu.edu/student_athletes/recruitform","Questionnaire")</f>
        <v>Questionnaire</v>
      </c>
      <c r="P160" s="48" t="s">
        <v>2825</v>
      </c>
      <c r="Q160" s="47" t="s">
        <v>1189</v>
      </c>
      <c r="R160" s="48" t="s">
        <v>2826</v>
      </c>
      <c r="S160" s="60" t="s">
        <v>205</v>
      </c>
      <c r="T160" s="49" t="s">
        <v>63</v>
      </c>
      <c r="U160" s="7" t="s">
        <v>2827</v>
      </c>
      <c r="V160" s="7"/>
      <c r="W160" s="7" t="s">
        <v>214</v>
      </c>
      <c r="X160" s="49" t="s">
        <v>214</v>
      </c>
      <c r="Y160" s="49" t="s">
        <v>214</v>
      </c>
      <c r="Z160" s="49" t="s">
        <v>214</v>
      </c>
      <c r="AA160" s="55" t="s">
        <v>214</v>
      </c>
      <c r="AB160" s="71">
        <v>20270</v>
      </c>
      <c r="AC160" s="62" t="s">
        <v>2825</v>
      </c>
      <c r="AD160" s="53" t="str">
        <f t="shared" ref="AD160:AD162" si="126">HYPERLINK("http://www.wilmu.edu/programs/index.aspx","Link")</f>
        <v>Link</v>
      </c>
      <c r="AE160" s="54">
        <v>8862</v>
      </c>
      <c r="AF160" s="55"/>
      <c r="AG160" s="7"/>
      <c r="AH160" s="56">
        <v>131113</v>
      </c>
      <c r="AI160" s="7"/>
      <c r="AJ160" s="7"/>
      <c r="AK160" s="7"/>
      <c r="AL160" s="7"/>
    </row>
    <row r="161" spans="1:38" ht="13" x14ac:dyDescent="0.15">
      <c r="A161" s="57" t="s">
        <v>2641</v>
      </c>
      <c r="B161" s="110" t="s">
        <v>1175</v>
      </c>
      <c r="C161" s="7" t="s">
        <v>41</v>
      </c>
      <c r="D161" s="7" t="s">
        <v>2836</v>
      </c>
      <c r="E161" s="44">
        <v>5</v>
      </c>
      <c r="F161" s="7"/>
      <c r="G161" s="7"/>
      <c r="H161" s="2" t="s">
        <v>2814</v>
      </c>
      <c r="I161" s="7" t="s">
        <v>2739</v>
      </c>
      <c r="J161" s="7" t="s">
        <v>2837</v>
      </c>
      <c r="K161" s="7" t="s">
        <v>55</v>
      </c>
      <c r="L161" s="7" t="s">
        <v>2838</v>
      </c>
      <c r="M161" s="7" t="s">
        <v>2840</v>
      </c>
      <c r="N161" s="45" t="str">
        <f t="shared" si="124"/>
        <v>@wilmusoftball</v>
      </c>
      <c r="O161" s="45" t="str">
        <f t="shared" si="125"/>
        <v>Questionnaire</v>
      </c>
      <c r="P161" s="48" t="s">
        <v>2825</v>
      </c>
      <c r="Q161" s="47" t="s">
        <v>1189</v>
      </c>
      <c r="R161" s="48" t="s">
        <v>2826</v>
      </c>
      <c r="S161" s="60" t="s">
        <v>205</v>
      </c>
      <c r="T161" s="49" t="s">
        <v>63</v>
      </c>
      <c r="U161" s="7" t="s">
        <v>2827</v>
      </c>
      <c r="V161" s="7"/>
      <c r="W161" s="7" t="s">
        <v>214</v>
      </c>
      <c r="X161" s="49" t="s">
        <v>214</v>
      </c>
      <c r="Y161" s="49" t="s">
        <v>214</v>
      </c>
      <c r="Z161" s="49" t="s">
        <v>214</v>
      </c>
      <c r="AA161" s="55" t="s">
        <v>214</v>
      </c>
      <c r="AB161" s="71">
        <v>20270</v>
      </c>
      <c r="AC161" s="62" t="s">
        <v>2825</v>
      </c>
      <c r="AD161" s="53" t="str">
        <f t="shared" si="126"/>
        <v>Link</v>
      </c>
      <c r="AE161" s="54">
        <v>8862</v>
      </c>
      <c r="AF161" s="55"/>
      <c r="AG161" s="7"/>
      <c r="AH161" s="56">
        <v>131113</v>
      </c>
      <c r="AI161" s="7"/>
      <c r="AJ161" s="7"/>
      <c r="AK161" s="7"/>
      <c r="AL161" s="7"/>
    </row>
    <row r="162" spans="1:38" ht="13" x14ac:dyDescent="0.15">
      <c r="A162" s="57" t="s">
        <v>2641</v>
      </c>
      <c r="B162" s="110" t="s">
        <v>1175</v>
      </c>
      <c r="C162" s="7" t="s">
        <v>41</v>
      </c>
      <c r="D162" s="7" t="s">
        <v>2852</v>
      </c>
      <c r="E162" s="44">
        <v>5</v>
      </c>
      <c r="F162" s="7"/>
      <c r="G162" s="7"/>
      <c r="H162" s="2" t="s">
        <v>2814</v>
      </c>
      <c r="I162" s="7" t="s">
        <v>754</v>
      </c>
      <c r="J162" s="7" t="s">
        <v>2854</v>
      </c>
      <c r="K162" s="7" t="s">
        <v>48</v>
      </c>
      <c r="L162" s="7" t="s">
        <v>2856</v>
      </c>
      <c r="M162" s="7" t="s">
        <v>2857</v>
      </c>
      <c r="N162" s="45" t="str">
        <f t="shared" si="124"/>
        <v>@wilmusoftball</v>
      </c>
      <c r="O162" s="45" t="str">
        <f t="shared" si="125"/>
        <v>Questionnaire</v>
      </c>
      <c r="P162" s="48" t="s">
        <v>2825</v>
      </c>
      <c r="Q162" s="47" t="s">
        <v>1189</v>
      </c>
      <c r="R162" s="48" t="s">
        <v>2826</v>
      </c>
      <c r="S162" s="60" t="s">
        <v>205</v>
      </c>
      <c r="T162" s="49" t="s">
        <v>63</v>
      </c>
      <c r="U162" s="7" t="s">
        <v>2827</v>
      </c>
      <c r="V162" s="7"/>
      <c r="W162" s="7" t="s">
        <v>214</v>
      </c>
      <c r="X162" s="49" t="s">
        <v>214</v>
      </c>
      <c r="Y162" s="49" t="s">
        <v>214</v>
      </c>
      <c r="Z162" s="49" t="s">
        <v>214</v>
      </c>
      <c r="AA162" s="55" t="s">
        <v>214</v>
      </c>
      <c r="AB162" s="71">
        <v>20270</v>
      </c>
      <c r="AC162" s="62" t="s">
        <v>2825</v>
      </c>
      <c r="AD162" s="53" t="str">
        <f t="shared" si="126"/>
        <v>Link</v>
      </c>
      <c r="AE162" s="54">
        <v>8862</v>
      </c>
      <c r="AF162" s="55"/>
      <c r="AG162" s="7"/>
      <c r="AH162" s="56">
        <v>131113</v>
      </c>
      <c r="AI162" s="7"/>
      <c r="AJ162" s="7"/>
      <c r="AK162" s="7"/>
      <c r="AL162" s="7"/>
    </row>
    <row r="163" spans="1:38" ht="13" x14ac:dyDescent="0.15">
      <c r="A163" s="57" t="s">
        <v>2864</v>
      </c>
      <c r="B163" s="110" t="s">
        <v>2866</v>
      </c>
      <c r="C163" s="7" t="s">
        <v>41</v>
      </c>
      <c r="D163" s="7" t="s">
        <v>2868</v>
      </c>
      <c r="E163" s="44">
        <v>5</v>
      </c>
      <c r="F163" s="7"/>
      <c r="G163" s="7"/>
      <c r="H163" s="2" t="s">
        <v>2869</v>
      </c>
      <c r="I163" s="7" t="s">
        <v>2870</v>
      </c>
      <c r="J163" s="7" t="s">
        <v>2871</v>
      </c>
      <c r="K163" s="7" t="s">
        <v>55</v>
      </c>
      <c r="L163" s="7" t="s">
        <v>2872</v>
      </c>
      <c r="M163" s="7" t="s">
        <v>2873</v>
      </c>
      <c r="N163" s="45" t="s">
        <v>2874</v>
      </c>
      <c r="O163" s="45" t="str">
        <f t="shared" ref="O163:O165" si="127">HYPERLINK("https://gobarrybucs.com/sports/2014/12/31/recruits_default.aspx","Questionnaire")</f>
        <v>Questionnaire</v>
      </c>
      <c r="P163" s="48" t="s">
        <v>2875</v>
      </c>
      <c r="Q163" s="60" t="s">
        <v>66</v>
      </c>
      <c r="R163" s="48" t="s">
        <v>2876</v>
      </c>
      <c r="S163" s="48" t="s">
        <v>172</v>
      </c>
      <c r="T163" s="49" t="s">
        <v>63</v>
      </c>
      <c r="U163" s="7" t="s">
        <v>343</v>
      </c>
      <c r="V163" s="7"/>
      <c r="W163" s="7" t="s">
        <v>214</v>
      </c>
      <c r="X163" s="49" t="s">
        <v>2878</v>
      </c>
      <c r="Y163" s="49" t="s">
        <v>448</v>
      </c>
      <c r="Z163" s="49" t="s">
        <v>2879</v>
      </c>
      <c r="AA163" s="51">
        <v>0.6159</v>
      </c>
      <c r="AB163" s="71">
        <v>45840</v>
      </c>
      <c r="AC163" s="62" t="s">
        <v>2875</v>
      </c>
      <c r="AD163" s="53" t="str">
        <f t="shared" ref="AD163:AD165" si="128">HYPERLINK("http://www.barry.edu/about/academic/undergraduate.html","Link")</f>
        <v>Link</v>
      </c>
      <c r="AE163" s="54">
        <v>3541</v>
      </c>
      <c r="AF163" s="55"/>
      <c r="AG163" s="7"/>
      <c r="AH163" s="56">
        <v>132471</v>
      </c>
      <c r="AI163" s="7"/>
      <c r="AJ163" s="7"/>
      <c r="AK163" s="7"/>
      <c r="AL163" s="7"/>
    </row>
    <row r="164" spans="1:38" ht="13" x14ac:dyDescent="0.15">
      <c r="A164" s="57" t="s">
        <v>2864</v>
      </c>
      <c r="B164" s="110" t="s">
        <v>2866</v>
      </c>
      <c r="C164" s="7" t="s">
        <v>41</v>
      </c>
      <c r="D164" s="7" t="s">
        <v>2884</v>
      </c>
      <c r="E164" s="44">
        <v>5</v>
      </c>
      <c r="F164" s="7"/>
      <c r="G164" s="7"/>
      <c r="H164" s="2" t="s">
        <v>2869</v>
      </c>
      <c r="I164" s="7" t="s">
        <v>2885</v>
      </c>
      <c r="J164" s="7" t="s">
        <v>2886</v>
      </c>
      <c r="K164" s="7" t="s">
        <v>48</v>
      </c>
      <c r="L164" s="7" t="s">
        <v>2888</v>
      </c>
      <c r="M164" s="7" t="s">
        <v>2889</v>
      </c>
      <c r="N164" s="45" t="str">
        <f t="shared" ref="N164:N165" si="129">HYPERLINK("twitter.com/barryusoftball","@barryusoftball")</f>
        <v>@barryusoftball</v>
      </c>
      <c r="O164" s="45" t="str">
        <f t="shared" si="127"/>
        <v>Questionnaire</v>
      </c>
      <c r="P164" s="48" t="s">
        <v>2875</v>
      </c>
      <c r="Q164" s="60" t="s">
        <v>66</v>
      </c>
      <c r="R164" s="48" t="s">
        <v>2876</v>
      </c>
      <c r="S164" s="48" t="s">
        <v>172</v>
      </c>
      <c r="T164" s="49" t="s">
        <v>63</v>
      </c>
      <c r="U164" s="7" t="s">
        <v>343</v>
      </c>
      <c r="V164" s="7"/>
      <c r="W164" s="7" t="s">
        <v>214</v>
      </c>
      <c r="X164" s="49" t="s">
        <v>2878</v>
      </c>
      <c r="Y164" s="49" t="s">
        <v>448</v>
      </c>
      <c r="Z164" s="49" t="s">
        <v>2879</v>
      </c>
      <c r="AA164" s="51">
        <v>0.6159</v>
      </c>
      <c r="AB164" s="71">
        <v>45840</v>
      </c>
      <c r="AC164" s="62" t="s">
        <v>2875</v>
      </c>
      <c r="AD164" s="53" t="str">
        <f t="shared" si="128"/>
        <v>Link</v>
      </c>
      <c r="AE164" s="54">
        <v>3541</v>
      </c>
      <c r="AF164" s="55"/>
      <c r="AG164" s="7"/>
      <c r="AH164" s="56">
        <v>132471</v>
      </c>
      <c r="AI164" s="7"/>
      <c r="AJ164" s="7"/>
      <c r="AK164" s="7"/>
      <c r="AL164" s="7"/>
    </row>
    <row r="165" spans="1:38" ht="13" x14ac:dyDescent="0.15">
      <c r="A165" s="57" t="s">
        <v>2864</v>
      </c>
      <c r="B165" s="110" t="s">
        <v>2866</v>
      </c>
      <c r="C165" s="7" t="s">
        <v>41</v>
      </c>
      <c r="D165" s="7" t="s">
        <v>2900</v>
      </c>
      <c r="E165" s="44">
        <v>5</v>
      </c>
      <c r="F165" s="7"/>
      <c r="G165" s="7"/>
      <c r="H165" s="2" t="s">
        <v>2869</v>
      </c>
      <c r="I165" s="7" t="s">
        <v>878</v>
      </c>
      <c r="J165" s="7" t="s">
        <v>1631</v>
      </c>
      <c r="K165" s="7" t="s">
        <v>139</v>
      </c>
      <c r="L165" s="7" t="s">
        <v>2901</v>
      </c>
      <c r="M165" s="7"/>
      <c r="N165" s="45" t="str">
        <f t="shared" si="129"/>
        <v>@barryusoftball</v>
      </c>
      <c r="O165" s="45" t="str">
        <f t="shared" si="127"/>
        <v>Questionnaire</v>
      </c>
      <c r="P165" s="48" t="s">
        <v>2875</v>
      </c>
      <c r="Q165" s="60" t="s">
        <v>66</v>
      </c>
      <c r="R165" s="48" t="s">
        <v>2876</v>
      </c>
      <c r="S165" s="48" t="s">
        <v>172</v>
      </c>
      <c r="T165" s="49" t="s">
        <v>63</v>
      </c>
      <c r="U165" s="7" t="s">
        <v>343</v>
      </c>
      <c r="V165" s="7"/>
      <c r="W165" s="7" t="s">
        <v>214</v>
      </c>
      <c r="X165" s="49" t="s">
        <v>2878</v>
      </c>
      <c r="Y165" s="49" t="s">
        <v>448</v>
      </c>
      <c r="Z165" s="49" t="s">
        <v>2879</v>
      </c>
      <c r="AA165" s="51">
        <v>0.6159</v>
      </c>
      <c r="AB165" s="71">
        <v>45840</v>
      </c>
      <c r="AC165" s="62" t="s">
        <v>2875</v>
      </c>
      <c r="AD165" s="53" t="str">
        <f t="shared" si="128"/>
        <v>Link</v>
      </c>
      <c r="AE165" s="54">
        <v>3541</v>
      </c>
      <c r="AF165" s="55"/>
      <c r="AG165" s="7"/>
      <c r="AH165" s="56">
        <v>132471</v>
      </c>
      <c r="AI165" s="7"/>
      <c r="AJ165" s="7"/>
      <c r="AK165" s="7"/>
      <c r="AL165" s="7"/>
    </row>
    <row r="166" spans="1:38" ht="13" x14ac:dyDescent="0.15">
      <c r="A166" s="57" t="s">
        <v>2864</v>
      </c>
      <c r="B166" s="110" t="s">
        <v>2866</v>
      </c>
      <c r="C166" s="7" t="s">
        <v>41</v>
      </c>
      <c r="D166" s="7" t="s">
        <v>2909</v>
      </c>
      <c r="E166" s="44">
        <v>5</v>
      </c>
      <c r="F166" s="7" t="s">
        <v>116</v>
      </c>
      <c r="G166" s="7"/>
      <c r="H166" s="2" t="s">
        <v>2911</v>
      </c>
      <c r="I166" s="7" t="s">
        <v>94</v>
      </c>
      <c r="J166" s="7" t="s">
        <v>2913</v>
      </c>
      <c r="K166" s="7" t="s">
        <v>55</v>
      </c>
      <c r="L166" s="7" t="s">
        <v>2915</v>
      </c>
      <c r="M166" s="7" t="s">
        <v>2917</v>
      </c>
      <c r="N166" s="45" t="str">
        <f t="shared" ref="N166:N169" si="130">HYPERLINK("twitter.com/eckerdsoftball","@eckerdsoftball")</f>
        <v>@eckerdsoftball</v>
      </c>
      <c r="O166" s="45" t="str">
        <f t="shared" ref="O166:O169" si="131">HYPERLINK("https://eckerdtritons.com/sb_output.aspx?form=4","Questionnaire")</f>
        <v>Questionnaire</v>
      </c>
      <c r="P166" s="48" t="s">
        <v>2921</v>
      </c>
      <c r="Q166" s="60" t="s">
        <v>66</v>
      </c>
      <c r="R166" s="48" t="s">
        <v>2923</v>
      </c>
      <c r="S166" s="48" t="s">
        <v>62</v>
      </c>
      <c r="T166" s="49" t="s">
        <v>63</v>
      </c>
      <c r="U166" s="7" t="s">
        <v>248</v>
      </c>
      <c r="V166" s="7"/>
      <c r="W166" s="44">
        <v>3.41</v>
      </c>
      <c r="X166" s="49" t="s">
        <v>956</v>
      </c>
      <c r="Y166" s="49" t="s">
        <v>345</v>
      </c>
      <c r="Z166" s="49" t="s">
        <v>689</v>
      </c>
      <c r="AA166" s="61">
        <v>0.72</v>
      </c>
      <c r="AB166" s="71">
        <v>57162</v>
      </c>
      <c r="AC166" s="62" t="s">
        <v>2921</v>
      </c>
      <c r="AD166" s="53" t="str">
        <f t="shared" ref="AD166:AD169" si="132">HYPERLINK("https://www.eckerd.edu/academics/majors/","Link")</f>
        <v>Link</v>
      </c>
      <c r="AE166" s="54">
        <v>2046</v>
      </c>
      <c r="AF166" s="55"/>
      <c r="AG166" s="44">
        <v>128</v>
      </c>
      <c r="AH166" s="56">
        <v>133492</v>
      </c>
      <c r="AI166" s="7"/>
      <c r="AJ166" s="7"/>
      <c r="AK166" s="7"/>
      <c r="AL166" s="7"/>
    </row>
    <row r="167" spans="1:38" ht="13" x14ac:dyDescent="0.15">
      <c r="A167" s="57" t="s">
        <v>2864</v>
      </c>
      <c r="B167" s="110" t="s">
        <v>2866</v>
      </c>
      <c r="C167" s="7" t="s">
        <v>41</v>
      </c>
      <c r="D167" s="7" t="s">
        <v>2933</v>
      </c>
      <c r="E167" s="44">
        <v>5</v>
      </c>
      <c r="F167" s="7"/>
      <c r="G167" s="7"/>
      <c r="H167" s="2" t="s">
        <v>2911</v>
      </c>
      <c r="I167" s="7" t="s">
        <v>234</v>
      </c>
      <c r="J167" s="7" t="s">
        <v>2934</v>
      </c>
      <c r="K167" s="7" t="s">
        <v>48</v>
      </c>
      <c r="L167" s="7" t="s">
        <v>2936</v>
      </c>
      <c r="M167" s="7" t="s">
        <v>2937</v>
      </c>
      <c r="N167" s="45" t="str">
        <f t="shared" si="130"/>
        <v>@eckerdsoftball</v>
      </c>
      <c r="O167" s="45" t="str">
        <f t="shared" si="131"/>
        <v>Questionnaire</v>
      </c>
      <c r="P167" s="48" t="s">
        <v>2921</v>
      </c>
      <c r="Q167" s="60" t="s">
        <v>66</v>
      </c>
      <c r="R167" s="48" t="s">
        <v>2923</v>
      </c>
      <c r="S167" s="48" t="s">
        <v>62</v>
      </c>
      <c r="T167" s="49" t="s">
        <v>63</v>
      </c>
      <c r="U167" s="7" t="s">
        <v>248</v>
      </c>
      <c r="V167" s="7"/>
      <c r="W167" s="44">
        <v>3.41</v>
      </c>
      <c r="X167" s="49" t="s">
        <v>956</v>
      </c>
      <c r="Y167" s="49" t="s">
        <v>345</v>
      </c>
      <c r="Z167" s="49" t="s">
        <v>689</v>
      </c>
      <c r="AA167" s="61">
        <v>0.72</v>
      </c>
      <c r="AB167" s="71">
        <v>57162</v>
      </c>
      <c r="AC167" s="62" t="s">
        <v>2921</v>
      </c>
      <c r="AD167" s="53" t="str">
        <f t="shared" si="132"/>
        <v>Link</v>
      </c>
      <c r="AE167" s="54">
        <v>2046</v>
      </c>
      <c r="AF167" s="55"/>
      <c r="AG167" s="44">
        <v>128</v>
      </c>
      <c r="AH167" s="56">
        <v>133492</v>
      </c>
      <c r="AI167" s="7"/>
      <c r="AJ167" s="7"/>
      <c r="AK167" s="7"/>
      <c r="AL167" s="7"/>
    </row>
    <row r="168" spans="1:38" ht="13" x14ac:dyDescent="0.15">
      <c r="A168" s="57" t="s">
        <v>2864</v>
      </c>
      <c r="B168" s="110" t="s">
        <v>2866</v>
      </c>
      <c r="C168" s="7" t="s">
        <v>41</v>
      </c>
      <c r="D168" s="7" t="s">
        <v>2942</v>
      </c>
      <c r="E168" s="44">
        <v>5</v>
      </c>
      <c r="F168" s="7" t="s">
        <v>116</v>
      </c>
      <c r="G168" s="7"/>
      <c r="H168" s="2" t="s">
        <v>2911</v>
      </c>
      <c r="I168" s="7" t="s">
        <v>2943</v>
      </c>
      <c r="J168" s="7" t="s">
        <v>2944</v>
      </c>
      <c r="K168" s="7" t="s">
        <v>55</v>
      </c>
      <c r="L168" s="7"/>
      <c r="M168" s="7"/>
      <c r="N168" s="45" t="str">
        <f t="shared" si="130"/>
        <v>@eckerdsoftball</v>
      </c>
      <c r="O168" s="45" t="str">
        <f t="shared" si="131"/>
        <v>Questionnaire</v>
      </c>
      <c r="P168" s="48" t="s">
        <v>2921</v>
      </c>
      <c r="Q168" s="60" t="s">
        <v>66</v>
      </c>
      <c r="R168" s="48" t="s">
        <v>2923</v>
      </c>
      <c r="S168" s="48" t="s">
        <v>62</v>
      </c>
      <c r="T168" s="49" t="s">
        <v>63</v>
      </c>
      <c r="U168" s="7" t="s">
        <v>248</v>
      </c>
      <c r="V168" s="7"/>
      <c r="W168" s="44">
        <v>3.41</v>
      </c>
      <c r="X168" s="49" t="s">
        <v>956</v>
      </c>
      <c r="Y168" s="49" t="s">
        <v>345</v>
      </c>
      <c r="Z168" s="49" t="s">
        <v>689</v>
      </c>
      <c r="AA168" s="61">
        <v>0.72</v>
      </c>
      <c r="AB168" s="71">
        <v>57162</v>
      </c>
      <c r="AC168" s="62" t="s">
        <v>2921</v>
      </c>
      <c r="AD168" s="53" t="str">
        <f t="shared" si="132"/>
        <v>Link</v>
      </c>
      <c r="AE168" s="54">
        <v>2046</v>
      </c>
      <c r="AF168" s="55"/>
      <c r="AG168" s="44">
        <v>128</v>
      </c>
      <c r="AH168" s="56">
        <v>133492</v>
      </c>
      <c r="AI168" s="7"/>
      <c r="AJ168" s="7"/>
      <c r="AK168" s="7"/>
      <c r="AL168" s="7"/>
    </row>
    <row r="169" spans="1:38" ht="13" x14ac:dyDescent="0.15">
      <c r="A169" s="57" t="s">
        <v>2864</v>
      </c>
      <c r="B169" s="110" t="s">
        <v>2866</v>
      </c>
      <c r="C169" s="7" t="s">
        <v>41</v>
      </c>
      <c r="D169" s="7" t="s">
        <v>2953</v>
      </c>
      <c r="E169" s="44">
        <v>5</v>
      </c>
      <c r="F169" s="7" t="s">
        <v>116</v>
      </c>
      <c r="G169" s="7"/>
      <c r="H169" s="2" t="s">
        <v>2911</v>
      </c>
      <c r="I169" s="7" t="s">
        <v>2465</v>
      </c>
      <c r="J169" s="7" t="s">
        <v>2957</v>
      </c>
      <c r="K169" s="7" t="s">
        <v>55</v>
      </c>
      <c r="L169" s="7"/>
      <c r="M169" s="7"/>
      <c r="N169" s="45" t="str">
        <f t="shared" si="130"/>
        <v>@eckerdsoftball</v>
      </c>
      <c r="O169" s="45" t="str">
        <f t="shared" si="131"/>
        <v>Questionnaire</v>
      </c>
      <c r="P169" s="48" t="s">
        <v>2921</v>
      </c>
      <c r="Q169" s="60" t="s">
        <v>66</v>
      </c>
      <c r="R169" s="48" t="s">
        <v>2923</v>
      </c>
      <c r="S169" s="48" t="s">
        <v>62</v>
      </c>
      <c r="T169" s="49" t="s">
        <v>63</v>
      </c>
      <c r="U169" s="7" t="s">
        <v>248</v>
      </c>
      <c r="V169" s="7"/>
      <c r="W169" s="44">
        <v>3.41</v>
      </c>
      <c r="X169" s="49" t="s">
        <v>956</v>
      </c>
      <c r="Y169" s="49" t="s">
        <v>345</v>
      </c>
      <c r="Z169" s="49" t="s">
        <v>689</v>
      </c>
      <c r="AA169" s="61">
        <v>0.72</v>
      </c>
      <c r="AB169" s="71">
        <v>57162</v>
      </c>
      <c r="AC169" s="62" t="s">
        <v>2921</v>
      </c>
      <c r="AD169" s="53" t="str">
        <f t="shared" si="132"/>
        <v>Link</v>
      </c>
      <c r="AE169" s="54">
        <v>2046</v>
      </c>
      <c r="AF169" s="55"/>
      <c r="AG169" s="44">
        <v>128</v>
      </c>
      <c r="AH169" s="56">
        <v>133492</v>
      </c>
      <c r="AI169" s="7"/>
      <c r="AJ169" s="7"/>
      <c r="AK169" s="7"/>
      <c r="AL169" s="7"/>
    </row>
    <row r="170" spans="1:38" ht="13" x14ac:dyDescent="0.15">
      <c r="A170" s="57" t="s">
        <v>2864</v>
      </c>
      <c r="B170" s="110" t="s">
        <v>2866</v>
      </c>
      <c r="C170" s="7" t="s">
        <v>41</v>
      </c>
      <c r="D170" s="7" t="s">
        <v>2964</v>
      </c>
      <c r="E170" s="44">
        <v>5</v>
      </c>
      <c r="F170" s="7"/>
      <c r="G170" s="7"/>
      <c r="H170" s="2" t="s">
        <v>2965</v>
      </c>
      <c r="I170" s="7" t="s">
        <v>2967</v>
      </c>
      <c r="J170" s="7" t="s">
        <v>2969</v>
      </c>
      <c r="K170" s="7" t="s">
        <v>55</v>
      </c>
      <c r="L170" s="7" t="s">
        <v>2970</v>
      </c>
      <c r="M170" s="7" t="s">
        <v>2971</v>
      </c>
      <c r="N170" s="45" t="str">
        <f t="shared" ref="N170:N172" si="133">HYPERLINK("twitter.com/ERAUSoftball","@ERAUSoftball")</f>
        <v>@ERAUSoftball</v>
      </c>
      <c r="O170" s="45" t="str">
        <f t="shared" ref="O170:O172" si="134">HYPERLINK("https://erauathletics.com/sports/2014/8/28/ATHINFO_0828144248.aspx?path=athinfo","Questionnaire")</f>
        <v>Questionnaire</v>
      </c>
      <c r="P170" s="48" t="s">
        <v>2977</v>
      </c>
      <c r="Q170" s="60" t="s">
        <v>66</v>
      </c>
      <c r="R170" s="48" t="s">
        <v>2978</v>
      </c>
      <c r="S170" s="48" t="s">
        <v>186</v>
      </c>
      <c r="T170" s="49" t="s">
        <v>63</v>
      </c>
      <c r="U170" s="7" t="s">
        <v>75</v>
      </c>
      <c r="V170" s="7"/>
      <c r="W170" s="44">
        <v>3.66</v>
      </c>
      <c r="X170" s="49" t="s">
        <v>676</v>
      </c>
      <c r="Y170" s="49" t="s">
        <v>2196</v>
      </c>
      <c r="Z170" s="49" t="s">
        <v>689</v>
      </c>
      <c r="AA170" s="61">
        <v>0.76</v>
      </c>
      <c r="AB170" s="71">
        <v>49912</v>
      </c>
      <c r="AC170" s="62" t="s">
        <v>2977</v>
      </c>
      <c r="AD170" s="53" t="str">
        <f t="shared" ref="AD170:AD172" si="135">HYPERLINK("https://daytonabeach.erau.edu/degrees/","Link")</f>
        <v>Link</v>
      </c>
      <c r="AE170" s="54">
        <v>2377</v>
      </c>
      <c r="AF170" s="55"/>
      <c r="AG170" s="7"/>
      <c r="AH170" s="56">
        <v>133553</v>
      </c>
      <c r="AI170" s="7"/>
      <c r="AJ170" s="7"/>
      <c r="AK170" s="7"/>
      <c r="AL170" s="7"/>
    </row>
    <row r="171" spans="1:38" ht="13" x14ac:dyDescent="0.15">
      <c r="A171" s="57" t="s">
        <v>2864</v>
      </c>
      <c r="B171" s="110" t="s">
        <v>2866</v>
      </c>
      <c r="C171" s="7" t="s">
        <v>41</v>
      </c>
      <c r="D171" s="7" t="s">
        <v>2980</v>
      </c>
      <c r="E171" s="44">
        <v>5</v>
      </c>
      <c r="F171" s="7"/>
      <c r="G171" s="7"/>
      <c r="H171" s="2" t="s">
        <v>2965</v>
      </c>
      <c r="I171" s="7" t="s">
        <v>2981</v>
      </c>
      <c r="J171" s="7" t="s">
        <v>2982</v>
      </c>
      <c r="K171" s="7" t="s">
        <v>120</v>
      </c>
      <c r="L171" s="7"/>
      <c r="M171" s="7"/>
      <c r="N171" s="45" t="str">
        <f t="shared" si="133"/>
        <v>@ERAUSoftball</v>
      </c>
      <c r="O171" s="45" t="str">
        <f t="shared" si="134"/>
        <v>Questionnaire</v>
      </c>
      <c r="P171" s="48" t="s">
        <v>2977</v>
      </c>
      <c r="Q171" s="60" t="s">
        <v>66</v>
      </c>
      <c r="R171" s="48" t="s">
        <v>2978</v>
      </c>
      <c r="S171" s="48" t="s">
        <v>186</v>
      </c>
      <c r="T171" s="49" t="s">
        <v>63</v>
      </c>
      <c r="U171" s="7" t="s">
        <v>75</v>
      </c>
      <c r="V171" s="7"/>
      <c r="W171" s="44">
        <v>3.66</v>
      </c>
      <c r="X171" s="49" t="s">
        <v>676</v>
      </c>
      <c r="Y171" s="49" t="s">
        <v>2196</v>
      </c>
      <c r="Z171" s="49" t="s">
        <v>689</v>
      </c>
      <c r="AA171" s="61">
        <v>0.76</v>
      </c>
      <c r="AB171" s="71">
        <v>49912</v>
      </c>
      <c r="AC171" s="62" t="s">
        <v>2977</v>
      </c>
      <c r="AD171" s="53" t="str">
        <f t="shared" si="135"/>
        <v>Link</v>
      </c>
      <c r="AE171" s="54">
        <v>2377</v>
      </c>
      <c r="AF171" s="55"/>
      <c r="AG171" s="7"/>
      <c r="AH171" s="56">
        <v>133553</v>
      </c>
      <c r="AI171" s="7"/>
      <c r="AJ171" s="7"/>
      <c r="AK171" s="7"/>
      <c r="AL171" s="7"/>
    </row>
    <row r="172" spans="1:38" ht="13" x14ac:dyDescent="0.15">
      <c r="A172" s="57" t="s">
        <v>2864</v>
      </c>
      <c r="B172" s="110" t="s">
        <v>2866</v>
      </c>
      <c r="C172" s="7" t="s">
        <v>41</v>
      </c>
      <c r="D172" s="7" t="s">
        <v>2987</v>
      </c>
      <c r="E172" s="44">
        <v>5</v>
      </c>
      <c r="F172" s="7"/>
      <c r="G172" s="7"/>
      <c r="H172" s="2" t="s">
        <v>2965</v>
      </c>
      <c r="I172" s="7" t="s">
        <v>2988</v>
      </c>
      <c r="J172" s="7" t="s">
        <v>2081</v>
      </c>
      <c r="K172" s="7" t="s">
        <v>48</v>
      </c>
      <c r="L172" s="7" t="s">
        <v>2989</v>
      </c>
      <c r="M172" s="7" t="s">
        <v>2990</v>
      </c>
      <c r="N172" s="45" t="str">
        <f t="shared" si="133"/>
        <v>@ERAUSoftball</v>
      </c>
      <c r="O172" s="45" t="str">
        <f t="shared" si="134"/>
        <v>Questionnaire</v>
      </c>
      <c r="P172" s="48" t="s">
        <v>2977</v>
      </c>
      <c r="Q172" s="60" t="s">
        <v>66</v>
      </c>
      <c r="R172" s="48" t="s">
        <v>2978</v>
      </c>
      <c r="S172" s="48" t="s">
        <v>186</v>
      </c>
      <c r="T172" s="49" t="s">
        <v>63</v>
      </c>
      <c r="U172" s="7" t="s">
        <v>75</v>
      </c>
      <c r="V172" s="7"/>
      <c r="W172" s="44">
        <v>3.66</v>
      </c>
      <c r="X172" s="49" t="s">
        <v>676</v>
      </c>
      <c r="Y172" s="49" t="s">
        <v>2196</v>
      </c>
      <c r="Z172" s="49" t="s">
        <v>689</v>
      </c>
      <c r="AA172" s="61">
        <v>0.76</v>
      </c>
      <c r="AB172" s="71">
        <v>49912</v>
      </c>
      <c r="AC172" s="62" t="s">
        <v>2977</v>
      </c>
      <c r="AD172" s="53" t="str">
        <f t="shared" si="135"/>
        <v>Link</v>
      </c>
      <c r="AE172" s="54">
        <v>2377</v>
      </c>
      <c r="AF172" s="55"/>
      <c r="AG172" s="7"/>
      <c r="AH172" s="56">
        <v>133553</v>
      </c>
      <c r="AI172" s="7"/>
      <c r="AJ172" s="7"/>
      <c r="AK172" s="7"/>
      <c r="AL172" s="7"/>
    </row>
    <row r="173" spans="1:38" ht="13" x14ac:dyDescent="0.15">
      <c r="A173" s="57" t="s">
        <v>3001</v>
      </c>
      <c r="B173" s="110" t="s">
        <v>2866</v>
      </c>
      <c r="C173" s="7" t="s">
        <v>41</v>
      </c>
      <c r="D173" s="7" t="s">
        <v>3002</v>
      </c>
      <c r="E173" s="44">
        <v>5</v>
      </c>
      <c r="F173" s="7"/>
      <c r="G173" s="7"/>
      <c r="H173" s="2" t="s">
        <v>3004</v>
      </c>
      <c r="I173" s="7" t="s">
        <v>3006</v>
      </c>
      <c r="J173" s="7" t="s">
        <v>3007</v>
      </c>
      <c r="K173" s="7" t="s">
        <v>55</v>
      </c>
      <c r="L173" s="7" t="s">
        <v>3008</v>
      </c>
      <c r="M173" s="7"/>
      <c r="N173" s="7"/>
      <c r="O173" s="7"/>
      <c r="P173" s="48" t="s">
        <v>3010</v>
      </c>
      <c r="Q173" s="60" t="s">
        <v>66</v>
      </c>
      <c r="R173" s="48" t="s">
        <v>3011</v>
      </c>
      <c r="S173" s="48" t="s">
        <v>172</v>
      </c>
      <c r="T173" s="49" t="s">
        <v>63</v>
      </c>
      <c r="U173" s="49" t="s">
        <v>75</v>
      </c>
      <c r="V173" s="7"/>
      <c r="W173" s="44">
        <v>3.53</v>
      </c>
      <c r="X173" s="49" t="s">
        <v>675</v>
      </c>
      <c r="Y173" s="49" t="s">
        <v>3013</v>
      </c>
      <c r="Z173" s="49" t="s">
        <v>1510</v>
      </c>
      <c r="AA173" s="61">
        <v>0.55000000000000004</v>
      </c>
      <c r="AB173" s="71">
        <v>32220</v>
      </c>
      <c r="AC173" s="90" t="s">
        <v>3010</v>
      </c>
      <c r="AD173" s="53" t="str">
        <f t="shared" ref="AD173:AD175" si="136">HYPERLINK("http://www.flagler.edu/academics/departments-programs/","Link")</f>
        <v>Link</v>
      </c>
      <c r="AE173" s="54">
        <v>2614</v>
      </c>
      <c r="AF173" s="55"/>
      <c r="AG173" s="55"/>
      <c r="AH173" s="56">
        <v>133711</v>
      </c>
      <c r="AI173" s="85"/>
      <c r="AJ173" s="7"/>
      <c r="AK173" s="7"/>
      <c r="AL173" s="7"/>
    </row>
    <row r="174" spans="1:38" ht="13" x14ac:dyDescent="0.15">
      <c r="A174" s="57" t="s">
        <v>3001</v>
      </c>
      <c r="B174" s="110" t="s">
        <v>2866</v>
      </c>
      <c r="C174" s="7" t="s">
        <v>41</v>
      </c>
      <c r="D174" s="7" t="s">
        <v>3015</v>
      </c>
      <c r="E174" s="44">
        <v>5</v>
      </c>
      <c r="F174" s="7"/>
      <c r="G174" s="7"/>
      <c r="H174" s="2" t="s">
        <v>3004</v>
      </c>
      <c r="I174" s="7" t="s">
        <v>3019</v>
      </c>
      <c r="J174" s="7" t="s">
        <v>3020</v>
      </c>
      <c r="K174" s="7" t="s">
        <v>55</v>
      </c>
      <c r="L174" s="7" t="s">
        <v>3021</v>
      </c>
      <c r="M174" s="7"/>
      <c r="N174" s="45" t="str">
        <f t="shared" ref="N174:N175" si="137">HYPERLINK("twitter.com/flaglersoftball","@flaglersoftball")</f>
        <v>@flaglersoftball</v>
      </c>
      <c r="O174" s="48" t="s">
        <v>22</v>
      </c>
      <c r="P174" s="48" t="s">
        <v>3010</v>
      </c>
      <c r="Q174" s="60" t="s">
        <v>66</v>
      </c>
      <c r="R174" s="48" t="s">
        <v>3011</v>
      </c>
      <c r="S174" s="48" t="s">
        <v>172</v>
      </c>
      <c r="T174" s="49" t="s">
        <v>63</v>
      </c>
      <c r="U174" s="7" t="s">
        <v>75</v>
      </c>
      <c r="V174" s="7"/>
      <c r="W174" s="44">
        <v>3.53</v>
      </c>
      <c r="X174" s="49" t="s">
        <v>675</v>
      </c>
      <c r="Y174" s="49" t="s">
        <v>3013</v>
      </c>
      <c r="Z174" s="49" t="s">
        <v>1510</v>
      </c>
      <c r="AA174" s="61">
        <v>0.55000000000000004</v>
      </c>
      <c r="AB174" s="71">
        <v>32220</v>
      </c>
      <c r="AC174" s="90" t="s">
        <v>3010</v>
      </c>
      <c r="AD174" s="53" t="str">
        <f t="shared" si="136"/>
        <v>Link</v>
      </c>
      <c r="AE174" s="54">
        <v>2614</v>
      </c>
      <c r="AF174" s="55"/>
      <c r="AG174" s="7"/>
      <c r="AH174" s="56">
        <v>133711</v>
      </c>
      <c r="AI174" s="7"/>
      <c r="AJ174" s="7"/>
      <c r="AK174" s="7"/>
      <c r="AL174" s="7"/>
    </row>
    <row r="175" spans="1:38" ht="13" x14ac:dyDescent="0.15">
      <c r="A175" s="57" t="s">
        <v>3001</v>
      </c>
      <c r="B175" s="110" t="s">
        <v>2866</v>
      </c>
      <c r="C175" s="7" t="s">
        <v>41</v>
      </c>
      <c r="D175" s="7" t="s">
        <v>3029</v>
      </c>
      <c r="E175" s="44">
        <v>5</v>
      </c>
      <c r="F175" s="7"/>
      <c r="G175" s="7"/>
      <c r="H175" s="2" t="s">
        <v>3004</v>
      </c>
      <c r="I175" s="7" t="s">
        <v>3030</v>
      </c>
      <c r="J175" s="7" t="s">
        <v>3031</v>
      </c>
      <c r="K175" s="7" t="s">
        <v>48</v>
      </c>
      <c r="L175" s="7" t="s">
        <v>3032</v>
      </c>
      <c r="M175" s="7" t="s">
        <v>3034</v>
      </c>
      <c r="N175" s="45" t="str">
        <f t="shared" si="137"/>
        <v>@flaglersoftball</v>
      </c>
      <c r="O175" s="48" t="s">
        <v>22</v>
      </c>
      <c r="P175" s="48" t="s">
        <v>3010</v>
      </c>
      <c r="Q175" s="60" t="s">
        <v>66</v>
      </c>
      <c r="R175" s="48" t="s">
        <v>3011</v>
      </c>
      <c r="S175" s="48" t="s">
        <v>172</v>
      </c>
      <c r="T175" s="49" t="s">
        <v>63</v>
      </c>
      <c r="U175" s="7" t="s">
        <v>75</v>
      </c>
      <c r="V175" s="7"/>
      <c r="W175" s="44">
        <v>3.53</v>
      </c>
      <c r="X175" s="49" t="s">
        <v>675</v>
      </c>
      <c r="Y175" s="49" t="s">
        <v>3013</v>
      </c>
      <c r="Z175" s="49" t="s">
        <v>1510</v>
      </c>
      <c r="AA175" s="61">
        <v>0.55000000000000004</v>
      </c>
      <c r="AB175" s="71">
        <v>32220</v>
      </c>
      <c r="AC175" s="90" t="s">
        <v>3010</v>
      </c>
      <c r="AD175" s="53" t="str">
        <f t="shared" si="136"/>
        <v>Link</v>
      </c>
      <c r="AE175" s="54">
        <v>2614</v>
      </c>
      <c r="AF175" s="55"/>
      <c r="AG175" s="7"/>
      <c r="AH175" s="56">
        <v>133711</v>
      </c>
      <c r="AI175" s="7"/>
      <c r="AJ175" s="7"/>
      <c r="AK175" s="7"/>
      <c r="AL175" s="7"/>
    </row>
    <row r="176" spans="1:38" ht="13" x14ac:dyDescent="0.15">
      <c r="A176" s="57" t="s">
        <v>2864</v>
      </c>
      <c r="B176" s="110" t="s">
        <v>2866</v>
      </c>
      <c r="C176" s="7" t="s">
        <v>41</v>
      </c>
      <c r="D176" s="7" t="s">
        <v>3039</v>
      </c>
      <c r="E176" s="44">
        <v>5</v>
      </c>
      <c r="F176" s="7"/>
      <c r="G176" s="7"/>
      <c r="H176" s="2" t="s">
        <v>3040</v>
      </c>
      <c r="I176" s="7" t="s">
        <v>3041</v>
      </c>
      <c r="J176" s="7" t="s">
        <v>3042</v>
      </c>
      <c r="K176" s="7" t="s">
        <v>55</v>
      </c>
      <c r="L176" s="7" t="s">
        <v>3043</v>
      </c>
      <c r="M176" s="7" t="s">
        <v>3044</v>
      </c>
      <c r="N176" s="45" t="str">
        <f t="shared" ref="N176:N180" si="138">HYPERLINK("twitter.com/lady_mocs","@lady_mocs")</f>
        <v>@lady_mocs</v>
      </c>
      <c r="O176" s="45" t="str">
        <f t="shared" ref="O176:O180" si="139">HYPERLINK("https://fscmocs.com/recruits/prospects","Questionnaire")</f>
        <v>Questionnaire</v>
      </c>
      <c r="P176" s="48" t="s">
        <v>3049</v>
      </c>
      <c r="Q176" s="47" t="s">
        <v>66</v>
      </c>
      <c r="R176" s="48" t="s">
        <v>3051</v>
      </c>
      <c r="S176" s="48" t="s">
        <v>238</v>
      </c>
      <c r="T176" s="49" t="s">
        <v>63</v>
      </c>
      <c r="U176" s="7" t="s">
        <v>65</v>
      </c>
      <c r="V176" s="7"/>
      <c r="W176" s="44">
        <v>3.73</v>
      </c>
      <c r="X176" s="49" t="s">
        <v>2228</v>
      </c>
      <c r="Y176" s="49" t="s">
        <v>1230</v>
      </c>
      <c r="Z176" s="49" t="s">
        <v>1408</v>
      </c>
      <c r="AA176" s="61">
        <v>0.46</v>
      </c>
      <c r="AB176" s="71">
        <v>46700</v>
      </c>
      <c r="AC176" s="90" t="s">
        <v>3049</v>
      </c>
      <c r="AD176" s="53" t="str">
        <f t="shared" ref="AD176:AD180" si="140">HYPERLINK("https://www.flsouthern.edu/undergraduate/majors.aspx","Link")</f>
        <v>Link</v>
      </c>
      <c r="AE176" s="54">
        <v>2598</v>
      </c>
      <c r="AF176" s="55"/>
      <c r="AG176" s="7"/>
      <c r="AH176" s="56">
        <v>134079</v>
      </c>
      <c r="AI176" s="7"/>
      <c r="AJ176" s="7"/>
      <c r="AK176" s="7"/>
      <c r="AL176" s="7"/>
    </row>
    <row r="177" spans="1:38" ht="13" x14ac:dyDescent="0.15">
      <c r="A177" s="57" t="s">
        <v>2864</v>
      </c>
      <c r="B177" s="110" t="s">
        <v>2866</v>
      </c>
      <c r="C177" s="7" t="s">
        <v>41</v>
      </c>
      <c r="D177" s="7" t="s">
        <v>3057</v>
      </c>
      <c r="E177" s="44">
        <v>5</v>
      </c>
      <c r="F177" s="7"/>
      <c r="G177" s="7"/>
      <c r="H177" s="2" t="s">
        <v>3040</v>
      </c>
      <c r="I177" s="7" t="s">
        <v>1534</v>
      </c>
      <c r="J177" s="7" t="s">
        <v>3059</v>
      </c>
      <c r="K177" s="7" t="s">
        <v>55</v>
      </c>
      <c r="L177" s="7"/>
      <c r="M177" s="7"/>
      <c r="N177" s="45" t="str">
        <f t="shared" si="138"/>
        <v>@lady_mocs</v>
      </c>
      <c r="O177" s="45" t="str">
        <f t="shared" si="139"/>
        <v>Questionnaire</v>
      </c>
      <c r="P177" s="48" t="s">
        <v>3049</v>
      </c>
      <c r="Q177" s="47" t="s">
        <v>66</v>
      </c>
      <c r="R177" s="48" t="s">
        <v>3051</v>
      </c>
      <c r="S177" s="48" t="s">
        <v>238</v>
      </c>
      <c r="T177" s="49" t="s">
        <v>63</v>
      </c>
      <c r="U177" s="7" t="s">
        <v>65</v>
      </c>
      <c r="V177" s="7"/>
      <c r="W177" s="44">
        <v>3.73</v>
      </c>
      <c r="X177" s="49" t="s">
        <v>2228</v>
      </c>
      <c r="Y177" s="49" t="s">
        <v>1230</v>
      </c>
      <c r="Z177" s="49" t="s">
        <v>1408</v>
      </c>
      <c r="AA177" s="61">
        <v>0.46</v>
      </c>
      <c r="AB177" s="71">
        <v>46700</v>
      </c>
      <c r="AC177" s="90" t="s">
        <v>3049</v>
      </c>
      <c r="AD177" s="53" t="str">
        <f t="shared" si="140"/>
        <v>Link</v>
      </c>
      <c r="AE177" s="54">
        <v>2598</v>
      </c>
      <c r="AF177" s="55"/>
      <c r="AG177" s="7"/>
      <c r="AH177" s="56">
        <v>134079</v>
      </c>
      <c r="AI177" s="7"/>
      <c r="AJ177" s="7"/>
      <c r="AK177" s="7"/>
      <c r="AL177" s="7"/>
    </row>
    <row r="178" spans="1:38" ht="13" x14ac:dyDescent="0.15">
      <c r="A178" s="57" t="s">
        <v>2864</v>
      </c>
      <c r="B178" s="110" t="s">
        <v>2866</v>
      </c>
      <c r="C178" s="7" t="s">
        <v>41</v>
      </c>
      <c r="D178" s="7" t="s">
        <v>3064</v>
      </c>
      <c r="E178" s="44">
        <v>5</v>
      </c>
      <c r="F178" s="7"/>
      <c r="G178" s="7"/>
      <c r="H178" s="2" t="s">
        <v>3040</v>
      </c>
      <c r="I178" s="7" t="s">
        <v>3065</v>
      </c>
      <c r="J178" s="7" t="s">
        <v>3066</v>
      </c>
      <c r="K178" s="7" t="s">
        <v>55</v>
      </c>
      <c r="L178" s="7"/>
      <c r="M178" s="7"/>
      <c r="N178" s="45" t="str">
        <f t="shared" si="138"/>
        <v>@lady_mocs</v>
      </c>
      <c r="O178" s="45" t="str">
        <f t="shared" si="139"/>
        <v>Questionnaire</v>
      </c>
      <c r="P178" s="48" t="s">
        <v>3049</v>
      </c>
      <c r="Q178" s="47" t="s">
        <v>66</v>
      </c>
      <c r="R178" s="48" t="s">
        <v>3051</v>
      </c>
      <c r="S178" s="48" t="s">
        <v>238</v>
      </c>
      <c r="T178" s="49" t="s">
        <v>63</v>
      </c>
      <c r="U178" s="7" t="s">
        <v>65</v>
      </c>
      <c r="V178" s="7"/>
      <c r="W178" s="44">
        <v>3.73</v>
      </c>
      <c r="X178" s="49" t="s">
        <v>2228</v>
      </c>
      <c r="Y178" s="49" t="s">
        <v>1230</v>
      </c>
      <c r="Z178" s="49" t="s">
        <v>1408</v>
      </c>
      <c r="AA178" s="61">
        <v>0.46</v>
      </c>
      <c r="AB178" s="71">
        <v>46700</v>
      </c>
      <c r="AC178" s="90" t="s">
        <v>3049</v>
      </c>
      <c r="AD178" s="53" t="str">
        <f t="shared" si="140"/>
        <v>Link</v>
      </c>
      <c r="AE178" s="54">
        <v>2598</v>
      </c>
      <c r="AF178" s="55"/>
      <c r="AG178" s="7"/>
      <c r="AH178" s="56">
        <v>134079</v>
      </c>
      <c r="AI178" s="7"/>
      <c r="AJ178" s="7"/>
      <c r="AK178" s="7"/>
      <c r="AL178" s="7"/>
    </row>
    <row r="179" spans="1:38" ht="13" x14ac:dyDescent="0.15">
      <c r="A179" s="57" t="s">
        <v>2864</v>
      </c>
      <c r="B179" s="110" t="s">
        <v>2866</v>
      </c>
      <c r="C179" s="7" t="s">
        <v>41</v>
      </c>
      <c r="D179" s="7" t="s">
        <v>3076</v>
      </c>
      <c r="E179" s="44">
        <v>5</v>
      </c>
      <c r="F179" s="7"/>
      <c r="G179" s="7"/>
      <c r="H179" s="2" t="s">
        <v>3040</v>
      </c>
      <c r="I179" s="7" t="s">
        <v>283</v>
      </c>
      <c r="J179" s="7" t="s">
        <v>3077</v>
      </c>
      <c r="K179" s="7" t="s">
        <v>55</v>
      </c>
      <c r="L179" s="7"/>
      <c r="M179" s="7"/>
      <c r="N179" s="45" t="str">
        <f t="shared" si="138"/>
        <v>@lady_mocs</v>
      </c>
      <c r="O179" s="45" t="str">
        <f t="shared" si="139"/>
        <v>Questionnaire</v>
      </c>
      <c r="P179" s="48" t="s">
        <v>3049</v>
      </c>
      <c r="Q179" s="47" t="s">
        <v>66</v>
      </c>
      <c r="R179" s="48" t="s">
        <v>3051</v>
      </c>
      <c r="S179" s="48" t="s">
        <v>238</v>
      </c>
      <c r="T179" s="49" t="s">
        <v>63</v>
      </c>
      <c r="U179" s="7" t="s">
        <v>65</v>
      </c>
      <c r="V179" s="7"/>
      <c r="W179" s="44">
        <v>3.73</v>
      </c>
      <c r="X179" s="49" t="s">
        <v>2228</v>
      </c>
      <c r="Y179" s="49" t="s">
        <v>1230</v>
      </c>
      <c r="Z179" s="49" t="s">
        <v>1408</v>
      </c>
      <c r="AA179" s="61">
        <v>0.46</v>
      </c>
      <c r="AB179" s="71">
        <v>46700</v>
      </c>
      <c r="AC179" s="90" t="s">
        <v>3049</v>
      </c>
      <c r="AD179" s="53" t="str">
        <f t="shared" si="140"/>
        <v>Link</v>
      </c>
      <c r="AE179" s="54">
        <v>2598</v>
      </c>
      <c r="AF179" s="55"/>
      <c r="AG179" s="7"/>
      <c r="AH179" s="56">
        <v>134079</v>
      </c>
      <c r="AI179" s="7"/>
      <c r="AJ179" s="7"/>
      <c r="AK179" s="7"/>
      <c r="AL179" s="7"/>
    </row>
    <row r="180" spans="1:38" ht="13" x14ac:dyDescent="0.15">
      <c r="A180" s="57" t="s">
        <v>2864</v>
      </c>
      <c r="B180" s="110" t="s">
        <v>2866</v>
      </c>
      <c r="C180" s="7" t="s">
        <v>41</v>
      </c>
      <c r="D180" s="7" t="s">
        <v>3084</v>
      </c>
      <c r="E180" s="44">
        <v>5</v>
      </c>
      <c r="F180" s="7"/>
      <c r="G180" s="7"/>
      <c r="H180" s="2" t="s">
        <v>3040</v>
      </c>
      <c r="I180" s="7" t="s">
        <v>2599</v>
      </c>
      <c r="J180" s="7" t="s">
        <v>2731</v>
      </c>
      <c r="K180" s="7" t="s">
        <v>48</v>
      </c>
      <c r="L180" s="7" t="s">
        <v>3086</v>
      </c>
      <c r="M180" s="7" t="s">
        <v>3087</v>
      </c>
      <c r="N180" s="45" t="str">
        <f t="shared" si="138"/>
        <v>@lady_mocs</v>
      </c>
      <c r="O180" s="45" t="str">
        <f t="shared" si="139"/>
        <v>Questionnaire</v>
      </c>
      <c r="P180" s="48" t="s">
        <v>3049</v>
      </c>
      <c r="Q180" s="47" t="s">
        <v>66</v>
      </c>
      <c r="R180" s="48" t="s">
        <v>3051</v>
      </c>
      <c r="S180" s="48" t="s">
        <v>238</v>
      </c>
      <c r="T180" s="49" t="s">
        <v>63</v>
      </c>
      <c r="U180" s="7" t="s">
        <v>65</v>
      </c>
      <c r="V180" s="7"/>
      <c r="W180" s="44">
        <v>3.73</v>
      </c>
      <c r="X180" s="49" t="s">
        <v>2228</v>
      </c>
      <c r="Y180" s="49" t="s">
        <v>1230</v>
      </c>
      <c r="Z180" s="49" t="s">
        <v>1408</v>
      </c>
      <c r="AA180" s="61">
        <v>0.46</v>
      </c>
      <c r="AB180" s="71">
        <v>46700</v>
      </c>
      <c r="AC180" s="90" t="s">
        <v>3049</v>
      </c>
      <c r="AD180" s="53" t="str">
        <f t="shared" si="140"/>
        <v>Link</v>
      </c>
      <c r="AE180" s="54">
        <v>2598</v>
      </c>
      <c r="AF180" s="55"/>
      <c r="AG180" s="7"/>
      <c r="AH180" s="56">
        <v>134079</v>
      </c>
      <c r="AI180" s="7"/>
      <c r="AJ180" s="7"/>
      <c r="AK180" s="7"/>
      <c r="AL180" s="7"/>
    </row>
    <row r="181" spans="1:38" ht="13" x14ac:dyDescent="0.15">
      <c r="A181" s="57" t="s">
        <v>2864</v>
      </c>
      <c r="B181" s="110" t="s">
        <v>2866</v>
      </c>
      <c r="C181" s="7" t="s">
        <v>41</v>
      </c>
      <c r="D181" s="7" t="s">
        <v>3095</v>
      </c>
      <c r="E181" s="44">
        <v>5</v>
      </c>
      <c r="F181" s="7"/>
      <c r="G181" s="7" t="s">
        <v>126</v>
      </c>
      <c r="H181" s="2" t="s">
        <v>3096</v>
      </c>
      <c r="I181" s="7" t="s">
        <v>3097</v>
      </c>
      <c r="J181" s="7"/>
      <c r="K181" s="7"/>
      <c r="L181" s="7"/>
      <c r="M181" s="7"/>
      <c r="N181" s="45" t="str">
        <f t="shared" ref="N181:N186" si="141">HYPERLINK("twitter.com/floridatechsb","@floridatechsb")</f>
        <v>@floridatechsb</v>
      </c>
      <c r="O181" s="45" t="str">
        <f t="shared" ref="O181:O186" si="142">HYPERLINK("https://floridatechsports.com/sports/2016/7/29/recruiting-questionnaire.aspx","Questionnaire")</f>
        <v>Questionnaire</v>
      </c>
      <c r="P181" s="48" t="s">
        <v>3112</v>
      </c>
      <c r="Q181" s="47" t="s">
        <v>66</v>
      </c>
      <c r="R181" s="48" t="s">
        <v>3113</v>
      </c>
      <c r="S181" s="48" t="s">
        <v>238</v>
      </c>
      <c r="T181" s="49" t="s">
        <v>63</v>
      </c>
      <c r="U181" s="7" t="s">
        <v>75</v>
      </c>
      <c r="V181" s="7"/>
      <c r="W181" s="44">
        <v>3.63</v>
      </c>
      <c r="X181" s="49" t="s">
        <v>76</v>
      </c>
      <c r="Y181" s="49" t="s">
        <v>411</v>
      </c>
      <c r="Z181" s="49" t="s">
        <v>1408</v>
      </c>
      <c r="AA181" s="61">
        <v>0.61</v>
      </c>
      <c r="AB181" s="71">
        <v>58256</v>
      </c>
      <c r="AC181" s="92" t="s">
        <v>3112</v>
      </c>
      <c r="AD181" s="53" t="str">
        <f t="shared" ref="AD181:AD186" si="143">HYPERLINK("http://web2.fit.edu/programs/?level=ugrad","Link")</f>
        <v>Link</v>
      </c>
      <c r="AE181" s="54">
        <v>3629</v>
      </c>
      <c r="AF181" s="54">
        <v>151</v>
      </c>
      <c r="AG181" s="7"/>
      <c r="AH181" s="56">
        <v>133881</v>
      </c>
      <c r="AI181" s="7"/>
      <c r="AJ181" s="7"/>
      <c r="AK181" s="7"/>
      <c r="AL181" s="7"/>
    </row>
    <row r="182" spans="1:38" ht="13" x14ac:dyDescent="0.15">
      <c r="A182" s="57" t="s">
        <v>2864</v>
      </c>
      <c r="B182" s="110" t="s">
        <v>2866</v>
      </c>
      <c r="C182" s="7" t="s">
        <v>41</v>
      </c>
      <c r="D182" s="7" t="s">
        <v>3121</v>
      </c>
      <c r="E182" s="44">
        <v>5</v>
      </c>
      <c r="F182" s="7"/>
      <c r="G182" s="7"/>
      <c r="H182" s="2" t="s">
        <v>3096</v>
      </c>
      <c r="I182" s="7" t="s">
        <v>539</v>
      </c>
      <c r="J182" s="7" t="s">
        <v>3125</v>
      </c>
      <c r="K182" s="7" t="s">
        <v>55</v>
      </c>
      <c r="L182" s="7"/>
      <c r="M182" s="7"/>
      <c r="N182" s="45" t="str">
        <f t="shared" si="141"/>
        <v>@floridatechsb</v>
      </c>
      <c r="O182" s="45" t="str">
        <f t="shared" si="142"/>
        <v>Questionnaire</v>
      </c>
      <c r="P182" s="48" t="s">
        <v>3112</v>
      </c>
      <c r="Q182" s="47" t="s">
        <v>66</v>
      </c>
      <c r="R182" s="48" t="s">
        <v>3113</v>
      </c>
      <c r="S182" s="48" t="s">
        <v>238</v>
      </c>
      <c r="T182" s="49" t="s">
        <v>63</v>
      </c>
      <c r="U182" s="7" t="s">
        <v>75</v>
      </c>
      <c r="V182" s="7"/>
      <c r="W182" s="44">
        <v>3.63</v>
      </c>
      <c r="X182" s="49" t="s">
        <v>76</v>
      </c>
      <c r="Y182" s="49" t="s">
        <v>411</v>
      </c>
      <c r="Z182" s="49" t="s">
        <v>1408</v>
      </c>
      <c r="AA182" s="61">
        <v>0.61</v>
      </c>
      <c r="AB182" s="71">
        <v>58256</v>
      </c>
      <c r="AC182" s="92" t="s">
        <v>3112</v>
      </c>
      <c r="AD182" s="53" t="str">
        <f t="shared" si="143"/>
        <v>Link</v>
      </c>
      <c r="AE182" s="54">
        <v>3629</v>
      </c>
      <c r="AF182" s="54">
        <v>151</v>
      </c>
      <c r="AG182" s="7"/>
      <c r="AH182" s="56">
        <v>133881</v>
      </c>
      <c r="AI182" s="7"/>
      <c r="AJ182" s="7"/>
      <c r="AK182" s="7"/>
      <c r="AL182" s="7"/>
    </row>
    <row r="183" spans="1:38" ht="13" x14ac:dyDescent="0.15">
      <c r="A183" s="57" t="s">
        <v>2864</v>
      </c>
      <c r="B183" s="110" t="s">
        <v>2866</v>
      </c>
      <c r="C183" s="7" t="s">
        <v>41</v>
      </c>
      <c r="D183" s="7" t="s">
        <v>3129</v>
      </c>
      <c r="E183" s="44">
        <v>5</v>
      </c>
      <c r="F183" s="7"/>
      <c r="G183" s="7"/>
      <c r="H183" s="2" t="s">
        <v>3096</v>
      </c>
      <c r="I183" s="7" t="s">
        <v>3130</v>
      </c>
      <c r="J183" s="7" t="s">
        <v>3131</v>
      </c>
      <c r="K183" s="7" t="s">
        <v>48</v>
      </c>
      <c r="L183" s="7" t="s">
        <v>3132</v>
      </c>
      <c r="M183" s="7" t="s">
        <v>3133</v>
      </c>
      <c r="N183" s="45" t="str">
        <f t="shared" si="141"/>
        <v>@floridatechsb</v>
      </c>
      <c r="O183" s="45" t="str">
        <f t="shared" si="142"/>
        <v>Questionnaire</v>
      </c>
      <c r="P183" s="48" t="s">
        <v>3112</v>
      </c>
      <c r="Q183" s="47" t="s">
        <v>66</v>
      </c>
      <c r="R183" s="48" t="s">
        <v>3113</v>
      </c>
      <c r="S183" s="48" t="s">
        <v>238</v>
      </c>
      <c r="T183" s="49" t="s">
        <v>63</v>
      </c>
      <c r="U183" s="7" t="s">
        <v>75</v>
      </c>
      <c r="V183" s="7"/>
      <c r="W183" s="44">
        <v>3.63</v>
      </c>
      <c r="X183" s="49" t="s">
        <v>76</v>
      </c>
      <c r="Y183" s="49" t="s">
        <v>411</v>
      </c>
      <c r="Z183" s="49" t="s">
        <v>1408</v>
      </c>
      <c r="AA183" s="61">
        <v>0.61</v>
      </c>
      <c r="AB183" s="71">
        <v>58256</v>
      </c>
      <c r="AC183" s="92" t="s">
        <v>3112</v>
      </c>
      <c r="AD183" s="53" t="str">
        <f t="shared" si="143"/>
        <v>Link</v>
      </c>
      <c r="AE183" s="54">
        <v>3629</v>
      </c>
      <c r="AF183" s="54">
        <v>151</v>
      </c>
      <c r="AG183" s="7"/>
      <c r="AH183" s="56">
        <v>133881</v>
      </c>
      <c r="AI183" s="7"/>
      <c r="AJ183" s="7"/>
      <c r="AK183" s="7"/>
      <c r="AL183" s="7"/>
    </row>
    <row r="184" spans="1:38" ht="13" x14ac:dyDescent="0.15">
      <c r="A184" s="57" t="s">
        <v>2864</v>
      </c>
      <c r="B184" s="110" t="s">
        <v>2866</v>
      </c>
      <c r="C184" s="7" t="s">
        <v>41</v>
      </c>
      <c r="D184" s="7" t="s">
        <v>3137</v>
      </c>
      <c r="E184" s="44">
        <v>5</v>
      </c>
      <c r="F184" s="7"/>
      <c r="G184" s="7" t="s">
        <v>126</v>
      </c>
      <c r="H184" s="2" t="s">
        <v>3096</v>
      </c>
      <c r="I184" s="7" t="s">
        <v>3141</v>
      </c>
      <c r="J184" s="7"/>
      <c r="K184" s="7"/>
      <c r="L184" s="7"/>
      <c r="M184" s="7"/>
      <c r="N184" s="45" t="str">
        <f t="shared" si="141"/>
        <v>@floridatechsb</v>
      </c>
      <c r="O184" s="45" t="str">
        <f t="shared" si="142"/>
        <v>Questionnaire</v>
      </c>
      <c r="P184" s="48" t="s">
        <v>3112</v>
      </c>
      <c r="Q184" s="47" t="s">
        <v>66</v>
      </c>
      <c r="R184" s="48" t="s">
        <v>3113</v>
      </c>
      <c r="S184" s="48" t="s">
        <v>238</v>
      </c>
      <c r="T184" s="49" t="s">
        <v>63</v>
      </c>
      <c r="U184" s="7" t="s">
        <v>75</v>
      </c>
      <c r="V184" s="7"/>
      <c r="W184" s="44">
        <v>3.63</v>
      </c>
      <c r="X184" s="49" t="s">
        <v>76</v>
      </c>
      <c r="Y184" s="49" t="s">
        <v>411</v>
      </c>
      <c r="Z184" s="49" t="s">
        <v>1408</v>
      </c>
      <c r="AA184" s="61">
        <v>0.61</v>
      </c>
      <c r="AB184" s="71">
        <v>58256</v>
      </c>
      <c r="AC184" s="92" t="s">
        <v>3112</v>
      </c>
      <c r="AD184" s="53" t="str">
        <f t="shared" si="143"/>
        <v>Link</v>
      </c>
      <c r="AE184" s="54">
        <v>3629</v>
      </c>
      <c r="AF184" s="54">
        <v>151</v>
      </c>
      <c r="AG184" s="7"/>
      <c r="AH184" s="56">
        <v>133881</v>
      </c>
      <c r="AI184" s="7"/>
      <c r="AJ184" s="7"/>
      <c r="AK184" s="7"/>
      <c r="AL184" s="7"/>
    </row>
    <row r="185" spans="1:38" ht="13" x14ac:dyDescent="0.15">
      <c r="A185" s="57" t="s">
        <v>2864</v>
      </c>
      <c r="B185" s="110" t="s">
        <v>2866</v>
      </c>
      <c r="C185" s="7" t="s">
        <v>41</v>
      </c>
      <c r="D185" s="7" t="s">
        <v>3154</v>
      </c>
      <c r="E185" s="44">
        <v>5</v>
      </c>
      <c r="F185" s="7" t="s">
        <v>116</v>
      </c>
      <c r="G185" s="7"/>
      <c r="H185" s="2" t="s">
        <v>3096</v>
      </c>
      <c r="I185" s="7" t="s">
        <v>3155</v>
      </c>
      <c r="J185" s="7" t="s">
        <v>3156</v>
      </c>
      <c r="K185" s="7" t="s">
        <v>120</v>
      </c>
      <c r="L185" s="7"/>
      <c r="M185" s="7"/>
      <c r="N185" s="45" t="str">
        <f t="shared" si="141"/>
        <v>@floridatechsb</v>
      </c>
      <c r="O185" s="45" t="str">
        <f t="shared" si="142"/>
        <v>Questionnaire</v>
      </c>
      <c r="P185" s="48" t="s">
        <v>3112</v>
      </c>
      <c r="Q185" s="47" t="s">
        <v>66</v>
      </c>
      <c r="R185" s="48" t="s">
        <v>3113</v>
      </c>
      <c r="S185" s="48" t="s">
        <v>238</v>
      </c>
      <c r="T185" s="49" t="s">
        <v>63</v>
      </c>
      <c r="U185" s="7" t="s">
        <v>75</v>
      </c>
      <c r="V185" s="7"/>
      <c r="W185" s="44">
        <v>3.63</v>
      </c>
      <c r="X185" s="49" t="s">
        <v>76</v>
      </c>
      <c r="Y185" s="49" t="s">
        <v>411</v>
      </c>
      <c r="Z185" s="49" t="s">
        <v>1408</v>
      </c>
      <c r="AA185" s="61">
        <v>0.61</v>
      </c>
      <c r="AB185" s="71">
        <v>58256</v>
      </c>
      <c r="AC185" s="92" t="s">
        <v>3112</v>
      </c>
      <c r="AD185" s="53" t="str">
        <f t="shared" si="143"/>
        <v>Link</v>
      </c>
      <c r="AE185" s="54">
        <v>3629</v>
      </c>
      <c r="AF185" s="54">
        <v>151</v>
      </c>
      <c r="AG185" s="7"/>
      <c r="AH185" s="111">
        <v>133881</v>
      </c>
      <c r="AI185" s="57"/>
      <c r="AJ185" s="57"/>
      <c r="AK185" s="57"/>
      <c r="AL185" s="57"/>
    </row>
    <row r="186" spans="1:38" ht="13" x14ac:dyDescent="0.15">
      <c r="A186" s="57" t="s">
        <v>2864</v>
      </c>
      <c r="B186" s="110" t="s">
        <v>2866</v>
      </c>
      <c r="C186" s="7" t="s">
        <v>41</v>
      </c>
      <c r="D186" s="7" t="s">
        <v>3160</v>
      </c>
      <c r="E186" s="44">
        <v>5</v>
      </c>
      <c r="F186" s="7" t="s">
        <v>116</v>
      </c>
      <c r="G186" s="7"/>
      <c r="H186" s="2" t="s">
        <v>3096</v>
      </c>
      <c r="I186" s="7" t="s">
        <v>3162</v>
      </c>
      <c r="J186" s="7" t="s">
        <v>3156</v>
      </c>
      <c r="K186" s="7" t="s">
        <v>120</v>
      </c>
      <c r="L186" s="7"/>
      <c r="M186" s="7"/>
      <c r="N186" s="45" t="str">
        <f t="shared" si="141"/>
        <v>@floridatechsb</v>
      </c>
      <c r="O186" s="45" t="str">
        <f t="shared" si="142"/>
        <v>Questionnaire</v>
      </c>
      <c r="P186" s="48" t="s">
        <v>3112</v>
      </c>
      <c r="Q186" s="47" t="s">
        <v>66</v>
      </c>
      <c r="R186" s="48" t="s">
        <v>3113</v>
      </c>
      <c r="S186" s="48" t="s">
        <v>238</v>
      </c>
      <c r="T186" s="49" t="s">
        <v>63</v>
      </c>
      <c r="U186" s="7" t="s">
        <v>75</v>
      </c>
      <c r="V186" s="7"/>
      <c r="W186" s="44">
        <v>3.63</v>
      </c>
      <c r="X186" s="49" t="s">
        <v>76</v>
      </c>
      <c r="Y186" s="49" t="s">
        <v>411</v>
      </c>
      <c r="Z186" s="49" t="s">
        <v>1408</v>
      </c>
      <c r="AA186" s="61">
        <v>0.61</v>
      </c>
      <c r="AB186" s="71">
        <v>58256</v>
      </c>
      <c r="AC186" s="92" t="s">
        <v>3112</v>
      </c>
      <c r="AD186" s="53" t="str">
        <f t="shared" si="143"/>
        <v>Link</v>
      </c>
      <c r="AE186" s="54">
        <v>3629</v>
      </c>
      <c r="AF186" s="54">
        <v>151</v>
      </c>
      <c r="AG186" s="7"/>
      <c r="AH186" s="111">
        <v>133881</v>
      </c>
      <c r="AI186" s="57"/>
      <c r="AJ186" s="57"/>
      <c r="AK186" s="57"/>
      <c r="AL186" s="57"/>
    </row>
    <row r="187" spans="1:38" ht="13" x14ac:dyDescent="0.15">
      <c r="A187" s="57" t="s">
        <v>2864</v>
      </c>
      <c r="B187" s="110" t="s">
        <v>2866</v>
      </c>
      <c r="C187" s="7" t="s">
        <v>41</v>
      </c>
      <c r="D187" s="7" t="s">
        <v>3170</v>
      </c>
      <c r="E187" s="44">
        <v>5</v>
      </c>
      <c r="F187" s="7"/>
      <c r="G187" s="7"/>
      <c r="H187" s="2" t="s">
        <v>3172</v>
      </c>
      <c r="I187" s="7" t="s">
        <v>3173</v>
      </c>
      <c r="J187" s="7" t="s">
        <v>3174</v>
      </c>
      <c r="K187" s="7" t="s">
        <v>55</v>
      </c>
      <c r="L187" s="7" t="s">
        <v>3175</v>
      </c>
      <c r="M187" s="7" t="s">
        <v>3176</v>
      </c>
      <c r="N187" s="48"/>
      <c r="O187" s="45" t="str">
        <f t="shared" ref="O187:O189" si="144">HYPERLINK("http://lynnfightingknights.com/Recruiting_Questionnaires","Questionnaire")</f>
        <v>Questionnaire</v>
      </c>
      <c r="P187" s="48" t="s">
        <v>3182</v>
      </c>
      <c r="Q187" s="60" t="s">
        <v>66</v>
      </c>
      <c r="R187" s="48" t="s">
        <v>3183</v>
      </c>
      <c r="S187" s="48" t="s">
        <v>238</v>
      </c>
      <c r="T187" s="49" t="s">
        <v>63</v>
      </c>
      <c r="U187" s="7" t="s">
        <v>75</v>
      </c>
      <c r="V187" s="7"/>
      <c r="W187" s="44">
        <v>3.03</v>
      </c>
      <c r="X187" s="49" t="s">
        <v>2257</v>
      </c>
      <c r="Y187" s="49" t="s">
        <v>253</v>
      </c>
      <c r="Z187" s="49" t="s">
        <v>125</v>
      </c>
      <c r="AA187" s="61">
        <v>0.82</v>
      </c>
      <c r="AB187" s="71">
        <v>54002</v>
      </c>
      <c r="AC187" s="62" t="s">
        <v>3182</v>
      </c>
      <c r="AD187" s="53" t="str">
        <f t="shared" ref="AD187:AD189" si="145">HYPERLINK("https://www.lynn.edu/academics/areas-of-study","Link")</f>
        <v>Link</v>
      </c>
      <c r="AE187" s="54">
        <v>2095</v>
      </c>
      <c r="AF187" s="55"/>
      <c r="AG187" s="7"/>
      <c r="AH187" s="56">
        <v>132657</v>
      </c>
      <c r="AI187" s="7"/>
      <c r="AJ187" s="7"/>
      <c r="AK187" s="7"/>
      <c r="AL187" s="7"/>
    </row>
    <row r="188" spans="1:38" ht="13" x14ac:dyDescent="0.15">
      <c r="A188" s="57" t="s">
        <v>2864</v>
      </c>
      <c r="B188" s="110" t="s">
        <v>2866</v>
      </c>
      <c r="C188" s="7" t="s">
        <v>41</v>
      </c>
      <c r="D188" s="7" t="s">
        <v>3191</v>
      </c>
      <c r="E188" s="44">
        <v>5</v>
      </c>
      <c r="F188" s="7"/>
      <c r="G188" s="7"/>
      <c r="H188" s="2" t="s">
        <v>3172</v>
      </c>
      <c r="I188" s="7" t="s">
        <v>2037</v>
      </c>
      <c r="J188" s="7" t="s">
        <v>3193</v>
      </c>
      <c r="K188" s="7" t="s">
        <v>55</v>
      </c>
      <c r="L188" s="7" t="s">
        <v>3194</v>
      </c>
      <c r="M188" s="7" t="s">
        <v>3176</v>
      </c>
      <c r="N188" s="48"/>
      <c r="O188" s="45" t="str">
        <f t="shared" si="144"/>
        <v>Questionnaire</v>
      </c>
      <c r="P188" s="48" t="s">
        <v>3182</v>
      </c>
      <c r="Q188" s="60" t="s">
        <v>66</v>
      </c>
      <c r="R188" s="48" t="s">
        <v>3183</v>
      </c>
      <c r="S188" s="48" t="s">
        <v>238</v>
      </c>
      <c r="T188" s="49" t="s">
        <v>63</v>
      </c>
      <c r="U188" s="7" t="s">
        <v>75</v>
      </c>
      <c r="V188" s="7"/>
      <c r="W188" s="44">
        <v>3.03</v>
      </c>
      <c r="X188" s="49" t="s">
        <v>2257</v>
      </c>
      <c r="Y188" s="49" t="s">
        <v>253</v>
      </c>
      <c r="Z188" s="49" t="s">
        <v>125</v>
      </c>
      <c r="AA188" s="61">
        <v>0.82</v>
      </c>
      <c r="AB188" s="71">
        <v>54002</v>
      </c>
      <c r="AC188" s="62" t="s">
        <v>3182</v>
      </c>
      <c r="AD188" s="53" t="str">
        <f t="shared" si="145"/>
        <v>Link</v>
      </c>
      <c r="AE188" s="54">
        <v>2095</v>
      </c>
      <c r="AF188" s="55"/>
      <c r="AG188" s="7"/>
      <c r="AH188" s="56">
        <v>132657</v>
      </c>
      <c r="AI188" s="7"/>
      <c r="AJ188" s="7"/>
      <c r="AK188" s="7"/>
      <c r="AL188" s="7"/>
    </row>
    <row r="189" spans="1:38" ht="13" x14ac:dyDescent="0.15">
      <c r="A189" s="57" t="s">
        <v>2864</v>
      </c>
      <c r="B189" s="110" t="s">
        <v>2866</v>
      </c>
      <c r="C189" s="7" t="s">
        <v>41</v>
      </c>
      <c r="D189" s="7" t="s">
        <v>3200</v>
      </c>
      <c r="E189" s="44">
        <v>5</v>
      </c>
      <c r="F189" s="7"/>
      <c r="G189" s="7"/>
      <c r="H189" s="2" t="s">
        <v>3172</v>
      </c>
      <c r="I189" s="7" t="s">
        <v>3201</v>
      </c>
      <c r="J189" s="7" t="s">
        <v>423</v>
      </c>
      <c r="K189" s="7" t="s">
        <v>48</v>
      </c>
      <c r="L189" s="7" t="s">
        <v>3202</v>
      </c>
      <c r="M189" s="7" t="s">
        <v>3203</v>
      </c>
      <c r="N189" s="48"/>
      <c r="O189" s="45" t="str">
        <f t="shared" si="144"/>
        <v>Questionnaire</v>
      </c>
      <c r="P189" s="48" t="s">
        <v>3182</v>
      </c>
      <c r="Q189" s="60" t="s">
        <v>66</v>
      </c>
      <c r="R189" s="48" t="s">
        <v>3183</v>
      </c>
      <c r="S189" s="48" t="s">
        <v>238</v>
      </c>
      <c r="T189" s="49" t="s">
        <v>63</v>
      </c>
      <c r="U189" s="7" t="s">
        <v>75</v>
      </c>
      <c r="V189" s="7"/>
      <c r="W189" s="44">
        <v>3.03</v>
      </c>
      <c r="X189" s="49" t="s">
        <v>2257</v>
      </c>
      <c r="Y189" s="49" t="s">
        <v>253</v>
      </c>
      <c r="Z189" s="49" t="s">
        <v>125</v>
      </c>
      <c r="AA189" s="61">
        <v>0.82</v>
      </c>
      <c r="AB189" s="71">
        <v>54002</v>
      </c>
      <c r="AC189" s="62" t="s">
        <v>3182</v>
      </c>
      <c r="AD189" s="53" t="str">
        <f t="shared" si="145"/>
        <v>Link</v>
      </c>
      <c r="AE189" s="54">
        <v>2095</v>
      </c>
      <c r="AF189" s="55"/>
      <c r="AG189" s="7"/>
      <c r="AH189" s="56">
        <v>132657</v>
      </c>
      <c r="AI189" s="7"/>
      <c r="AJ189" s="7"/>
      <c r="AK189" s="7"/>
      <c r="AL189" s="7"/>
    </row>
    <row r="190" spans="1:38" ht="13" x14ac:dyDescent="0.15">
      <c r="A190" s="57" t="s">
        <v>2864</v>
      </c>
      <c r="B190" s="110" t="s">
        <v>2866</v>
      </c>
      <c r="C190" s="7" t="s">
        <v>41</v>
      </c>
      <c r="D190" s="7" t="s">
        <v>3209</v>
      </c>
      <c r="E190" s="44">
        <v>5</v>
      </c>
      <c r="F190" s="7"/>
      <c r="G190" s="7"/>
      <c r="H190" s="2" t="s">
        <v>3211</v>
      </c>
      <c r="I190" s="7" t="s">
        <v>3212</v>
      </c>
      <c r="J190" s="7" t="s">
        <v>3213</v>
      </c>
      <c r="K190" s="7" t="s">
        <v>55</v>
      </c>
      <c r="L190" s="7" t="s">
        <v>3214</v>
      </c>
      <c r="M190" s="7" t="s">
        <v>3215</v>
      </c>
      <c r="N190" s="45" t="str">
        <f t="shared" ref="N190:N191" si="146">HYPERLINK("twitter.com/nsu_softball","@nsu_softball")</f>
        <v>@nsu_softball</v>
      </c>
      <c r="O190" s="45" t="str">
        <f t="shared" ref="O190:O191" si="147">HYPERLINK("https://nsusharks.com/sb_output.aspx?form=3","Questionnaire")</f>
        <v>Questionnaire</v>
      </c>
      <c r="P190" s="48" t="s">
        <v>3219</v>
      </c>
      <c r="Q190" s="47" t="s">
        <v>66</v>
      </c>
      <c r="R190" s="48" t="s">
        <v>3222</v>
      </c>
      <c r="S190" s="48" t="s">
        <v>62</v>
      </c>
      <c r="T190" s="49" t="s">
        <v>63</v>
      </c>
      <c r="U190" s="7" t="s">
        <v>75</v>
      </c>
      <c r="V190" s="7"/>
      <c r="W190" s="44">
        <v>3.98</v>
      </c>
      <c r="X190" s="49" t="s">
        <v>76</v>
      </c>
      <c r="Y190" s="49" t="s">
        <v>76</v>
      </c>
      <c r="Z190" s="49" t="s">
        <v>689</v>
      </c>
      <c r="AA190" s="61">
        <v>0.53</v>
      </c>
      <c r="AB190" s="71">
        <v>47336</v>
      </c>
      <c r="AC190" s="62" t="s">
        <v>3219</v>
      </c>
      <c r="AD190" s="53" t="str">
        <f t="shared" ref="AD190:AD191" si="148">HYPERLINK("http://www.nova.edu/academics/college-program-degrees.html","Link")</f>
        <v>Link</v>
      </c>
      <c r="AE190" s="54">
        <v>4295</v>
      </c>
      <c r="AF190" s="54">
        <v>198</v>
      </c>
      <c r="AG190" s="7"/>
      <c r="AH190" s="56">
        <v>136215</v>
      </c>
      <c r="AI190" s="7"/>
      <c r="AJ190" s="7"/>
      <c r="AK190" s="7"/>
      <c r="AL190" s="7"/>
    </row>
    <row r="191" spans="1:38" ht="13" x14ac:dyDescent="0.15">
      <c r="A191" s="57" t="s">
        <v>2864</v>
      </c>
      <c r="B191" s="110" t="s">
        <v>2866</v>
      </c>
      <c r="C191" s="7" t="s">
        <v>41</v>
      </c>
      <c r="D191" s="7" t="s">
        <v>3232</v>
      </c>
      <c r="E191" s="44">
        <v>5</v>
      </c>
      <c r="F191" s="7"/>
      <c r="G191" s="7"/>
      <c r="H191" s="2" t="s">
        <v>3211</v>
      </c>
      <c r="I191" s="7" t="s">
        <v>3235</v>
      </c>
      <c r="J191" s="7" t="s">
        <v>3236</v>
      </c>
      <c r="K191" s="7" t="s">
        <v>48</v>
      </c>
      <c r="L191" s="7" t="s">
        <v>3237</v>
      </c>
      <c r="M191" s="7" t="s">
        <v>3238</v>
      </c>
      <c r="N191" s="45" t="str">
        <f t="shared" si="146"/>
        <v>@nsu_softball</v>
      </c>
      <c r="O191" s="45" t="str">
        <f t="shared" si="147"/>
        <v>Questionnaire</v>
      </c>
      <c r="P191" s="48" t="s">
        <v>3219</v>
      </c>
      <c r="Q191" s="47" t="s">
        <v>66</v>
      </c>
      <c r="R191" s="48" t="s">
        <v>3222</v>
      </c>
      <c r="S191" s="48" t="s">
        <v>62</v>
      </c>
      <c r="T191" s="49" t="s">
        <v>63</v>
      </c>
      <c r="U191" s="7" t="s">
        <v>75</v>
      </c>
      <c r="V191" s="7"/>
      <c r="W191" s="44">
        <v>3.98</v>
      </c>
      <c r="X191" s="49" t="s">
        <v>76</v>
      </c>
      <c r="Y191" s="49" t="s">
        <v>76</v>
      </c>
      <c r="Z191" s="49" t="s">
        <v>689</v>
      </c>
      <c r="AA191" s="61">
        <v>0.53</v>
      </c>
      <c r="AB191" s="71">
        <v>47336</v>
      </c>
      <c r="AC191" s="62" t="s">
        <v>3219</v>
      </c>
      <c r="AD191" s="53" t="str">
        <f t="shared" si="148"/>
        <v>Link</v>
      </c>
      <c r="AE191" s="54">
        <v>4295</v>
      </c>
      <c r="AF191" s="54">
        <v>198</v>
      </c>
      <c r="AG191" s="7"/>
      <c r="AH191" s="56">
        <v>136215</v>
      </c>
      <c r="AI191" s="7"/>
      <c r="AJ191" s="7"/>
      <c r="AK191" s="7"/>
      <c r="AL191" s="7"/>
    </row>
    <row r="192" spans="1:38" ht="15" x14ac:dyDescent="0.2">
      <c r="A192" s="57" t="s">
        <v>2864</v>
      </c>
      <c r="B192" s="110" t="s">
        <v>2866</v>
      </c>
      <c r="C192" s="7" t="s">
        <v>41</v>
      </c>
      <c r="D192" s="7" t="s">
        <v>3239</v>
      </c>
      <c r="E192" s="44">
        <v>5</v>
      </c>
      <c r="F192" s="7"/>
      <c r="G192" s="7"/>
      <c r="H192" s="2" t="s">
        <v>3242</v>
      </c>
      <c r="I192" s="7" t="s">
        <v>3243</v>
      </c>
      <c r="J192" s="7" t="s">
        <v>3246</v>
      </c>
      <c r="K192" s="7" t="s">
        <v>120</v>
      </c>
      <c r="L192" s="7"/>
      <c r="M192" s="7"/>
      <c r="N192" s="7"/>
      <c r="O192" s="7"/>
      <c r="P192" s="48" t="s">
        <v>3250</v>
      </c>
      <c r="Q192" s="47" t="s">
        <v>66</v>
      </c>
      <c r="R192" s="48" t="s">
        <v>3251</v>
      </c>
      <c r="S192" s="48" t="s">
        <v>238</v>
      </c>
      <c r="T192" s="49" t="s">
        <v>63</v>
      </c>
      <c r="U192" s="49" t="s">
        <v>3252</v>
      </c>
      <c r="V192" s="7"/>
      <c r="W192" s="44">
        <v>3.6</v>
      </c>
      <c r="X192" s="49" t="s">
        <v>2310</v>
      </c>
      <c r="Y192" s="49" t="s">
        <v>720</v>
      </c>
      <c r="Z192" s="49" t="s">
        <v>545</v>
      </c>
      <c r="AA192" s="61">
        <v>0.93</v>
      </c>
      <c r="AB192" s="71">
        <v>44004</v>
      </c>
      <c r="AC192" s="52" t="s">
        <v>3250</v>
      </c>
      <c r="AD192" s="53" t="str">
        <f t="shared" ref="AD192:AD193" si="149">HYPERLINK("http://www.pba.edu/all-majors","Link")</f>
        <v>Link</v>
      </c>
      <c r="AE192" s="54">
        <v>2926</v>
      </c>
      <c r="AF192" s="55"/>
      <c r="AG192" s="55"/>
      <c r="AH192" s="56">
        <v>136330</v>
      </c>
      <c r="AI192" s="85"/>
      <c r="AJ192" s="7"/>
      <c r="AK192" s="7"/>
      <c r="AL192" s="7"/>
    </row>
    <row r="193" spans="1:38" ht="15" x14ac:dyDescent="0.2">
      <c r="A193" s="57" t="s">
        <v>2864</v>
      </c>
      <c r="B193" s="110" t="s">
        <v>2866</v>
      </c>
      <c r="C193" s="7" t="s">
        <v>41</v>
      </c>
      <c r="D193" s="7" t="s">
        <v>3262</v>
      </c>
      <c r="E193" s="44">
        <v>5</v>
      </c>
      <c r="F193" s="7"/>
      <c r="G193" s="7"/>
      <c r="H193" s="2" t="s">
        <v>3242</v>
      </c>
      <c r="I193" s="7" t="s">
        <v>201</v>
      </c>
      <c r="J193" s="7" t="s">
        <v>3263</v>
      </c>
      <c r="K193" s="7" t="s">
        <v>48</v>
      </c>
      <c r="L193" s="7" t="s">
        <v>3264</v>
      </c>
      <c r="M193" s="7" t="s">
        <v>3265</v>
      </c>
      <c r="N193" s="45" t="str">
        <f>HYPERLINK("twitter.com/sailfishsb","@sailfishsb")</f>
        <v>@sailfishsb</v>
      </c>
      <c r="O193" s="45" t="str">
        <f>HYPERLINK("https://pbasailfish.com/sports/2017/6/29/recruit-questionnaire-homepage.aspx","Questionnaire")</f>
        <v>Questionnaire</v>
      </c>
      <c r="P193" s="48" t="s">
        <v>3250</v>
      </c>
      <c r="Q193" s="47" t="s">
        <v>66</v>
      </c>
      <c r="R193" s="48" t="s">
        <v>3251</v>
      </c>
      <c r="S193" s="48" t="s">
        <v>238</v>
      </c>
      <c r="T193" s="49" t="s">
        <v>63</v>
      </c>
      <c r="U193" s="7" t="s">
        <v>3252</v>
      </c>
      <c r="V193" s="7"/>
      <c r="W193" s="44">
        <v>3.6</v>
      </c>
      <c r="X193" s="49" t="s">
        <v>2310</v>
      </c>
      <c r="Y193" s="49" t="s">
        <v>720</v>
      </c>
      <c r="Z193" s="49" t="s">
        <v>545</v>
      </c>
      <c r="AA193" s="61">
        <v>0.93</v>
      </c>
      <c r="AB193" s="71">
        <v>44004</v>
      </c>
      <c r="AC193" s="52" t="s">
        <v>3250</v>
      </c>
      <c r="AD193" s="53" t="str">
        <f t="shared" si="149"/>
        <v>Link</v>
      </c>
      <c r="AE193" s="54">
        <v>2926</v>
      </c>
      <c r="AF193" s="55"/>
      <c r="AG193" s="7"/>
      <c r="AH193" s="56">
        <v>136330</v>
      </c>
      <c r="AI193" s="7"/>
      <c r="AJ193" s="7"/>
      <c r="AK193" s="7"/>
      <c r="AL193" s="7"/>
    </row>
    <row r="194" spans="1:38" ht="13" x14ac:dyDescent="0.15">
      <c r="A194" s="57" t="s">
        <v>2864</v>
      </c>
      <c r="B194" s="110" t="s">
        <v>2866</v>
      </c>
      <c r="C194" s="7" t="s">
        <v>41</v>
      </c>
      <c r="D194" s="7" t="s">
        <v>3278</v>
      </c>
      <c r="E194" s="44">
        <v>5</v>
      </c>
      <c r="F194" s="7"/>
      <c r="G194" s="7"/>
      <c r="H194" s="2" t="s">
        <v>3281</v>
      </c>
      <c r="I194" s="7" t="s">
        <v>363</v>
      </c>
      <c r="J194" s="7" t="s">
        <v>3282</v>
      </c>
      <c r="K194" s="7" t="s">
        <v>55</v>
      </c>
      <c r="L194" s="7" t="s">
        <v>3283</v>
      </c>
      <c r="M194" s="7" t="s">
        <v>3285</v>
      </c>
      <c r="N194" s="48"/>
      <c r="O194" s="45" t="str">
        <f t="shared" ref="O194:O196" si="150">HYPERLINK("https://www.rollinssports.com/information/prospective_tars/index","Questionnaire")</f>
        <v>Questionnaire</v>
      </c>
      <c r="P194" s="48" t="s">
        <v>3288</v>
      </c>
      <c r="Q194" s="60" t="s">
        <v>66</v>
      </c>
      <c r="R194" s="48" t="s">
        <v>3290</v>
      </c>
      <c r="S194" s="48" t="s">
        <v>468</v>
      </c>
      <c r="T194" s="49" t="s">
        <v>63</v>
      </c>
      <c r="U194" s="7" t="s">
        <v>75</v>
      </c>
      <c r="V194" s="7"/>
      <c r="W194" s="44">
        <v>3.32</v>
      </c>
      <c r="X194" s="49" t="s">
        <v>411</v>
      </c>
      <c r="Y194" s="49" t="s">
        <v>833</v>
      </c>
      <c r="Z194" s="49" t="s">
        <v>412</v>
      </c>
      <c r="AA194" s="61">
        <v>0.61</v>
      </c>
      <c r="AB194" s="71">
        <v>67110</v>
      </c>
      <c r="AC194" s="62" t="s">
        <v>3288</v>
      </c>
      <c r="AD194" s="53" t="str">
        <f t="shared" ref="AD194:AD196" si="151">HYPERLINK("http://www.rollins.edu/academics/areas-of-study/index.html","Link")</f>
        <v>Link</v>
      </c>
      <c r="AE194" s="54">
        <v>2642</v>
      </c>
      <c r="AF194" s="55"/>
      <c r="AG194" s="7"/>
      <c r="AH194" s="56">
        <v>136950</v>
      </c>
      <c r="AI194" s="7"/>
      <c r="AJ194" s="7"/>
      <c r="AK194" s="7"/>
      <c r="AL194" s="7"/>
    </row>
    <row r="195" spans="1:38" ht="13" x14ac:dyDescent="0.15">
      <c r="A195" s="57" t="s">
        <v>2864</v>
      </c>
      <c r="B195" s="110" t="s">
        <v>2866</v>
      </c>
      <c r="C195" s="7" t="s">
        <v>41</v>
      </c>
      <c r="D195" s="7" t="s">
        <v>3301</v>
      </c>
      <c r="E195" s="44">
        <v>5</v>
      </c>
      <c r="F195" s="7"/>
      <c r="G195" s="7"/>
      <c r="H195" s="2" t="s">
        <v>3281</v>
      </c>
      <c r="I195" s="7" t="s">
        <v>3302</v>
      </c>
      <c r="J195" s="7" t="s">
        <v>3303</v>
      </c>
      <c r="K195" s="7" t="s">
        <v>55</v>
      </c>
      <c r="L195" s="7"/>
      <c r="M195" s="7"/>
      <c r="N195" s="48"/>
      <c r="O195" s="45" t="str">
        <f t="shared" si="150"/>
        <v>Questionnaire</v>
      </c>
      <c r="P195" s="48" t="s">
        <v>3288</v>
      </c>
      <c r="Q195" s="60" t="s">
        <v>66</v>
      </c>
      <c r="R195" s="48" t="s">
        <v>3290</v>
      </c>
      <c r="S195" s="48" t="s">
        <v>468</v>
      </c>
      <c r="T195" s="49" t="s">
        <v>63</v>
      </c>
      <c r="U195" s="7" t="s">
        <v>75</v>
      </c>
      <c r="V195" s="7"/>
      <c r="W195" s="44">
        <v>3.32</v>
      </c>
      <c r="X195" s="49" t="s">
        <v>411</v>
      </c>
      <c r="Y195" s="49" t="s">
        <v>833</v>
      </c>
      <c r="Z195" s="49" t="s">
        <v>412</v>
      </c>
      <c r="AA195" s="61">
        <v>0.61</v>
      </c>
      <c r="AB195" s="71">
        <v>67110</v>
      </c>
      <c r="AC195" s="62" t="s">
        <v>3288</v>
      </c>
      <c r="AD195" s="53" t="str">
        <f t="shared" si="151"/>
        <v>Link</v>
      </c>
      <c r="AE195" s="54">
        <v>2642</v>
      </c>
      <c r="AF195" s="55"/>
      <c r="AG195" s="7"/>
      <c r="AH195" s="56">
        <v>136950</v>
      </c>
      <c r="AI195" s="7"/>
      <c r="AJ195" s="7"/>
      <c r="AK195" s="7"/>
      <c r="AL195" s="7"/>
    </row>
    <row r="196" spans="1:38" ht="13" x14ac:dyDescent="0.15">
      <c r="A196" s="57" t="s">
        <v>2864</v>
      </c>
      <c r="B196" s="110" t="s">
        <v>2866</v>
      </c>
      <c r="C196" s="7" t="s">
        <v>41</v>
      </c>
      <c r="D196" s="7" t="s">
        <v>3311</v>
      </c>
      <c r="E196" s="44">
        <v>5</v>
      </c>
      <c r="F196" s="7"/>
      <c r="G196" s="7"/>
      <c r="H196" s="2" t="s">
        <v>3281</v>
      </c>
      <c r="I196" s="7" t="s">
        <v>3312</v>
      </c>
      <c r="J196" s="7" t="s">
        <v>3282</v>
      </c>
      <c r="K196" s="7" t="s">
        <v>48</v>
      </c>
      <c r="L196" s="7" t="s">
        <v>3314</v>
      </c>
      <c r="M196" s="7" t="s">
        <v>3285</v>
      </c>
      <c r="N196" s="48"/>
      <c r="O196" s="45" t="str">
        <f t="shared" si="150"/>
        <v>Questionnaire</v>
      </c>
      <c r="P196" s="48" t="s">
        <v>3288</v>
      </c>
      <c r="Q196" s="60" t="s">
        <v>66</v>
      </c>
      <c r="R196" s="48" t="s">
        <v>3290</v>
      </c>
      <c r="S196" s="48" t="s">
        <v>468</v>
      </c>
      <c r="T196" s="49" t="s">
        <v>63</v>
      </c>
      <c r="U196" s="7" t="s">
        <v>75</v>
      </c>
      <c r="V196" s="7"/>
      <c r="W196" s="44">
        <v>3.32</v>
      </c>
      <c r="X196" s="49" t="s">
        <v>411</v>
      </c>
      <c r="Y196" s="49" t="s">
        <v>833</v>
      </c>
      <c r="Z196" s="49" t="s">
        <v>412</v>
      </c>
      <c r="AA196" s="61">
        <v>0.61</v>
      </c>
      <c r="AB196" s="71">
        <v>67110</v>
      </c>
      <c r="AC196" s="62" t="s">
        <v>3288</v>
      </c>
      <c r="AD196" s="53" t="str">
        <f t="shared" si="151"/>
        <v>Link</v>
      </c>
      <c r="AE196" s="54">
        <v>2642</v>
      </c>
      <c r="AF196" s="55"/>
      <c r="AG196" s="7"/>
      <c r="AH196" s="56">
        <v>136950</v>
      </c>
      <c r="AI196" s="7"/>
      <c r="AJ196" s="7"/>
      <c r="AK196" s="7"/>
      <c r="AL196" s="7"/>
    </row>
    <row r="197" spans="1:38" ht="13" x14ac:dyDescent="0.15">
      <c r="A197" s="57" t="s">
        <v>2864</v>
      </c>
      <c r="B197" s="110" t="s">
        <v>2866</v>
      </c>
      <c r="C197" s="7" t="s">
        <v>41</v>
      </c>
      <c r="D197" s="7" t="s">
        <v>3322</v>
      </c>
      <c r="E197" s="44">
        <v>5</v>
      </c>
      <c r="F197" s="7"/>
      <c r="G197" s="7"/>
      <c r="H197" s="2" t="s">
        <v>3324</v>
      </c>
      <c r="I197" s="7" t="s">
        <v>1075</v>
      </c>
      <c r="J197" s="7" t="s">
        <v>263</v>
      </c>
      <c r="K197" s="7" t="s">
        <v>55</v>
      </c>
      <c r="L197" s="7" t="s">
        <v>3328</v>
      </c>
      <c r="M197" s="7" t="s">
        <v>3329</v>
      </c>
      <c r="N197" s="45" t="str">
        <f t="shared" ref="N197:N200" si="152">HYPERLINK("twitter.com/saintleosb","@saintleosb")</f>
        <v>@saintleosb</v>
      </c>
      <c r="O197" s="45" t="str">
        <f t="shared" ref="O197:O200" si="153">HYPERLINK("https://saintleolions.com/sports/2017/7/13/recruits-recruitingforms.aspx","Questionnaire")</f>
        <v>Questionnaire</v>
      </c>
      <c r="P197" s="48" t="s">
        <v>3335</v>
      </c>
      <c r="Q197" s="60" t="s">
        <v>66</v>
      </c>
      <c r="R197" s="48" t="s">
        <v>3336</v>
      </c>
      <c r="S197" s="60" t="s">
        <v>205</v>
      </c>
      <c r="T197" s="49" t="s">
        <v>63</v>
      </c>
      <c r="U197" s="7" t="s">
        <v>343</v>
      </c>
      <c r="V197" s="7"/>
      <c r="W197" s="44">
        <v>3.5</v>
      </c>
      <c r="X197" s="49" t="s">
        <v>397</v>
      </c>
      <c r="Y197" s="49" t="s">
        <v>3338</v>
      </c>
      <c r="Z197" s="49" t="s">
        <v>278</v>
      </c>
      <c r="AA197" s="61">
        <v>0.7</v>
      </c>
      <c r="AB197" s="71">
        <v>37392</v>
      </c>
      <c r="AC197" s="62" t="s">
        <v>3335</v>
      </c>
      <c r="AD197" s="53" t="str">
        <f t="shared" ref="AD197:AD200" si="154">HYPERLINK("http://academiccatalog.saintleo.edu/content.php?catoid=23&amp;navoid=2904","Link")</f>
        <v>Link</v>
      </c>
      <c r="AE197" s="54">
        <v>11017</v>
      </c>
      <c r="AF197" s="55"/>
      <c r="AG197" s="7"/>
      <c r="AH197" s="56">
        <v>137032</v>
      </c>
      <c r="AI197" s="7"/>
      <c r="AJ197" s="7"/>
      <c r="AK197" s="7"/>
      <c r="AL197" s="7"/>
    </row>
    <row r="198" spans="1:38" ht="13" x14ac:dyDescent="0.15">
      <c r="A198" s="57" t="s">
        <v>2864</v>
      </c>
      <c r="B198" s="110" t="s">
        <v>2866</v>
      </c>
      <c r="C198" s="7" t="s">
        <v>41</v>
      </c>
      <c r="D198" s="7" t="s">
        <v>3347</v>
      </c>
      <c r="E198" s="44">
        <v>5</v>
      </c>
      <c r="F198" s="7"/>
      <c r="G198" s="7"/>
      <c r="H198" s="2" t="s">
        <v>3324</v>
      </c>
      <c r="I198" s="7" t="s">
        <v>3351</v>
      </c>
      <c r="J198" s="7" t="s">
        <v>3353</v>
      </c>
      <c r="K198" s="7" t="s">
        <v>55</v>
      </c>
      <c r="L198" s="7" t="s">
        <v>3356</v>
      </c>
      <c r="M198" s="7" t="s">
        <v>3357</v>
      </c>
      <c r="N198" s="45" t="str">
        <f t="shared" si="152"/>
        <v>@saintleosb</v>
      </c>
      <c r="O198" s="45" t="str">
        <f t="shared" si="153"/>
        <v>Questionnaire</v>
      </c>
      <c r="P198" s="48" t="s">
        <v>3335</v>
      </c>
      <c r="Q198" s="60" t="s">
        <v>66</v>
      </c>
      <c r="R198" s="48" t="s">
        <v>3336</v>
      </c>
      <c r="S198" s="60" t="s">
        <v>205</v>
      </c>
      <c r="T198" s="49" t="s">
        <v>63</v>
      </c>
      <c r="U198" s="7" t="s">
        <v>343</v>
      </c>
      <c r="V198" s="7"/>
      <c r="W198" s="44">
        <v>3.5</v>
      </c>
      <c r="X198" s="49" t="s">
        <v>397</v>
      </c>
      <c r="Y198" s="49" t="s">
        <v>3338</v>
      </c>
      <c r="Z198" s="49" t="s">
        <v>278</v>
      </c>
      <c r="AA198" s="61">
        <v>0.7</v>
      </c>
      <c r="AB198" s="71">
        <v>37392</v>
      </c>
      <c r="AC198" s="62" t="s">
        <v>3335</v>
      </c>
      <c r="AD198" s="53" t="str">
        <f t="shared" si="154"/>
        <v>Link</v>
      </c>
      <c r="AE198" s="54">
        <v>11017</v>
      </c>
      <c r="AF198" s="55"/>
      <c r="AG198" s="7"/>
      <c r="AH198" s="56">
        <v>137032</v>
      </c>
      <c r="AI198" s="7"/>
      <c r="AJ198" s="7"/>
      <c r="AK198" s="7"/>
      <c r="AL198" s="7"/>
    </row>
    <row r="199" spans="1:38" ht="13" x14ac:dyDescent="0.15">
      <c r="A199" s="57" t="s">
        <v>2864</v>
      </c>
      <c r="B199" s="110" t="s">
        <v>2866</v>
      </c>
      <c r="C199" s="7" t="s">
        <v>41</v>
      </c>
      <c r="D199" s="7" t="s">
        <v>3367</v>
      </c>
      <c r="E199" s="44">
        <v>5</v>
      </c>
      <c r="F199" s="7" t="s">
        <v>116</v>
      </c>
      <c r="G199" s="7"/>
      <c r="H199" s="2" t="s">
        <v>3324</v>
      </c>
      <c r="I199" s="7" t="s">
        <v>2608</v>
      </c>
      <c r="J199" s="7" t="s">
        <v>3368</v>
      </c>
      <c r="K199" s="7" t="s">
        <v>55</v>
      </c>
      <c r="L199" s="7" t="s">
        <v>3369</v>
      </c>
      <c r="M199" s="7" t="s">
        <v>3370</v>
      </c>
      <c r="N199" s="45" t="str">
        <f t="shared" si="152"/>
        <v>@saintleosb</v>
      </c>
      <c r="O199" s="45" t="str">
        <f t="shared" si="153"/>
        <v>Questionnaire</v>
      </c>
      <c r="P199" s="48" t="s">
        <v>3335</v>
      </c>
      <c r="Q199" s="60" t="s">
        <v>66</v>
      </c>
      <c r="R199" s="48" t="s">
        <v>3336</v>
      </c>
      <c r="S199" s="60" t="s">
        <v>205</v>
      </c>
      <c r="T199" s="49" t="s">
        <v>63</v>
      </c>
      <c r="U199" s="7" t="s">
        <v>343</v>
      </c>
      <c r="V199" s="7"/>
      <c r="W199" s="44">
        <v>3.5</v>
      </c>
      <c r="X199" s="49" t="s">
        <v>397</v>
      </c>
      <c r="Y199" s="49" t="s">
        <v>3338</v>
      </c>
      <c r="Z199" s="49" t="s">
        <v>278</v>
      </c>
      <c r="AA199" s="61">
        <v>0.7</v>
      </c>
      <c r="AB199" s="71">
        <v>37392</v>
      </c>
      <c r="AC199" s="62" t="s">
        <v>3335</v>
      </c>
      <c r="AD199" s="53" t="str">
        <f t="shared" si="154"/>
        <v>Link</v>
      </c>
      <c r="AE199" s="54">
        <v>11017</v>
      </c>
      <c r="AF199" s="55"/>
      <c r="AG199" s="7"/>
      <c r="AH199" s="56">
        <v>137032</v>
      </c>
      <c r="AI199" s="7"/>
      <c r="AJ199" s="7"/>
      <c r="AK199" s="7"/>
      <c r="AL199" s="7"/>
    </row>
    <row r="200" spans="1:38" ht="13" x14ac:dyDescent="0.15">
      <c r="A200" s="57" t="s">
        <v>2864</v>
      </c>
      <c r="B200" s="110" t="s">
        <v>2866</v>
      </c>
      <c r="C200" s="7" t="s">
        <v>41</v>
      </c>
      <c r="D200" s="7" t="s">
        <v>3376</v>
      </c>
      <c r="E200" s="44">
        <v>5</v>
      </c>
      <c r="F200" s="7"/>
      <c r="G200" s="7"/>
      <c r="H200" s="2" t="s">
        <v>3324</v>
      </c>
      <c r="I200" s="7" t="s">
        <v>338</v>
      </c>
      <c r="J200" s="7" t="s">
        <v>3379</v>
      </c>
      <c r="K200" s="7" t="s">
        <v>48</v>
      </c>
      <c r="L200" s="7" t="s">
        <v>3381</v>
      </c>
      <c r="M200" s="7" t="s">
        <v>3370</v>
      </c>
      <c r="N200" s="45" t="str">
        <f t="shared" si="152"/>
        <v>@saintleosb</v>
      </c>
      <c r="O200" s="45" t="str">
        <f t="shared" si="153"/>
        <v>Questionnaire</v>
      </c>
      <c r="P200" s="48" t="s">
        <v>3335</v>
      </c>
      <c r="Q200" s="60" t="s">
        <v>66</v>
      </c>
      <c r="R200" s="48" t="s">
        <v>3336</v>
      </c>
      <c r="S200" s="60" t="s">
        <v>205</v>
      </c>
      <c r="T200" s="49" t="s">
        <v>63</v>
      </c>
      <c r="U200" s="7" t="s">
        <v>343</v>
      </c>
      <c r="V200" s="7"/>
      <c r="W200" s="44">
        <v>3.5</v>
      </c>
      <c r="X200" s="49" t="s">
        <v>397</v>
      </c>
      <c r="Y200" s="49" t="s">
        <v>3338</v>
      </c>
      <c r="Z200" s="49" t="s">
        <v>278</v>
      </c>
      <c r="AA200" s="61">
        <v>0.7</v>
      </c>
      <c r="AB200" s="71">
        <v>37392</v>
      </c>
      <c r="AC200" s="62" t="s">
        <v>3335</v>
      </c>
      <c r="AD200" s="53" t="str">
        <f t="shared" si="154"/>
        <v>Link</v>
      </c>
      <c r="AE200" s="54">
        <v>11017</v>
      </c>
      <c r="AF200" s="55"/>
      <c r="AG200" s="7"/>
      <c r="AH200" s="56">
        <v>137032</v>
      </c>
      <c r="AI200" s="7"/>
      <c r="AJ200" s="7"/>
      <c r="AK200" s="7"/>
      <c r="AL200" s="7"/>
    </row>
    <row r="201" spans="1:38" ht="13" x14ac:dyDescent="0.15">
      <c r="A201" s="57" t="s">
        <v>2864</v>
      </c>
      <c r="B201" s="110" t="s">
        <v>2866</v>
      </c>
      <c r="C201" s="7" t="s">
        <v>41</v>
      </c>
      <c r="D201" s="7" t="s">
        <v>3391</v>
      </c>
      <c r="E201" s="44">
        <v>5</v>
      </c>
      <c r="F201" s="7"/>
      <c r="G201" s="7"/>
      <c r="H201" s="2" t="s">
        <v>3392</v>
      </c>
      <c r="I201" s="7" t="s">
        <v>1075</v>
      </c>
      <c r="J201" s="7" t="s">
        <v>3393</v>
      </c>
      <c r="K201" s="7" t="s">
        <v>55</v>
      </c>
      <c r="L201" s="7" t="s">
        <v>3394</v>
      </c>
      <c r="M201" s="7" t="s">
        <v>3395</v>
      </c>
      <c r="N201" s="45" t="str">
        <f t="shared" ref="N201:N204" si="155">HYPERLINK("twitter.com/Tampa_Softball","@Tampa_Softball")</f>
        <v>@Tampa_Softball</v>
      </c>
      <c r="O201" s="45" t="str">
        <f t="shared" ref="O201:O204" si="156">HYPERLINK("https://www.tampaspartans.com/information/forms/Recruiting_Forms","Questionnaire")</f>
        <v>Questionnaire</v>
      </c>
      <c r="P201" s="48" t="s">
        <v>414</v>
      </c>
      <c r="Q201" s="60" t="s">
        <v>66</v>
      </c>
      <c r="R201" s="48" t="s">
        <v>414</v>
      </c>
      <c r="S201" s="48" t="s">
        <v>354</v>
      </c>
      <c r="T201" s="49" t="s">
        <v>63</v>
      </c>
      <c r="U201" s="7" t="s">
        <v>75</v>
      </c>
      <c r="V201" s="7"/>
      <c r="W201" s="44">
        <v>3.4</v>
      </c>
      <c r="X201" s="49" t="s">
        <v>1509</v>
      </c>
      <c r="Y201" s="49" t="s">
        <v>2315</v>
      </c>
      <c r="Z201" s="49" t="s">
        <v>320</v>
      </c>
      <c r="AA201" s="61">
        <v>0.48</v>
      </c>
      <c r="AB201" s="71">
        <v>42716</v>
      </c>
      <c r="AC201" s="62" t="s">
        <v>414</v>
      </c>
      <c r="AD201" s="53" t="str">
        <f t="shared" ref="AD201:AD204" si="157">HYPERLINK("http://www.ut.edu/degrees/","Link")</f>
        <v>Link</v>
      </c>
      <c r="AE201" s="54">
        <v>7379</v>
      </c>
      <c r="AF201" s="55"/>
      <c r="AG201" s="7"/>
      <c r="AH201" s="56">
        <v>137847</v>
      </c>
      <c r="AI201" s="7"/>
      <c r="AJ201" s="7"/>
      <c r="AK201" s="7"/>
      <c r="AL201" s="7"/>
    </row>
    <row r="202" spans="1:38" ht="13" x14ac:dyDescent="0.15">
      <c r="A202" s="57" t="s">
        <v>2864</v>
      </c>
      <c r="B202" s="110" t="s">
        <v>2866</v>
      </c>
      <c r="C202" s="7" t="s">
        <v>41</v>
      </c>
      <c r="D202" s="7" t="s">
        <v>3420</v>
      </c>
      <c r="E202" s="44">
        <v>5</v>
      </c>
      <c r="F202" s="7"/>
      <c r="G202" s="7"/>
      <c r="H202" s="2" t="s">
        <v>3392</v>
      </c>
      <c r="I202" s="7" t="s">
        <v>228</v>
      </c>
      <c r="J202" s="7" t="s">
        <v>3425</v>
      </c>
      <c r="K202" s="7" t="s">
        <v>55</v>
      </c>
      <c r="L202" s="7" t="s">
        <v>3429</v>
      </c>
      <c r="M202" s="7" t="s">
        <v>3395</v>
      </c>
      <c r="N202" s="45" t="str">
        <f t="shared" si="155"/>
        <v>@Tampa_Softball</v>
      </c>
      <c r="O202" s="45" t="str">
        <f t="shared" si="156"/>
        <v>Questionnaire</v>
      </c>
      <c r="P202" s="48" t="s">
        <v>414</v>
      </c>
      <c r="Q202" s="60" t="s">
        <v>66</v>
      </c>
      <c r="R202" s="48" t="s">
        <v>414</v>
      </c>
      <c r="S202" s="48" t="s">
        <v>354</v>
      </c>
      <c r="T202" s="49" t="s">
        <v>63</v>
      </c>
      <c r="U202" s="7" t="s">
        <v>75</v>
      </c>
      <c r="V202" s="7"/>
      <c r="W202" s="44">
        <v>3.4</v>
      </c>
      <c r="X202" s="49" t="s">
        <v>1509</v>
      </c>
      <c r="Y202" s="49" t="s">
        <v>2315</v>
      </c>
      <c r="Z202" s="49" t="s">
        <v>320</v>
      </c>
      <c r="AA202" s="61">
        <v>0.48</v>
      </c>
      <c r="AB202" s="71">
        <v>42716</v>
      </c>
      <c r="AC202" s="62" t="s">
        <v>414</v>
      </c>
      <c r="AD202" s="53" t="str">
        <f t="shared" si="157"/>
        <v>Link</v>
      </c>
      <c r="AE202" s="54">
        <v>7379</v>
      </c>
      <c r="AF202" s="55"/>
      <c r="AG202" s="7"/>
      <c r="AH202" s="56">
        <v>137847</v>
      </c>
      <c r="AI202" s="7"/>
      <c r="AJ202" s="7"/>
      <c r="AK202" s="7"/>
      <c r="AL202" s="7"/>
    </row>
    <row r="203" spans="1:38" ht="13" x14ac:dyDescent="0.15">
      <c r="A203" s="57" t="s">
        <v>2864</v>
      </c>
      <c r="B203" s="110" t="s">
        <v>2866</v>
      </c>
      <c r="C203" s="7" t="s">
        <v>41</v>
      </c>
      <c r="D203" s="7" t="s">
        <v>3435</v>
      </c>
      <c r="E203" s="44">
        <v>5</v>
      </c>
      <c r="F203" s="7" t="s">
        <v>116</v>
      </c>
      <c r="G203" s="7"/>
      <c r="H203" s="2" t="s">
        <v>3392</v>
      </c>
      <c r="I203" s="7" t="s">
        <v>3437</v>
      </c>
      <c r="J203" s="7" t="s">
        <v>118</v>
      </c>
      <c r="K203" s="7" t="s">
        <v>55</v>
      </c>
      <c r="L203" s="7" t="s">
        <v>3438</v>
      </c>
      <c r="M203" s="7"/>
      <c r="N203" s="45" t="str">
        <f t="shared" si="155"/>
        <v>@Tampa_Softball</v>
      </c>
      <c r="O203" s="45" t="str">
        <f t="shared" si="156"/>
        <v>Questionnaire</v>
      </c>
      <c r="P203" s="48" t="s">
        <v>414</v>
      </c>
      <c r="Q203" s="60" t="s">
        <v>66</v>
      </c>
      <c r="R203" s="48" t="s">
        <v>414</v>
      </c>
      <c r="S203" s="48" t="s">
        <v>354</v>
      </c>
      <c r="T203" s="49" t="s">
        <v>63</v>
      </c>
      <c r="U203" s="7" t="s">
        <v>75</v>
      </c>
      <c r="V203" s="7"/>
      <c r="W203" s="44">
        <v>3.4</v>
      </c>
      <c r="X203" s="49" t="s">
        <v>1509</v>
      </c>
      <c r="Y203" s="49" t="s">
        <v>2315</v>
      </c>
      <c r="Z203" s="49" t="s">
        <v>320</v>
      </c>
      <c r="AA203" s="61">
        <v>0.48</v>
      </c>
      <c r="AB203" s="71">
        <v>42716</v>
      </c>
      <c r="AC203" s="62" t="s">
        <v>414</v>
      </c>
      <c r="AD203" s="53" t="str">
        <f t="shared" si="157"/>
        <v>Link</v>
      </c>
      <c r="AE203" s="54">
        <v>7379</v>
      </c>
      <c r="AF203" s="55"/>
      <c r="AG203" s="7"/>
      <c r="AH203" s="56">
        <v>137847</v>
      </c>
      <c r="AI203" s="7"/>
      <c r="AJ203" s="7"/>
      <c r="AK203" s="7"/>
      <c r="AL203" s="7"/>
    </row>
    <row r="204" spans="1:38" ht="13" x14ac:dyDescent="0.15">
      <c r="A204" s="57" t="s">
        <v>2864</v>
      </c>
      <c r="B204" s="110" t="s">
        <v>2866</v>
      </c>
      <c r="C204" s="7" t="s">
        <v>41</v>
      </c>
      <c r="D204" s="7" t="s">
        <v>3451</v>
      </c>
      <c r="E204" s="44">
        <v>5</v>
      </c>
      <c r="F204" s="7"/>
      <c r="G204" s="7"/>
      <c r="H204" s="2" t="s">
        <v>3392</v>
      </c>
      <c r="I204" s="7" t="s">
        <v>789</v>
      </c>
      <c r="J204" s="7" t="s">
        <v>3453</v>
      </c>
      <c r="K204" s="7" t="s">
        <v>48</v>
      </c>
      <c r="L204" s="7" t="s">
        <v>3456</v>
      </c>
      <c r="M204" s="7" t="s">
        <v>3395</v>
      </c>
      <c r="N204" s="45" t="str">
        <f t="shared" si="155"/>
        <v>@Tampa_Softball</v>
      </c>
      <c r="O204" s="45" t="str">
        <f t="shared" si="156"/>
        <v>Questionnaire</v>
      </c>
      <c r="P204" s="48" t="s">
        <v>414</v>
      </c>
      <c r="Q204" s="60" t="s">
        <v>66</v>
      </c>
      <c r="R204" s="48" t="s">
        <v>414</v>
      </c>
      <c r="S204" s="48" t="s">
        <v>354</v>
      </c>
      <c r="T204" s="49" t="s">
        <v>63</v>
      </c>
      <c r="U204" s="7" t="s">
        <v>75</v>
      </c>
      <c r="V204" s="7"/>
      <c r="W204" s="44">
        <v>3.4</v>
      </c>
      <c r="X204" s="49" t="s">
        <v>1509</v>
      </c>
      <c r="Y204" s="49" t="s">
        <v>2315</v>
      </c>
      <c r="Z204" s="49" t="s">
        <v>320</v>
      </c>
      <c r="AA204" s="61">
        <v>0.48</v>
      </c>
      <c r="AB204" s="71">
        <v>42716</v>
      </c>
      <c r="AC204" s="62" t="s">
        <v>414</v>
      </c>
      <c r="AD204" s="53" t="str">
        <f t="shared" si="157"/>
        <v>Link</v>
      </c>
      <c r="AE204" s="54">
        <v>7379</v>
      </c>
      <c r="AF204" s="55"/>
      <c r="AG204" s="7"/>
      <c r="AH204" s="56">
        <v>137847</v>
      </c>
      <c r="AI204" s="7"/>
      <c r="AJ204" s="7"/>
      <c r="AK204" s="7"/>
      <c r="AL204" s="7"/>
    </row>
    <row r="205" spans="1:38" ht="15" x14ac:dyDescent="0.2">
      <c r="A205" s="57" t="s">
        <v>39</v>
      </c>
      <c r="B205" s="110" t="s">
        <v>2866</v>
      </c>
      <c r="C205" s="7" t="s">
        <v>41</v>
      </c>
      <c r="D205" s="7" t="s">
        <v>3467</v>
      </c>
      <c r="E205" s="44">
        <v>5</v>
      </c>
      <c r="F205" s="7"/>
      <c r="G205" s="7"/>
      <c r="H205" s="2" t="s">
        <v>3470</v>
      </c>
      <c r="I205" s="7" t="s">
        <v>3471</v>
      </c>
      <c r="J205" s="7"/>
      <c r="K205" s="7" t="s">
        <v>3472</v>
      </c>
      <c r="L205" s="7" t="s">
        <v>3473</v>
      </c>
      <c r="M205" s="7"/>
      <c r="N205" s="45" t="str">
        <f t="shared" ref="N205:N209" si="158">HYPERLINK("twitter.com/uwfsoftball","@uwfsoftball")</f>
        <v>@uwfsoftball</v>
      </c>
      <c r="O205" s="45" t="str">
        <f t="shared" ref="O205:O209" si="159">HYPERLINK("https://goargos.com/sports/2014/12/14/GEN_1214143519.aspx","Questionnaire")</f>
        <v>Questionnaire</v>
      </c>
      <c r="P205" s="48" t="s">
        <v>3481</v>
      </c>
      <c r="Q205" s="47" t="s">
        <v>66</v>
      </c>
      <c r="R205" s="48" t="s">
        <v>3482</v>
      </c>
      <c r="S205" s="48" t="s">
        <v>186</v>
      </c>
      <c r="T205" s="49" t="s">
        <v>74</v>
      </c>
      <c r="U205" s="7" t="s">
        <v>75</v>
      </c>
      <c r="V205" s="7"/>
      <c r="W205" s="44">
        <v>3.58</v>
      </c>
      <c r="X205" s="49" t="s">
        <v>895</v>
      </c>
      <c r="Y205" s="49" t="s">
        <v>3013</v>
      </c>
      <c r="Z205" s="49" t="s">
        <v>1650</v>
      </c>
      <c r="AA205" s="61">
        <v>0.41</v>
      </c>
      <c r="AB205" s="48" t="s">
        <v>3483</v>
      </c>
      <c r="AC205" s="52" t="s">
        <v>3481</v>
      </c>
      <c r="AD205" s="53" t="str">
        <f t="shared" ref="AD205:AD209" si="160">HYPERLINK("https://uwf.edu/cse/academic-programs/undergraduate-majors-minors/","Link")</f>
        <v>Link</v>
      </c>
      <c r="AE205" s="54">
        <v>10078</v>
      </c>
      <c r="AF205" s="55"/>
      <c r="AG205" s="7"/>
      <c r="AH205" s="56">
        <v>138354</v>
      </c>
      <c r="AI205" s="7"/>
      <c r="AJ205" s="7"/>
      <c r="AK205" s="7"/>
      <c r="AL205" s="7"/>
    </row>
    <row r="206" spans="1:38" ht="15" x14ac:dyDescent="0.2">
      <c r="A206" s="57" t="s">
        <v>39</v>
      </c>
      <c r="B206" s="110" t="s">
        <v>2866</v>
      </c>
      <c r="C206" s="7" t="s">
        <v>41</v>
      </c>
      <c r="D206" s="7" t="s">
        <v>3490</v>
      </c>
      <c r="E206" s="44">
        <v>5</v>
      </c>
      <c r="F206" s="7"/>
      <c r="G206" s="7"/>
      <c r="H206" s="2" t="s">
        <v>3470</v>
      </c>
      <c r="I206" s="7" t="s">
        <v>3492</v>
      </c>
      <c r="J206" s="7" t="s">
        <v>3493</v>
      </c>
      <c r="K206" s="7" t="s">
        <v>55</v>
      </c>
      <c r="L206" s="7" t="s">
        <v>3494</v>
      </c>
      <c r="M206" s="7" t="s">
        <v>3495</v>
      </c>
      <c r="N206" s="45" t="str">
        <f t="shared" si="158"/>
        <v>@uwfsoftball</v>
      </c>
      <c r="O206" s="45" t="str">
        <f t="shared" si="159"/>
        <v>Questionnaire</v>
      </c>
      <c r="P206" s="48" t="s">
        <v>3481</v>
      </c>
      <c r="Q206" s="47" t="s">
        <v>66</v>
      </c>
      <c r="R206" s="48" t="s">
        <v>3482</v>
      </c>
      <c r="S206" s="48" t="s">
        <v>186</v>
      </c>
      <c r="T206" s="49" t="s">
        <v>74</v>
      </c>
      <c r="U206" s="7" t="s">
        <v>75</v>
      </c>
      <c r="V206" s="7"/>
      <c r="W206" s="44">
        <v>3.58</v>
      </c>
      <c r="X206" s="49" t="s">
        <v>895</v>
      </c>
      <c r="Y206" s="49" t="s">
        <v>3013</v>
      </c>
      <c r="Z206" s="49" t="s">
        <v>1650</v>
      </c>
      <c r="AA206" s="61">
        <v>0.41</v>
      </c>
      <c r="AB206" s="48" t="s">
        <v>3483</v>
      </c>
      <c r="AC206" s="52" t="s">
        <v>3481</v>
      </c>
      <c r="AD206" s="53" t="str">
        <f t="shared" si="160"/>
        <v>Link</v>
      </c>
      <c r="AE206" s="54">
        <v>10078</v>
      </c>
      <c r="AF206" s="55"/>
      <c r="AG206" s="7"/>
      <c r="AH206" s="56">
        <v>138354</v>
      </c>
      <c r="AI206" s="7"/>
      <c r="AJ206" s="7"/>
      <c r="AK206" s="7"/>
      <c r="AL206" s="7"/>
    </row>
    <row r="207" spans="1:38" ht="15" x14ac:dyDescent="0.2">
      <c r="A207" s="57" t="s">
        <v>39</v>
      </c>
      <c r="B207" s="110" t="s">
        <v>2866</v>
      </c>
      <c r="C207" s="7" t="s">
        <v>41</v>
      </c>
      <c r="D207" s="7" t="s">
        <v>3501</v>
      </c>
      <c r="E207" s="44">
        <v>5</v>
      </c>
      <c r="F207" s="7"/>
      <c r="G207" s="7"/>
      <c r="H207" s="2" t="s">
        <v>3470</v>
      </c>
      <c r="I207" s="7" t="s">
        <v>3503</v>
      </c>
      <c r="J207" s="7" t="s">
        <v>1124</v>
      </c>
      <c r="K207" s="7" t="s">
        <v>120</v>
      </c>
      <c r="L207" s="7" t="s">
        <v>3505</v>
      </c>
      <c r="M207" s="7"/>
      <c r="N207" s="45" t="str">
        <f t="shared" si="158"/>
        <v>@uwfsoftball</v>
      </c>
      <c r="O207" s="45" t="str">
        <f t="shared" si="159"/>
        <v>Questionnaire</v>
      </c>
      <c r="P207" s="48" t="s">
        <v>3481</v>
      </c>
      <c r="Q207" s="47" t="s">
        <v>66</v>
      </c>
      <c r="R207" s="48" t="s">
        <v>3482</v>
      </c>
      <c r="S207" s="48" t="s">
        <v>186</v>
      </c>
      <c r="T207" s="49" t="s">
        <v>74</v>
      </c>
      <c r="U207" s="7" t="s">
        <v>75</v>
      </c>
      <c r="V207" s="7"/>
      <c r="W207" s="44">
        <v>3.58</v>
      </c>
      <c r="X207" s="49" t="s">
        <v>895</v>
      </c>
      <c r="Y207" s="49" t="s">
        <v>3013</v>
      </c>
      <c r="Z207" s="49" t="s">
        <v>1650</v>
      </c>
      <c r="AA207" s="61">
        <v>0.41</v>
      </c>
      <c r="AB207" s="48" t="s">
        <v>3483</v>
      </c>
      <c r="AC207" s="52" t="s">
        <v>3481</v>
      </c>
      <c r="AD207" s="53" t="str">
        <f t="shared" si="160"/>
        <v>Link</v>
      </c>
      <c r="AE207" s="54">
        <v>10078</v>
      </c>
      <c r="AF207" s="55"/>
      <c r="AG207" s="7"/>
      <c r="AH207" s="56">
        <v>138354</v>
      </c>
      <c r="AI207" s="7"/>
      <c r="AJ207" s="7"/>
      <c r="AK207" s="7"/>
      <c r="AL207" s="7"/>
    </row>
    <row r="208" spans="1:38" ht="15" x14ac:dyDescent="0.2">
      <c r="A208" s="57" t="s">
        <v>39</v>
      </c>
      <c r="B208" s="110" t="s">
        <v>2866</v>
      </c>
      <c r="C208" s="7" t="s">
        <v>41</v>
      </c>
      <c r="D208" s="7" t="s">
        <v>3513</v>
      </c>
      <c r="E208" s="44">
        <v>5</v>
      </c>
      <c r="F208" s="7"/>
      <c r="G208" s="7"/>
      <c r="H208" s="2" t="s">
        <v>3470</v>
      </c>
      <c r="I208" s="7" t="s">
        <v>1717</v>
      </c>
      <c r="J208" s="7" t="s">
        <v>3514</v>
      </c>
      <c r="K208" s="7" t="s">
        <v>120</v>
      </c>
      <c r="L208" s="7" t="s">
        <v>3473</v>
      </c>
      <c r="M208" s="7"/>
      <c r="N208" s="45" t="str">
        <f t="shared" si="158"/>
        <v>@uwfsoftball</v>
      </c>
      <c r="O208" s="45" t="str">
        <f t="shared" si="159"/>
        <v>Questionnaire</v>
      </c>
      <c r="P208" s="48" t="s">
        <v>3481</v>
      </c>
      <c r="Q208" s="47" t="s">
        <v>66</v>
      </c>
      <c r="R208" s="48" t="s">
        <v>3482</v>
      </c>
      <c r="S208" s="48" t="s">
        <v>186</v>
      </c>
      <c r="T208" s="49" t="s">
        <v>74</v>
      </c>
      <c r="U208" s="7" t="s">
        <v>75</v>
      </c>
      <c r="V208" s="7"/>
      <c r="W208" s="44">
        <v>3.58</v>
      </c>
      <c r="X208" s="49" t="s">
        <v>895</v>
      </c>
      <c r="Y208" s="49" t="s">
        <v>3013</v>
      </c>
      <c r="Z208" s="49" t="s">
        <v>1650</v>
      </c>
      <c r="AA208" s="61">
        <v>0.41</v>
      </c>
      <c r="AB208" s="48" t="s">
        <v>3483</v>
      </c>
      <c r="AC208" s="52" t="s">
        <v>3481</v>
      </c>
      <c r="AD208" s="53" t="str">
        <f t="shared" si="160"/>
        <v>Link</v>
      </c>
      <c r="AE208" s="54">
        <v>10078</v>
      </c>
      <c r="AF208" s="55"/>
      <c r="AG208" s="7"/>
      <c r="AH208" s="56">
        <v>138354</v>
      </c>
      <c r="AI208" s="7"/>
      <c r="AJ208" s="7"/>
      <c r="AK208" s="7"/>
      <c r="AL208" s="7"/>
    </row>
    <row r="209" spans="1:38" ht="15" x14ac:dyDescent="0.2">
      <c r="A209" s="57" t="s">
        <v>39</v>
      </c>
      <c r="B209" s="110" t="s">
        <v>2866</v>
      </c>
      <c r="C209" s="7" t="s">
        <v>41</v>
      </c>
      <c r="D209" s="7" t="s">
        <v>3522</v>
      </c>
      <c r="E209" s="44">
        <v>5</v>
      </c>
      <c r="F209" s="7"/>
      <c r="G209" s="7"/>
      <c r="H209" s="2" t="s">
        <v>3470</v>
      </c>
      <c r="I209" s="7" t="s">
        <v>3524</v>
      </c>
      <c r="J209" s="7" t="s">
        <v>1101</v>
      </c>
      <c r="K209" s="7" t="s">
        <v>48</v>
      </c>
      <c r="L209" s="7" t="s">
        <v>3526</v>
      </c>
      <c r="M209" s="7" t="s">
        <v>3527</v>
      </c>
      <c r="N209" s="45" t="str">
        <f t="shared" si="158"/>
        <v>@uwfsoftball</v>
      </c>
      <c r="O209" s="45" t="str">
        <f t="shared" si="159"/>
        <v>Questionnaire</v>
      </c>
      <c r="P209" s="48" t="s">
        <v>3481</v>
      </c>
      <c r="Q209" s="47" t="s">
        <v>66</v>
      </c>
      <c r="R209" s="48" t="s">
        <v>3482</v>
      </c>
      <c r="S209" s="48" t="s">
        <v>186</v>
      </c>
      <c r="T209" s="49" t="s">
        <v>74</v>
      </c>
      <c r="U209" s="7" t="s">
        <v>75</v>
      </c>
      <c r="V209" s="7"/>
      <c r="W209" s="44">
        <v>3.58</v>
      </c>
      <c r="X209" s="49" t="s">
        <v>895</v>
      </c>
      <c r="Y209" s="49" t="s">
        <v>3013</v>
      </c>
      <c r="Z209" s="49" t="s">
        <v>1650</v>
      </c>
      <c r="AA209" s="61">
        <v>0.41</v>
      </c>
      <c r="AB209" s="48" t="s">
        <v>3483</v>
      </c>
      <c r="AC209" s="52" t="s">
        <v>3481</v>
      </c>
      <c r="AD209" s="53" t="str">
        <f t="shared" si="160"/>
        <v>Link</v>
      </c>
      <c r="AE209" s="54">
        <v>10078</v>
      </c>
      <c r="AF209" s="55"/>
      <c r="AG209" s="7"/>
      <c r="AH209" s="56">
        <v>138354</v>
      </c>
      <c r="AI209" s="7"/>
      <c r="AJ209" s="7"/>
      <c r="AK209" s="7"/>
      <c r="AL209" s="7"/>
    </row>
    <row r="210" spans="1:38" ht="13" x14ac:dyDescent="0.15">
      <c r="A210" s="36" t="s">
        <v>182</v>
      </c>
      <c r="B210" s="110" t="s">
        <v>1354</v>
      </c>
      <c r="C210" s="7" t="s">
        <v>41</v>
      </c>
      <c r="D210" s="7" t="s">
        <v>3533</v>
      </c>
      <c r="E210" s="44">
        <v>5</v>
      </c>
      <c r="F210" s="7"/>
      <c r="G210" s="7"/>
      <c r="H210" s="2" t="s">
        <v>3534</v>
      </c>
      <c r="I210" s="7" t="s">
        <v>306</v>
      </c>
      <c r="J210" s="7" t="s">
        <v>3535</v>
      </c>
      <c r="K210" s="7" t="s">
        <v>55</v>
      </c>
      <c r="L210" s="7" t="s">
        <v>3538</v>
      </c>
      <c r="M210" s="7"/>
      <c r="N210" s="7"/>
      <c r="O210" s="7"/>
      <c r="P210" s="48" t="s">
        <v>3539</v>
      </c>
      <c r="Q210" s="47" t="s">
        <v>871</v>
      </c>
      <c r="R210" s="48" t="s">
        <v>1501</v>
      </c>
      <c r="S210" s="48" t="s">
        <v>186</v>
      </c>
      <c r="T210" s="49" t="s">
        <v>74</v>
      </c>
      <c r="U210" s="49" t="s">
        <v>75</v>
      </c>
      <c r="V210" s="7" t="s">
        <v>212</v>
      </c>
      <c r="W210" s="44">
        <v>2.94</v>
      </c>
      <c r="X210" s="49" t="s">
        <v>3541</v>
      </c>
      <c r="Y210" s="49" t="s">
        <v>3542</v>
      </c>
      <c r="Z210" s="49" t="s">
        <v>3544</v>
      </c>
      <c r="AA210" s="51">
        <v>0.49669999999999997</v>
      </c>
      <c r="AB210" s="48" t="s">
        <v>3546</v>
      </c>
      <c r="AC210" s="92" t="s">
        <v>3539</v>
      </c>
      <c r="AD210" s="53" t="str">
        <f t="shared" ref="AD210:AD211" si="161">HYPERLINK("https://www.asurams.edu/academic-affairs/degrees-programs/","Link")</f>
        <v>Link</v>
      </c>
      <c r="AE210" s="54">
        <v>2594</v>
      </c>
      <c r="AF210" s="55"/>
      <c r="AG210" s="55"/>
      <c r="AH210" s="56">
        <v>138716</v>
      </c>
      <c r="AI210" s="85"/>
      <c r="AJ210" s="7"/>
      <c r="AK210" s="7"/>
      <c r="AL210" s="7"/>
    </row>
    <row r="211" spans="1:38" ht="13" x14ac:dyDescent="0.15">
      <c r="A211" s="36" t="s">
        <v>182</v>
      </c>
      <c r="B211" s="110" t="s">
        <v>1354</v>
      </c>
      <c r="C211" s="7" t="s">
        <v>41</v>
      </c>
      <c r="D211" s="7" t="s">
        <v>3552</v>
      </c>
      <c r="E211" s="44">
        <v>5</v>
      </c>
      <c r="F211" s="7"/>
      <c r="G211" s="7"/>
      <c r="H211" s="2" t="s">
        <v>3534</v>
      </c>
      <c r="I211" s="7" t="s">
        <v>3553</v>
      </c>
      <c r="J211" s="7" t="s">
        <v>3554</v>
      </c>
      <c r="K211" s="7" t="s">
        <v>48</v>
      </c>
      <c r="L211" s="7" t="s">
        <v>3555</v>
      </c>
      <c r="M211" s="7" t="s">
        <v>3556</v>
      </c>
      <c r="N211" s="48"/>
      <c r="O211" s="45" t="str">
        <f>HYPERLINK("http://www.asugoldenrams.com/sb_output.aspx?form=29","Questionnaire")</f>
        <v>Questionnaire</v>
      </c>
      <c r="P211" s="48" t="s">
        <v>3539</v>
      </c>
      <c r="Q211" s="47" t="s">
        <v>871</v>
      </c>
      <c r="R211" s="48" t="s">
        <v>1501</v>
      </c>
      <c r="S211" s="48" t="s">
        <v>186</v>
      </c>
      <c r="T211" s="49" t="s">
        <v>74</v>
      </c>
      <c r="U211" s="7" t="s">
        <v>75</v>
      </c>
      <c r="V211" s="7" t="s">
        <v>212</v>
      </c>
      <c r="W211" s="44">
        <v>2.94</v>
      </c>
      <c r="X211" s="49" t="s">
        <v>3541</v>
      </c>
      <c r="Y211" s="49" t="s">
        <v>3542</v>
      </c>
      <c r="Z211" s="49" t="s">
        <v>3544</v>
      </c>
      <c r="AA211" s="51">
        <v>0.49669999999999997</v>
      </c>
      <c r="AB211" s="48" t="s">
        <v>3546</v>
      </c>
      <c r="AC211" s="92" t="s">
        <v>3539</v>
      </c>
      <c r="AD211" s="53" t="str">
        <f t="shared" si="161"/>
        <v>Link</v>
      </c>
      <c r="AE211" s="54">
        <v>2594</v>
      </c>
      <c r="AF211" s="55"/>
      <c r="AG211" s="7"/>
      <c r="AH211" s="56">
        <v>138716</v>
      </c>
      <c r="AI211" s="7"/>
      <c r="AJ211" s="7"/>
      <c r="AK211" s="7"/>
      <c r="AL211" s="7"/>
    </row>
    <row r="212" spans="1:38" ht="15" x14ac:dyDescent="0.2">
      <c r="A212" s="57" t="s">
        <v>3001</v>
      </c>
      <c r="B212" s="110" t="s">
        <v>1354</v>
      </c>
      <c r="C212" s="7" t="s">
        <v>41</v>
      </c>
      <c r="D212" s="7" t="s">
        <v>3570</v>
      </c>
      <c r="E212" s="44">
        <v>5</v>
      </c>
      <c r="F212" s="7"/>
      <c r="G212" s="7"/>
      <c r="H212" s="2" t="s">
        <v>3571</v>
      </c>
      <c r="I212" s="7" t="s">
        <v>3572</v>
      </c>
      <c r="J212" s="7" t="s">
        <v>2919</v>
      </c>
      <c r="K212" s="7" t="s">
        <v>55</v>
      </c>
      <c r="L212" s="7" t="s">
        <v>3573</v>
      </c>
      <c r="M212" s="7" t="s">
        <v>3574</v>
      </c>
      <c r="N212" s="48"/>
      <c r="O212" s="45" t="str">
        <f t="shared" ref="O212:O213" si="162">HYPERLINK("https://aug.prestosports.com//information/prospective","Questionnaire")</f>
        <v>Questionnaire</v>
      </c>
      <c r="P212" s="48" t="s">
        <v>3578</v>
      </c>
      <c r="Q212" s="47" t="s">
        <v>871</v>
      </c>
      <c r="R212" s="48" t="s">
        <v>3581</v>
      </c>
      <c r="S212" s="48" t="s">
        <v>62</v>
      </c>
      <c r="T212" s="49" t="s">
        <v>74</v>
      </c>
      <c r="U212" s="7" t="s">
        <v>75</v>
      </c>
      <c r="V212" s="7"/>
      <c r="W212" s="7" t="s">
        <v>3583</v>
      </c>
      <c r="X212" s="49" t="s">
        <v>522</v>
      </c>
      <c r="Y212" s="49" t="s">
        <v>522</v>
      </c>
      <c r="Z212" s="49" t="s">
        <v>1689</v>
      </c>
      <c r="AA212" s="51">
        <v>0.7722</v>
      </c>
      <c r="AB212" s="48" t="s">
        <v>3585</v>
      </c>
      <c r="AC212" s="52" t="s">
        <v>3578</v>
      </c>
      <c r="AD212" s="53" t="str">
        <f t="shared" ref="AD212:AD213" si="163">HYPERLINK("https://www.augusta.edu/academics/programs/","Link")</f>
        <v>Link</v>
      </c>
      <c r="AE212" s="54">
        <v>5133</v>
      </c>
      <c r="AF212" s="55"/>
      <c r="AG212" s="7"/>
      <c r="AH212" s="56">
        <v>138983</v>
      </c>
      <c r="AI212" s="7"/>
      <c r="AJ212" s="7"/>
      <c r="AK212" s="7"/>
      <c r="AL212" s="7"/>
    </row>
    <row r="213" spans="1:38" ht="15" x14ac:dyDescent="0.2">
      <c r="A213" s="57" t="s">
        <v>3001</v>
      </c>
      <c r="B213" s="110" t="s">
        <v>1354</v>
      </c>
      <c r="C213" s="7" t="s">
        <v>41</v>
      </c>
      <c r="D213" s="7" t="s">
        <v>3589</v>
      </c>
      <c r="E213" s="44">
        <v>5</v>
      </c>
      <c r="F213" s="7"/>
      <c r="G213" s="7"/>
      <c r="H213" s="2" t="s">
        <v>3571</v>
      </c>
      <c r="I213" s="7" t="s">
        <v>1163</v>
      </c>
      <c r="J213" s="7" t="s">
        <v>3597</v>
      </c>
      <c r="K213" s="7" t="s">
        <v>48</v>
      </c>
      <c r="L213" s="7" t="s">
        <v>3598</v>
      </c>
      <c r="M213" s="7" t="s">
        <v>3599</v>
      </c>
      <c r="N213" s="48"/>
      <c r="O213" s="45" t="str">
        <f t="shared" si="162"/>
        <v>Questionnaire</v>
      </c>
      <c r="P213" s="48" t="s">
        <v>3578</v>
      </c>
      <c r="Q213" s="47" t="s">
        <v>871</v>
      </c>
      <c r="R213" s="48" t="s">
        <v>3581</v>
      </c>
      <c r="S213" s="48" t="s">
        <v>62</v>
      </c>
      <c r="T213" s="49" t="s">
        <v>74</v>
      </c>
      <c r="U213" s="7" t="s">
        <v>75</v>
      </c>
      <c r="V213" s="7"/>
      <c r="W213" s="7" t="s">
        <v>3583</v>
      </c>
      <c r="X213" s="49" t="s">
        <v>522</v>
      </c>
      <c r="Y213" s="49" t="s">
        <v>522</v>
      </c>
      <c r="Z213" s="49" t="s">
        <v>1689</v>
      </c>
      <c r="AA213" s="51">
        <v>0.7722</v>
      </c>
      <c r="AB213" s="48" t="s">
        <v>3585</v>
      </c>
      <c r="AC213" s="52" t="s">
        <v>3578</v>
      </c>
      <c r="AD213" s="53" t="str">
        <f t="shared" si="163"/>
        <v>Link</v>
      </c>
      <c r="AE213" s="54">
        <v>5133</v>
      </c>
      <c r="AF213" s="55"/>
      <c r="AG213" s="7"/>
      <c r="AH213" s="56">
        <v>138983</v>
      </c>
      <c r="AI213" s="7"/>
      <c r="AJ213" s="7"/>
      <c r="AK213" s="7"/>
      <c r="AL213" s="7"/>
    </row>
    <row r="214" spans="1:38" ht="15" x14ac:dyDescent="0.2">
      <c r="A214" s="36" t="s">
        <v>182</v>
      </c>
      <c r="B214" s="110" t="s">
        <v>1354</v>
      </c>
      <c r="C214" s="7" t="s">
        <v>41</v>
      </c>
      <c r="D214" s="7" t="s">
        <v>3600</v>
      </c>
      <c r="E214" s="44">
        <v>5</v>
      </c>
      <c r="F214" s="7"/>
      <c r="G214" s="7"/>
      <c r="H214" s="2" t="s">
        <v>3602</v>
      </c>
      <c r="I214" s="7" t="s">
        <v>206</v>
      </c>
      <c r="J214" s="7" t="s">
        <v>263</v>
      </c>
      <c r="K214" s="7" t="s">
        <v>919</v>
      </c>
      <c r="L214" s="7"/>
      <c r="M214" s="7"/>
      <c r="N214" s="45" t="str">
        <f t="shared" ref="N214:N220" si="164">HYPERLINK("twitter.com/cau_softball","@cau_softball")</f>
        <v>@cau_softball</v>
      </c>
      <c r="O214" s="45" t="str">
        <f t="shared" ref="O214:O220" si="165">HYPERLINK("https://clarkatlantasports.com/sb_output.aspx?form=3","Questionnaire")</f>
        <v>Questionnaire</v>
      </c>
      <c r="P214" s="48" t="s">
        <v>3608</v>
      </c>
      <c r="Q214" s="47" t="s">
        <v>871</v>
      </c>
      <c r="R214" s="48" t="s">
        <v>887</v>
      </c>
      <c r="S214" s="48" t="s">
        <v>354</v>
      </c>
      <c r="T214" s="49" t="s">
        <v>63</v>
      </c>
      <c r="U214" s="49" t="s">
        <v>65</v>
      </c>
      <c r="V214" s="7" t="s">
        <v>212</v>
      </c>
      <c r="W214" s="44">
        <v>3</v>
      </c>
      <c r="X214" s="49" t="s">
        <v>3613</v>
      </c>
      <c r="Y214" s="49" t="s">
        <v>3614</v>
      </c>
      <c r="Z214" s="49" t="s">
        <v>2879</v>
      </c>
      <c r="AA214" s="51">
        <v>0.71840000000000004</v>
      </c>
      <c r="AB214" s="71">
        <v>37761</v>
      </c>
      <c r="AC214" s="52" t="s">
        <v>3608</v>
      </c>
      <c r="AD214" s="53" t="str">
        <f t="shared" ref="AD214:AD220" si="166">HYPERLINK("http://www.cau.edu/academics/index.html","Link")</f>
        <v>Link</v>
      </c>
      <c r="AE214" s="54">
        <v>3093</v>
      </c>
      <c r="AF214" s="55"/>
      <c r="AG214" s="55"/>
      <c r="AH214" s="56">
        <v>138947</v>
      </c>
      <c r="AI214" s="85"/>
      <c r="AJ214" s="7"/>
      <c r="AK214" s="7"/>
      <c r="AL214" s="7"/>
    </row>
    <row r="215" spans="1:38" ht="15" x14ac:dyDescent="0.2">
      <c r="A215" s="36" t="s">
        <v>182</v>
      </c>
      <c r="B215" s="110" t="s">
        <v>1354</v>
      </c>
      <c r="C215" s="7" t="s">
        <v>41</v>
      </c>
      <c r="D215" s="7" t="s">
        <v>3617</v>
      </c>
      <c r="E215" s="44">
        <v>5</v>
      </c>
      <c r="F215" s="7"/>
      <c r="G215" s="7"/>
      <c r="H215" s="2" t="s">
        <v>3602</v>
      </c>
      <c r="I215" s="7" t="s">
        <v>3619</v>
      </c>
      <c r="J215" s="7" t="s">
        <v>3620</v>
      </c>
      <c r="K215" s="7" t="s">
        <v>55</v>
      </c>
      <c r="L215" s="7"/>
      <c r="M215" s="7"/>
      <c r="N215" s="45" t="str">
        <f t="shared" si="164"/>
        <v>@cau_softball</v>
      </c>
      <c r="O215" s="45" t="str">
        <f t="shared" si="165"/>
        <v>Questionnaire</v>
      </c>
      <c r="P215" s="48" t="s">
        <v>3608</v>
      </c>
      <c r="Q215" s="47" t="s">
        <v>871</v>
      </c>
      <c r="R215" s="48" t="s">
        <v>887</v>
      </c>
      <c r="S215" s="48" t="s">
        <v>354</v>
      </c>
      <c r="T215" s="49" t="s">
        <v>63</v>
      </c>
      <c r="U215" s="49" t="s">
        <v>65</v>
      </c>
      <c r="V215" s="7" t="s">
        <v>212</v>
      </c>
      <c r="W215" s="44">
        <v>3</v>
      </c>
      <c r="X215" s="49" t="s">
        <v>3613</v>
      </c>
      <c r="Y215" s="49" t="s">
        <v>3614</v>
      </c>
      <c r="Z215" s="49" t="s">
        <v>2879</v>
      </c>
      <c r="AA215" s="51">
        <v>0.71840000000000004</v>
      </c>
      <c r="AB215" s="71">
        <v>37761</v>
      </c>
      <c r="AC215" s="52" t="s">
        <v>3608</v>
      </c>
      <c r="AD215" s="53" t="str">
        <f t="shared" si="166"/>
        <v>Link</v>
      </c>
      <c r="AE215" s="54">
        <v>3093</v>
      </c>
      <c r="AF215" s="55"/>
      <c r="AG215" s="55"/>
      <c r="AH215" s="56">
        <v>138947</v>
      </c>
      <c r="AI215" s="85"/>
      <c r="AJ215" s="7"/>
      <c r="AK215" s="7"/>
      <c r="AL215" s="7"/>
    </row>
    <row r="216" spans="1:38" ht="15" x14ac:dyDescent="0.2">
      <c r="A216" s="36" t="s">
        <v>182</v>
      </c>
      <c r="B216" s="110" t="s">
        <v>1354</v>
      </c>
      <c r="C216" s="7" t="s">
        <v>41</v>
      </c>
      <c r="D216" s="7" t="s">
        <v>3627</v>
      </c>
      <c r="E216" s="44">
        <v>5</v>
      </c>
      <c r="F216" s="7"/>
      <c r="G216" s="7"/>
      <c r="H216" s="2" t="s">
        <v>3602</v>
      </c>
      <c r="I216" s="7" t="s">
        <v>1589</v>
      </c>
      <c r="J216" s="7" t="s">
        <v>136</v>
      </c>
      <c r="K216" s="7" t="s">
        <v>55</v>
      </c>
      <c r="L216" s="7"/>
      <c r="M216" s="7" t="s">
        <v>3628</v>
      </c>
      <c r="N216" s="45" t="str">
        <f t="shared" si="164"/>
        <v>@cau_softball</v>
      </c>
      <c r="O216" s="45" t="str">
        <f t="shared" si="165"/>
        <v>Questionnaire</v>
      </c>
      <c r="P216" s="48" t="s">
        <v>3608</v>
      </c>
      <c r="Q216" s="47" t="s">
        <v>871</v>
      </c>
      <c r="R216" s="48" t="s">
        <v>887</v>
      </c>
      <c r="S216" s="48" t="s">
        <v>354</v>
      </c>
      <c r="T216" s="49" t="s">
        <v>63</v>
      </c>
      <c r="U216" s="7" t="s">
        <v>65</v>
      </c>
      <c r="V216" s="7" t="s">
        <v>212</v>
      </c>
      <c r="W216" s="44">
        <v>3</v>
      </c>
      <c r="X216" s="49" t="s">
        <v>3613</v>
      </c>
      <c r="Y216" s="49" t="s">
        <v>3614</v>
      </c>
      <c r="Z216" s="49" t="s">
        <v>2879</v>
      </c>
      <c r="AA216" s="51">
        <v>0.71840000000000004</v>
      </c>
      <c r="AB216" s="71">
        <v>37761</v>
      </c>
      <c r="AC216" s="52" t="s">
        <v>3608</v>
      </c>
      <c r="AD216" s="53" t="str">
        <f t="shared" si="166"/>
        <v>Link</v>
      </c>
      <c r="AE216" s="54">
        <v>3093</v>
      </c>
      <c r="AF216" s="55"/>
      <c r="AG216" s="7"/>
      <c r="AH216" s="56">
        <v>138947</v>
      </c>
      <c r="AI216" s="7"/>
      <c r="AJ216" s="7"/>
      <c r="AK216" s="7"/>
      <c r="AL216" s="7"/>
    </row>
    <row r="217" spans="1:38" ht="15" x14ac:dyDescent="0.2">
      <c r="A217" s="36" t="s">
        <v>182</v>
      </c>
      <c r="B217" s="110" t="s">
        <v>1354</v>
      </c>
      <c r="C217" s="7" t="s">
        <v>41</v>
      </c>
      <c r="D217" s="7" t="s">
        <v>3634</v>
      </c>
      <c r="E217" s="44">
        <v>5</v>
      </c>
      <c r="F217" s="7"/>
      <c r="G217" s="7"/>
      <c r="H217" s="2" t="s">
        <v>3602</v>
      </c>
      <c r="I217" s="7" t="s">
        <v>3636</v>
      </c>
      <c r="J217" s="7" t="s">
        <v>3637</v>
      </c>
      <c r="K217" s="7" t="s">
        <v>55</v>
      </c>
      <c r="L217" s="7"/>
      <c r="M217" s="7"/>
      <c r="N217" s="45" t="str">
        <f t="shared" si="164"/>
        <v>@cau_softball</v>
      </c>
      <c r="O217" s="45" t="str">
        <f t="shared" si="165"/>
        <v>Questionnaire</v>
      </c>
      <c r="P217" s="48" t="s">
        <v>3608</v>
      </c>
      <c r="Q217" s="47" t="s">
        <v>871</v>
      </c>
      <c r="R217" s="48" t="s">
        <v>887</v>
      </c>
      <c r="S217" s="48" t="s">
        <v>354</v>
      </c>
      <c r="T217" s="49" t="s">
        <v>63</v>
      </c>
      <c r="U217" s="7" t="s">
        <v>65</v>
      </c>
      <c r="V217" s="7" t="s">
        <v>212</v>
      </c>
      <c r="W217" s="44">
        <v>3</v>
      </c>
      <c r="X217" s="49" t="s">
        <v>3613</v>
      </c>
      <c r="Y217" s="49" t="s">
        <v>3614</v>
      </c>
      <c r="Z217" s="49" t="s">
        <v>2879</v>
      </c>
      <c r="AA217" s="51">
        <v>0.71840000000000004</v>
      </c>
      <c r="AB217" s="71">
        <v>37761</v>
      </c>
      <c r="AC217" s="52" t="s">
        <v>3608</v>
      </c>
      <c r="AD217" s="53" t="str">
        <f t="shared" si="166"/>
        <v>Link</v>
      </c>
      <c r="AE217" s="54">
        <v>3093</v>
      </c>
      <c r="AF217" s="55"/>
      <c r="AG217" s="7"/>
      <c r="AH217" s="56">
        <v>138947</v>
      </c>
      <c r="AI217" s="7"/>
      <c r="AJ217" s="7"/>
      <c r="AK217" s="7"/>
      <c r="AL217" s="7"/>
    </row>
    <row r="218" spans="1:38" ht="15" x14ac:dyDescent="0.2">
      <c r="A218" s="36" t="s">
        <v>182</v>
      </c>
      <c r="B218" s="110" t="s">
        <v>1354</v>
      </c>
      <c r="C218" s="7" t="s">
        <v>41</v>
      </c>
      <c r="D218" s="7" t="s">
        <v>3644</v>
      </c>
      <c r="E218" s="44">
        <v>5</v>
      </c>
      <c r="F218" s="7"/>
      <c r="G218" s="7" t="s">
        <v>126</v>
      </c>
      <c r="H218" s="2" t="s">
        <v>3602</v>
      </c>
      <c r="I218" s="7" t="s">
        <v>3646</v>
      </c>
      <c r="J218" s="7"/>
      <c r="K218" s="7"/>
      <c r="L218" s="7"/>
      <c r="M218" s="7"/>
      <c r="N218" s="45" t="str">
        <f t="shared" si="164"/>
        <v>@cau_softball</v>
      </c>
      <c r="O218" s="45" t="str">
        <f t="shared" si="165"/>
        <v>Questionnaire</v>
      </c>
      <c r="P218" s="48" t="s">
        <v>3608</v>
      </c>
      <c r="Q218" s="47" t="s">
        <v>871</v>
      </c>
      <c r="R218" s="48" t="s">
        <v>887</v>
      </c>
      <c r="S218" s="48" t="s">
        <v>354</v>
      </c>
      <c r="T218" s="49" t="s">
        <v>63</v>
      </c>
      <c r="U218" s="7" t="s">
        <v>65</v>
      </c>
      <c r="V218" s="7" t="s">
        <v>212</v>
      </c>
      <c r="W218" s="44">
        <v>3</v>
      </c>
      <c r="X218" s="49" t="s">
        <v>3613</v>
      </c>
      <c r="Y218" s="49" t="s">
        <v>3614</v>
      </c>
      <c r="Z218" s="49" t="s">
        <v>2879</v>
      </c>
      <c r="AA218" s="51">
        <v>0.71840000000000004</v>
      </c>
      <c r="AB218" s="71">
        <v>37761</v>
      </c>
      <c r="AC218" s="52" t="s">
        <v>3608</v>
      </c>
      <c r="AD218" s="53" t="str">
        <f t="shared" si="166"/>
        <v>Link</v>
      </c>
      <c r="AE218" s="54">
        <v>3093</v>
      </c>
      <c r="AF218" s="55"/>
      <c r="AG218" s="7"/>
      <c r="AH218" s="56">
        <v>138947</v>
      </c>
      <c r="AI218" s="7"/>
      <c r="AJ218" s="7"/>
      <c r="AK218" s="7"/>
      <c r="AL218" s="7"/>
    </row>
    <row r="219" spans="1:38" ht="15" x14ac:dyDescent="0.2">
      <c r="A219" s="36" t="s">
        <v>182</v>
      </c>
      <c r="B219" s="110" t="s">
        <v>1354</v>
      </c>
      <c r="C219" s="7" t="s">
        <v>41</v>
      </c>
      <c r="D219" s="7" t="s">
        <v>3649</v>
      </c>
      <c r="E219" s="44">
        <v>5</v>
      </c>
      <c r="F219" s="7"/>
      <c r="G219" s="7"/>
      <c r="H219" s="2" t="s">
        <v>3602</v>
      </c>
      <c r="I219" s="7" t="s">
        <v>3650</v>
      </c>
      <c r="J219" s="7" t="s">
        <v>1349</v>
      </c>
      <c r="K219" s="7" t="s">
        <v>55</v>
      </c>
      <c r="L219" s="7"/>
      <c r="M219" s="7"/>
      <c r="N219" s="45" t="str">
        <f t="shared" si="164"/>
        <v>@cau_softball</v>
      </c>
      <c r="O219" s="45" t="str">
        <f t="shared" si="165"/>
        <v>Questionnaire</v>
      </c>
      <c r="P219" s="48" t="s">
        <v>3608</v>
      </c>
      <c r="Q219" s="47" t="s">
        <v>871</v>
      </c>
      <c r="R219" s="48" t="s">
        <v>887</v>
      </c>
      <c r="S219" s="48" t="s">
        <v>354</v>
      </c>
      <c r="T219" s="49" t="s">
        <v>63</v>
      </c>
      <c r="U219" s="7" t="s">
        <v>65</v>
      </c>
      <c r="V219" s="7" t="s">
        <v>212</v>
      </c>
      <c r="W219" s="44">
        <v>3</v>
      </c>
      <c r="X219" s="49" t="s">
        <v>3613</v>
      </c>
      <c r="Y219" s="49" t="s">
        <v>3614</v>
      </c>
      <c r="Z219" s="49" t="s">
        <v>2879</v>
      </c>
      <c r="AA219" s="51">
        <v>0.71840000000000004</v>
      </c>
      <c r="AB219" s="71">
        <v>37761</v>
      </c>
      <c r="AC219" s="52" t="s">
        <v>3608</v>
      </c>
      <c r="AD219" s="53" t="str">
        <f t="shared" si="166"/>
        <v>Link</v>
      </c>
      <c r="AE219" s="54">
        <v>3093</v>
      </c>
      <c r="AF219" s="55"/>
      <c r="AG219" s="7"/>
      <c r="AH219" s="56">
        <v>138947</v>
      </c>
      <c r="AI219" s="7"/>
      <c r="AJ219" s="7"/>
      <c r="AK219" s="7"/>
      <c r="AL219" s="7"/>
    </row>
    <row r="220" spans="1:38" ht="15" x14ac:dyDescent="0.2">
      <c r="A220" s="36" t="s">
        <v>182</v>
      </c>
      <c r="B220" s="110" t="s">
        <v>1354</v>
      </c>
      <c r="C220" s="7" t="s">
        <v>41</v>
      </c>
      <c r="D220" s="7" t="s">
        <v>3655</v>
      </c>
      <c r="E220" s="44">
        <v>5</v>
      </c>
      <c r="F220" s="7"/>
      <c r="G220" s="7"/>
      <c r="H220" s="2" t="s">
        <v>3602</v>
      </c>
      <c r="I220" s="7" t="s">
        <v>3656</v>
      </c>
      <c r="J220" s="7" t="s">
        <v>3657</v>
      </c>
      <c r="K220" s="7" t="s">
        <v>48</v>
      </c>
      <c r="L220" s="7" t="s">
        <v>3658</v>
      </c>
      <c r="M220" s="7" t="s">
        <v>3628</v>
      </c>
      <c r="N220" s="45" t="str">
        <f t="shared" si="164"/>
        <v>@cau_softball</v>
      </c>
      <c r="O220" s="45" t="str">
        <f t="shared" si="165"/>
        <v>Questionnaire</v>
      </c>
      <c r="P220" s="48" t="s">
        <v>3608</v>
      </c>
      <c r="Q220" s="47" t="s">
        <v>871</v>
      </c>
      <c r="R220" s="48" t="s">
        <v>887</v>
      </c>
      <c r="S220" s="48" t="s">
        <v>354</v>
      </c>
      <c r="T220" s="49" t="s">
        <v>63</v>
      </c>
      <c r="U220" s="7" t="s">
        <v>65</v>
      </c>
      <c r="V220" s="7" t="s">
        <v>212</v>
      </c>
      <c r="W220" s="44">
        <v>3</v>
      </c>
      <c r="X220" s="49" t="s">
        <v>3613</v>
      </c>
      <c r="Y220" s="49" t="s">
        <v>3614</v>
      </c>
      <c r="Z220" s="49" t="s">
        <v>2879</v>
      </c>
      <c r="AA220" s="51">
        <v>0.71840000000000004</v>
      </c>
      <c r="AB220" s="71">
        <v>37761</v>
      </c>
      <c r="AC220" s="52" t="s">
        <v>3608</v>
      </c>
      <c r="AD220" s="53" t="str">
        <f t="shared" si="166"/>
        <v>Link</v>
      </c>
      <c r="AE220" s="54">
        <v>3093</v>
      </c>
      <c r="AF220" s="55"/>
      <c r="AG220" s="7"/>
      <c r="AH220" s="56">
        <v>138947</v>
      </c>
      <c r="AI220" s="7"/>
      <c r="AJ220" s="7"/>
      <c r="AK220" s="7"/>
      <c r="AL220" s="7"/>
    </row>
    <row r="221" spans="1:38" ht="13" x14ac:dyDescent="0.15">
      <c r="A221" s="57" t="s">
        <v>3001</v>
      </c>
      <c r="B221" s="110" t="s">
        <v>1354</v>
      </c>
      <c r="C221" s="7" t="s">
        <v>41</v>
      </c>
      <c r="D221" s="7" t="s">
        <v>3663</v>
      </c>
      <c r="E221" s="44">
        <v>5</v>
      </c>
      <c r="F221" s="7"/>
      <c r="G221" s="7"/>
      <c r="H221" s="2" t="s">
        <v>3665</v>
      </c>
      <c r="I221" s="7" t="s">
        <v>234</v>
      </c>
      <c r="J221" s="7" t="s">
        <v>759</v>
      </c>
      <c r="K221" s="7" t="s">
        <v>55</v>
      </c>
      <c r="L221" s="7" t="s">
        <v>3668</v>
      </c>
      <c r="M221" s="7" t="s">
        <v>3669</v>
      </c>
      <c r="N221" s="45" t="str">
        <f t="shared" ref="N221:N224" si="167">HYPERLINK("twitter.com/CSUCougarsSB","@CSUCougarsSB")</f>
        <v>@CSUCougarsSB</v>
      </c>
      <c r="O221" s="45" t="str">
        <f t="shared" ref="O221:O224" si="168">HYPERLINK("https://csucougars.com/sb_output.aspx?form=3","Questionnaire")</f>
        <v>Questionnaire</v>
      </c>
      <c r="P221" s="48" t="s">
        <v>3672</v>
      </c>
      <c r="Q221" s="47" t="s">
        <v>871</v>
      </c>
      <c r="R221" s="48" t="s">
        <v>3674</v>
      </c>
      <c r="S221" s="48" t="s">
        <v>62</v>
      </c>
      <c r="T221" s="49" t="s">
        <v>74</v>
      </c>
      <c r="U221" s="7" t="s">
        <v>75</v>
      </c>
      <c r="V221" s="7" t="s">
        <v>3678</v>
      </c>
      <c r="W221" s="7" t="s">
        <v>214</v>
      </c>
      <c r="X221" s="49" t="s">
        <v>1628</v>
      </c>
      <c r="Y221" s="49" t="s">
        <v>1453</v>
      </c>
      <c r="Z221" s="49" t="s">
        <v>1339</v>
      </c>
      <c r="AA221" s="61">
        <v>0.53</v>
      </c>
      <c r="AB221" s="48" t="s">
        <v>3682</v>
      </c>
      <c r="AC221" s="62" t="s">
        <v>3672</v>
      </c>
      <c r="AD221" s="53" t="str">
        <f t="shared" ref="AD221:AD224" si="169">HYPERLINK("https://academics.columbusstate.edu/catalogs/current/degreesandprograms/degrees.php","Link")</f>
        <v>Link</v>
      </c>
      <c r="AE221" s="54">
        <v>6789</v>
      </c>
      <c r="AF221" s="55"/>
      <c r="AG221" s="7"/>
      <c r="AH221" s="56">
        <v>139366</v>
      </c>
      <c r="AI221" s="7"/>
      <c r="AJ221" s="7"/>
      <c r="AK221" s="7"/>
      <c r="AL221" s="7"/>
    </row>
    <row r="222" spans="1:38" ht="13" x14ac:dyDescent="0.15">
      <c r="A222" s="57" t="s">
        <v>3001</v>
      </c>
      <c r="B222" s="110" t="s">
        <v>1354</v>
      </c>
      <c r="C222" s="7" t="s">
        <v>41</v>
      </c>
      <c r="D222" s="7" t="s">
        <v>3685</v>
      </c>
      <c r="E222" s="44">
        <v>5</v>
      </c>
      <c r="F222" s="7"/>
      <c r="G222" s="7"/>
      <c r="H222" s="2" t="s">
        <v>3665</v>
      </c>
      <c r="I222" s="7" t="s">
        <v>552</v>
      </c>
      <c r="J222" s="7" t="s">
        <v>3687</v>
      </c>
      <c r="K222" s="7" t="s">
        <v>120</v>
      </c>
      <c r="L222" s="7" t="s">
        <v>3689</v>
      </c>
      <c r="M222" s="7" t="s">
        <v>3669</v>
      </c>
      <c r="N222" s="45" t="str">
        <f t="shared" si="167"/>
        <v>@CSUCougarsSB</v>
      </c>
      <c r="O222" s="45" t="str">
        <f t="shared" si="168"/>
        <v>Questionnaire</v>
      </c>
      <c r="P222" s="48" t="s">
        <v>3672</v>
      </c>
      <c r="Q222" s="47" t="s">
        <v>871</v>
      </c>
      <c r="R222" s="48" t="s">
        <v>3674</v>
      </c>
      <c r="S222" s="48" t="s">
        <v>62</v>
      </c>
      <c r="T222" s="49" t="s">
        <v>74</v>
      </c>
      <c r="U222" s="7" t="s">
        <v>75</v>
      </c>
      <c r="V222" s="7" t="s">
        <v>3678</v>
      </c>
      <c r="W222" s="7" t="s">
        <v>214</v>
      </c>
      <c r="X222" s="49" t="s">
        <v>1628</v>
      </c>
      <c r="Y222" s="49" t="s">
        <v>1453</v>
      </c>
      <c r="Z222" s="49" t="s">
        <v>1339</v>
      </c>
      <c r="AA222" s="61">
        <v>0.53</v>
      </c>
      <c r="AB222" s="48" t="s">
        <v>3682</v>
      </c>
      <c r="AC222" s="62" t="s">
        <v>3672</v>
      </c>
      <c r="AD222" s="53" t="str">
        <f t="shared" si="169"/>
        <v>Link</v>
      </c>
      <c r="AE222" s="54">
        <v>6789</v>
      </c>
      <c r="AF222" s="55"/>
      <c r="AG222" s="7"/>
      <c r="AH222" s="56">
        <v>139366</v>
      </c>
      <c r="AI222" s="7"/>
      <c r="AJ222" s="7"/>
      <c r="AK222" s="7"/>
      <c r="AL222" s="7"/>
    </row>
    <row r="223" spans="1:38" ht="13" x14ac:dyDescent="0.15">
      <c r="A223" s="57" t="s">
        <v>3001</v>
      </c>
      <c r="B223" s="110" t="s">
        <v>1354</v>
      </c>
      <c r="C223" s="7" t="s">
        <v>41</v>
      </c>
      <c r="D223" s="7" t="s">
        <v>3695</v>
      </c>
      <c r="E223" s="44">
        <v>5</v>
      </c>
      <c r="F223" s="7"/>
      <c r="G223" s="7"/>
      <c r="H223" s="2" t="s">
        <v>3665</v>
      </c>
      <c r="I223" s="7" t="s">
        <v>3696</v>
      </c>
      <c r="J223" s="7" t="s">
        <v>3697</v>
      </c>
      <c r="K223" s="7" t="s">
        <v>120</v>
      </c>
      <c r="L223" s="7" t="s">
        <v>3698</v>
      </c>
      <c r="M223" s="7" t="s">
        <v>3669</v>
      </c>
      <c r="N223" s="45" t="str">
        <f t="shared" si="167"/>
        <v>@CSUCougarsSB</v>
      </c>
      <c r="O223" s="45" t="str">
        <f t="shared" si="168"/>
        <v>Questionnaire</v>
      </c>
      <c r="P223" s="48" t="s">
        <v>3672</v>
      </c>
      <c r="Q223" s="47" t="s">
        <v>871</v>
      </c>
      <c r="R223" s="48" t="s">
        <v>3674</v>
      </c>
      <c r="S223" s="48" t="s">
        <v>62</v>
      </c>
      <c r="T223" s="49" t="s">
        <v>74</v>
      </c>
      <c r="U223" s="7" t="s">
        <v>75</v>
      </c>
      <c r="V223" s="7" t="s">
        <v>3678</v>
      </c>
      <c r="W223" s="7" t="s">
        <v>214</v>
      </c>
      <c r="X223" s="49" t="s">
        <v>1628</v>
      </c>
      <c r="Y223" s="49" t="s">
        <v>1453</v>
      </c>
      <c r="Z223" s="49" t="s">
        <v>1339</v>
      </c>
      <c r="AA223" s="61">
        <v>0.53</v>
      </c>
      <c r="AB223" s="48" t="s">
        <v>3682</v>
      </c>
      <c r="AC223" s="62" t="s">
        <v>3672</v>
      </c>
      <c r="AD223" s="53" t="str">
        <f t="shared" si="169"/>
        <v>Link</v>
      </c>
      <c r="AE223" s="54">
        <v>6789</v>
      </c>
      <c r="AF223" s="55"/>
      <c r="AG223" s="7"/>
      <c r="AH223" s="56">
        <v>139366</v>
      </c>
      <c r="AI223" s="7"/>
      <c r="AJ223" s="7"/>
      <c r="AK223" s="7"/>
      <c r="AL223" s="7"/>
    </row>
    <row r="224" spans="1:38" ht="13" x14ac:dyDescent="0.15">
      <c r="A224" s="57" t="s">
        <v>3001</v>
      </c>
      <c r="B224" s="110" t="s">
        <v>1354</v>
      </c>
      <c r="C224" s="7" t="s">
        <v>41</v>
      </c>
      <c r="D224" s="7" t="s">
        <v>3705</v>
      </c>
      <c r="E224" s="44">
        <v>5</v>
      </c>
      <c r="F224" s="7"/>
      <c r="G224" s="7"/>
      <c r="H224" s="2" t="s">
        <v>3665</v>
      </c>
      <c r="I224" s="7" t="s">
        <v>2705</v>
      </c>
      <c r="J224" s="7" t="s">
        <v>3707</v>
      </c>
      <c r="K224" s="7" t="s">
        <v>48</v>
      </c>
      <c r="L224" s="7" t="s">
        <v>3708</v>
      </c>
      <c r="M224" s="7" t="s">
        <v>3669</v>
      </c>
      <c r="N224" s="45" t="str">
        <f t="shared" si="167"/>
        <v>@CSUCougarsSB</v>
      </c>
      <c r="O224" s="45" t="str">
        <f t="shared" si="168"/>
        <v>Questionnaire</v>
      </c>
      <c r="P224" s="48" t="s">
        <v>3672</v>
      </c>
      <c r="Q224" s="47" t="s">
        <v>871</v>
      </c>
      <c r="R224" s="48" t="s">
        <v>3674</v>
      </c>
      <c r="S224" s="48" t="s">
        <v>62</v>
      </c>
      <c r="T224" s="49" t="s">
        <v>74</v>
      </c>
      <c r="U224" s="7" t="s">
        <v>75</v>
      </c>
      <c r="V224" s="7" t="s">
        <v>3678</v>
      </c>
      <c r="W224" s="7" t="s">
        <v>214</v>
      </c>
      <c r="X224" s="49" t="s">
        <v>1628</v>
      </c>
      <c r="Y224" s="49" t="s">
        <v>1453</v>
      </c>
      <c r="Z224" s="49" t="s">
        <v>1339</v>
      </c>
      <c r="AA224" s="61">
        <v>0.53</v>
      </c>
      <c r="AB224" s="48" t="s">
        <v>3682</v>
      </c>
      <c r="AC224" s="62" t="s">
        <v>3672</v>
      </c>
      <c r="AD224" s="53" t="str">
        <f t="shared" si="169"/>
        <v>Link</v>
      </c>
      <c r="AE224" s="54">
        <v>6789</v>
      </c>
      <c r="AF224" s="55"/>
      <c r="AG224" s="7"/>
      <c r="AH224" s="56">
        <v>139366</v>
      </c>
      <c r="AI224" s="7"/>
      <c r="AJ224" s="7"/>
      <c r="AK224" s="7"/>
      <c r="AL224" s="7"/>
    </row>
    <row r="225" spans="1:38" ht="15" x14ac:dyDescent="0.2">
      <c r="A225" s="57" t="s">
        <v>3712</v>
      </c>
      <c r="B225" s="110" t="s">
        <v>1354</v>
      </c>
      <c r="C225" s="7" t="s">
        <v>41</v>
      </c>
      <c r="D225" s="7" t="s">
        <v>3713</v>
      </c>
      <c r="E225" s="44">
        <v>5</v>
      </c>
      <c r="F225" s="7"/>
      <c r="G225" s="7"/>
      <c r="H225" s="2" t="s">
        <v>3714</v>
      </c>
      <c r="I225" s="7" t="s">
        <v>3715</v>
      </c>
      <c r="J225" s="7" t="s">
        <v>3716</v>
      </c>
      <c r="K225" s="7" t="s">
        <v>48</v>
      </c>
      <c r="L225" s="7" t="s">
        <v>3717</v>
      </c>
      <c r="M225" s="7" t="s">
        <v>3718</v>
      </c>
      <c r="N225" s="45" t="str">
        <f t="shared" ref="N225:N227" si="170">HYPERLINK("twitter.com/ec_sftball","@ec_sftball")</f>
        <v>@ec_sftball</v>
      </c>
      <c r="O225" s="45" t="str">
        <f t="shared" ref="O225:O227" si="171">HYPERLINK("https://goeclions.com/recruit_me/RecrutingMainPage","Questionnaire")</f>
        <v>Questionnaire</v>
      </c>
      <c r="P225" s="48" t="s">
        <v>3733</v>
      </c>
      <c r="Q225" s="47" t="s">
        <v>871</v>
      </c>
      <c r="R225" s="48" t="s">
        <v>3734</v>
      </c>
      <c r="S225" s="60" t="s">
        <v>205</v>
      </c>
      <c r="T225" s="49" t="s">
        <v>63</v>
      </c>
      <c r="U225" s="7" t="s">
        <v>3735</v>
      </c>
      <c r="V225" s="7"/>
      <c r="W225" s="44">
        <v>3.25</v>
      </c>
      <c r="X225" s="49" t="s">
        <v>3484</v>
      </c>
      <c r="Y225" s="49" t="s">
        <v>1338</v>
      </c>
      <c r="Z225" s="49" t="s">
        <v>2879</v>
      </c>
      <c r="AA225" s="61">
        <v>0.41</v>
      </c>
      <c r="AB225" s="71">
        <v>29230</v>
      </c>
      <c r="AC225" s="52" t="s">
        <v>3733</v>
      </c>
      <c r="AD225" s="53" t="str">
        <f t="shared" ref="AD225:AD227" si="172">HYPERLINK("http://www.ec.edu/academics/areas-of-study","Link")</f>
        <v>Link</v>
      </c>
      <c r="AE225" s="54">
        <v>920</v>
      </c>
      <c r="AF225" s="55"/>
      <c r="AG225" s="7"/>
      <c r="AH225" s="56">
        <v>139630</v>
      </c>
      <c r="AI225" s="7"/>
      <c r="AJ225" s="7"/>
      <c r="AK225" s="7"/>
      <c r="AL225" s="7"/>
    </row>
    <row r="226" spans="1:38" ht="15" x14ac:dyDescent="0.2">
      <c r="A226" s="57" t="s">
        <v>3712</v>
      </c>
      <c r="B226" s="110" t="s">
        <v>1354</v>
      </c>
      <c r="C226" s="7" t="s">
        <v>41</v>
      </c>
      <c r="D226" s="7" t="s">
        <v>3743</v>
      </c>
      <c r="E226" s="44">
        <v>5</v>
      </c>
      <c r="F226" s="7"/>
      <c r="G226" s="7"/>
      <c r="H226" s="2" t="s">
        <v>3714</v>
      </c>
      <c r="I226" s="7" t="s">
        <v>3744</v>
      </c>
      <c r="J226" s="7" t="s">
        <v>3716</v>
      </c>
      <c r="K226" s="7" t="s">
        <v>919</v>
      </c>
      <c r="L226" s="7" t="s">
        <v>3745</v>
      </c>
      <c r="M226" s="7"/>
      <c r="N226" s="45" t="str">
        <f t="shared" si="170"/>
        <v>@ec_sftball</v>
      </c>
      <c r="O226" s="45" t="str">
        <f t="shared" si="171"/>
        <v>Questionnaire</v>
      </c>
      <c r="P226" s="48" t="s">
        <v>3733</v>
      </c>
      <c r="Q226" s="47" t="s">
        <v>871</v>
      </c>
      <c r="R226" s="48" t="s">
        <v>3734</v>
      </c>
      <c r="S226" s="60" t="s">
        <v>205</v>
      </c>
      <c r="T226" s="49" t="s">
        <v>63</v>
      </c>
      <c r="U226" s="7" t="s">
        <v>3735</v>
      </c>
      <c r="V226" s="7"/>
      <c r="W226" s="44">
        <v>3.25</v>
      </c>
      <c r="X226" s="49" t="s">
        <v>3484</v>
      </c>
      <c r="Y226" s="49" t="s">
        <v>1338</v>
      </c>
      <c r="Z226" s="49" t="s">
        <v>2879</v>
      </c>
      <c r="AA226" s="61">
        <v>0.41</v>
      </c>
      <c r="AB226" s="71">
        <v>29230</v>
      </c>
      <c r="AC226" s="52" t="s">
        <v>3733</v>
      </c>
      <c r="AD226" s="53" t="str">
        <f t="shared" si="172"/>
        <v>Link</v>
      </c>
      <c r="AE226" s="54">
        <v>920</v>
      </c>
      <c r="AF226" s="55"/>
      <c r="AG226" s="7"/>
      <c r="AH226" s="56">
        <v>139630</v>
      </c>
      <c r="AI226" s="7"/>
      <c r="AJ226" s="7"/>
      <c r="AK226" s="7"/>
      <c r="AL226" s="7"/>
    </row>
    <row r="227" spans="1:38" ht="15" x14ac:dyDescent="0.2">
      <c r="A227" s="57" t="s">
        <v>3712</v>
      </c>
      <c r="B227" s="110" t="s">
        <v>1354</v>
      </c>
      <c r="C227" s="7" t="s">
        <v>41</v>
      </c>
      <c r="D227" s="7" t="s">
        <v>3752</v>
      </c>
      <c r="E227" s="44">
        <v>5</v>
      </c>
      <c r="F227" s="7"/>
      <c r="G227" s="7"/>
      <c r="H227" s="2" t="s">
        <v>3714</v>
      </c>
      <c r="I227" s="7" t="s">
        <v>3756</v>
      </c>
      <c r="J227" s="7" t="s">
        <v>3758</v>
      </c>
      <c r="K227" s="7" t="s">
        <v>139</v>
      </c>
      <c r="L227" s="7" t="s">
        <v>3759</v>
      </c>
      <c r="M227" s="7"/>
      <c r="N227" s="45" t="str">
        <f t="shared" si="170"/>
        <v>@ec_sftball</v>
      </c>
      <c r="O227" s="45" t="str">
        <f t="shared" si="171"/>
        <v>Questionnaire</v>
      </c>
      <c r="P227" s="48" t="s">
        <v>3733</v>
      </c>
      <c r="Q227" s="47" t="s">
        <v>871</v>
      </c>
      <c r="R227" s="48" t="s">
        <v>3734</v>
      </c>
      <c r="S227" s="60" t="s">
        <v>205</v>
      </c>
      <c r="T227" s="49" t="s">
        <v>63</v>
      </c>
      <c r="U227" s="7" t="s">
        <v>3735</v>
      </c>
      <c r="V227" s="7"/>
      <c r="W227" s="44">
        <v>3.25</v>
      </c>
      <c r="X227" s="49" t="s">
        <v>3484</v>
      </c>
      <c r="Y227" s="49" t="s">
        <v>1338</v>
      </c>
      <c r="Z227" s="49" t="s">
        <v>2879</v>
      </c>
      <c r="AA227" s="61">
        <v>0.41</v>
      </c>
      <c r="AB227" s="71">
        <v>29230</v>
      </c>
      <c r="AC227" s="52" t="s">
        <v>3733</v>
      </c>
      <c r="AD227" s="53" t="str">
        <f t="shared" si="172"/>
        <v>Link</v>
      </c>
      <c r="AE227" s="54">
        <v>920</v>
      </c>
      <c r="AF227" s="55"/>
      <c r="AG227" s="7"/>
      <c r="AH227" s="56">
        <v>139630</v>
      </c>
      <c r="AI227" s="7"/>
      <c r="AJ227" s="7"/>
      <c r="AK227" s="7"/>
      <c r="AL227" s="7"/>
    </row>
    <row r="228" spans="1:38" ht="13" x14ac:dyDescent="0.15">
      <c r="A228" s="36" t="s">
        <v>182</v>
      </c>
      <c r="B228" s="110" t="s">
        <v>1354</v>
      </c>
      <c r="C228" s="7" t="s">
        <v>41</v>
      </c>
      <c r="D228" s="7" t="s">
        <v>3768</v>
      </c>
      <c r="E228" s="44">
        <v>5</v>
      </c>
      <c r="F228" s="7"/>
      <c r="G228" s="7"/>
      <c r="H228" s="2" t="s">
        <v>3769</v>
      </c>
      <c r="I228" s="7" t="s">
        <v>3771</v>
      </c>
      <c r="J228" s="7" t="s">
        <v>3773</v>
      </c>
      <c r="K228" s="7" t="s">
        <v>55</v>
      </c>
      <c r="L228" s="7"/>
      <c r="M228" s="7"/>
      <c r="N228" s="48"/>
      <c r="O228" s="45" t="str">
        <f t="shared" ref="O228:O230" si="173">HYPERLINK("https://fvsusports.com/sb_output.aspx?form=3","Questionnaire")</f>
        <v>Questionnaire</v>
      </c>
      <c r="P228" s="48" t="s">
        <v>3779</v>
      </c>
      <c r="Q228" s="60" t="s">
        <v>871</v>
      </c>
      <c r="R228" s="48" t="s">
        <v>3780</v>
      </c>
      <c r="S228" s="60" t="s">
        <v>205</v>
      </c>
      <c r="T228" s="4" t="s">
        <v>74</v>
      </c>
      <c r="U228" s="7" t="s">
        <v>75</v>
      </c>
      <c r="V228" s="7" t="s">
        <v>212</v>
      </c>
      <c r="W228" s="37">
        <v>2.83</v>
      </c>
      <c r="X228" s="49" t="s">
        <v>3781</v>
      </c>
      <c r="Y228" s="49" t="s">
        <v>3782</v>
      </c>
      <c r="Z228" s="49" t="s">
        <v>3784</v>
      </c>
      <c r="AA228" s="65">
        <v>0.26</v>
      </c>
      <c r="AB228" s="39">
        <v>20044</v>
      </c>
      <c r="AC228" s="90" t="s">
        <v>3779</v>
      </c>
      <c r="AD228" s="53" t="str">
        <f t="shared" ref="AD228:AD230" si="174">HYPERLINK("http://www.fvsu.edu/major/","Link")</f>
        <v>Link</v>
      </c>
      <c r="AE228" s="42">
        <v>2252</v>
      </c>
      <c r="AF228" s="55"/>
      <c r="AG228" s="7"/>
      <c r="AH228" s="56">
        <v>139719</v>
      </c>
      <c r="AI228" s="7"/>
      <c r="AJ228" s="7"/>
      <c r="AK228" s="7"/>
      <c r="AL228" s="7"/>
    </row>
    <row r="229" spans="1:38" ht="13" x14ac:dyDescent="0.15">
      <c r="A229" s="36" t="s">
        <v>182</v>
      </c>
      <c r="B229" s="110" t="s">
        <v>1354</v>
      </c>
      <c r="C229" s="7" t="s">
        <v>41</v>
      </c>
      <c r="D229" s="7" t="s">
        <v>3790</v>
      </c>
      <c r="E229" s="44">
        <v>5</v>
      </c>
      <c r="F229" s="7"/>
      <c r="G229" s="7"/>
      <c r="H229" s="2" t="s">
        <v>3769</v>
      </c>
      <c r="I229" s="7" t="s">
        <v>1541</v>
      </c>
      <c r="J229" s="7" t="s">
        <v>3793</v>
      </c>
      <c r="K229" s="7" t="s">
        <v>55</v>
      </c>
      <c r="L229" s="7"/>
      <c r="M229" s="7"/>
      <c r="N229" s="48"/>
      <c r="O229" s="45" t="str">
        <f t="shared" si="173"/>
        <v>Questionnaire</v>
      </c>
      <c r="P229" s="48" t="s">
        <v>3779</v>
      </c>
      <c r="Q229" s="60" t="s">
        <v>871</v>
      </c>
      <c r="R229" s="48" t="s">
        <v>3780</v>
      </c>
      <c r="S229" s="60" t="s">
        <v>205</v>
      </c>
      <c r="T229" s="4" t="s">
        <v>74</v>
      </c>
      <c r="U229" s="7" t="s">
        <v>75</v>
      </c>
      <c r="V229" s="7" t="s">
        <v>212</v>
      </c>
      <c r="W229" s="37">
        <v>2.83</v>
      </c>
      <c r="X229" s="49" t="s">
        <v>3781</v>
      </c>
      <c r="Y229" s="49" t="s">
        <v>3782</v>
      </c>
      <c r="Z229" s="49" t="s">
        <v>3784</v>
      </c>
      <c r="AA229" s="65">
        <v>0.26</v>
      </c>
      <c r="AB229" s="39">
        <v>20044</v>
      </c>
      <c r="AC229" s="90" t="s">
        <v>3779</v>
      </c>
      <c r="AD229" s="53" t="str">
        <f t="shared" si="174"/>
        <v>Link</v>
      </c>
      <c r="AE229" s="42">
        <v>2252</v>
      </c>
      <c r="AF229" s="55"/>
      <c r="AG229" s="7"/>
      <c r="AH229" s="56">
        <v>139719</v>
      </c>
      <c r="AI229" s="7"/>
      <c r="AJ229" s="7"/>
      <c r="AK229" s="7"/>
      <c r="AL229" s="7"/>
    </row>
    <row r="230" spans="1:38" ht="13" x14ac:dyDescent="0.15">
      <c r="A230" s="36" t="s">
        <v>182</v>
      </c>
      <c r="B230" s="110" t="s">
        <v>1354</v>
      </c>
      <c r="C230" s="7" t="s">
        <v>41</v>
      </c>
      <c r="D230" s="7" t="s">
        <v>3797</v>
      </c>
      <c r="E230" s="44">
        <v>5</v>
      </c>
      <c r="F230" s="7"/>
      <c r="G230" s="7"/>
      <c r="H230" s="2" t="s">
        <v>3769</v>
      </c>
      <c r="I230" s="7" t="s">
        <v>361</v>
      </c>
      <c r="J230" s="7" t="s">
        <v>1787</v>
      </c>
      <c r="K230" s="7" t="s">
        <v>48</v>
      </c>
      <c r="L230" s="7" t="s">
        <v>3799</v>
      </c>
      <c r="M230" s="2" t="s">
        <v>3800</v>
      </c>
      <c r="N230" s="48"/>
      <c r="O230" s="45" t="str">
        <f t="shared" si="173"/>
        <v>Questionnaire</v>
      </c>
      <c r="P230" s="48" t="s">
        <v>3779</v>
      </c>
      <c r="Q230" s="60" t="s">
        <v>871</v>
      </c>
      <c r="R230" s="48" t="s">
        <v>3780</v>
      </c>
      <c r="S230" s="60" t="s">
        <v>205</v>
      </c>
      <c r="T230" s="4" t="s">
        <v>74</v>
      </c>
      <c r="U230" s="7" t="s">
        <v>75</v>
      </c>
      <c r="V230" s="7" t="s">
        <v>212</v>
      </c>
      <c r="W230" s="37">
        <v>2.83</v>
      </c>
      <c r="X230" s="49" t="s">
        <v>3781</v>
      </c>
      <c r="Y230" s="49" t="s">
        <v>3782</v>
      </c>
      <c r="Z230" s="49" t="s">
        <v>3784</v>
      </c>
      <c r="AA230" s="65">
        <v>0.26</v>
      </c>
      <c r="AB230" s="39">
        <v>20044</v>
      </c>
      <c r="AC230" s="90" t="s">
        <v>3779</v>
      </c>
      <c r="AD230" s="53" t="str">
        <f t="shared" si="174"/>
        <v>Link</v>
      </c>
      <c r="AE230" s="42">
        <v>2252</v>
      </c>
      <c r="AF230" s="55"/>
      <c r="AG230" s="7"/>
      <c r="AH230" s="56">
        <v>139719</v>
      </c>
      <c r="AI230" s="7"/>
      <c r="AJ230" s="7"/>
      <c r="AK230" s="7"/>
      <c r="AL230" s="7"/>
    </row>
    <row r="231" spans="1:38" ht="13" x14ac:dyDescent="0.15">
      <c r="A231" s="57" t="s">
        <v>3001</v>
      </c>
      <c r="B231" s="110" t="s">
        <v>1354</v>
      </c>
      <c r="C231" s="7" t="s">
        <v>41</v>
      </c>
      <c r="D231" s="7" t="s">
        <v>3807</v>
      </c>
      <c r="E231" s="44">
        <v>5</v>
      </c>
      <c r="F231" s="7"/>
      <c r="G231" s="7"/>
      <c r="H231" s="2" t="s">
        <v>3808</v>
      </c>
      <c r="I231" s="7" t="s">
        <v>1075</v>
      </c>
      <c r="J231" s="7" t="s">
        <v>3810</v>
      </c>
      <c r="K231" s="7" t="s">
        <v>55</v>
      </c>
      <c r="L231" s="7" t="s">
        <v>3814</v>
      </c>
      <c r="M231" s="7" t="s">
        <v>3816</v>
      </c>
      <c r="N231" s="45" t="str">
        <f t="shared" ref="N231:N232" si="175">HYPERLINK("twitter.com/gc_sball","@gc_sball")</f>
        <v>@gc_sball</v>
      </c>
      <c r="O231" s="45" t="str">
        <f t="shared" ref="O231:O232" si="176">HYPERLINK("https://www.gcbobcats.com/sports/bsb/RecruitForm2","Questionnaire")</f>
        <v>Questionnaire</v>
      </c>
      <c r="P231" s="48" t="s">
        <v>3822</v>
      </c>
      <c r="Q231" s="48" t="s">
        <v>871</v>
      </c>
      <c r="R231" s="47" t="s">
        <v>3823</v>
      </c>
      <c r="S231" s="48" t="s">
        <v>172</v>
      </c>
      <c r="T231" s="73" t="s">
        <v>74</v>
      </c>
      <c r="U231" s="7" t="s">
        <v>75</v>
      </c>
      <c r="V231" s="7"/>
      <c r="W231" s="44">
        <v>3.47</v>
      </c>
      <c r="X231" s="49" t="s">
        <v>2228</v>
      </c>
      <c r="Y231" s="49" t="s">
        <v>291</v>
      </c>
      <c r="Z231" s="49" t="s">
        <v>1510</v>
      </c>
      <c r="AA231" s="61">
        <v>0.85</v>
      </c>
      <c r="AB231" s="48" t="s">
        <v>3825</v>
      </c>
      <c r="AC231" s="92" t="s">
        <v>3822</v>
      </c>
      <c r="AD231" s="53" t="str">
        <f t="shared" ref="AD231:AD232" si="177">HYPERLINK("http://www.gcsu.edu/programsearch","Link")</f>
        <v>Link</v>
      </c>
      <c r="AE231" s="54">
        <v>6047</v>
      </c>
      <c r="AF231" s="55"/>
      <c r="AG231" s="7"/>
      <c r="AH231" s="56">
        <v>139861</v>
      </c>
      <c r="AI231" s="7"/>
      <c r="AJ231" s="7"/>
      <c r="AK231" s="7"/>
      <c r="AL231" s="7"/>
    </row>
    <row r="232" spans="1:38" ht="13" x14ac:dyDescent="0.15">
      <c r="A232" s="57" t="s">
        <v>3001</v>
      </c>
      <c r="B232" s="110" t="s">
        <v>1354</v>
      </c>
      <c r="C232" s="7" t="s">
        <v>41</v>
      </c>
      <c r="D232" s="7" t="s">
        <v>3827</v>
      </c>
      <c r="E232" s="44">
        <v>5</v>
      </c>
      <c r="F232" s="7"/>
      <c r="G232" s="7"/>
      <c r="H232" s="2" t="s">
        <v>3808</v>
      </c>
      <c r="I232" s="7" t="s">
        <v>1217</v>
      </c>
      <c r="J232" s="7" t="s">
        <v>3828</v>
      </c>
      <c r="K232" s="7" t="s">
        <v>48</v>
      </c>
      <c r="L232" s="7" t="s">
        <v>3829</v>
      </c>
      <c r="M232" s="7" t="s">
        <v>3830</v>
      </c>
      <c r="N232" s="45" t="str">
        <f t="shared" si="175"/>
        <v>@gc_sball</v>
      </c>
      <c r="O232" s="45" t="str">
        <f t="shared" si="176"/>
        <v>Questionnaire</v>
      </c>
      <c r="P232" s="48" t="s">
        <v>3822</v>
      </c>
      <c r="Q232" s="48" t="s">
        <v>871</v>
      </c>
      <c r="R232" s="47" t="s">
        <v>3823</v>
      </c>
      <c r="S232" s="48" t="s">
        <v>172</v>
      </c>
      <c r="T232" s="73" t="s">
        <v>74</v>
      </c>
      <c r="U232" s="7" t="s">
        <v>75</v>
      </c>
      <c r="V232" s="7"/>
      <c r="W232" s="44">
        <v>3.47</v>
      </c>
      <c r="X232" s="49" t="s">
        <v>2228</v>
      </c>
      <c r="Y232" s="49" t="s">
        <v>291</v>
      </c>
      <c r="Z232" s="49" t="s">
        <v>1510</v>
      </c>
      <c r="AA232" s="61">
        <v>0.85</v>
      </c>
      <c r="AB232" s="48" t="s">
        <v>3825</v>
      </c>
      <c r="AC232" s="92" t="s">
        <v>3822</v>
      </c>
      <c r="AD232" s="53" t="str">
        <f t="shared" si="177"/>
        <v>Link</v>
      </c>
      <c r="AE232" s="54">
        <v>6047</v>
      </c>
      <c r="AF232" s="55"/>
      <c r="AG232" s="7"/>
      <c r="AH232" s="56">
        <v>139861</v>
      </c>
      <c r="AI232" s="7"/>
      <c r="AJ232" s="7"/>
      <c r="AK232" s="7"/>
      <c r="AL232" s="7"/>
    </row>
    <row r="233" spans="1:38" ht="13" x14ac:dyDescent="0.15">
      <c r="A233" s="57" t="s">
        <v>3001</v>
      </c>
      <c r="B233" s="110" t="s">
        <v>1354</v>
      </c>
      <c r="C233" s="7" t="s">
        <v>41</v>
      </c>
      <c r="D233" s="7" t="s">
        <v>3836</v>
      </c>
      <c r="E233" s="44">
        <v>5</v>
      </c>
      <c r="F233" s="7"/>
      <c r="G233" s="7"/>
      <c r="H233" s="2" t="s">
        <v>3837</v>
      </c>
      <c r="I233" s="7" t="s">
        <v>421</v>
      </c>
      <c r="J233" s="7"/>
      <c r="K233" s="7" t="s">
        <v>48</v>
      </c>
      <c r="L233" s="7"/>
      <c r="M233" s="7"/>
      <c r="N233" s="7"/>
      <c r="O233" s="7"/>
      <c r="P233" s="48" t="s">
        <v>3838</v>
      </c>
      <c r="Q233" s="60" t="s">
        <v>871</v>
      </c>
      <c r="R233" s="48" t="s">
        <v>3839</v>
      </c>
      <c r="S233" s="48" t="s">
        <v>172</v>
      </c>
      <c r="T233" s="49" t="s">
        <v>74</v>
      </c>
      <c r="U233" s="49" t="s">
        <v>75</v>
      </c>
      <c r="V233" s="7"/>
      <c r="W233" s="44">
        <v>3.17</v>
      </c>
      <c r="X233" s="49" t="s">
        <v>1145</v>
      </c>
      <c r="Y233" s="49" t="s">
        <v>1452</v>
      </c>
      <c r="Z233" s="49" t="s">
        <v>3842</v>
      </c>
      <c r="AA233" s="61">
        <v>0.68</v>
      </c>
      <c r="AB233" s="48" t="s">
        <v>3845</v>
      </c>
      <c r="AC233" s="62" t="s">
        <v>3838</v>
      </c>
      <c r="AD233" s="53" t="str">
        <f t="shared" ref="AD233:AD235" si="178">HYPERLINK("https://www.gsw.edu/admissions/applytogsw/majors","Link")</f>
        <v>Link</v>
      </c>
      <c r="AE233" s="54">
        <v>2558</v>
      </c>
      <c r="AF233" s="55"/>
      <c r="AG233" s="55"/>
      <c r="AH233" s="56">
        <v>139764</v>
      </c>
      <c r="AI233" s="85"/>
      <c r="AJ233" s="7"/>
      <c r="AK233" s="7"/>
      <c r="AL233" s="7"/>
    </row>
    <row r="234" spans="1:38" ht="13" x14ac:dyDescent="0.15">
      <c r="A234" s="57" t="s">
        <v>3001</v>
      </c>
      <c r="B234" s="110" t="s">
        <v>1354</v>
      </c>
      <c r="C234" s="7" t="s">
        <v>41</v>
      </c>
      <c r="D234" s="7" t="s">
        <v>3849</v>
      </c>
      <c r="E234" s="37">
        <v>5</v>
      </c>
      <c r="F234" s="7"/>
      <c r="G234" s="7"/>
      <c r="H234" s="2" t="s">
        <v>3837</v>
      </c>
      <c r="I234" s="7" t="s">
        <v>234</v>
      </c>
      <c r="J234" s="7" t="s">
        <v>509</v>
      </c>
      <c r="K234" s="7" t="s">
        <v>55</v>
      </c>
      <c r="L234" s="7" t="s">
        <v>3851</v>
      </c>
      <c r="M234" s="7" t="s">
        <v>3852</v>
      </c>
      <c r="N234" s="45" t="str">
        <f t="shared" ref="N234:N235" si="179">HYPERLINK("twitter.com/_gswsoftball","@_gswsoftball")</f>
        <v>@_gswsoftball</v>
      </c>
      <c r="O234" s="45" t="str">
        <f t="shared" ref="O234:O235" si="180">HYPERLINK("https://questionnaires.armssoftware.com/35aa53d348a9","Questionnaire")</f>
        <v>Questionnaire</v>
      </c>
      <c r="P234" s="48" t="s">
        <v>3838</v>
      </c>
      <c r="Q234" s="60" t="s">
        <v>871</v>
      </c>
      <c r="R234" s="48" t="s">
        <v>3839</v>
      </c>
      <c r="S234" s="48" t="s">
        <v>172</v>
      </c>
      <c r="T234" s="49" t="s">
        <v>74</v>
      </c>
      <c r="U234" s="7" t="s">
        <v>75</v>
      </c>
      <c r="V234" s="7"/>
      <c r="W234" s="44">
        <v>3.17</v>
      </c>
      <c r="X234" s="49" t="s">
        <v>1145</v>
      </c>
      <c r="Y234" s="49" t="s">
        <v>1452</v>
      </c>
      <c r="Z234" s="49" t="s">
        <v>3842</v>
      </c>
      <c r="AA234" s="61">
        <v>0.68</v>
      </c>
      <c r="AB234" s="48" t="s">
        <v>3845</v>
      </c>
      <c r="AC234" s="62" t="s">
        <v>3838</v>
      </c>
      <c r="AD234" s="53" t="str">
        <f t="shared" si="178"/>
        <v>Link</v>
      </c>
      <c r="AE234" s="54">
        <v>2558</v>
      </c>
      <c r="AF234" s="55"/>
      <c r="AG234" s="7"/>
      <c r="AH234" s="56">
        <v>139764</v>
      </c>
      <c r="AI234" s="7"/>
      <c r="AJ234" s="7"/>
      <c r="AK234" s="7"/>
      <c r="AL234" s="7"/>
    </row>
    <row r="235" spans="1:38" ht="13" x14ac:dyDescent="0.15">
      <c r="A235" s="57" t="s">
        <v>3001</v>
      </c>
      <c r="B235" s="110" t="s">
        <v>1354</v>
      </c>
      <c r="C235" s="7" t="s">
        <v>41</v>
      </c>
      <c r="D235" s="7" t="s">
        <v>3868</v>
      </c>
      <c r="E235" s="37">
        <v>5</v>
      </c>
      <c r="F235" s="7"/>
      <c r="G235" s="7"/>
      <c r="H235" s="2" t="s">
        <v>3837</v>
      </c>
      <c r="I235" s="7" t="s">
        <v>421</v>
      </c>
      <c r="J235" s="7"/>
      <c r="K235" s="7" t="s">
        <v>48</v>
      </c>
      <c r="L235" s="7"/>
      <c r="M235" s="7"/>
      <c r="N235" s="45" t="str">
        <f t="shared" si="179"/>
        <v>@_gswsoftball</v>
      </c>
      <c r="O235" s="45" t="str">
        <f t="shared" si="180"/>
        <v>Questionnaire</v>
      </c>
      <c r="P235" s="48" t="s">
        <v>3838</v>
      </c>
      <c r="Q235" s="60" t="s">
        <v>871</v>
      </c>
      <c r="R235" s="48" t="s">
        <v>3839</v>
      </c>
      <c r="S235" s="48" t="s">
        <v>172</v>
      </c>
      <c r="T235" s="49" t="s">
        <v>74</v>
      </c>
      <c r="U235" s="7" t="s">
        <v>75</v>
      </c>
      <c r="V235" s="7"/>
      <c r="W235" s="44">
        <v>3.17</v>
      </c>
      <c r="X235" s="49" t="s">
        <v>1145</v>
      </c>
      <c r="Y235" s="49" t="s">
        <v>1452</v>
      </c>
      <c r="Z235" s="49" t="s">
        <v>3842</v>
      </c>
      <c r="AA235" s="61">
        <v>0.68</v>
      </c>
      <c r="AB235" s="48" t="s">
        <v>3845</v>
      </c>
      <c r="AC235" s="62" t="s">
        <v>3838</v>
      </c>
      <c r="AD235" s="53" t="str">
        <f t="shared" si="178"/>
        <v>Link</v>
      </c>
      <c r="AE235" s="54">
        <v>2558</v>
      </c>
      <c r="AF235" s="55"/>
      <c r="AG235" s="7"/>
      <c r="AH235" s="56">
        <v>139764</v>
      </c>
      <c r="AI235" s="7"/>
      <c r="AJ235" s="7"/>
      <c r="AK235" s="7"/>
      <c r="AL235" s="7"/>
    </row>
    <row r="236" spans="1:38" ht="13" x14ac:dyDescent="0.15">
      <c r="A236" s="57" t="s">
        <v>3001</v>
      </c>
      <c r="B236" s="110" t="s">
        <v>1354</v>
      </c>
      <c r="C236" s="7" t="s">
        <v>41</v>
      </c>
      <c r="D236" s="7" t="s">
        <v>3878</v>
      </c>
      <c r="E236" s="44">
        <v>5</v>
      </c>
      <c r="F236" s="7"/>
      <c r="G236" s="7"/>
      <c r="H236" s="2" t="s">
        <v>3879</v>
      </c>
      <c r="I236" s="7" t="s">
        <v>1056</v>
      </c>
      <c r="J236" s="7" t="s">
        <v>3881</v>
      </c>
      <c r="K236" s="7" t="s">
        <v>55</v>
      </c>
      <c r="L236" s="7" t="s">
        <v>3883</v>
      </c>
      <c r="M236" s="7" t="s">
        <v>3884</v>
      </c>
      <c r="N236" s="45" t="str">
        <f>HYPERLINK("twitter.com/MikeDavo17","@MollyChild9")</f>
        <v>@MollyChild9</v>
      </c>
      <c r="O236" s="48" t="s">
        <v>22</v>
      </c>
      <c r="P236" s="48" t="s">
        <v>3890</v>
      </c>
      <c r="Q236" s="47" t="s">
        <v>871</v>
      </c>
      <c r="R236" s="48" t="s">
        <v>3891</v>
      </c>
      <c r="S236" s="60" t="s">
        <v>205</v>
      </c>
      <c r="T236" s="49" t="s">
        <v>74</v>
      </c>
      <c r="U236" s="7" t="s">
        <v>75</v>
      </c>
      <c r="V236" s="7"/>
      <c r="W236" s="44">
        <v>3.55</v>
      </c>
      <c r="X236" s="49" t="s">
        <v>1785</v>
      </c>
      <c r="Y236" s="49" t="s">
        <v>3892</v>
      </c>
      <c r="Z236" s="49" t="s">
        <v>746</v>
      </c>
      <c r="AA236" s="61">
        <v>0.75</v>
      </c>
      <c r="AB236" s="48" t="s">
        <v>3893</v>
      </c>
      <c r="AC236" s="62" t="s">
        <v>3890</v>
      </c>
      <c r="AD236" s="53" t="str">
        <f t="shared" ref="AD236:AD238" si="181">HYPERLINK("https://ung.edu/academics/degree-programs.php","Link")</f>
        <v>Link</v>
      </c>
      <c r="AE236" s="54">
        <v>17704</v>
      </c>
      <c r="AF236" s="55"/>
      <c r="AG236" s="7"/>
      <c r="AH236" s="56">
        <v>140669</v>
      </c>
      <c r="AI236" s="7"/>
      <c r="AJ236" s="7"/>
      <c r="AK236" s="7"/>
      <c r="AL236" s="7"/>
    </row>
    <row r="237" spans="1:38" ht="13" x14ac:dyDescent="0.15">
      <c r="A237" s="57" t="s">
        <v>3001</v>
      </c>
      <c r="B237" s="110" t="s">
        <v>1354</v>
      </c>
      <c r="C237" s="7" t="s">
        <v>41</v>
      </c>
      <c r="D237" s="7" t="s">
        <v>3901</v>
      </c>
      <c r="E237" s="44">
        <v>5</v>
      </c>
      <c r="F237" s="7"/>
      <c r="G237" s="7"/>
      <c r="H237" s="2" t="s">
        <v>3879</v>
      </c>
      <c r="I237" s="7" t="s">
        <v>234</v>
      </c>
      <c r="J237" s="7" t="s">
        <v>3902</v>
      </c>
      <c r="K237" s="7" t="s">
        <v>120</v>
      </c>
      <c r="L237" s="7" t="s">
        <v>3903</v>
      </c>
      <c r="M237" s="7" t="s">
        <v>3884</v>
      </c>
      <c r="N237" s="7"/>
      <c r="O237" s="48" t="s">
        <v>22</v>
      </c>
      <c r="P237" s="48" t="s">
        <v>3890</v>
      </c>
      <c r="Q237" s="47" t="s">
        <v>871</v>
      </c>
      <c r="R237" s="48" t="s">
        <v>3891</v>
      </c>
      <c r="S237" s="60" t="s">
        <v>205</v>
      </c>
      <c r="T237" s="49" t="s">
        <v>74</v>
      </c>
      <c r="U237" s="7" t="s">
        <v>75</v>
      </c>
      <c r="V237" s="7"/>
      <c r="W237" s="44">
        <v>3.55</v>
      </c>
      <c r="X237" s="49" t="s">
        <v>1785</v>
      </c>
      <c r="Y237" s="49" t="s">
        <v>3892</v>
      </c>
      <c r="Z237" s="49" t="s">
        <v>746</v>
      </c>
      <c r="AA237" s="61">
        <v>0.75</v>
      </c>
      <c r="AB237" s="48" t="s">
        <v>3893</v>
      </c>
      <c r="AC237" s="62" t="s">
        <v>3890</v>
      </c>
      <c r="AD237" s="53" t="str">
        <f t="shared" si="181"/>
        <v>Link</v>
      </c>
      <c r="AE237" s="54">
        <v>17704</v>
      </c>
      <c r="AF237" s="55"/>
      <c r="AG237" s="7"/>
      <c r="AH237" s="56">
        <v>140669</v>
      </c>
      <c r="AI237" s="7"/>
      <c r="AJ237" s="7"/>
      <c r="AK237" s="7"/>
      <c r="AL237" s="7"/>
    </row>
    <row r="238" spans="1:38" ht="13" x14ac:dyDescent="0.15">
      <c r="A238" s="57" t="s">
        <v>3001</v>
      </c>
      <c r="B238" s="110" t="s">
        <v>1354</v>
      </c>
      <c r="C238" s="7" t="s">
        <v>41</v>
      </c>
      <c r="D238" s="7" t="s">
        <v>3911</v>
      </c>
      <c r="E238" s="44">
        <v>5</v>
      </c>
      <c r="F238" s="7"/>
      <c r="G238" s="7"/>
      <c r="H238" s="2" t="s">
        <v>3879</v>
      </c>
      <c r="I238" s="7" t="s">
        <v>754</v>
      </c>
      <c r="J238" s="7" t="s">
        <v>2986</v>
      </c>
      <c r="K238" s="7" t="s">
        <v>48</v>
      </c>
      <c r="L238" s="7" t="s">
        <v>3912</v>
      </c>
      <c r="M238" s="7" t="s">
        <v>3884</v>
      </c>
      <c r="N238" s="45" t="str">
        <f>HYPERLINK("twitter.com/@MikeDavo17","@MikeDavo17")</f>
        <v>@MikeDavo17</v>
      </c>
      <c r="O238" s="48" t="s">
        <v>22</v>
      </c>
      <c r="P238" s="48" t="s">
        <v>3890</v>
      </c>
      <c r="Q238" s="47" t="s">
        <v>871</v>
      </c>
      <c r="R238" s="48" t="s">
        <v>3891</v>
      </c>
      <c r="S238" s="60" t="s">
        <v>205</v>
      </c>
      <c r="T238" s="49" t="s">
        <v>74</v>
      </c>
      <c r="U238" s="7" t="s">
        <v>75</v>
      </c>
      <c r="V238" s="7"/>
      <c r="W238" s="44">
        <v>3.55</v>
      </c>
      <c r="X238" s="49" t="s">
        <v>1785</v>
      </c>
      <c r="Y238" s="49" t="s">
        <v>3892</v>
      </c>
      <c r="Z238" s="49" t="s">
        <v>746</v>
      </c>
      <c r="AA238" s="61">
        <v>0.75</v>
      </c>
      <c r="AB238" s="48" t="s">
        <v>3893</v>
      </c>
      <c r="AC238" s="62" t="s">
        <v>3890</v>
      </c>
      <c r="AD238" s="53" t="str">
        <f t="shared" si="181"/>
        <v>Link</v>
      </c>
      <c r="AE238" s="54">
        <v>17704</v>
      </c>
      <c r="AF238" s="55"/>
      <c r="AG238" s="7"/>
      <c r="AH238" s="56">
        <v>140669</v>
      </c>
      <c r="AI238" s="7"/>
      <c r="AJ238" s="7"/>
      <c r="AK238" s="7"/>
      <c r="AL238" s="7"/>
    </row>
    <row r="239" spans="1:38" ht="13" x14ac:dyDescent="0.15">
      <c r="A239" s="57" t="s">
        <v>182</v>
      </c>
      <c r="B239" s="110" t="s">
        <v>1354</v>
      </c>
      <c r="C239" s="7" t="s">
        <v>41</v>
      </c>
      <c r="D239" s="7" t="s">
        <v>3920</v>
      </c>
      <c r="E239" s="44">
        <v>5</v>
      </c>
      <c r="F239" s="7"/>
      <c r="G239" s="7"/>
      <c r="H239" s="2" t="s">
        <v>3921</v>
      </c>
      <c r="I239" s="7" t="s">
        <v>3711</v>
      </c>
      <c r="J239" s="7" t="s">
        <v>3923</v>
      </c>
      <c r="K239" s="7" t="s">
        <v>48</v>
      </c>
      <c r="L239" s="7"/>
      <c r="M239" s="7"/>
      <c r="N239" s="48"/>
      <c r="O239" s="45" t="str">
        <f>HYPERLINK("https://paineathletics.com/sb_output.aspx?form=3","Questionnaire")</f>
        <v>Questionnaire</v>
      </c>
      <c r="P239" s="48" t="s">
        <v>3926</v>
      </c>
      <c r="Q239" s="60" t="s">
        <v>871</v>
      </c>
      <c r="R239" s="48" t="s">
        <v>3581</v>
      </c>
      <c r="S239" s="48" t="s">
        <v>62</v>
      </c>
      <c r="T239" s="49" t="s">
        <v>63</v>
      </c>
      <c r="U239" s="7" t="s">
        <v>65</v>
      </c>
      <c r="V239" s="7" t="s">
        <v>212</v>
      </c>
      <c r="W239" s="44">
        <v>2.58</v>
      </c>
      <c r="X239" s="49" t="s">
        <v>3927</v>
      </c>
      <c r="Y239" s="49" t="s">
        <v>3928</v>
      </c>
      <c r="Z239" s="49" t="s">
        <v>3929</v>
      </c>
      <c r="AA239" s="61">
        <v>0.25</v>
      </c>
      <c r="AB239" s="71">
        <v>24910</v>
      </c>
      <c r="AC239" s="90" t="s">
        <v>3926</v>
      </c>
      <c r="AD239" s="53" t="str">
        <f>HYPERLINK("http://www.paine.edu/academics/default.aspx","Link")</f>
        <v>Link</v>
      </c>
      <c r="AE239" s="54">
        <v>502</v>
      </c>
      <c r="AF239" s="55"/>
      <c r="AG239" s="7"/>
      <c r="AH239" s="56">
        <v>140720</v>
      </c>
      <c r="AI239" s="7"/>
      <c r="AJ239" s="7"/>
      <c r="AK239" s="7"/>
      <c r="AL239" s="7"/>
    </row>
    <row r="240" spans="1:38" ht="13" x14ac:dyDescent="0.15">
      <c r="A240" s="57" t="s">
        <v>39</v>
      </c>
      <c r="B240" s="110" t="s">
        <v>1354</v>
      </c>
      <c r="C240" s="7" t="s">
        <v>41</v>
      </c>
      <c r="D240" s="7" t="s">
        <v>3941</v>
      </c>
      <c r="E240" s="44">
        <v>5</v>
      </c>
      <c r="F240" s="7"/>
      <c r="G240" s="7"/>
      <c r="H240" s="2" t="s">
        <v>3943</v>
      </c>
      <c r="I240" s="7" t="s">
        <v>130</v>
      </c>
      <c r="J240" s="7" t="s">
        <v>3635</v>
      </c>
      <c r="K240" s="7" t="s">
        <v>1423</v>
      </c>
      <c r="L240" s="7" t="s">
        <v>3945</v>
      </c>
      <c r="M240" s="7" t="s">
        <v>3946</v>
      </c>
      <c r="N240" s="45" t="str">
        <f t="shared" ref="N240:N242" si="182">HYPERLINK("twitter.com/SUHawksSoftball","@SUHawksSoftball")</f>
        <v>@SUHawksSoftball</v>
      </c>
      <c r="O240" s="45" t="str">
        <f t="shared" ref="O240:O242" si="183">HYPERLINK("https://goshorterhawks.com/sb_output.aspx?form=3","Questionnaire")</f>
        <v>Questionnaire</v>
      </c>
      <c r="P240" s="48" t="s">
        <v>3953</v>
      </c>
      <c r="Q240" s="60" t="s">
        <v>871</v>
      </c>
      <c r="R240" s="48" t="s">
        <v>3956</v>
      </c>
      <c r="S240" s="48" t="s">
        <v>468</v>
      </c>
      <c r="T240" s="49" t="s">
        <v>63</v>
      </c>
      <c r="U240" s="7" t="s">
        <v>2619</v>
      </c>
      <c r="V240" s="7" t="s">
        <v>212</v>
      </c>
      <c r="W240" s="44">
        <v>3.35</v>
      </c>
      <c r="X240" s="49" t="s">
        <v>3229</v>
      </c>
      <c r="Y240" s="49" t="s">
        <v>2709</v>
      </c>
      <c r="Z240" s="49" t="s">
        <v>449</v>
      </c>
      <c r="AA240" s="61">
        <v>0.61</v>
      </c>
      <c r="AB240" s="71">
        <v>34490</v>
      </c>
      <c r="AC240" s="90" t="s">
        <v>3953</v>
      </c>
      <c r="AD240" s="53" t="str">
        <f t="shared" ref="AD240:AD242" si="184">HYPERLINK("http://www.shorter.edu/majors/","Link")</f>
        <v>Link</v>
      </c>
      <c r="AE240" s="54">
        <v>1419</v>
      </c>
      <c r="AF240" s="55"/>
      <c r="AG240" s="7"/>
      <c r="AH240" s="56">
        <v>140988</v>
      </c>
      <c r="AI240" s="7"/>
      <c r="AJ240" s="7"/>
      <c r="AK240" s="7"/>
      <c r="AL240" s="7"/>
    </row>
    <row r="241" spans="1:38" ht="13" x14ac:dyDescent="0.15">
      <c r="A241" s="57" t="s">
        <v>39</v>
      </c>
      <c r="B241" s="110" t="s">
        <v>1354</v>
      </c>
      <c r="C241" s="7" t="s">
        <v>41</v>
      </c>
      <c r="D241" s="7" t="s">
        <v>3965</v>
      </c>
      <c r="E241" s="44">
        <v>5</v>
      </c>
      <c r="F241" s="7"/>
      <c r="G241" s="7"/>
      <c r="H241" s="2" t="s">
        <v>3943</v>
      </c>
      <c r="I241" s="7" t="s">
        <v>3966</v>
      </c>
      <c r="J241" s="7" t="s">
        <v>3967</v>
      </c>
      <c r="K241" s="7" t="s">
        <v>120</v>
      </c>
      <c r="L241" s="7"/>
      <c r="M241" s="7"/>
      <c r="N241" s="45" t="str">
        <f t="shared" si="182"/>
        <v>@SUHawksSoftball</v>
      </c>
      <c r="O241" s="45" t="str">
        <f t="shared" si="183"/>
        <v>Questionnaire</v>
      </c>
      <c r="P241" s="48" t="s">
        <v>3953</v>
      </c>
      <c r="Q241" s="60" t="s">
        <v>871</v>
      </c>
      <c r="R241" s="48" t="s">
        <v>3956</v>
      </c>
      <c r="S241" s="48" t="s">
        <v>468</v>
      </c>
      <c r="T241" s="49" t="s">
        <v>63</v>
      </c>
      <c r="U241" s="7" t="s">
        <v>2619</v>
      </c>
      <c r="V241" s="7" t="s">
        <v>212</v>
      </c>
      <c r="W241" s="44">
        <v>3.35</v>
      </c>
      <c r="X241" s="49" t="s">
        <v>3229</v>
      </c>
      <c r="Y241" s="49" t="s">
        <v>2709</v>
      </c>
      <c r="Z241" s="49" t="s">
        <v>449</v>
      </c>
      <c r="AA241" s="61">
        <v>0.61</v>
      </c>
      <c r="AB241" s="71">
        <v>34490</v>
      </c>
      <c r="AC241" s="90" t="s">
        <v>3953</v>
      </c>
      <c r="AD241" s="53" t="str">
        <f t="shared" si="184"/>
        <v>Link</v>
      </c>
      <c r="AE241" s="54">
        <v>1419</v>
      </c>
      <c r="AF241" s="55"/>
      <c r="AG241" s="7"/>
      <c r="AH241" s="56">
        <v>140988</v>
      </c>
      <c r="AI241" s="7"/>
      <c r="AJ241" s="7"/>
      <c r="AK241" s="7"/>
      <c r="AL241" s="7"/>
    </row>
    <row r="242" spans="1:38" ht="13" x14ac:dyDescent="0.15">
      <c r="A242" s="57" t="s">
        <v>39</v>
      </c>
      <c r="B242" s="110" t="s">
        <v>1354</v>
      </c>
      <c r="C242" s="7" t="s">
        <v>41</v>
      </c>
      <c r="D242" s="7" t="s">
        <v>3976</v>
      </c>
      <c r="E242" s="44">
        <v>5</v>
      </c>
      <c r="F242" s="7"/>
      <c r="G242" s="7"/>
      <c r="H242" s="2" t="s">
        <v>3943</v>
      </c>
      <c r="I242" s="7" t="s">
        <v>421</v>
      </c>
      <c r="J242" s="7"/>
      <c r="K242" s="7" t="s">
        <v>48</v>
      </c>
      <c r="L242" s="7"/>
      <c r="M242" s="7"/>
      <c r="N242" s="45" t="str">
        <f t="shared" si="182"/>
        <v>@SUHawksSoftball</v>
      </c>
      <c r="O242" s="45" t="str">
        <f t="shared" si="183"/>
        <v>Questionnaire</v>
      </c>
      <c r="P242" s="48" t="s">
        <v>3953</v>
      </c>
      <c r="Q242" s="60" t="s">
        <v>871</v>
      </c>
      <c r="R242" s="48" t="s">
        <v>3956</v>
      </c>
      <c r="S242" s="48" t="s">
        <v>468</v>
      </c>
      <c r="T242" s="49" t="s">
        <v>63</v>
      </c>
      <c r="U242" s="7" t="s">
        <v>2619</v>
      </c>
      <c r="V242" s="7" t="s">
        <v>212</v>
      </c>
      <c r="W242" s="44">
        <v>3.35</v>
      </c>
      <c r="X242" s="49" t="s">
        <v>3229</v>
      </c>
      <c r="Y242" s="49" t="s">
        <v>2709</v>
      </c>
      <c r="Z242" s="49" t="s">
        <v>449</v>
      </c>
      <c r="AA242" s="61">
        <v>0.61</v>
      </c>
      <c r="AB242" s="71">
        <v>34490</v>
      </c>
      <c r="AC242" s="90" t="s">
        <v>3953</v>
      </c>
      <c r="AD242" s="53" t="str">
        <f t="shared" si="184"/>
        <v>Link</v>
      </c>
      <c r="AE242" s="54">
        <v>1419</v>
      </c>
      <c r="AF242" s="55"/>
      <c r="AG242" s="7"/>
      <c r="AH242" s="56">
        <v>140988</v>
      </c>
      <c r="AI242" s="7"/>
      <c r="AJ242" s="7"/>
      <c r="AK242" s="7"/>
      <c r="AL242" s="7"/>
    </row>
    <row r="243" spans="1:38" ht="15" x14ac:dyDescent="0.2">
      <c r="A243" s="57" t="s">
        <v>39</v>
      </c>
      <c r="B243" s="110" t="s">
        <v>1354</v>
      </c>
      <c r="C243" s="7" t="s">
        <v>41</v>
      </c>
      <c r="D243" s="7" t="s">
        <v>3981</v>
      </c>
      <c r="E243" s="44">
        <v>5</v>
      </c>
      <c r="F243" s="7"/>
      <c r="G243" s="7"/>
      <c r="H243" s="2" t="s">
        <v>3982</v>
      </c>
      <c r="I243" s="7" t="s">
        <v>3983</v>
      </c>
      <c r="J243" s="7" t="s">
        <v>3984</v>
      </c>
      <c r="K243" s="7" t="s">
        <v>55</v>
      </c>
      <c r="L243" s="7"/>
      <c r="M243" s="7"/>
      <c r="N243" s="45" t="str">
        <f t="shared" ref="N243:N245" si="185">HYPERLINK("twitter.com/vstatesoftball","@vstatesoftball")</f>
        <v>@vstatesoftball</v>
      </c>
      <c r="O243" s="48" t="s">
        <v>22</v>
      </c>
      <c r="P243" s="48" t="s">
        <v>3990</v>
      </c>
      <c r="Q243" s="47" t="s">
        <v>871</v>
      </c>
      <c r="R243" s="48" t="s">
        <v>3991</v>
      </c>
      <c r="S243" s="48" t="s">
        <v>186</v>
      </c>
      <c r="T243" s="49" t="s">
        <v>74</v>
      </c>
      <c r="U243" s="7" t="s">
        <v>75</v>
      </c>
      <c r="V243" s="7"/>
      <c r="W243" s="44">
        <v>3.18</v>
      </c>
      <c r="X243" s="49" t="s">
        <v>3338</v>
      </c>
      <c r="Y243" s="49" t="s">
        <v>447</v>
      </c>
      <c r="Z243" s="49" t="s">
        <v>3842</v>
      </c>
      <c r="AA243" s="61">
        <v>0.65</v>
      </c>
      <c r="AB243" s="48" t="s">
        <v>3994</v>
      </c>
      <c r="AC243" s="52" t="s">
        <v>3990</v>
      </c>
      <c r="AD243" s="53" t="str">
        <f t="shared" ref="AD243:AD245" si="186">HYPERLINK("https://www.valdosta.edu/programs/","Link")</f>
        <v>Link</v>
      </c>
      <c r="AE243" s="54">
        <v>8780</v>
      </c>
      <c r="AF243" s="55"/>
      <c r="AG243" s="7"/>
      <c r="AH243" s="56">
        <v>141264</v>
      </c>
      <c r="AI243" s="7"/>
      <c r="AJ243" s="7"/>
      <c r="AK243" s="7"/>
      <c r="AL243" s="7"/>
    </row>
    <row r="244" spans="1:38" ht="15" x14ac:dyDescent="0.2">
      <c r="A244" s="57" t="s">
        <v>39</v>
      </c>
      <c r="B244" s="110" t="s">
        <v>1354</v>
      </c>
      <c r="C244" s="7" t="s">
        <v>41</v>
      </c>
      <c r="D244" s="7" t="s">
        <v>3996</v>
      </c>
      <c r="E244" s="44">
        <v>5</v>
      </c>
      <c r="F244" s="7"/>
      <c r="G244" s="7" t="s">
        <v>126</v>
      </c>
      <c r="H244" s="2" t="s">
        <v>3982</v>
      </c>
      <c r="I244" s="7" t="s">
        <v>3998</v>
      </c>
      <c r="J244" s="7"/>
      <c r="K244" s="7"/>
      <c r="L244" s="7"/>
      <c r="M244" s="7"/>
      <c r="N244" s="45" t="str">
        <f t="shared" si="185"/>
        <v>@vstatesoftball</v>
      </c>
      <c r="O244" s="48" t="s">
        <v>22</v>
      </c>
      <c r="P244" s="48" t="s">
        <v>3990</v>
      </c>
      <c r="Q244" s="47" t="s">
        <v>871</v>
      </c>
      <c r="R244" s="48" t="s">
        <v>3991</v>
      </c>
      <c r="S244" s="48" t="s">
        <v>186</v>
      </c>
      <c r="T244" s="49" t="s">
        <v>74</v>
      </c>
      <c r="U244" s="7" t="s">
        <v>75</v>
      </c>
      <c r="V244" s="7"/>
      <c r="W244" s="44">
        <v>3.18</v>
      </c>
      <c r="X244" s="49" t="s">
        <v>3338</v>
      </c>
      <c r="Y244" s="49" t="s">
        <v>447</v>
      </c>
      <c r="Z244" s="49" t="s">
        <v>3842</v>
      </c>
      <c r="AA244" s="61">
        <v>0.65</v>
      </c>
      <c r="AB244" s="48" t="s">
        <v>3994</v>
      </c>
      <c r="AC244" s="52" t="s">
        <v>3990</v>
      </c>
      <c r="AD244" s="53" t="str">
        <f t="shared" si="186"/>
        <v>Link</v>
      </c>
      <c r="AE244" s="54">
        <v>8780</v>
      </c>
      <c r="AF244" s="55"/>
      <c r="AG244" s="7"/>
      <c r="AH244" s="56">
        <v>141264</v>
      </c>
      <c r="AI244" s="7"/>
      <c r="AJ244" s="7"/>
      <c r="AK244" s="7"/>
      <c r="AL244" s="7"/>
    </row>
    <row r="245" spans="1:38" ht="15" x14ac:dyDescent="0.2">
      <c r="A245" s="57" t="s">
        <v>39</v>
      </c>
      <c r="B245" s="110" t="s">
        <v>1354</v>
      </c>
      <c r="C245" s="7" t="s">
        <v>41</v>
      </c>
      <c r="D245" s="7" t="s">
        <v>4002</v>
      </c>
      <c r="E245" s="44">
        <v>5</v>
      </c>
      <c r="F245" s="7"/>
      <c r="G245" s="7"/>
      <c r="H245" s="2" t="s">
        <v>3982</v>
      </c>
      <c r="I245" s="7" t="s">
        <v>4003</v>
      </c>
      <c r="J245" s="7" t="s">
        <v>4004</v>
      </c>
      <c r="K245" s="7" t="s">
        <v>48</v>
      </c>
      <c r="L245" s="7" t="s">
        <v>4005</v>
      </c>
      <c r="M245" s="7" t="s">
        <v>4006</v>
      </c>
      <c r="N245" s="45" t="str">
        <f t="shared" si="185"/>
        <v>@vstatesoftball</v>
      </c>
      <c r="O245" s="48" t="s">
        <v>22</v>
      </c>
      <c r="P245" s="48" t="s">
        <v>3990</v>
      </c>
      <c r="Q245" s="47" t="s">
        <v>871</v>
      </c>
      <c r="R245" s="48" t="s">
        <v>3991</v>
      </c>
      <c r="S245" s="48" t="s">
        <v>186</v>
      </c>
      <c r="T245" s="49" t="s">
        <v>74</v>
      </c>
      <c r="U245" s="7" t="s">
        <v>75</v>
      </c>
      <c r="V245" s="7"/>
      <c r="W245" s="44">
        <v>3.18</v>
      </c>
      <c r="X245" s="49" t="s">
        <v>3338</v>
      </c>
      <c r="Y245" s="49" t="s">
        <v>447</v>
      </c>
      <c r="Z245" s="49" t="s">
        <v>3842</v>
      </c>
      <c r="AA245" s="61">
        <v>0.65</v>
      </c>
      <c r="AB245" s="48" t="s">
        <v>3994</v>
      </c>
      <c r="AC245" s="52" t="s">
        <v>3990</v>
      </c>
      <c r="AD245" s="53" t="str">
        <f t="shared" si="186"/>
        <v>Link</v>
      </c>
      <c r="AE245" s="54">
        <v>8780</v>
      </c>
      <c r="AF245" s="55"/>
      <c r="AG245" s="7"/>
      <c r="AH245" s="56">
        <v>141264</v>
      </c>
      <c r="AI245" s="7"/>
      <c r="AJ245" s="7"/>
      <c r="AK245" s="7"/>
      <c r="AL245" s="7"/>
    </row>
    <row r="246" spans="1:38" ht="15" x14ac:dyDescent="0.2">
      <c r="A246" s="57" t="s">
        <v>39</v>
      </c>
      <c r="B246" s="110" t="s">
        <v>1354</v>
      </c>
      <c r="C246" s="7" t="s">
        <v>41</v>
      </c>
      <c r="D246" s="7" t="s">
        <v>4012</v>
      </c>
      <c r="E246" s="44">
        <v>5</v>
      </c>
      <c r="F246" s="7"/>
      <c r="G246" s="7"/>
      <c r="H246" s="2" t="s">
        <v>4015</v>
      </c>
      <c r="I246" s="7" t="s">
        <v>3905</v>
      </c>
      <c r="J246" s="7" t="s">
        <v>4016</v>
      </c>
      <c r="K246" s="7" t="s">
        <v>55</v>
      </c>
      <c r="L246" s="7" t="s">
        <v>4017</v>
      </c>
      <c r="M246" s="7" t="s">
        <v>4018</v>
      </c>
      <c r="N246" s="45" t="str">
        <f t="shared" ref="N246:N248" si="187">HYPERLINK("twitter.com/uwgsoftball","@uwgsoftball")</f>
        <v>@uwgsoftball</v>
      </c>
      <c r="O246" s="45" t="str">
        <f t="shared" ref="O246:O248" si="188">HYPERLINK("http://www.nmnathletics.com/quest/Questionaire.dbml?&amp;QID=406022&amp;DB_OEM_ID=24310&amp;_ga=2.249193856.600753858.1563481747-1085766866.1561378325","Questionnaire")</f>
        <v>Questionnaire</v>
      </c>
      <c r="P246" s="48" t="s">
        <v>4025</v>
      </c>
      <c r="Q246" s="47" t="s">
        <v>871</v>
      </c>
      <c r="R246" s="48" t="s">
        <v>4026</v>
      </c>
      <c r="S246" s="48" t="s">
        <v>468</v>
      </c>
      <c r="T246" s="49" t="s">
        <v>74</v>
      </c>
      <c r="U246" s="7" t="s">
        <v>75</v>
      </c>
      <c r="V246" s="7"/>
      <c r="W246" s="44">
        <v>3.15</v>
      </c>
      <c r="X246" s="49" t="s">
        <v>4027</v>
      </c>
      <c r="Y246" s="49" t="s">
        <v>4029</v>
      </c>
      <c r="Z246" s="49" t="s">
        <v>2307</v>
      </c>
      <c r="AA246" s="61">
        <v>0.59</v>
      </c>
      <c r="AB246" s="48" t="s">
        <v>4030</v>
      </c>
      <c r="AC246" s="52" t="s">
        <v>4025</v>
      </c>
      <c r="AD246" s="53" t="str">
        <f t="shared" ref="AD246:AD248" si="189">HYPERLINK("https://www.westga.edu/academics/programs.php","Link")</f>
        <v>Link</v>
      </c>
      <c r="AE246" s="54">
        <v>11155</v>
      </c>
      <c r="AF246" s="55"/>
      <c r="AG246" s="7"/>
      <c r="AH246" s="56">
        <v>141228</v>
      </c>
      <c r="AI246" s="7"/>
      <c r="AJ246" s="7"/>
      <c r="AK246" s="7"/>
      <c r="AL246" s="7"/>
    </row>
    <row r="247" spans="1:38" ht="15" x14ac:dyDescent="0.2">
      <c r="A247" s="57" t="s">
        <v>39</v>
      </c>
      <c r="B247" s="110" t="s">
        <v>1354</v>
      </c>
      <c r="C247" s="7" t="s">
        <v>41</v>
      </c>
      <c r="D247" s="7" t="s">
        <v>4035</v>
      </c>
      <c r="E247" s="44">
        <v>5</v>
      </c>
      <c r="F247" s="7"/>
      <c r="G247" s="7"/>
      <c r="H247" s="2" t="s">
        <v>4015</v>
      </c>
      <c r="I247" s="7" t="s">
        <v>4036</v>
      </c>
      <c r="J247" s="7" t="s">
        <v>4003</v>
      </c>
      <c r="K247" s="7" t="s">
        <v>48</v>
      </c>
      <c r="L247" s="7" t="s">
        <v>4037</v>
      </c>
      <c r="M247" s="7" t="s">
        <v>4038</v>
      </c>
      <c r="N247" s="45" t="str">
        <f t="shared" si="187"/>
        <v>@uwgsoftball</v>
      </c>
      <c r="O247" s="45" t="str">
        <f t="shared" si="188"/>
        <v>Questionnaire</v>
      </c>
      <c r="P247" s="48" t="s">
        <v>4025</v>
      </c>
      <c r="Q247" s="47" t="s">
        <v>871</v>
      </c>
      <c r="R247" s="48" t="s">
        <v>4026</v>
      </c>
      <c r="S247" s="48" t="s">
        <v>468</v>
      </c>
      <c r="T247" s="49" t="s">
        <v>74</v>
      </c>
      <c r="U247" s="7" t="s">
        <v>75</v>
      </c>
      <c r="V247" s="7"/>
      <c r="W247" s="44">
        <v>3.15</v>
      </c>
      <c r="X247" s="49" t="s">
        <v>4027</v>
      </c>
      <c r="Y247" s="49" t="s">
        <v>4029</v>
      </c>
      <c r="Z247" s="49" t="s">
        <v>2307</v>
      </c>
      <c r="AA247" s="61">
        <v>0.59</v>
      </c>
      <c r="AB247" s="48" t="s">
        <v>4030</v>
      </c>
      <c r="AC247" s="52" t="s">
        <v>4025</v>
      </c>
      <c r="AD247" s="53" t="str">
        <f t="shared" si="189"/>
        <v>Link</v>
      </c>
      <c r="AE247" s="54">
        <v>11155</v>
      </c>
      <c r="AF247" s="55"/>
      <c r="AG247" s="7"/>
      <c r="AH247" s="56">
        <v>141228</v>
      </c>
      <c r="AI247" s="7"/>
      <c r="AJ247" s="7"/>
      <c r="AK247" s="7"/>
      <c r="AL247" s="7"/>
    </row>
    <row r="248" spans="1:38" ht="15" x14ac:dyDescent="0.2">
      <c r="A248" s="57" t="s">
        <v>39</v>
      </c>
      <c r="B248" s="110" t="s">
        <v>1354</v>
      </c>
      <c r="C248" s="7" t="s">
        <v>41</v>
      </c>
      <c r="D248" s="7" t="s">
        <v>4041</v>
      </c>
      <c r="E248" s="44">
        <v>5</v>
      </c>
      <c r="F248" s="7" t="s">
        <v>116</v>
      </c>
      <c r="G248" s="7"/>
      <c r="H248" s="2" t="s">
        <v>4015</v>
      </c>
      <c r="I248" s="7" t="s">
        <v>1307</v>
      </c>
      <c r="J248" s="7" t="s">
        <v>4042</v>
      </c>
      <c r="K248" s="7" t="s">
        <v>120</v>
      </c>
      <c r="L248" s="7"/>
      <c r="M248" s="7"/>
      <c r="N248" s="45" t="str">
        <f t="shared" si="187"/>
        <v>@uwgsoftball</v>
      </c>
      <c r="O248" s="45" t="str">
        <f t="shared" si="188"/>
        <v>Questionnaire</v>
      </c>
      <c r="P248" s="48" t="s">
        <v>4025</v>
      </c>
      <c r="Q248" s="47" t="s">
        <v>871</v>
      </c>
      <c r="R248" s="48" t="s">
        <v>4026</v>
      </c>
      <c r="S248" s="48" t="s">
        <v>468</v>
      </c>
      <c r="T248" s="49" t="s">
        <v>74</v>
      </c>
      <c r="U248" s="7" t="s">
        <v>75</v>
      </c>
      <c r="V248" s="7"/>
      <c r="W248" s="44">
        <v>3.15</v>
      </c>
      <c r="X248" s="49" t="s">
        <v>4027</v>
      </c>
      <c r="Y248" s="49" t="s">
        <v>4029</v>
      </c>
      <c r="Z248" s="49" t="s">
        <v>2307</v>
      </c>
      <c r="AA248" s="61">
        <v>0.59</v>
      </c>
      <c r="AB248" s="48" t="s">
        <v>4030</v>
      </c>
      <c r="AC248" s="52" t="s">
        <v>4025</v>
      </c>
      <c r="AD248" s="53" t="str">
        <f t="shared" si="189"/>
        <v>Link</v>
      </c>
      <c r="AE248" s="54">
        <v>11155</v>
      </c>
      <c r="AF248" s="55"/>
      <c r="AG248" s="7"/>
      <c r="AH248" s="56">
        <v>141228</v>
      </c>
      <c r="AI248" s="7"/>
      <c r="AJ248" s="7"/>
      <c r="AK248" s="7"/>
      <c r="AL248" s="7"/>
    </row>
    <row r="249" spans="1:38" ht="13" x14ac:dyDescent="0.15">
      <c r="A249" s="57" t="s">
        <v>3001</v>
      </c>
      <c r="B249" s="110" t="s">
        <v>1354</v>
      </c>
      <c r="C249" s="7" t="s">
        <v>41</v>
      </c>
      <c r="D249" s="7" t="s">
        <v>4051</v>
      </c>
      <c r="E249" s="44">
        <v>5</v>
      </c>
      <c r="F249" s="7"/>
      <c r="G249" s="7"/>
      <c r="H249" s="2" t="s">
        <v>4054</v>
      </c>
      <c r="I249" s="7" t="s">
        <v>4055</v>
      </c>
      <c r="J249" s="7" t="s">
        <v>4056</v>
      </c>
      <c r="K249" s="7" t="s">
        <v>55</v>
      </c>
      <c r="L249" s="7" t="s">
        <v>4058</v>
      </c>
      <c r="M249" s="7" t="s">
        <v>4060</v>
      </c>
      <c r="N249" s="45" t="str">
        <f t="shared" ref="N249:N251" si="190">HYPERLINK("twitter.com/yhc_softball","@yhc_softball")</f>
        <v>@yhc_softball</v>
      </c>
      <c r="O249" s="45" t="str">
        <f t="shared" ref="O249:O251" si="191">HYPERLINK("https://yhcathletics.com/sb_output.aspx?form=3","Questionnaire")</f>
        <v>Questionnaire</v>
      </c>
      <c r="P249" s="48" t="s">
        <v>4065</v>
      </c>
      <c r="Q249" s="60" t="s">
        <v>871</v>
      </c>
      <c r="R249" s="48" t="s">
        <v>4065</v>
      </c>
      <c r="S249" s="60" t="s">
        <v>205</v>
      </c>
      <c r="T249" s="49" t="s">
        <v>63</v>
      </c>
      <c r="U249" s="7" t="s">
        <v>65</v>
      </c>
      <c r="V249" s="7"/>
      <c r="W249" s="44">
        <v>3.15</v>
      </c>
      <c r="X249" s="49" t="s">
        <v>3520</v>
      </c>
      <c r="Y249" s="49" t="s">
        <v>1144</v>
      </c>
      <c r="Z249" s="49" t="s">
        <v>357</v>
      </c>
      <c r="AA249" s="61">
        <v>0.55000000000000004</v>
      </c>
      <c r="AB249" s="71">
        <v>42455</v>
      </c>
      <c r="AC249" s="62" t="s">
        <v>4065</v>
      </c>
      <c r="AD249" s="53" t="str">
        <f t="shared" ref="AD249:AD251" si="192">HYPERLINK("https://www.yhc.edu/academics/majors-minors","Link")</f>
        <v>Link</v>
      </c>
      <c r="AE249" s="54">
        <v>1200</v>
      </c>
      <c r="AF249" s="55"/>
      <c r="AG249" s="7"/>
      <c r="AH249" s="56">
        <v>141361</v>
      </c>
      <c r="AI249" s="7"/>
      <c r="AJ249" s="7"/>
      <c r="AK249" s="7"/>
      <c r="AL249" s="7"/>
    </row>
    <row r="250" spans="1:38" ht="13" x14ac:dyDescent="0.15">
      <c r="A250" s="57" t="s">
        <v>3001</v>
      </c>
      <c r="B250" s="110" t="s">
        <v>1354</v>
      </c>
      <c r="C250" s="7" t="s">
        <v>41</v>
      </c>
      <c r="D250" s="7" t="s">
        <v>4073</v>
      </c>
      <c r="E250" s="44">
        <v>5</v>
      </c>
      <c r="F250" s="7"/>
      <c r="G250" s="7"/>
      <c r="H250" s="2" t="s">
        <v>4054</v>
      </c>
      <c r="I250" s="7" t="s">
        <v>2037</v>
      </c>
      <c r="J250" s="7" t="s">
        <v>4075</v>
      </c>
      <c r="K250" s="7" t="s">
        <v>55</v>
      </c>
      <c r="L250" s="7" t="s">
        <v>4076</v>
      </c>
      <c r="M250" s="7" t="s">
        <v>4060</v>
      </c>
      <c r="N250" s="45" t="str">
        <f t="shared" si="190"/>
        <v>@yhc_softball</v>
      </c>
      <c r="O250" s="45" t="str">
        <f t="shared" si="191"/>
        <v>Questionnaire</v>
      </c>
      <c r="P250" s="48" t="s">
        <v>4065</v>
      </c>
      <c r="Q250" s="60" t="s">
        <v>871</v>
      </c>
      <c r="R250" s="48" t="s">
        <v>4065</v>
      </c>
      <c r="S250" s="60" t="s">
        <v>205</v>
      </c>
      <c r="T250" s="49" t="s">
        <v>63</v>
      </c>
      <c r="U250" s="7" t="s">
        <v>65</v>
      </c>
      <c r="V250" s="7"/>
      <c r="W250" s="44">
        <v>3.15</v>
      </c>
      <c r="X250" s="49" t="s">
        <v>3520</v>
      </c>
      <c r="Y250" s="49" t="s">
        <v>1144</v>
      </c>
      <c r="Z250" s="49" t="s">
        <v>357</v>
      </c>
      <c r="AA250" s="61">
        <v>0.55000000000000004</v>
      </c>
      <c r="AB250" s="71">
        <v>42455</v>
      </c>
      <c r="AC250" s="62" t="s">
        <v>4065</v>
      </c>
      <c r="AD250" s="53" t="str">
        <f t="shared" si="192"/>
        <v>Link</v>
      </c>
      <c r="AE250" s="54">
        <v>1200</v>
      </c>
      <c r="AF250" s="55"/>
      <c r="AG250" s="7"/>
      <c r="AH250" s="56">
        <v>141361</v>
      </c>
      <c r="AI250" s="7"/>
      <c r="AJ250" s="7"/>
      <c r="AK250" s="7"/>
      <c r="AL250" s="7"/>
    </row>
    <row r="251" spans="1:38" ht="13" x14ac:dyDescent="0.15">
      <c r="A251" s="57" t="s">
        <v>3001</v>
      </c>
      <c r="B251" s="110" t="s">
        <v>1354</v>
      </c>
      <c r="C251" s="7" t="s">
        <v>41</v>
      </c>
      <c r="D251" s="7" t="s">
        <v>4085</v>
      </c>
      <c r="E251" s="44">
        <v>5</v>
      </c>
      <c r="F251" s="7"/>
      <c r="G251" s="7"/>
      <c r="H251" s="2" t="s">
        <v>4054</v>
      </c>
      <c r="I251" s="7" t="s">
        <v>860</v>
      </c>
      <c r="J251" s="7" t="s">
        <v>4088</v>
      </c>
      <c r="K251" s="7" t="s">
        <v>48</v>
      </c>
      <c r="L251" s="7" t="s">
        <v>4091</v>
      </c>
      <c r="M251" s="7" t="s">
        <v>4092</v>
      </c>
      <c r="N251" s="45" t="str">
        <f t="shared" si="190"/>
        <v>@yhc_softball</v>
      </c>
      <c r="O251" s="45" t="str">
        <f t="shared" si="191"/>
        <v>Questionnaire</v>
      </c>
      <c r="P251" s="48" t="s">
        <v>4065</v>
      </c>
      <c r="Q251" s="60" t="s">
        <v>871</v>
      </c>
      <c r="R251" s="48" t="s">
        <v>4065</v>
      </c>
      <c r="S251" s="60" t="s">
        <v>205</v>
      </c>
      <c r="T251" s="49" t="s">
        <v>63</v>
      </c>
      <c r="U251" s="7" t="s">
        <v>65</v>
      </c>
      <c r="V251" s="7"/>
      <c r="W251" s="44">
        <v>3.15</v>
      </c>
      <c r="X251" s="49" t="s">
        <v>3520</v>
      </c>
      <c r="Y251" s="49" t="s">
        <v>1144</v>
      </c>
      <c r="Z251" s="49" t="s">
        <v>357</v>
      </c>
      <c r="AA251" s="61">
        <v>0.55000000000000004</v>
      </c>
      <c r="AB251" s="71">
        <v>42455</v>
      </c>
      <c r="AC251" s="62" t="s">
        <v>4065</v>
      </c>
      <c r="AD251" s="53" t="str">
        <f t="shared" si="192"/>
        <v>Link</v>
      </c>
      <c r="AE251" s="54">
        <v>1200</v>
      </c>
      <c r="AF251" s="55"/>
      <c r="AG251" s="7"/>
      <c r="AH251" s="56">
        <v>141361</v>
      </c>
      <c r="AI251" s="7"/>
      <c r="AJ251" s="7"/>
      <c r="AK251" s="7"/>
      <c r="AL251" s="7"/>
    </row>
    <row r="252" spans="1:38" ht="13" x14ac:dyDescent="0.15">
      <c r="A252" s="57" t="s">
        <v>955</v>
      </c>
      <c r="B252" s="110" t="s">
        <v>4099</v>
      </c>
      <c r="C252" s="7" t="s">
        <v>41</v>
      </c>
      <c r="D252" s="7" t="s">
        <v>4100</v>
      </c>
      <c r="E252" s="44">
        <v>5</v>
      </c>
      <c r="F252" s="7"/>
      <c r="G252" s="7"/>
      <c r="H252" s="2" t="s">
        <v>4101</v>
      </c>
      <c r="I252" s="7" t="s">
        <v>2993</v>
      </c>
      <c r="J252" s="7" t="s">
        <v>4102</v>
      </c>
      <c r="K252" s="7" t="s">
        <v>55</v>
      </c>
      <c r="L252" s="7"/>
      <c r="M252" s="7"/>
      <c r="N252" s="45" t="str">
        <f t="shared" ref="N252:N257" si="193">HYPERLINK("twitter.com/nadesoftball","@nadesoftball")</f>
        <v>@nadesoftball</v>
      </c>
      <c r="O252" s="45" t="str">
        <f t="shared" ref="O252:O257" si="194">HYPERLINK("https://goswords.com/sb_output.aspx?form=3","Questionnaire")</f>
        <v>Questionnaire</v>
      </c>
      <c r="P252" s="48" t="s">
        <v>4110</v>
      </c>
      <c r="Q252" s="60" t="s">
        <v>4111</v>
      </c>
      <c r="R252" s="48" t="s">
        <v>4112</v>
      </c>
      <c r="S252" s="48" t="s">
        <v>354</v>
      </c>
      <c r="T252" s="4" t="s">
        <v>63</v>
      </c>
      <c r="U252" s="2" t="s">
        <v>343</v>
      </c>
      <c r="V252" s="7"/>
      <c r="W252" s="37">
        <v>3.41</v>
      </c>
      <c r="X252" s="49" t="s">
        <v>1452</v>
      </c>
      <c r="Y252" s="49" t="s">
        <v>1145</v>
      </c>
      <c r="Z252" s="49" t="s">
        <v>3842</v>
      </c>
      <c r="AA252" s="38">
        <v>0.9133</v>
      </c>
      <c r="AB252" s="39">
        <v>39845</v>
      </c>
      <c r="AC252" s="90" t="s">
        <v>4110</v>
      </c>
      <c r="AD252" s="53" t="str">
        <f t="shared" ref="AD252:AD257" si="195">HYPERLINK("https://admissions.chaminade.edu/degree-programs/","Link")</f>
        <v>Link</v>
      </c>
      <c r="AE252" s="42">
        <v>1680</v>
      </c>
      <c r="AF252" s="55"/>
      <c r="AG252" s="7"/>
      <c r="AH252" s="56">
        <v>141486</v>
      </c>
      <c r="AI252" s="7"/>
      <c r="AJ252" s="7"/>
      <c r="AK252" s="7"/>
      <c r="AL252" s="7"/>
    </row>
    <row r="253" spans="1:38" ht="13" x14ac:dyDescent="0.15">
      <c r="A253" s="57" t="s">
        <v>955</v>
      </c>
      <c r="B253" s="110" t="s">
        <v>4099</v>
      </c>
      <c r="C253" s="7" t="s">
        <v>41</v>
      </c>
      <c r="D253" s="7" t="s">
        <v>4117</v>
      </c>
      <c r="E253" s="44">
        <v>5</v>
      </c>
      <c r="F253" s="7"/>
      <c r="G253" s="7"/>
      <c r="H253" s="2" t="s">
        <v>4101</v>
      </c>
      <c r="I253" s="7" t="s">
        <v>4118</v>
      </c>
      <c r="J253" s="7" t="s">
        <v>4119</v>
      </c>
      <c r="K253" s="7" t="s">
        <v>55</v>
      </c>
      <c r="L253" s="7"/>
      <c r="M253" s="7"/>
      <c r="N253" s="45" t="str">
        <f t="shared" si="193"/>
        <v>@nadesoftball</v>
      </c>
      <c r="O253" s="45" t="str">
        <f t="shared" si="194"/>
        <v>Questionnaire</v>
      </c>
      <c r="P253" s="48" t="s">
        <v>4110</v>
      </c>
      <c r="Q253" s="60" t="s">
        <v>4111</v>
      </c>
      <c r="R253" s="48" t="s">
        <v>4112</v>
      </c>
      <c r="S253" s="48" t="s">
        <v>354</v>
      </c>
      <c r="T253" s="4" t="s">
        <v>63</v>
      </c>
      <c r="U253" s="2" t="s">
        <v>343</v>
      </c>
      <c r="V253" s="7"/>
      <c r="W253" s="37">
        <v>3.41</v>
      </c>
      <c r="X253" s="49" t="s">
        <v>1452</v>
      </c>
      <c r="Y253" s="49" t="s">
        <v>1145</v>
      </c>
      <c r="Z253" s="49" t="s">
        <v>3842</v>
      </c>
      <c r="AA253" s="38">
        <v>0.9133</v>
      </c>
      <c r="AB253" s="39">
        <v>39845</v>
      </c>
      <c r="AC253" s="90" t="s">
        <v>4110</v>
      </c>
      <c r="AD253" s="53" t="str">
        <f t="shared" si="195"/>
        <v>Link</v>
      </c>
      <c r="AE253" s="42">
        <v>1680</v>
      </c>
      <c r="AF253" s="55"/>
      <c r="AG253" s="7"/>
      <c r="AH253" s="56">
        <v>141486</v>
      </c>
      <c r="AI253" s="7"/>
      <c r="AJ253" s="7"/>
      <c r="AK253" s="7"/>
      <c r="AL253" s="7"/>
    </row>
    <row r="254" spans="1:38" ht="13" x14ac:dyDescent="0.15">
      <c r="A254" s="57" t="s">
        <v>955</v>
      </c>
      <c r="B254" s="110" t="s">
        <v>4099</v>
      </c>
      <c r="C254" s="7" t="s">
        <v>41</v>
      </c>
      <c r="D254" s="7" t="s">
        <v>4129</v>
      </c>
      <c r="E254" s="44">
        <v>5</v>
      </c>
      <c r="F254" s="7"/>
      <c r="G254" s="7"/>
      <c r="H254" s="2" t="s">
        <v>4101</v>
      </c>
      <c r="I254" s="7" t="s">
        <v>4131</v>
      </c>
      <c r="J254" s="7" t="s">
        <v>4134</v>
      </c>
      <c r="K254" s="7" t="s">
        <v>55</v>
      </c>
      <c r="L254" s="7"/>
      <c r="M254" s="7"/>
      <c r="N254" s="45" t="str">
        <f t="shared" si="193"/>
        <v>@nadesoftball</v>
      </c>
      <c r="O254" s="45" t="str">
        <f t="shared" si="194"/>
        <v>Questionnaire</v>
      </c>
      <c r="P254" s="48" t="s">
        <v>4110</v>
      </c>
      <c r="Q254" s="60" t="s">
        <v>4111</v>
      </c>
      <c r="R254" s="48" t="s">
        <v>4112</v>
      </c>
      <c r="S254" s="48" t="s">
        <v>354</v>
      </c>
      <c r="T254" s="4" t="s">
        <v>63</v>
      </c>
      <c r="U254" s="2" t="s">
        <v>343</v>
      </c>
      <c r="V254" s="7"/>
      <c r="W254" s="37">
        <v>3.41</v>
      </c>
      <c r="X254" s="49" t="s">
        <v>1452</v>
      </c>
      <c r="Y254" s="49" t="s">
        <v>1145</v>
      </c>
      <c r="Z254" s="49" t="s">
        <v>3842</v>
      </c>
      <c r="AA254" s="38">
        <v>0.9133</v>
      </c>
      <c r="AB254" s="39">
        <v>39845</v>
      </c>
      <c r="AC254" s="90" t="s">
        <v>4110</v>
      </c>
      <c r="AD254" s="53" t="str">
        <f t="shared" si="195"/>
        <v>Link</v>
      </c>
      <c r="AE254" s="42">
        <v>1680</v>
      </c>
      <c r="AF254" s="55"/>
      <c r="AG254" s="7"/>
      <c r="AH254" s="56">
        <v>141486</v>
      </c>
      <c r="AI254" s="7"/>
      <c r="AJ254" s="7"/>
      <c r="AK254" s="7"/>
      <c r="AL254" s="7"/>
    </row>
    <row r="255" spans="1:38" ht="13" x14ac:dyDescent="0.15">
      <c r="A255" s="57" t="s">
        <v>955</v>
      </c>
      <c r="B255" s="110" t="s">
        <v>4099</v>
      </c>
      <c r="C255" s="7" t="s">
        <v>41</v>
      </c>
      <c r="D255" s="7" t="s">
        <v>4141</v>
      </c>
      <c r="E255" s="44">
        <v>5</v>
      </c>
      <c r="F255" s="7"/>
      <c r="G255" s="7"/>
      <c r="H255" s="2" t="s">
        <v>4101</v>
      </c>
      <c r="I255" s="7" t="s">
        <v>2622</v>
      </c>
      <c r="J255" s="7" t="s">
        <v>4142</v>
      </c>
      <c r="K255" s="7" t="s">
        <v>55</v>
      </c>
      <c r="L255" s="7"/>
      <c r="M255" s="7"/>
      <c r="N255" s="45" t="str">
        <f t="shared" si="193"/>
        <v>@nadesoftball</v>
      </c>
      <c r="O255" s="45" t="str">
        <f t="shared" si="194"/>
        <v>Questionnaire</v>
      </c>
      <c r="P255" s="48" t="s">
        <v>4110</v>
      </c>
      <c r="Q255" s="60" t="s">
        <v>4111</v>
      </c>
      <c r="R255" s="48" t="s">
        <v>4112</v>
      </c>
      <c r="S255" s="48" t="s">
        <v>354</v>
      </c>
      <c r="T255" s="4" t="s">
        <v>63</v>
      </c>
      <c r="U255" s="2" t="s">
        <v>343</v>
      </c>
      <c r="V255" s="7"/>
      <c r="W255" s="37">
        <v>3.41</v>
      </c>
      <c r="X255" s="49" t="s">
        <v>1452</v>
      </c>
      <c r="Y255" s="49" t="s">
        <v>1145</v>
      </c>
      <c r="Z255" s="49" t="s">
        <v>3842</v>
      </c>
      <c r="AA255" s="38">
        <v>0.9133</v>
      </c>
      <c r="AB255" s="39">
        <v>39845</v>
      </c>
      <c r="AC255" s="90" t="s">
        <v>4110</v>
      </c>
      <c r="AD255" s="53" t="str">
        <f t="shared" si="195"/>
        <v>Link</v>
      </c>
      <c r="AE255" s="42">
        <v>1680</v>
      </c>
      <c r="AF255" s="55"/>
      <c r="AG255" s="7"/>
      <c r="AH255" s="56">
        <v>141486</v>
      </c>
      <c r="AI255" s="7"/>
      <c r="AJ255" s="7"/>
      <c r="AK255" s="7"/>
      <c r="AL255" s="7"/>
    </row>
    <row r="256" spans="1:38" ht="13" x14ac:dyDescent="0.15">
      <c r="A256" s="57" t="s">
        <v>955</v>
      </c>
      <c r="B256" s="110" t="s">
        <v>4099</v>
      </c>
      <c r="C256" s="7" t="s">
        <v>41</v>
      </c>
      <c r="D256" s="7" t="s">
        <v>4150</v>
      </c>
      <c r="E256" s="44">
        <v>5</v>
      </c>
      <c r="F256" s="7"/>
      <c r="G256" s="7"/>
      <c r="H256" s="2" t="s">
        <v>4101</v>
      </c>
      <c r="I256" s="7" t="s">
        <v>4153</v>
      </c>
      <c r="J256" s="7" t="s">
        <v>4077</v>
      </c>
      <c r="K256" s="7" t="s">
        <v>55</v>
      </c>
      <c r="L256" s="7"/>
      <c r="M256" s="7"/>
      <c r="N256" s="45" t="str">
        <f t="shared" si="193"/>
        <v>@nadesoftball</v>
      </c>
      <c r="O256" s="45" t="str">
        <f t="shared" si="194"/>
        <v>Questionnaire</v>
      </c>
      <c r="P256" s="48" t="s">
        <v>4110</v>
      </c>
      <c r="Q256" s="60" t="s">
        <v>4111</v>
      </c>
      <c r="R256" s="48" t="s">
        <v>4112</v>
      </c>
      <c r="S256" s="48" t="s">
        <v>354</v>
      </c>
      <c r="T256" s="4" t="s">
        <v>63</v>
      </c>
      <c r="U256" s="2" t="s">
        <v>343</v>
      </c>
      <c r="V256" s="7"/>
      <c r="W256" s="37">
        <v>3.41</v>
      </c>
      <c r="X256" s="49" t="s">
        <v>1452</v>
      </c>
      <c r="Y256" s="49" t="s">
        <v>1145</v>
      </c>
      <c r="Z256" s="49" t="s">
        <v>3842</v>
      </c>
      <c r="AA256" s="38">
        <v>0.9133</v>
      </c>
      <c r="AB256" s="39">
        <v>39845</v>
      </c>
      <c r="AC256" s="90" t="s">
        <v>4110</v>
      </c>
      <c r="AD256" s="53" t="str">
        <f t="shared" si="195"/>
        <v>Link</v>
      </c>
      <c r="AE256" s="42">
        <v>1680</v>
      </c>
      <c r="AF256" s="55"/>
      <c r="AG256" s="7"/>
      <c r="AH256" s="56">
        <v>141486</v>
      </c>
      <c r="AI256" s="7"/>
      <c r="AJ256" s="7"/>
      <c r="AK256" s="7"/>
      <c r="AL256" s="7"/>
    </row>
    <row r="257" spans="1:38" ht="13" x14ac:dyDescent="0.15">
      <c r="A257" s="57" t="s">
        <v>955</v>
      </c>
      <c r="B257" s="110" t="s">
        <v>4099</v>
      </c>
      <c r="C257" s="7" t="s">
        <v>41</v>
      </c>
      <c r="D257" s="7" t="s">
        <v>4158</v>
      </c>
      <c r="E257" s="44">
        <v>5</v>
      </c>
      <c r="F257" s="7"/>
      <c r="G257" s="7"/>
      <c r="H257" s="2" t="s">
        <v>4101</v>
      </c>
      <c r="I257" s="7" t="s">
        <v>4159</v>
      </c>
      <c r="J257" s="7" t="s">
        <v>4160</v>
      </c>
      <c r="K257" s="7" t="s">
        <v>48</v>
      </c>
      <c r="L257" s="7" t="s">
        <v>4161</v>
      </c>
      <c r="M257" s="7" t="s">
        <v>4163</v>
      </c>
      <c r="N257" s="45" t="str">
        <f t="shared" si="193"/>
        <v>@nadesoftball</v>
      </c>
      <c r="O257" s="45" t="str">
        <f t="shared" si="194"/>
        <v>Questionnaire</v>
      </c>
      <c r="P257" s="48" t="s">
        <v>4110</v>
      </c>
      <c r="Q257" s="60" t="s">
        <v>4111</v>
      </c>
      <c r="R257" s="48" t="s">
        <v>4112</v>
      </c>
      <c r="S257" s="48" t="s">
        <v>354</v>
      </c>
      <c r="T257" s="4" t="s">
        <v>63</v>
      </c>
      <c r="U257" s="2" t="s">
        <v>343</v>
      </c>
      <c r="V257" s="7"/>
      <c r="W257" s="37">
        <v>3.41</v>
      </c>
      <c r="X257" s="49" t="s">
        <v>1452</v>
      </c>
      <c r="Y257" s="49" t="s">
        <v>1145</v>
      </c>
      <c r="Z257" s="49" t="s">
        <v>3842</v>
      </c>
      <c r="AA257" s="38">
        <v>0.9133</v>
      </c>
      <c r="AB257" s="39">
        <v>39845</v>
      </c>
      <c r="AC257" s="90" t="s">
        <v>4110</v>
      </c>
      <c r="AD257" s="53" t="str">
        <f t="shared" si="195"/>
        <v>Link</v>
      </c>
      <c r="AE257" s="42">
        <v>1680</v>
      </c>
      <c r="AF257" s="55"/>
      <c r="AG257" s="7"/>
      <c r="AH257" s="56">
        <v>141486</v>
      </c>
      <c r="AI257" s="7"/>
      <c r="AJ257" s="7"/>
      <c r="AK257" s="7"/>
      <c r="AL257" s="7"/>
    </row>
    <row r="258" spans="1:38" ht="15" x14ac:dyDescent="0.2">
      <c r="A258" s="57" t="s">
        <v>955</v>
      </c>
      <c r="B258" s="110" t="s">
        <v>4099</v>
      </c>
      <c r="C258" s="7" t="s">
        <v>41</v>
      </c>
      <c r="D258" s="7" t="s">
        <v>4168</v>
      </c>
      <c r="E258" s="44">
        <v>5</v>
      </c>
      <c r="F258" s="7"/>
      <c r="G258" s="7"/>
      <c r="H258" s="2" t="s">
        <v>4169</v>
      </c>
      <c r="I258" s="7" t="s">
        <v>2658</v>
      </c>
      <c r="J258" s="7" t="s">
        <v>4170</v>
      </c>
      <c r="K258" s="7" t="s">
        <v>55</v>
      </c>
      <c r="L258" s="7" t="s">
        <v>4171</v>
      </c>
      <c r="M258" s="7" t="s">
        <v>4172</v>
      </c>
      <c r="N258" s="48"/>
      <c r="O258" s="45" t="str">
        <f t="shared" ref="O258:O264" si="196">HYPERLINK("https://questionnaires.armssoftware.com/b7d3538846db","Questionnaire")</f>
        <v>Questionnaire</v>
      </c>
      <c r="P258" s="48" t="s">
        <v>4178</v>
      </c>
      <c r="Q258" s="47" t="s">
        <v>4111</v>
      </c>
      <c r="R258" s="48" t="s">
        <v>4112</v>
      </c>
      <c r="S258" s="48" t="s">
        <v>354</v>
      </c>
      <c r="T258" s="49" t="s">
        <v>63</v>
      </c>
      <c r="U258" s="49" t="s">
        <v>75</v>
      </c>
      <c r="V258" s="7"/>
      <c r="W258" s="44">
        <v>3.4</v>
      </c>
      <c r="X258" s="49" t="s">
        <v>214</v>
      </c>
      <c r="Y258" s="49" t="s">
        <v>214</v>
      </c>
      <c r="Z258" s="49" t="s">
        <v>214</v>
      </c>
      <c r="AA258" s="61">
        <v>0.75</v>
      </c>
      <c r="AB258" s="71">
        <v>40758</v>
      </c>
      <c r="AC258" s="52" t="s">
        <v>4178</v>
      </c>
      <c r="AD258" s="53" t="str">
        <f t="shared" ref="AD258:AD264" si="197">HYPERLINK("https://www.hpu.edu/academics/areas-of-study/undergraduate-programs.html","Link")</f>
        <v>Link</v>
      </c>
      <c r="AE258" s="54">
        <v>3436</v>
      </c>
      <c r="AF258" s="55"/>
      <c r="AG258" s="7"/>
      <c r="AH258" s="56">
        <v>141644</v>
      </c>
      <c r="AI258" s="7"/>
      <c r="AJ258" s="7"/>
      <c r="AK258" s="7"/>
      <c r="AL258" s="7"/>
    </row>
    <row r="259" spans="1:38" ht="15" x14ac:dyDescent="0.2">
      <c r="A259" s="57" t="s">
        <v>955</v>
      </c>
      <c r="B259" s="110" t="s">
        <v>4099</v>
      </c>
      <c r="C259" s="7" t="s">
        <v>41</v>
      </c>
      <c r="D259" s="7" t="s">
        <v>4186</v>
      </c>
      <c r="E259" s="44">
        <v>5</v>
      </c>
      <c r="F259" s="7"/>
      <c r="G259" s="7"/>
      <c r="H259" s="2" t="s">
        <v>4169</v>
      </c>
      <c r="I259" s="7" t="s">
        <v>4187</v>
      </c>
      <c r="J259" s="7" t="s">
        <v>4188</v>
      </c>
      <c r="K259" s="7" t="s">
        <v>55</v>
      </c>
      <c r="L259" s="7"/>
      <c r="M259" s="7"/>
      <c r="N259" s="48"/>
      <c r="O259" s="45" t="str">
        <f t="shared" si="196"/>
        <v>Questionnaire</v>
      </c>
      <c r="P259" s="48" t="s">
        <v>4178</v>
      </c>
      <c r="Q259" s="47" t="s">
        <v>4111</v>
      </c>
      <c r="R259" s="48" t="s">
        <v>4112</v>
      </c>
      <c r="S259" s="48" t="s">
        <v>354</v>
      </c>
      <c r="T259" s="49" t="s">
        <v>63</v>
      </c>
      <c r="U259" s="49" t="s">
        <v>75</v>
      </c>
      <c r="V259" s="7"/>
      <c r="W259" s="44">
        <v>3.4</v>
      </c>
      <c r="X259" s="49" t="s">
        <v>214</v>
      </c>
      <c r="Y259" s="49" t="s">
        <v>214</v>
      </c>
      <c r="Z259" s="49" t="s">
        <v>214</v>
      </c>
      <c r="AA259" s="61">
        <v>0.75</v>
      </c>
      <c r="AB259" s="71">
        <v>40758</v>
      </c>
      <c r="AC259" s="52" t="s">
        <v>4178</v>
      </c>
      <c r="AD259" s="53" t="str">
        <f t="shared" si="197"/>
        <v>Link</v>
      </c>
      <c r="AE259" s="54">
        <v>3436</v>
      </c>
      <c r="AF259" s="55"/>
      <c r="AG259" s="7"/>
      <c r="AH259" s="56">
        <v>141644</v>
      </c>
      <c r="AI259" s="7"/>
      <c r="AJ259" s="7"/>
      <c r="AK259" s="7"/>
      <c r="AL259" s="7"/>
    </row>
    <row r="260" spans="1:38" ht="15" x14ac:dyDescent="0.2">
      <c r="A260" s="57" t="s">
        <v>955</v>
      </c>
      <c r="B260" s="110" t="s">
        <v>4099</v>
      </c>
      <c r="C260" s="7" t="s">
        <v>41</v>
      </c>
      <c r="D260" s="7" t="s">
        <v>4197</v>
      </c>
      <c r="E260" s="44">
        <v>5</v>
      </c>
      <c r="F260" s="7"/>
      <c r="G260" s="7"/>
      <c r="H260" s="2" t="s">
        <v>4169</v>
      </c>
      <c r="I260" s="7" t="s">
        <v>1342</v>
      </c>
      <c r="J260" s="7" t="s">
        <v>4198</v>
      </c>
      <c r="K260" s="7" t="s">
        <v>3999</v>
      </c>
      <c r="L260" s="7" t="s">
        <v>4199</v>
      </c>
      <c r="M260" s="7" t="s">
        <v>4201</v>
      </c>
      <c r="N260" s="48"/>
      <c r="O260" s="45" t="str">
        <f t="shared" si="196"/>
        <v>Questionnaire</v>
      </c>
      <c r="P260" s="48" t="s">
        <v>4178</v>
      </c>
      <c r="Q260" s="47" t="s">
        <v>4111</v>
      </c>
      <c r="R260" s="48" t="s">
        <v>4112</v>
      </c>
      <c r="S260" s="48" t="s">
        <v>354</v>
      </c>
      <c r="T260" s="49" t="s">
        <v>63</v>
      </c>
      <c r="U260" s="49" t="s">
        <v>75</v>
      </c>
      <c r="V260" s="7"/>
      <c r="W260" s="44">
        <v>3.4</v>
      </c>
      <c r="X260" s="49" t="s">
        <v>214</v>
      </c>
      <c r="Y260" s="49" t="s">
        <v>214</v>
      </c>
      <c r="Z260" s="49" t="s">
        <v>214</v>
      </c>
      <c r="AA260" s="61">
        <v>0.75</v>
      </c>
      <c r="AB260" s="71">
        <v>40758</v>
      </c>
      <c r="AC260" s="52" t="s">
        <v>4178</v>
      </c>
      <c r="AD260" s="53" t="str">
        <f t="shared" si="197"/>
        <v>Link</v>
      </c>
      <c r="AE260" s="54">
        <v>3436</v>
      </c>
      <c r="AF260" s="55"/>
      <c r="AG260" s="7"/>
      <c r="AH260" s="56">
        <v>141644</v>
      </c>
      <c r="AI260" s="7"/>
      <c r="AJ260" s="7"/>
      <c r="AK260" s="7"/>
      <c r="AL260" s="7"/>
    </row>
    <row r="261" spans="1:38" ht="15" x14ac:dyDescent="0.2">
      <c r="A261" s="57" t="s">
        <v>955</v>
      </c>
      <c r="B261" s="110" t="s">
        <v>4099</v>
      </c>
      <c r="C261" s="7" t="s">
        <v>41</v>
      </c>
      <c r="D261" s="7" t="s">
        <v>4209</v>
      </c>
      <c r="E261" s="44">
        <v>5</v>
      </c>
      <c r="F261" s="7"/>
      <c r="G261" s="7"/>
      <c r="H261" s="2" t="s">
        <v>4169</v>
      </c>
      <c r="I261" s="7" t="s">
        <v>4210</v>
      </c>
      <c r="J261" s="7" t="s">
        <v>4211</v>
      </c>
      <c r="K261" s="7" t="s">
        <v>3999</v>
      </c>
      <c r="L261" s="7" t="s">
        <v>4212</v>
      </c>
      <c r="M261" s="7"/>
      <c r="N261" s="48"/>
      <c r="O261" s="45" t="str">
        <f t="shared" si="196"/>
        <v>Questionnaire</v>
      </c>
      <c r="P261" s="48" t="s">
        <v>4178</v>
      </c>
      <c r="Q261" s="47" t="s">
        <v>4111</v>
      </c>
      <c r="R261" s="48" t="s">
        <v>4112</v>
      </c>
      <c r="S261" s="48" t="s">
        <v>354</v>
      </c>
      <c r="T261" s="49" t="s">
        <v>63</v>
      </c>
      <c r="U261" s="49" t="s">
        <v>75</v>
      </c>
      <c r="V261" s="7"/>
      <c r="W261" s="44">
        <v>3.4</v>
      </c>
      <c r="X261" s="49" t="s">
        <v>214</v>
      </c>
      <c r="Y261" s="49" t="s">
        <v>214</v>
      </c>
      <c r="Z261" s="49" t="s">
        <v>214</v>
      </c>
      <c r="AA261" s="61">
        <v>0.75</v>
      </c>
      <c r="AB261" s="71">
        <v>40758</v>
      </c>
      <c r="AC261" s="52" t="s">
        <v>4178</v>
      </c>
      <c r="AD261" s="53" t="str">
        <f t="shared" si="197"/>
        <v>Link</v>
      </c>
      <c r="AE261" s="54">
        <v>3436</v>
      </c>
      <c r="AF261" s="55"/>
      <c r="AG261" s="7"/>
      <c r="AH261" s="56">
        <v>141644</v>
      </c>
      <c r="AI261" s="7"/>
      <c r="AJ261" s="7"/>
      <c r="AK261" s="7"/>
      <c r="AL261" s="7"/>
    </row>
    <row r="262" spans="1:38" ht="15" x14ac:dyDescent="0.2">
      <c r="A262" s="57" t="s">
        <v>955</v>
      </c>
      <c r="B262" s="110" t="s">
        <v>4099</v>
      </c>
      <c r="C262" s="7" t="s">
        <v>41</v>
      </c>
      <c r="D262" s="7" t="s">
        <v>4218</v>
      </c>
      <c r="E262" s="44">
        <v>5</v>
      </c>
      <c r="F262" s="7"/>
      <c r="G262" s="7"/>
      <c r="H262" s="2" t="s">
        <v>4169</v>
      </c>
      <c r="I262" s="7" t="s">
        <v>4222</v>
      </c>
      <c r="J262" s="7" t="s">
        <v>1159</v>
      </c>
      <c r="K262" s="7" t="s">
        <v>139</v>
      </c>
      <c r="L262" s="7"/>
      <c r="M262" s="7"/>
      <c r="N262" s="48"/>
      <c r="O262" s="45" t="str">
        <f t="shared" si="196"/>
        <v>Questionnaire</v>
      </c>
      <c r="P262" s="48" t="s">
        <v>4178</v>
      </c>
      <c r="Q262" s="47" t="s">
        <v>4111</v>
      </c>
      <c r="R262" s="48" t="s">
        <v>4112</v>
      </c>
      <c r="S262" s="48" t="s">
        <v>354</v>
      </c>
      <c r="T262" s="49" t="s">
        <v>63</v>
      </c>
      <c r="U262" s="49" t="s">
        <v>75</v>
      </c>
      <c r="V262" s="7"/>
      <c r="W262" s="44">
        <v>3.4</v>
      </c>
      <c r="X262" s="49" t="s">
        <v>214</v>
      </c>
      <c r="Y262" s="49" t="s">
        <v>214</v>
      </c>
      <c r="Z262" s="49" t="s">
        <v>214</v>
      </c>
      <c r="AA262" s="61">
        <v>0.75</v>
      </c>
      <c r="AB262" s="71">
        <v>40758</v>
      </c>
      <c r="AC262" s="52" t="s">
        <v>4178</v>
      </c>
      <c r="AD262" s="53" t="str">
        <f t="shared" si="197"/>
        <v>Link</v>
      </c>
      <c r="AE262" s="54">
        <v>3436</v>
      </c>
      <c r="AF262" s="55"/>
      <c r="AG262" s="7"/>
      <c r="AH262" s="56">
        <v>141644</v>
      </c>
      <c r="AI262" s="7"/>
      <c r="AJ262" s="7"/>
      <c r="AK262" s="7"/>
      <c r="AL262" s="7"/>
    </row>
    <row r="263" spans="1:38" ht="15" x14ac:dyDescent="0.2">
      <c r="A263" s="57" t="s">
        <v>955</v>
      </c>
      <c r="B263" s="110" t="s">
        <v>4099</v>
      </c>
      <c r="C263" s="7" t="s">
        <v>41</v>
      </c>
      <c r="D263" s="7" t="s">
        <v>4225</v>
      </c>
      <c r="E263" s="44">
        <v>5</v>
      </c>
      <c r="F263" s="7"/>
      <c r="G263" s="7"/>
      <c r="H263" s="2" t="s">
        <v>4169</v>
      </c>
      <c r="I263" s="7" t="s">
        <v>4227</v>
      </c>
      <c r="J263" s="7" t="s">
        <v>930</v>
      </c>
      <c r="K263" s="7" t="s">
        <v>139</v>
      </c>
      <c r="L263" s="7"/>
      <c r="M263" s="7"/>
      <c r="N263" s="48"/>
      <c r="O263" s="45" t="str">
        <f t="shared" si="196"/>
        <v>Questionnaire</v>
      </c>
      <c r="P263" s="48" t="s">
        <v>4178</v>
      </c>
      <c r="Q263" s="47" t="s">
        <v>4111</v>
      </c>
      <c r="R263" s="48" t="s">
        <v>4112</v>
      </c>
      <c r="S263" s="48" t="s">
        <v>354</v>
      </c>
      <c r="T263" s="49" t="s">
        <v>63</v>
      </c>
      <c r="U263" s="49" t="s">
        <v>75</v>
      </c>
      <c r="V263" s="7"/>
      <c r="W263" s="44">
        <v>3.4</v>
      </c>
      <c r="X263" s="49" t="s">
        <v>214</v>
      </c>
      <c r="Y263" s="49" t="s">
        <v>214</v>
      </c>
      <c r="Z263" s="49" t="s">
        <v>214</v>
      </c>
      <c r="AA263" s="61">
        <v>0.75</v>
      </c>
      <c r="AB263" s="71">
        <v>40758</v>
      </c>
      <c r="AC263" s="52" t="s">
        <v>4178</v>
      </c>
      <c r="AD263" s="53" t="str">
        <f t="shared" si="197"/>
        <v>Link</v>
      </c>
      <c r="AE263" s="54">
        <v>3436</v>
      </c>
      <c r="AF263" s="55"/>
      <c r="AG263" s="7"/>
      <c r="AH263" s="56">
        <v>141644</v>
      </c>
      <c r="AI263" s="7"/>
      <c r="AJ263" s="7"/>
      <c r="AK263" s="7"/>
      <c r="AL263" s="7"/>
    </row>
    <row r="264" spans="1:38" ht="15" x14ac:dyDescent="0.2">
      <c r="A264" s="57" t="s">
        <v>955</v>
      </c>
      <c r="B264" s="110" t="s">
        <v>4099</v>
      </c>
      <c r="C264" s="7" t="s">
        <v>41</v>
      </c>
      <c r="D264" s="7" t="s">
        <v>4232</v>
      </c>
      <c r="E264" s="44">
        <v>5</v>
      </c>
      <c r="F264" s="7"/>
      <c r="G264" s="7"/>
      <c r="H264" s="2" t="s">
        <v>4169</v>
      </c>
      <c r="I264" s="7" t="s">
        <v>4233</v>
      </c>
      <c r="J264" s="7" t="s">
        <v>4234</v>
      </c>
      <c r="K264" s="7" t="s">
        <v>139</v>
      </c>
      <c r="L264" s="7"/>
      <c r="M264" s="7" t="s">
        <v>4172</v>
      </c>
      <c r="N264" s="48"/>
      <c r="O264" s="45" t="str">
        <f t="shared" si="196"/>
        <v>Questionnaire</v>
      </c>
      <c r="P264" s="48" t="s">
        <v>4178</v>
      </c>
      <c r="Q264" s="47" t="s">
        <v>4111</v>
      </c>
      <c r="R264" s="48" t="s">
        <v>4112</v>
      </c>
      <c r="S264" s="48" t="s">
        <v>354</v>
      </c>
      <c r="T264" s="49" t="s">
        <v>63</v>
      </c>
      <c r="U264" s="49" t="s">
        <v>75</v>
      </c>
      <c r="V264" s="7"/>
      <c r="W264" s="44">
        <v>3.4</v>
      </c>
      <c r="X264" s="49" t="s">
        <v>214</v>
      </c>
      <c r="Y264" s="49" t="s">
        <v>214</v>
      </c>
      <c r="Z264" s="49" t="s">
        <v>214</v>
      </c>
      <c r="AA264" s="61">
        <v>0.75</v>
      </c>
      <c r="AB264" s="71">
        <v>40758</v>
      </c>
      <c r="AC264" s="52" t="s">
        <v>4178</v>
      </c>
      <c r="AD264" s="53" t="str">
        <f t="shared" si="197"/>
        <v>Link</v>
      </c>
      <c r="AE264" s="54">
        <v>3436</v>
      </c>
      <c r="AF264" s="55"/>
      <c r="AG264" s="7"/>
      <c r="AH264" s="56">
        <v>141644</v>
      </c>
      <c r="AI264" s="7"/>
      <c r="AJ264" s="7"/>
      <c r="AK264" s="7"/>
      <c r="AL264" s="7"/>
    </row>
    <row r="265" spans="1:38" ht="15" x14ac:dyDescent="0.2">
      <c r="A265" s="57" t="s">
        <v>955</v>
      </c>
      <c r="B265" s="110" t="s">
        <v>4099</v>
      </c>
      <c r="C265" s="7" t="s">
        <v>41</v>
      </c>
      <c r="D265" s="7" t="s">
        <v>4241</v>
      </c>
      <c r="E265" s="44">
        <v>5</v>
      </c>
      <c r="F265" s="7"/>
      <c r="G265" s="7"/>
      <c r="H265" s="2" t="s">
        <v>4242</v>
      </c>
      <c r="I265" s="7" t="s">
        <v>4243</v>
      </c>
      <c r="J265" s="7" t="s">
        <v>4244</v>
      </c>
      <c r="K265" s="7" t="s">
        <v>55</v>
      </c>
      <c r="L265" s="7" t="s">
        <v>4245</v>
      </c>
      <c r="M265" s="7" t="s">
        <v>4246</v>
      </c>
      <c r="N265" s="48"/>
      <c r="O265" s="45" t="str">
        <f t="shared" ref="O265:O269" si="198">HYPERLINK("https://hiloathletics.com/sports/2010/7/20/GEN_0720104143.aspx","Questionnaire")</f>
        <v>Questionnaire</v>
      </c>
      <c r="P265" s="48" t="s">
        <v>4250</v>
      </c>
      <c r="Q265" s="47" t="s">
        <v>4111</v>
      </c>
      <c r="R265" s="48" t="s">
        <v>4251</v>
      </c>
      <c r="S265" s="48" t="s">
        <v>468</v>
      </c>
      <c r="T265" s="49" t="s">
        <v>74</v>
      </c>
      <c r="U265" s="49" t="s">
        <v>75</v>
      </c>
      <c r="V265" s="7"/>
      <c r="W265" s="44">
        <v>3.36</v>
      </c>
      <c r="X265" s="49" t="s">
        <v>1338</v>
      </c>
      <c r="Y265" s="49" t="s">
        <v>1145</v>
      </c>
      <c r="Z265" s="49" t="s">
        <v>841</v>
      </c>
      <c r="AA265" s="61">
        <v>0.69</v>
      </c>
      <c r="AB265" s="48" t="s">
        <v>4256</v>
      </c>
      <c r="AC265" s="52" t="s">
        <v>4250</v>
      </c>
      <c r="AD265" s="53" t="str">
        <f t="shared" ref="AD265:AD269" si="199">HYPERLINK("https://hilo.hawaii.edu/catalog/undergraduate-education","Link")</f>
        <v>Link</v>
      </c>
      <c r="AE265" s="54">
        <v>3075</v>
      </c>
      <c r="AF265" s="55"/>
      <c r="AG265" s="7"/>
      <c r="AH265" s="56">
        <v>141565</v>
      </c>
      <c r="AI265" s="7"/>
      <c r="AJ265" s="7"/>
      <c r="AK265" s="7"/>
      <c r="AL265" s="7"/>
    </row>
    <row r="266" spans="1:38" ht="15" x14ac:dyDescent="0.2">
      <c r="A266" s="57" t="s">
        <v>955</v>
      </c>
      <c r="B266" s="110" t="s">
        <v>4099</v>
      </c>
      <c r="C266" s="7" t="s">
        <v>41</v>
      </c>
      <c r="D266" s="7" t="s">
        <v>4262</v>
      </c>
      <c r="E266" s="44">
        <v>5</v>
      </c>
      <c r="F266" s="7"/>
      <c r="G266" s="7"/>
      <c r="H266" s="2" t="s">
        <v>4242</v>
      </c>
      <c r="I266" s="7" t="s">
        <v>4264</v>
      </c>
      <c r="J266" s="7" t="s">
        <v>4266</v>
      </c>
      <c r="K266" s="7" t="s">
        <v>55</v>
      </c>
      <c r="L266" s="7" t="s">
        <v>4268</v>
      </c>
      <c r="M266" s="7" t="s">
        <v>4269</v>
      </c>
      <c r="N266" s="48"/>
      <c r="O266" s="45" t="str">
        <f t="shared" si="198"/>
        <v>Questionnaire</v>
      </c>
      <c r="P266" s="48" t="s">
        <v>4250</v>
      </c>
      <c r="Q266" s="47" t="s">
        <v>4111</v>
      </c>
      <c r="R266" s="48" t="s">
        <v>4251</v>
      </c>
      <c r="S266" s="48" t="s">
        <v>468</v>
      </c>
      <c r="T266" s="49" t="s">
        <v>74</v>
      </c>
      <c r="U266" s="49" t="s">
        <v>75</v>
      </c>
      <c r="V266" s="7"/>
      <c r="W266" s="44">
        <v>3.36</v>
      </c>
      <c r="X266" s="49" t="s">
        <v>1338</v>
      </c>
      <c r="Y266" s="49" t="s">
        <v>1145</v>
      </c>
      <c r="Z266" s="49" t="s">
        <v>841</v>
      </c>
      <c r="AA266" s="61">
        <v>0.69</v>
      </c>
      <c r="AB266" s="48" t="s">
        <v>4256</v>
      </c>
      <c r="AC266" s="52" t="s">
        <v>4250</v>
      </c>
      <c r="AD266" s="53" t="str">
        <f t="shared" si="199"/>
        <v>Link</v>
      </c>
      <c r="AE266" s="54">
        <v>3075</v>
      </c>
      <c r="AF266" s="55"/>
      <c r="AG266" s="7"/>
      <c r="AH266" s="56">
        <v>141565</v>
      </c>
      <c r="AI266" s="7"/>
      <c r="AJ266" s="7"/>
      <c r="AK266" s="7"/>
      <c r="AL266" s="7"/>
    </row>
    <row r="267" spans="1:38" ht="15" x14ac:dyDescent="0.2">
      <c r="A267" s="57" t="s">
        <v>955</v>
      </c>
      <c r="B267" s="110" t="s">
        <v>4099</v>
      </c>
      <c r="C267" s="7" t="s">
        <v>41</v>
      </c>
      <c r="D267" s="7" t="s">
        <v>4274</v>
      </c>
      <c r="E267" s="44">
        <v>5</v>
      </c>
      <c r="F267" s="7"/>
      <c r="G267" s="7"/>
      <c r="H267" s="2" t="s">
        <v>4242</v>
      </c>
      <c r="I267" s="7" t="s">
        <v>4275</v>
      </c>
      <c r="J267" s="7" t="s">
        <v>4276</v>
      </c>
      <c r="K267" s="7" t="s">
        <v>55</v>
      </c>
      <c r="L267" s="7"/>
      <c r="M267" s="7"/>
      <c r="N267" s="48"/>
      <c r="O267" s="45" t="str">
        <f t="shared" si="198"/>
        <v>Questionnaire</v>
      </c>
      <c r="P267" s="48" t="s">
        <v>4250</v>
      </c>
      <c r="Q267" s="47" t="s">
        <v>4111</v>
      </c>
      <c r="R267" s="48" t="s">
        <v>4251</v>
      </c>
      <c r="S267" s="48" t="s">
        <v>468</v>
      </c>
      <c r="T267" s="49" t="s">
        <v>74</v>
      </c>
      <c r="U267" s="49" t="s">
        <v>75</v>
      </c>
      <c r="V267" s="7"/>
      <c r="W267" s="44">
        <v>3.36</v>
      </c>
      <c r="X267" s="49" t="s">
        <v>1338</v>
      </c>
      <c r="Y267" s="49" t="s">
        <v>1145</v>
      </c>
      <c r="Z267" s="49" t="s">
        <v>841</v>
      </c>
      <c r="AA267" s="61">
        <v>0.69</v>
      </c>
      <c r="AB267" s="48" t="s">
        <v>4256</v>
      </c>
      <c r="AC267" s="52" t="s">
        <v>4250</v>
      </c>
      <c r="AD267" s="53" t="str">
        <f t="shared" si="199"/>
        <v>Link</v>
      </c>
      <c r="AE267" s="54">
        <v>3075</v>
      </c>
      <c r="AF267" s="55"/>
      <c r="AG267" s="7"/>
      <c r="AH267" s="56">
        <v>141565</v>
      </c>
      <c r="AI267" s="7"/>
      <c r="AJ267" s="7"/>
      <c r="AK267" s="7"/>
      <c r="AL267" s="7"/>
    </row>
    <row r="268" spans="1:38" ht="15" x14ac:dyDescent="0.2">
      <c r="A268" s="57" t="s">
        <v>955</v>
      </c>
      <c r="B268" s="110" t="s">
        <v>4099</v>
      </c>
      <c r="C268" s="7" t="s">
        <v>41</v>
      </c>
      <c r="D268" s="7" t="s">
        <v>4283</v>
      </c>
      <c r="E268" s="44">
        <v>5</v>
      </c>
      <c r="F268" s="7"/>
      <c r="G268" s="7"/>
      <c r="H268" s="2" t="s">
        <v>4242</v>
      </c>
      <c r="I268" s="7" t="s">
        <v>4284</v>
      </c>
      <c r="J268" s="7" t="s">
        <v>4285</v>
      </c>
      <c r="K268" s="7" t="s">
        <v>55</v>
      </c>
      <c r="L268" s="7"/>
      <c r="M268" s="7"/>
      <c r="N268" s="48"/>
      <c r="O268" s="45" t="str">
        <f t="shared" si="198"/>
        <v>Questionnaire</v>
      </c>
      <c r="P268" s="48" t="s">
        <v>4250</v>
      </c>
      <c r="Q268" s="47" t="s">
        <v>4111</v>
      </c>
      <c r="R268" s="48" t="s">
        <v>4251</v>
      </c>
      <c r="S268" s="48" t="s">
        <v>468</v>
      </c>
      <c r="T268" s="49" t="s">
        <v>74</v>
      </c>
      <c r="U268" s="49" t="s">
        <v>75</v>
      </c>
      <c r="V268" s="7"/>
      <c r="W268" s="44">
        <v>3.36</v>
      </c>
      <c r="X268" s="49" t="s">
        <v>1338</v>
      </c>
      <c r="Y268" s="49" t="s">
        <v>1145</v>
      </c>
      <c r="Z268" s="49" t="s">
        <v>841</v>
      </c>
      <c r="AA268" s="61">
        <v>0.69</v>
      </c>
      <c r="AB268" s="48" t="s">
        <v>4256</v>
      </c>
      <c r="AC268" s="52" t="s">
        <v>4250</v>
      </c>
      <c r="AD268" s="53" t="str">
        <f t="shared" si="199"/>
        <v>Link</v>
      </c>
      <c r="AE268" s="54">
        <v>3075</v>
      </c>
      <c r="AF268" s="55"/>
      <c r="AG268" s="7"/>
      <c r="AH268" s="56">
        <v>141565</v>
      </c>
      <c r="AI268" s="7"/>
      <c r="AJ268" s="7"/>
      <c r="AK268" s="7"/>
      <c r="AL268" s="7"/>
    </row>
    <row r="269" spans="1:38" ht="15" x14ac:dyDescent="0.2">
      <c r="A269" s="57" t="s">
        <v>955</v>
      </c>
      <c r="B269" s="110" t="s">
        <v>4099</v>
      </c>
      <c r="C269" s="7" t="s">
        <v>41</v>
      </c>
      <c r="D269" s="7" t="s">
        <v>4287</v>
      </c>
      <c r="E269" s="44">
        <v>5</v>
      </c>
      <c r="F269" s="7"/>
      <c r="G269" s="7"/>
      <c r="H269" s="2" t="s">
        <v>4242</v>
      </c>
      <c r="I269" s="7" t="s">
        <v>4294</v>
      </c>
      <c r="J269" s="7" t="s">
        <v>4296</v>
      </c>
      <c r="K269" s="7" t="s">
        <v>48</v>
      </c>
      <c r="L269" s="7" t="s">
        <v>4298</v>
      </c>
      <c r="M269" s="7" t="s">
        <v>4300</v>
      </c>
      <c r="N269" s="48"/>
      <c r="O269" s="45" t="str">
        <f t="shared" si="198"/>
        <v>Questionnaire</v>
      </c>
      <c r="P269" s="48" t="s">
        <v>4250</v>
      </c>
      <c r="Q269" s="47" t="s">
        <v>4111</v>
      </c>
      <c r="R269" s="48" t="s">
        <v>4251</v>
      </c>
      <c r="S269" s="48" t="s">
        <v>468</v>
      </c>
      <c r="T269" s="49" t="s">
        <v>74</v>
      </c>
      <c r="U269" s="49" t="s">
        <v>75</v>
      </c>
      <c r="V269" s="7"/>
      <c r="W269" s="44">
        <v>3.36</v>
      </c>
      <c r="X269" s="49" t="s">
        <v>1338</v>
      </c>
      <c r="Y269" s="49" t="s">
        <v>1145</v>
      </c>
      <c r="Z269" s="49" t="s">
        <v>841</v>
      </c>
      <c r="AA269" s="61">
        <v>0.69</v>
      </c>
      <c r="AB269" s="48" t="s">
        <v>4256</v>
      </c>
      <c r="AC269" s="52" t="s">
        <v>4250</v>
      </c>
      <c r="AD269" s="53" t="str">
        <f t="shared" si="199"/>
        <v>Link</v>
      </c>
      <c r="AE269" s="54">
        <v>3075</v>
      </c>
      <c r="AF269" s="55"/>
      <c r="AG269" s="7"/>
      <c r="AH269" s="56">
        <v>141565</v>
      </c>
      <c r="AI269" s="7"/>
      <c r="AJ269" s="7"/>
      <c r="AK269" s="7"/>
      <c r="AL269" s="7"/>
    </row>
    <row r="270" spans="1:38" ht="13" x14ac:dyDescent="0.15">
      <c r="A270" s="57" t="s">
        <v>906</v>
      </c>
      <c r="B270" s="110" t="s">
        <v>4302</v>
      </c>
      <c r="C270" s="7" t="s">
        <v>41</v>
      </c>
      <c r="D270" s="7" t="s">
        <v>4303</v>
      </c>
      <c r="E270" s="44">
        <v>5</v>
      </c>
      <c r="F270" s="7"/>
      <c r="G270" s="7"/>
      <c r="H270" s="2" t="s">
        <v>4304</v>
      </c>
      <c r="I270" s="7" t="s">
        <v>4305</v>
      </c>
      <c r="J270" s="7" t="s">
        <v>4306</v>
      </c>
      <c r="K270" s="7" t="s">
        <v>55</v>
      </c>
      <c r="L270" s="7"/>
      <c r="M270" s="7"/>
      <c r="N270" s="45" t="str">
        <f t="shared" ref="N270:N271" si="200">HYPERLINK("twitter.com/nnusoftball","@nnusoftball")</f>
        <v>@nnusoftball</v>
      </c>
      <c r="O270" s="45" t="str">
        <f t="shared" ref="O270:O271" si="201">HYPERLINK("https://nnusports.com/sb_output.aspx?form=1","Questionnaire")</f>
        <v>Questionnaire</v>
      </c>
      <c r="P270" s="48" t="s">
        <v>4313</v>
      </c>
      <c r="Q270" s="47" t="s">
        <v>3457</v>
      </c>
      <c r="R270" s="48" t="s">
        <v>4314</v>
      </c>
      <c r="S270" s="48" t="s">
        <v>238</v>
      </c>
      <c r="T270" s="49" t="s">
        <v>63</v>
      </c>
      <c r="U270" s="49" t="s">
        <v>4316</v>
      </c>
      <c r="V270" s="7"/>
      <c r="W270" s="44">
        <v>2.7</v>
      </c>
      <c r="X270" s="49" t="s">
        <v>2196</v>
      </c>
      <c r="Y270" s="49" t="s">
        <v>676</v>
      </c>
      <c r="Z270" s="49" t="s">
        <v>545</v>
      </c>
      <c r="AA270" s="61">
        <v>0.95</v>
      </c>
      <c r="AB270" s="71">
        <v>39160</v>
      </c>
      <c r="AC270" s="62" t="s">
        <v>4313</v>
      </c>
      <c r="AD270" s="53" t="str">
        <f t="shared" ref="AD270:AD271" si="202">HYPERLINK("https://www.nnu.edu/academics/areas-of-study","Link")</f>
        <v>Link</v>
      </c>
      <c r="AE270" s="54">
        <v>1450</v>
      </c>
      <c r="AF270" s="55"/>
      <c r="AG270" s="7"/>
      <c r="AH270" s="56">
        <v>142461</v>
      </c>
      <c r="AI270" s="7"/>
      <c r="AJ270" s="7"/>
      <c r="AK270" s="7"/>
      <c r="AL270" s="7"/>
    </row>
    <row r="271" spans="1:38" ht="13" x14ac:dyDescent="0.15">
      <c r="A271" s="57" t="s">
        <v>906</v>
      </c>
      <c r="B271" s="110" t="s">
        <v>4302</v>
      </c>
      <c r="C271" s="7" t="s">
        <v>41</v>
      </c>
      <c r="D271" s="7" t="s">
        <v>4320</v>
      </c>
      <c r="E271" s="44">
        <v>5</v>
      </c>
      <c r="F271" s="7"/>
      <c r="G271" s="7"/>
      <c r="H271" s="2" t="s">
        <v>4304</v>
      </c>
      <c r="I271" s="7" t="s">
        <v>2739</v>
      </c>
      <c r="J271" s="7" t="s">
        <v>3303</v>
      </c>
      <c r="K271" s="7" t="s">
        <v>48</v>
      </c>
      <c r="L271" s="7" t="s">
        <v>4325</v>
      </c>
      <c r="M271" s="7" t="s">
        <v>4326</v>
      </c>
      <c r="N271" s="45" t="str">
        <f t="shared" si="200"/>
        <v>@nnusoftball</v>
      </c>
      <c r="O271" s="45" t="str">
        <f t="shared" si="201"/>
        <v>Questionnaire</v>
      </c>
      <c r="P271" s="48" t="s">
        <v>4313</v>
      </c>
      <c r="Q271" s="47" t="s">
        <v>3457</v>
      </c>
      <c r="R271" s="48" t="s">
        <v>4314</v>
      </c>
      <c r="S271" s="48" t="s">
        <v>238</v>
      </c>
      <c r="T271" s="49" t="s">
        <v>63</v>
      </c>
      <c r="U271" s="49" t="s">
        <v>4316</v>
      </c>
      <c r="V271" s="7"/>
      <c r="W271" s="44">
        <v>2.7</v>
      </c>
      <c r="X271" s="49" t="s">
        <v>2196</v>
      </c>
      <c r="Y271" s="49" t="s">
        <v>676</v>
      </c>
      <c r="Z271" s="49" t="s">
        <v>545</v>
      </c>
      <c r="AA271" s="61">
        <v>0.95</v>
      </c>
      <c r="AB271" s="71">
        <v>39160</v>
      </c>
      <c r="AC271" s="62" t="s">
        <v>4313</v>
      </c>
      <c r="AD271" s="53" t="str">
        <f t="shared" si="202"/>
        <v>Link</v>
      </c>
      <c r="AE271" s="54">
        <v>1450</v>
      </c>
      <c r="AF271" s="55"/>
      <c r="AG271" s="7"/>
      <c r="AH271" s="56">
        <v>142461</v>
      </c>
      <c r="AI271" s="7"/>
      <c r="AJ271" s="7"/>
      <c r="AK271" s="7"/>
      <c r="AL271" s="7"/>
    </row>
    <row r="272" spans="1:38" ht="13" x14ac:dyDescent="0.15">
      <c r="A272" s="57" t="s">
        <v>4332</v>
      </c>
      <c r="B272" s="110" t="s">
        <v>1705</v>
      </c>
      <c r="C272" s="7" t="s">
        <v>41</v>
      </c>
      <c r="D272" s="7" t="s">
        <v>4333</v>
      </c>
      <c r="E272" s="37">
        <v>5</v>
      </c>
      <c r="F272" s="7"/>
      <c r="G272" s="7"/>
      <c r="H272" s="2" t="s">
        <v>4335</v>
      </c>
      <c r="I272" s="7" t="s">
        <v>2549</v>
      </c>
      <c r="J272" s="7" t="s">
        <v>4336</v>
      </c>
      <c r="K272" s="7" t="s">
        <v>55</v>
      </c>
      <c r="L272" s="7" t="s">
        <v>4337</v>
      </c>
      <c r="M272" s="6" t="s">
        <v>4338</v>
      </c>
      <c r="N272" s="45" t="str">
        <f t="shared" ref="N272:N275" si="203">HYPERLINK("twitter.com/uis_softball","@uis_softball")</f>
        <v>@uis_softball</v>
      </c>
      <c r="O272" s="45" t="str">
        <f t="shared" ref="O272:O275" si="204">HYPERLINK("https://uisprairiestars.com/sb_output.aspx?form=3","Questionnaire")</f>
        <v>Questionnaire</v>
      </c>
      <c r="P272" s="48" t="s">
        <v>4355</v>
      </c>
      <c r="Q272" s="47" t="s">
        <v>1721</v>
      </c>
      <c r="R272" s="48" t="s">
        <v>4357</v>
      </c>
      <c r="S272" s="48" t="s">
        <v>238</v>
      </c>
      <c r="T272" s="49" t="s">
        <v>74</v>
      </c>
      <c r="U272" s="49" t="s">
        <v>75</v>
      </c>
      <c r="V272" s="7"/>
      <c r="W272" s="44">
        <v>3.43</v>
      </c>
      <c r="X272" s="49" t="s">
        <v>4358</v>
      </c>
      <c r="Y272" s="49" t="s">
        <v>4359</v>
      </c>
      <c r="Z272" s="49" t="s">
        <v>278</v>
      </c>
      <c r="AA272" s="61">
        <v>0.65</v>
      </c>
      <c r="AB272" s="48" t="s">
        <v>4360</v>
      </c>
      <c r="AC272" s="62" t="s">
        <v>4355</v>
      </c>
      <c r="AD272" s="53" t="str">
        <f t="shared" ref="AD272:AD275" si="205">HYPERLINK("https://www.uis.edu/generaleducation/curriculum/majors/","Link")</f>
        <v>Link</v>
      </c>
      <c r="AE272" s="54">
        <v>2959</v>
      </c>
      <c r="AF272" s="55"/>
      <c r="AG272" s="7"/>
      <c r="AH272" s="56">
        <v>148654</v>
      </c>
      <c r="AI272" s="7"/>
      <c r="AJ272" s="7"/>
      <c r="AK272" s="7"/>
      <c r="AL272" s="7"/>
    </row>
    <row r="273" spans="1:38" ht="13" x14ac:dyDescent="0.15">
      <c r="A273" s="57" t="s">
        <v>4332</v>
      </c>
      <c r="B273" s="110" t="s">
        <v>1705</v>
      </c>
      <c r="C273" s="7" t="s">
        <v>41</v>
      </c>
      <c r="D273" s="7" t="s">
        <v>4363</v>
      </c>
      <c r="E273" s="37">
        <v>5</v>
      </c>
      <c r="F273" s="7"/>
      <c r="G273" s="7"/>
      <c r="H273" s="2" t="s">
        <v>4335</v>
      </c>
      <c r="I273" s="7" t="s">
        <v>4367</v>
      </c>
      <c r="J273" s="7" t="s">
        <v>4369</v>
      </c>
      <c r="K273" s="7" t="s">
        <v>55</v>
      </c>
      <c r="L273" s="7"/>
      <c r="M273" s="7"/>
      <c r="N273" s="45" t="str">
        <f t="shared" si="203"/>
        <v>@uis_softball</v>
      </c>
      <c r="O273" s="45" t="str">
        <f t="shared" si="204"/>
        <v>Questionnaire</v>
      </c>
      <c r="P273" s="48" t="s">
        <v>4355</v>
      </c>
      <c r="Q273" s="47" t="s">
        <v>1721</v>
      </c>
      <c r="R273" s="48" t="s">
        <v>4357</v>
      </c>
      <c r="S273" s="48" t="s">
        <v>238</v>
      </c>
      <c r="T273" s="49" t="s">
        <v>74</v>
      </c>
      <c r="U273" s="49" t="s">
        <v>75</v>
      </c>
      <c r="V273" s="7"/>
      <c r="W273" s="44">
        <v>3.43</v>
      </c>
      <c r="X273" s="49" t="s">
        <v>4358</v>
      </c>
      <c r="Y273" s="49" t="s">
        <v>4359</v>
      </c>
      <c r="Z273" s="49" t="s">
        <v>278</v>
      </c>
      <c r="AA273" s="61">
        <v>0.65</v>
      </c>
      <c r="AB273" s="48" t="s">
        <v>4360</v>
      </c>
      <c r="AC273" s="62" t="s">
        <v>4355</v>
      </c>
      <c r="AD273" s="53" t="str">
        <f t="shared" si="205"/>
        <v>Link</v>
      </c>
      <c r="AE273" s="54">
        <v>2959</v>
      </c>
      <c r="AF273" s="55"/>
      <c r="AG273" s="7"/>
      <c r="AH273" s="56">
        <v>148654</v>
      </c>
      <c r="AI273" s="7"/>
      <c r="AJ273" s="7"/>
      <c r="AK273" s="7"/>
      <c r="AL273" s="7"/>
    </row>
    <row r="274" spans="1:38" ht="13" x14ac:dyDescent="0.15">
      <c r="A274" s="57" t="s">
        <v>4332</v>
      </c>
      <c r="B274" s="110" t="s">
        <v>1705</v>
      </c>
      <c r="C274" s="7" t="s">
        <v>41</v>
      </c>
      <c r="D274" s="7" t="s">
        <v>4374</v>
      </c>
      <c r="E274" s="37">
        <v>5</v>
      </c>
      <c r="F274" s="7"/>
      <c r="G274" s="7"/>
      <c r="H274" s="2" t="s">
        <v>4335</v>
      </c>
      <c r="I274" s="7" t="s">
        <v>2465</v>
      </c>
      <c r="J274" s="7" t="s">
        <v>2570</v>
      </c>
      <c r="K274" s="7" t="s">
        <v>55</v>
      </c>
      <c r="L274" s="7"/>
      <c r="M274" s="7"/>
      <c r="N274" s="45" t="str">
        <f t="shared" si="203"/>
        <v>@uis_softball</v>
      </c>
      <c r="O274" s="45" t="str">
        <f t="shared" si="204"/>
        <v>Questionnaire</v>
      </c>
      <c r="P274" s="48" t="s">
        <v>4355</v>
      </c>
      <c r="Q274" s="47" t="s">
        <v>1721</v>
      </c>
      <c r="R274" s="48" t="s">
        <v>4357</v>
      </c>
      <c r="S274" s="48" t="s">
        <v>238</v>
      </c>
      <c r="T274" s="49" t="s">
        <v>74</v>
      </c>
      <c r="U274" s="49" t="s">
        <v>75</v>
      </c>
      <c r="V274" s="7"/>
      <c r="W274" s="44">
        <v>3.43</v>
      </c>
      <c r="X274" s="49" t="s">
        <v>4358</v>
      </c>
      <c r="Y274" s="49" t="s">
        <v>4359</v>
      </c>
      <c r="Z274" s="49" t="s">
        <v>278</v>
      </c>
      <c r="AA274" s="61">
        <v>0.65</v>
      </c>
      <c r="AB274" s="48" t="s">
        <v>4360</v>
      </c>
      <c r="AC274" s="62" t="s">
        <v>4355</v>
      </c>
      <c r="AD274" s="53" t="str">
        <f t="shared" si="205"/>
        <v>Link</v>
      </c>
      <c r="AE274" s="54">
        <v>2959</v>
      </c>
      <c r="AF274" s="55"/>
      <c r="AG274" s="7"/>
      <c r="AH274" s="56">
        <v>148654</v>
      </c>
      <c r="AI274" s="7"/>
      <c r="AJ274" s="7"/>
      <c r="AK274" s="7"/>
      <c r="AL274" s="7"/>
    </row>
    <row r="275" spans="1:38" ht="13" x14ac:dyDescent="0.15">
      <c r="A275" s="57" t="s">
        <v>4332</v>
      </c>
      <c r="B275" s="110" t="s">
        <v>1705</v>
      </c>
      <c r="C275" s="7" t="s">
        <v>41</v>
      </c>
      <c r="D275" s="7" t="s">
        <v>4384</v>
      </c>
      <c r="E275" s="37">
        <v>5</v>
      </c>
      <c r="F275" s="7"/>
      <c r="G275" s="7"/>
      <c r="H275" s="2" t="s">
        <v>4335</v>
      </c>
      <c r="I275" s="7" t="s">
        <v>1307</v>
      </c>
      <c r="J275" s="7" t="s">
        <v>4386</v>
      </c>
      <c r="K275" s="7" t="s">
        <v>48</v>
      </c>
      <c r="L275" s="7" t="s">
        <v>4387</v>
      </c>
      <c r="M275" s="7" t="s">
        <v>4388</v>
      </c>
      <c r="N275" s="45" t="str">
        <f t="shared" si="203"/>
        <v>@uis_softball</v>
      </c>
      <c r="O275" s="45" t="str">
        <f t="shared" si="204"/>
        <v>Questionnaire</v>
      </c>
      <c r="P275" s="48" t="s">
        <v>4355</v>
      </c>
      <c r="Q275" s="47" t="s">
        <v>1721</v>
      </c>
      <c r="R275" s="48" t="s">
        <v>4357</v>
      </c>
      <c r="S275" s="48" t="s">
        <v>238</v>
      </c>
      <c r="T275" s="49" t="s">
        <v>74</v>
      </c>
      <c r="U275" s="49" t="s">
        <v>75</v>
      </c>
      <c r="V275" s="7"/>
      <c r="W275" s="44">
        <v>3.43</v>
      </c>
      <c r="X275" s="49" t="s">
        <v>4358</v>
      </c>
      <c r="Y275" s="49" t="s">
        <v>4359</v>
      </c>
      <c r="Z275" s="49" t="s">
        <v>278</v>
      </c>
      <c r="AA275" s="61">
        <v>0.65</v>
      </c>
      <c r="AB275" s="48" t="s">
        <v>4360</v>
      </c>
      <c r="AC275" s="62" t="s">
        <v>4355</v>
      </c>
      <c r="AD275" s="53" t="str">
        <f t="shared" si="205"/>
        <v>Link</v>
      </c>
      <c r="AE275" s="54">
        <v>2959</v>
      </c>
      <c r="AF275" s="55"/>
      <c r="AG275" s="7"/>
      <c r="AH275" s="56">
        <v>148654</v>
      </c>
      <c r="AI275" s="7"/>
      <c r="AJ275" s="7"/>
      <c r="AK275" s="7"/>
      <c r="AL275" s="7"/>
    </row>
    <row r="276" spans="1:38" ht="13" x14ac:dyDescent="0.15">
      <c r="A276" s="57" t="s">
        <v>4332</v>
      </c>
      <c r="B276" s="110" t="s">
        <v>1705</v>
      </c>
      <c r="C276" s="7" t="s">
        <v>41</v>
      </c>
      <c r="D276" s="7" t="s">
        <v>4394</v>
      </c>
      <c r="E276" s="44">
        <v>5</v>
      </c>
      <c r="F276" s="7"/>
      <c r="G276" s="7" t="s">
        <v>126</v>
      </c>
      <c r="H276" s="2" t="s">
        <v>4397</v>
      </c>
      <c r="I276" s="7" t="s">
        <v>4399</v>
      </c>
      <c r="J276" s="7"/>
      <c r="K276" s="7"/>
      <c r="L276" s="7"/>
      <c r="M276" s="7"/>
      <c r="N276" s="45" t="str">
        <f t="shared" ref="N276:N278" si="206">HYPERLINK("twitter.com/lewissoftball","@lewissoftball")</f>
        <v>@lewissoftball</v>
      </c>
      <c r="O276" s="45" t="str">
        <f t="shared" ref="O276:O278" si="207">HYPERLINK("https://lewisflyers.com/sports/2012/8/20/GEN_0820122340.aspx","Questionnaire")</f>
        <v>Questionnaire</v>
      </c>
      <c r="P276" s="48" t="s">
        <v>4406</v>
      </c>
      <c r="Q276" s="60" t="s">
        <v>1721</v>
      </c>
      <c r="R276" s="48" t="s">
        <v>4407</v>
      </c>
      <c r="S276" s="48" t="s">
        <v>468</v>
      </c>
      <c r="T276" s="73" t="s">
        <v>63</v>
      </c>
      <c r="U276" s="49" t="s">
        <v>343</v>
      </c>
      <c r="V276" s="7"/>
      <c r="W276" s="44">
        <v>3.4</v>
      </c>
      <c r="X276" s="49" t="s">
        <v>4408</v>
      </c>
      <c r="Y276" s="49" t="s">
        <v>2228</v>
      </c>
      <c r="Z276" s="49" t="s">
        <v>1650</v>
      </c>
      <c r="AA276" s="61">
        <v>0.59</v>
      </c>
      <c r="AB276" s="71">
        <v>44100</v>
      </c>
      <c r="AC276" s="62" t="s">
        <v>4406</v>
      </c>
      <c r="AD276" s="53" t="str">
        <f t="shared" ref="AD276:AD278" si="208">HYPERLINK("https://www.lewisu.edu/academics/programs/ugrad.htm","Link")</f>
        <v>Link</v>
      </c>
      <c r="AE276" s="54">
        <v>4553</v>
      </c>
      <c r="AF276" s="55"/>
      <c r="AG276" s="7"/>
      <c r="AH276" s="56">
        <v>146612</v>
      </c>
      <c r="AI276" s="7"/>
      <c r="AJ276" s="7"/>
      <c r="AK276" s="7"/>
      <c r="AL276" s="7"/>
    </row>
    <row r="277" spans="1:38" ht="13" x14ac:dyDescent="0.15">
      <c r="A277" s="57" t="s">
        <v>4332</v>
      </c>
      <c r="B277" s="110" t="s">
        <v>1705</v>
      </c>
      <c r="C277" s="7" t="s">
        <v>41</v>
      </c>
      <c r="D277" s="7" t="s">
        <v>4416</v>
      </c>
      <c r="E277" s="44">
        <v>5</v>
      </c>
      <c r="F277" s="7"/>
      <c r="G277" s="7"/>
      <c r="H277" s="2" t="s">
        <v>4397</v>
      </c>
      <c r="I277" s="7" t="s">
        <v>4419</v>
      </c>
      <c r="J277" s="7" t="s">
        <v>4420</v>
      </c>
      <c r="K277" s="7" t="s">
        <v>48</v>
      </c>
      <c r="L277" s="7" t="s">
        <v>4421</v>
      </c>
      <c r="M277" s="7" t="s">
        <v>4422</v>
      </c>
      <c r="N277" s="45" t="str">
        <f t="shared" si="206"/>
        <v>@lewissoftball</v>
      </c>
      <c r="O277" s="45" t="str">
        <f t="shared" si="207"/>
        <v>Questionnaire</v>
      </c>
      <c r="P277" s="48" t="s">
        <v>4406</v>
      </c>
      <c r="Q277" s="60" t="s">
        <v>1721</v>
      </c>
      <c r="R277" s="48" t="s">
        <v>4407</v>
      </c>
      <c r="S277" s="48" t="s">
        <v>468</v>
      </c>
      <c r="T277" s="73" t="s">
        <v>63</v>
      </c>
      <c r="U277" s="49" t="s">
        <v>343</v>
      </c>
      <c r="V277" s="7"/>
      <c r="W277" s="44">
        <v>3.4</v>
      </c>
      <c r="X277" s="49" t="s">
        <v>4408</v>
      </c>
      <c r="Y277" s="49" t="s">
        <v>2228</v>
      </c>
      <c r="Z277" s="49" t="s">
        <v>1650</v>
      </c>
      <c r="AA277" s="61">
        <v>0.59</v>
      </c>
      <c r="AB277" s="71">
        <v>44100</v>
      </c>
      <c r="AC277" s="62" t="s">
        <v>4406</v>
      </c>
      <c r="AD277" s="53" t="str">
        <f t="shared" si="208"/>
        <v>Link</v>
      </c>
      <c r="AE277" s="54">
        <v>4553</v>
      </c>
      <c r="AF277" s="55"/>
      <c r="AG277" s="7"/>
      <c r="AH277" s="56">
        <v>146612</v>
      </c>
      <c r="AI277" s="7"/>
      <c r="AJ277" s="7"/>
      <c r="AK277" s="7"/>
      <c r="AL277" s="7"/>
    </row>
    <row r="278" spans="1:38" ht="13" x14ac:dyDescent="0.15">
      <c r="A278" s="57" t="s">
        <v>4332</v>
      </c>
      <c r="B278" s="110" t="s">
        <v>1705</v>
      </c>
      <c r="C278" s="7" t="s">
        <v>41</v>
      </c>
      <c r="D278" s="7" t="s">
        <v>4431</v>
      </c>
      <c r="E278" s="44">
        <v>5</v>
      </c>
      <c r="F278" s="7" t="s">
        <v>116</v>
      </c>
      <c r="G278" s="7"/>
      <c r="H278" s="2" t="s">
        <v>4397</v>
      </c>
      <c r="I278" s="7" t="s">
        <v>4434</v>
      </c>
      <c r="J278" s="7" t="s">
        <v>1638</v>
      </c>
      <c r="K278" s="7" t="s">
        <v>55</v>
      </c>
      <c r="L278" s="7" t="s">
        <v>4435</v>
      </c>
      <c r="M278" s="7" t="s">
        <v>4436</v>
      </c>
      <c r="N278" s="45" t="str">
        <f t="shared" si="206"/>
        <v>@lewissoftball</v>
      </c>
      <c r="O278" s="45" t="str">
        <f t="shared" si="207"/>
        <v>Questionnaire</v>
      </c>
      <c r="P278" s="48" t="s">
        <v>4406</v>
      </c>
      <c r="Q278" s="60" t="s">
        <v>1721</v>
      </c>
      <c r="R278" s="48" t="s">
        <v>4407</v>
      </c>
      <c r="S278" s="48" t="s">
        <v>468</v>
      </c>
      <c r="T278" s="73" t="s">
        <v>63</v>
      </c>
      <c r="U278" s="49" t="s">
        <v>343</v>
      </c>
      <c r="V278" s="7"/>
      <c r="W278" s="44">
        <v>3.4</v>
      </c>
      <c r="X278" s="49" t="s">
        <v>4408</v>
      </c>
      <c r="Y278" s="49" t="s">
        <v>2228</v>
      </c>
      <c r="Z278" s="49" t="s">
        <v>1650</v>
      </c>
      <c r="AA278" s="61">
        <v>0.59</v>
      </c>
      <c r="AB278" s="71">
        <v>44100</v>
      </c>
      <c r="AC278" s="62" t="s">
        <v>4406</v>
      </c>
      <c r="AD278" s="53" t="str">
        <f t="shared" si="208"/>
        <v>Link</v>
      </c>
      <c r="AE278" s="54">
        <v>4553</v>
      </c>
      <c r="AF278" s="55"/>
      <c r="AG278" s="7"/>
      <c r="AH278" s="111">
        <v>146612</v>
      </c>
      <c r="AI278" s="57"/>
      <c r="AJ278" s="57"/>
      <c r="AK278" s="57"/>
      <c r="AL278" s="57"/>
    </row>
    <row r="279" spans="1:38" ht="13" x14ac:dyDescent="0.15">
      <c r="A279" s="57" t="s">
        <v>4332</v>
      </c>
      <c r="B279" s="110" t="s">
        <v>1705</v>
      </c>
      <c r="C279" s="7" t="s">
        <v>41</v>
      </c>
      <c r="D279" s="7" t="s">
        <v>4442</v>
      </c>
      <c r="E279" s="44">
        <v>5</v>
      </c>
      <c r="F279" s="7"/>
      <c r="G279" s="7"/>
      <c r="H279" s="2" t="s">
        <v>4443</v>
      </c>
      <c r="I279" s="7" t="s">
        <v>683</v>
      </c>
      <c r="J279" s="7" t="s">
        <v>4003</v>
      </c>
      <c r="K279" s="7" t="s">
        <v>55</v>
      </c>
      <c r="L279" s="7" t="s">
        <v>4445</v>
      </c>
      <c r="M279" s="7" t="s">
        <v>4447</v>
      </c>
      <c r="N279" s="45" t="str">
        <f t="shared" ref="N279:N281" si="209">HYPERLINK("twitter.com/mckendreesb","@mckendreesb")</f>
        <v>@mckendreesb</v>
      </c>
      <c r="O279" s="45" t="str">
        <f t="shared" ref="O279:O281" si="210">HYPERLINK("https://mckbearcats.com/sb_output.aspx?form=3","Questionnaire")</f>
        <v>Questionnaire</v>
      </c>
      <c r="P279" s="48" t="s">
        <v>4452</v>
      </c>
      <c r="Q279" s="47" t="s">
        <v>1721</v>
      </c>
      <c r="R279" s="48" t="s">
        <v>4454</v>
      </c>
      <c r="S279" s="60" t="s">
        <v>205</v>
      </c>
      <c r="T279" s="49" t="s">
        <v>63</v>
      </c>
      <c r="U279" s="49" t="s">
        <v>65</v>
      </c>
      <c r="V279" s="7"/>
      <c r="W279" s="44">
        <v>3.44</v>
      </c>
      <c r="X279" s="49" t="s">
        <v>4456</v>
      </c>
      <c r="Y279" s="49" t="s">
        <v>4458</v>
      </c>
      <c r="Z279" s="49" t="s">
        <v>240</v>
      </c>
      <c r="AA279" s="61">
        <v>0.68</v>
      </c>
      <c r="AB279" s="71">
        <v>41490</v>
      </c>
      <c r="AC279" s="62" t="s">
        <v>4452</v>
      </c>
      <c r="AD279" s="53" t="str">
        <f t="shared" ref="AD279:AD281" si="211">HYPERLINK("http://www.mckendree.edu/academics/info/","Link")</f>
        <v>Link</v>
      </c>
      <c r="AE279" s="54">
        <v>2261</v>
      </c>
      <c r="AF279" s="55"/>
      <c r="AG279" s="7"/>
      <c r="AH279" s="56">
        <v>147013</v>
      </c>
      <c r="AI279" s="7"/>
      <c r="AJ279" s="7"/>
      <c r="AK279" s="7"/>
      <c r="AL279" s="7"/>
    </row>
    <row r="280" spans="1:38" ht="13" x14ac:dyDescent="0.15">
      <c r="A280" s="57" t="s">
        <v>4332</v>
      </c>
      <c r="B280" s="110" t="s">
        <v>1705</v>
      </c>
      <c r="C280" s="7" t="s">
        <v>41</v>
      </c>
      <c r="D280" s="7" t="s">
        <v>4464</v>
      </c>
      <c r="E280" s="44">
        <v>5</v>
      </c>
      <c r="F280" s="7"/>
      <c r="G280" s="7"/>
      <c r="H280" s="2" t="s">
        <v>4443</v>
      </c>
      <c r="I280" s="7" t="s">
        <v>4468</v>
      </c>
      <c r="J280" s="7" t="s">
        <v>4469</v>
      </c>
      <c r="K280" s="7" t="s">
        <v>120</v>
      </c>
      <c r="L280" s="7" t="s">
        <v>4470</v>
      </c>
      <c r="M280" s="7"/>
      <c r="N280" s="45" t="str">
        <f t="shared" si="209"/>
        <v>@mckendreesb</v>
      </c>
      <c r="O280" s="45" t="str">
        <f t="shared" si="210"/>
        <v>Questionnaire</v>
      </c>
      <c r="P280" s="48" t="s">
        <v>4452</v>
      </c>
      <c r="Q280" s="47" t="s">
        <v>1721</v>
      </c>
      <c r="R280" s="48" t="s">
        <v>4454</v>
      </c>
      <c r="S280" s="60" t="s">
        <v>205</v>
      </c>
      <c r="T280" s="49" t="s">
        <v>63</v>
      </c>
      <c r="U280" s="49" t="s">
        <v>65</v>
      </c>
      <c r="V280" s="7"/>
      <c r="W280" s="44">
        <v>3.44</v>
      </c>
      <c r="X280" s="49" t="s">
        <v>4456</v>
      </c>
      <c r="Y280" s="49" t="s">
        <v>4458</v>
      </c>
      <c r="Z280" s="49" t="s">
        <v>240</v>
      </c>
      <c r="AA280" s="61">
        <v>0.68</v>
      </c>
      <c r="AB280" s="71">
        <v>41490</v>
      </c>
      <c r="AC280" s="62" t="s">
        <v>4452</v>
      </c>
      <c r="AD280" s="53" t="str">
        <f t="shared" si="211"/>
        <v>Link</v>
      </c>
      <c r="AE280" s="54">
        <v>2261</v>
      </c>
      <c r="AF280" s="55"/>
      <c r="AG280" s="7"/>
      <c r="AH280" s="56">
        <v>147013</v>
      </c>
      <c r="AI280" s="7"/>
      <c r="AJ280" s="7"/>
      <c r="AK280" s="7"/>
      <c r="AL280" s="7"/>
    </row>
    <row r="281" spans="1:38" ht="13" x14ac:dyDescent="0.15">
      <c r="A281" s="57" t="s">
        <v>4332</v>
      </c>
      <c r="B281" s="110" t="s">
        <v>1705</v>
      </c>
      <c r="C281" s="7" t="s">
        <v>41</v>
      </c>
      <c r="D281" s="7" t="s">
        <v>4477</v>
      </c>
      <c r="E281" s="44">
        <v>5</v>
      </c>
      <c r="F281" s="7"/>
      <c r="G281" s="7"/>
      <c r="H281" s="2" t="s">
        <v>4443</v>
      </c>
      <c r="I281" s="7" t="s">
        <v>981</v>
      </c>
      <c r="J281" s="7" t="s">
        <v>4479</v>
      </c>
      <c r="K281" s="7" t="s">
        <v>48</v>
      </c>
      <c r="L281" s="7" t="s">
        <v>4480</v>
      </c>
      <c r="M281" s="7" t="s">
        <v>4482</v>
      </c>
      <c r="N281" s="45" t="str">
        <f t="shared" si="209"/>
        <v>@mckendreesb</v>
      </c>
      <c r="O281" s="45" t="str">
        <f t="shared" si="210"/>
        <v>Questionnaire</v>
      </c>
      <c r="P281" s="48" t="s">
        <v>4452</v>
      </c>
      <c r="Q281" s="47" t="s">
        <v>1721</v>
      </c>
      <c r="R281" s="48" t="s">
        <v>4454</v>
      </c>
      <c r="S281" s="60" t="s">
        <v>205</v>
      </c>
      <c r="T281" s="49" t="s">
        <v>63</v>
      </c>
      <c r="U281" s="49" t="s">
        <v>65</v>
      </c>
      <c r="V281" s="7"/>
      <c r="W281" s="44">
        <v>3.44</v>
      </c>
      <c r="X281" s="49" t="s">
        <v>4456</v>
      </c>
      <c r="Y281" s="49" t="s">
        <v>4458</v>
      </c>
      <c r="Z281" s="49" t="s">
        <v>240</v>
      </c>
      <c r="AA281" s="61">
        <v>0.68</v>
      </c>
      <c r="AB281" s="71">
        <v>41490</v>
      </c>
      <c r="AC281" s="62" t="s">
        <v>4452</v>
      </c>
      <c r="AD281" s="53" t="str">
        <f t="shared" si="211"/>
        <v>Link</v>
      </c>
      <c r="AE281" s="54">
        <v>2261</v>
      </c>
      <c r="AF281" s="55"/>
      <c r="AG281" s="7"/>
      <c r="AH281" s="56">
        <v>147013</v>
      </c>
      <c r="AI281" s="7"/>
      <c r="AJ281" s="7"/>
      <c r="AK281" s="7"/>
      <c r="AL281" s="7"/>
    </row>
    <row r="282" spans="1:38" ht="13" x14ac:dyDescent="0.15">
      <c r="A282" s="57" t="s">
        <v>4332</v>
      </c>
      <c r="B282" s="110" t="s">
        <v>1705</v>
      </c>
      <c r="C282" s="7" t="s">
        <v>41</v>
      </c>
      <c r="D282" s="7" t="s">
        <v>4488</v>
      </c>
      <c r="E282" s="44">
        <v>5</v>
      </c>
      <c r="F282" s="7"/>
      <c r="G282" s="7"/>
      <c r="H282" s="2" t="s">
        <v>4491</v>
      </c>
      <c r="I282" s="7" t="s">
        <v>1701</v>
      </c>
      <c r="J282" s="7" t="s">
        <v>4492</v>
      </c>
      <c r="K282" s="7" t="s">
        <v>48</v>
      </c>
      <c r="L282" s="7" t="s">
        <v>4493</v>
      </c>
      <c r="M282" s="7" t="s">
        <v>4496</v>
      </c>
      <c r="N282" s="45" t="str">
        <f t="shared" ref="N282:N283" si="212">HYPERLINK("twitter.com/quhawkssoftball","@quhawkssoftball")</f>
        <v>@quhawkssoftball</v>
      </c>
      <c r="O282" s="45" t="str">
        <f t="shared" ref="O282:O283" si="213">HYPERLINK("https://quhawks.com/sb_output.aspx?form=3","Questionnaire")</f>
        <v>Questionnaire</v>
      </c>
      <c r="P282" s="48" t="s">
        <v>4497</v>
      </c>
      <c r="Q282" s="60" t="s">
        <v>1721</v>
      </c>
      <c r="R282" s="48" t="s">
        <v>4499</v>
      </c>
      <c r="S282" s="48" t="s">
        <v>468</v>
      </c>
      <c r="T282" s="49" t="s">
        <v>63</v>
      </c>
      <c r="U282" s="49" t="s">
        <v>343</v>
      </c>
      <c r="V282" s="7"/>
      <c r="W282" s="44">
        <v>3.3</v>
      </c>
      <c r="X282" s="49" t="s">
        <v>3520</v>
      </c>
      <c r="Y282" s="49" t="s">
        <v>1648</v>
      </c>
      <c r="Z282" s="49" t="s">
        <v>841</v>
      </c>
      <c r="AA282" s="61">
        <v>0.66</v>
      </c>
      <c r="AB282" s="71">
        <v>41028</v>
      </c>
      <c r="AC282" s="62" t="s">
        <v>4497</v>
      </c>
      <c r="AD282" s="53" t="str">
        <f t="shared" ref="AD282:AD283" si="214">HYPERLINK("https://www.quincy.edu/academics/undergraduate-programs/","Link")</f>
        <v>Link</v>
      </c>
      <c r="AE282" s="54">
        <v>1161</v>
      </c>
      <c r="AF282" s="55"/>
      <c r="AG282" s="7"/>
      <c r="AH282" s="56">
        <v>148131</v>
      </c>
      <c r="AI282" s="7"/>
      <c r="AJ282" s="7"/>
      <c r="AK282" s="7"/>
      <c r="AL282" s="7"/>
    </row>
    <row r="283" spans="1:38" ht="13" x14ac:dyDescent="0.15">
      <c r="A283" s="57" t="s">
        <v>4332</v>
      </c>
      <c r="B283" s="110" t="s">
        <v>1705</v>
      </c>
      <c r="C283" s="7" t="s">
        <v>41</v>
      </c>
      <c r="D283" s="7" t="s">
        <v>4502</v>
      </c>
      <c r="E283" s="44">
        <v>5</v>
      </c>
      <c r="F283" s="7" t="s">
        <v>116</v>
      </c>
      <c r="G283" s="7"/>
      <c r="H283" s="2" t="s">
        <v>4491</v>
      </c>
      <c r="I283" s="7" t="s">
        <v>442</v>
      </c>
      <c r="J283" s="7" t="s">
        <v>4503</v>
      </c>
      <c r="K283" s="7" t="s">
        <v>55</v>
      </c>
      <c r="L283" s="7"/>
      <c r="M283" s="7"/>
      <c r="N283" s="45" t="str">
        <f t="shared" si="212"/>
        <v>@quhawkssoftball</v>
      </c>
      <c r="O283" s="45" t="str">
        <f t="shared" si="213"/>
        <v>Questionnaire</v>
      </c>
      <c r="P283" s="48" t="s">
        <v>4497</v>
      </c>
      <c r="Q283" s="60" t="s">
        <v>1721</v>
      </c>
      <c r="R283" s="48" t="s">
        <v>4499</v>
      </c>
      <c r="S283" s="48" t="s">
        <v>468</v>
      </c>
      <c r="T283" s="49" t="s">
        <v>63</v>
      </c>
      <c r="U283" s="49" t="s">
        <v>343</v>
      </c>
      <c r="V283" s="7"/>
      <c r="W283" s="44">
        <v>3.3</v>
      </c>
      <c r="X283" s="49" t="s">
        <v>3520</v>
      </c>
      <c r="Y283" s="49" t="s">
        <v>1648</v>
      </c>
      <c r="Z283" s="49" t="s">
        <v>841</v>
      </c>
      <c r="AA283" s="61">
        <v>0.66</v>
      </c>
      <c r="AB283" s="71">
        <v>41028</v>
      </c>
      <c r="AC283" s="62" t="s">
        <v>4497</v>
      </c>
      <c r="AD283" s="53" t="str">
        <f t="shared" si="214"/>
        <v>Link</v>
      </c>
      <c r="AE283" s="54">
        <v>1161</v>
      </c>
      <c r="AF283" s="55"/>
      <c r="AG283" s="7"/>
      <c r="AH283" s="111">
        <v>148131</v>
      </c>
      <c r="AI283" s="57"/>
      <c r="AJ283" s="57"/>
      <c r="AK283" s="57"/>
      <c r="AL283" s="57"/>
    </row>
    <row r="284" spans="1:38" ht="13" x14ac:dyDescent="0.15">
      <c r="A284" s="57" t="s">
        <v>4332</v>
      </c>
      <c r="B284" s="110" t="s">
        <v>2602</v>
      </c>
      <c r="C284" s="7" t="s">
        <v>41</v>
      </c>
      <c r="D284" s="7" t="s">
        <v>4509</v>
      </c>
      <c r="E284" s="44">
        <v>5</v>
      </c>
      <c r="F284" s="7"/>
      <c r="G284" s="7"/>
      <c r="H284" s="2" t="s">
        <v>4510</v>
      </c>
      <c r="I284" s="7" t="s">
        <v>3197</v>
      </c>
      <c r="J284" s="7" t="s">
        <v>4511</v>
      </c>
      <c r="K284" s="7" t="s">
        <v>55</v>
      </c>
      <c r="L284" s="7" t="s">
        <v>4513</v>
      </c>
      <c r="M284" s="7" t="s">
        <v>4515</v>
      </c>
      <c r="N284" s="45" t="str">
        <f t="shared" ref="N284:N285" si="215">HYPERLINK("twitter.com/uindysoftball","@uindysoftball")</f>
        <v>@uindysoftball</v>
      </c>
      <c r="O284" s="45" t="str">
        <f t="shared" ref="O284:O285" si="216">HYPERLINK("https://athletics.uindy.edu/sb_output.aspx?form=3","Questionnaire")</f>
        <v>Questionnaire</v>
      </c>
      <c r="P284" s="48" t="s">
        <v>3079</v>
      </c>
      <c r="Q284" s="47" t="s">
        <v>1151</v>
      </c>
      <c r="R284" s="48" t="s">
        <v>3079</v>
      </c>
      <c r="S284" s="48" t="s">
        <v>354</v>
      </c>
      <c r="T284" s="49" t="s">
        <v>63</v>
      </c>
      <c r="U284" s="49" t="s">
        <v>65</v>
      </c>
      <c r="V284" s="7"/>
      <c r="W284" s="44">
        <v>3.5</v>
      </c>
      <c r="X284" s="49" t="s">
        <v>1144</v>
      </c>
      <c r="Y284" s="49" t="s">
        <v>1029</v>
      </c>
      <c r="Z284" s="49" t="s">
        <v>278</v>
      </c>
      <c r="AA284" s="61">
        <v>0.86</v>
      </c>
      <c r="AB284" s="71">
        <v>41528</v>
      </c>
      <c r="AC284" s="62" t="s">
        <v>3079</v>
      </c>
      <c r="AD284" s="53" t="str">
        <f t="shared" ref="AD284:AD285" si="217">HYPERLINK("http://www.uindy.edu/majors/bachelors-degree-programs","Link")</f>
        <v>Link</v>
      </c>
      <c r="AE284" s="54">
        <v>4346</v>
      </c>
      <c r="AF284" s="55"/>
      <c r="AG284" s="7"/>
      <c r="AH284" s="56">
        <v>151263</v>
      </c>
      <c r="AI284" s="7"/>
      <c r="AJ284" s="7"/>
      <c r="AK284" s="7"/>
      <c r="AL284" s="7"/>
    </row>
    <row r="285" spans="1:38" ht="13" x14ac:dyDescent="0.15">
      <c r="A285" s="57" t="s">
        <v>4332</v>
      </c>
      <c r="B285" s="110" t="s">
        <v>2602</v>
      </c>
      <c r="C285" s="7" t="s">
        <v>41</v>
      </c>
      <c r="D285" s="7" t="s">
        <v>4531</v>
      </c>
      <c r="E285" s="44">
        <v>5</v>
      </c>
      <c r="F285" s="7"/>
      <c r="G285" s="7"/>
      <c r="H285" s="2" t="s">
        <v>4510</v>
      </c>
      <c r="I285" s="7" t="s">
        <v>1163</v>
      </c>
      <c r="J285" s="7" t="s">
        <v>4533</v>
      </c>
      <c r="K285" s="7" t="s">
        <v>48</v>
      </c>
      <c r="L285" s="7" t="s">
        <v>4534</v>
      </c>
      <c r="M285" s="7" t="s">
        <v>4536</v>
      </c>
      <c r="N285" s="45" t="str">
        <f t="shared" si="215"/>
        <v>@uindysoftball</v>
      </c>
      <c r="O285" s="45" t="str">
        <f t="shared" si="216"/>
        <v>Questionnaire</v>
      </c>
      <c r="P285" s="48" t="s">
        <v>3079</v>
      </c>
      <c r="Q285" s="47" t="s">
        <v>1151</v>
      </c>
      <c r="R285" s="48" t="s">
        <v>3079</v>
      </c>
      <c r="S285" s="48" t="s">
        <v>354</v>
      </c>
      <c r="T285" s="49" t="s">
        <v>63</v>
      </c>
      <c r="U285" s="49" t="s">
        <v>65</v>
      </c>
      <c r="V285" s="7"/>
      <c r="W285" s="44">
        <v>3.5</v>
      </c>
      <c r="X285" s="49" t="s">
        <v>1144</v>
      </c>
      <c r="Y285" s="49" t="s">
        <v>1029</v>
      </c>
      <c r="Z285" s="49" t="s">
        <v>278</v>
      </c>
      <c r="AA285" s="61">
        <v>0.86</v>
      </c>
      <c r="AB285" s="71">
        <v>41528</v>
      </c>
      <c r="AC285" s="62" t="s">
        <v>3079</v>
      </c>
      <c r="AD285" s="53" t="str">
        <f t="shared" si="217"/>
        <v>Link</v>
      </c>
      <c r="AE285" s="54">
        <v>4346</v>
      </c>
      <c r="AF285" s="55"/>
      <c r="AG285" s="7"/>
      <c r="AH285" s="56">
        <v>151263</v>
      </c>
      <c r="AI285" s="7"/>
      <c r="AJ285" s="7"/>
      <c r="AK285" s="7"/>
      <c r="AL285" s="7"/>
    </row>
    <row r="286" spans="1:38" ht="13" x14ac:dyDescent="0.15">
      <c r="A286" s="57" t="s">
        <v>4544</v>
      </c>
      <c r="B286" s="110" t="s">
        <v>2602</v>
      </c>
      <c r="C286" s="7" t="s">
        <v>41</v>
      </c>
      <c r="D286" s="7" t="s">
        <v>4545</v>
      </c>
      <c r="E286" s="44">
        <v>5</v>
      </c>
      <c r="F286" s="7"/>
      <c r="G286" s="7"/>
      <c r="H286" s="2" t="s">
        <v>4547</v>
      </c>
      <c r="I286" s="7" t="s">
        <v>2790</v>
      </c>
      <c r="J286" s="7" t="s">
        <v>4548</v>
      </c>
      <c r="K286" s="7" t="s">
        <v>55</v>
      </c>
      <c r="L286" s="7" t="s">
        <v>4550</v>
      </c>
      <c r="M286" s="7" t="s">
        <v>4552</v>
      </c>
      <c r="N286" s="48"/>
      <c r="O286" s="45" t="str">
        <f t="shared" ref="O286:O289" si="218">HYPERLINK("https://gomightyoaks.com/sb_output.aspx?form=3","Questionnaire")</f>
        <v>Questionnaire</v>
      </c>
      <c r="P286" s="48" t="s">
        <v>4557</v>
      </c>
      <c r="Q286" s="47" t="s">
        <v>1151</v>
      </c>
      <c r="R286" s="48" t="s">
        <v>4557</v>
      </c>
      <c r="S286" s="60" t="s">
        <v>205</v>
      </c>
      <c r="T286" s="49" t="s">
        <v>63</v>
      </c>
      <c r="U286" s="49" t="s">
        <v>4558</v>
      </c>
      <c r="V286" s="7"/>
      <c r="W286" s="44">
        <v>3.1</v>
      </c>
      <c r="X286" s="49" t="s">
        <v>4560</v>
      </c>
      <c r="Y286" s="49" t="s">
        <v>1144</v>
      </c>
      <c r="Z286" s="49" t="s">
        <v>841</v>
      </c>
      <c r="AA286" s="61">
        <v>0.33</v>
      </c>
      <c r="AB286" s="71">
        <v>37395</v>
      </c>
      <c r="AC286" s="62" t="s">
        <v>4557</v>
      </c>
      <c r="AD286" s="53" t="str">
        <f t="shared" ref="AD286:AD289" si="219">HYPERLINK("https://www.oak.edu/academics/undergraduate-degrees","Link")</f>
        <v>Link</v>
      </c>
      <c r="AE286" s="54">
        <v>1269</v>
      </c>
      <c r="AF286" s="55"/>
      <c r="AG286" s="7"/>
      <c r="AH286" s="56">
        <v>152099</v>
      </c>
      <c r="AI286" s="7"/>
      <c r="AJ286" s="7"/>
      <c r="AK286" s="7"/>
      <c r="AL286" s="7"/>
    </row>
    <row r="287" spans="1:38" ht="13" x14ac:dyDescent="0.15">
      <c r="A287" s="57" t="s">
        <v>4544</v>
      </c>
      <c r="B287" s="110" t="s">
        <v>2602</v>
      </c>
      <c r="C287" s="7" t="s">
        <v>41</v>
      </c>
      <c r="D287" s="7" t="s">
        <v>4566</v>
      </c>
      <c r="E287" s="44">
        <v>5</v>
      </c>
      <c r="F287" s="7"/>
      <c r="G287" s="7" t="s">
        <v>126</v>
      </c>
      <c r="H287" s="2" t="s">
        <v>4547</v>
      </c>
      <c r="I287" s="7" t="s">
        <v>4569</v>
      </c>
      <c r="J287" s="7"/>
      <c r="K287" s="7"/>
      <c r="L287" s="7"/>
      <c r="M287" s="7"/>
      <c r="N287" s="7"/>
      <c r="O287" s="45" t="str">
        <f t="shared" si="218"/>
        <v>Questionnaire</v>
      </c>
      <c r="P287" s="48" t="s">
        <v>4557</v>
      </c>
      <c r="Q287" s="47" t="s">
        <v>1151</v>
      </c>
      <c r="R287" s="48" t="s">
        <v>4557</v>
      </c>
      <c r="S287" s="60" t="s">
        <v>205</v>
      </c>
      <c r="T287" s="49" t="s">
        <v>63</v>
      </c>
      <c r="U287" s="49" t="s">
        <v>4558</v>
      </c>
      <c r="V287" s="7"/>
      <c r="W287" s="44">
        <v>3.1</v>
      </c>
      <c r="X287" s="49" t="s">
        <v>4560</v>
      </c>
      <c r="Y287" s="49" t="s">
        <v>1144</v>
      </c>
      <c r="Z287" s="49" t="s">
        <v>841</v>
      </c>
      <c r="AA287" s="61">
        <v>0.33</v>
      </c>
      <c r="AB287" s="71">
        <v>37395</v>
      </c>
      <c r="AC287" s="62" t="s">
        <v>4557</v>
      </c>
      <c r="AD287" s="53" t="str">
        <f t="shared" si="219"/>
        <v>Link</v>
      </c>
      <c r="AE287" s="54">
        <v>1269</v>
      </c>
      <c r="AF287" s="55"/>
      <c r="AG287" s="7"/>
      <c r="AH287" s="56">
        <v>152099</v>
      </c>
      <c r="AI287" s="7"/>
      <c r="AJ287" s="7"/>
      <c r="AK287" s="7"/>
      <c r="AL287" s="7"/>
    </row>
    <row r="288" spans="1:38" ht="13" x14ac:dyDescent="0.15">
      <c r="A288" s="57" t="s">
        <v>4544</v>
      </c>
      <c r="B288" s="110" t="s">
        <v>2602</v>
      </c>
      <c r="C288" s="7" t="s">
        <v>41</v>
      </c>
      <c r="D288" s="7" t="s">
        <v>4572</v>
      </c>
      <c r="E288" s="44">
        <v>5</v>
      </c>
      <c r="F288" s="7"/>
      <c r="G288" s="7"/>
      <c r="H288" s="2" t="s">
        <v>4547</v>
      </c>
      <c r="I288" s="7" t="s">
        <v>1574</v>
      </c>
      <c r="J288" s="7" t="s">
        <v>4573</v>
      </c>
      <c r="K288" s="7" t="s">
        <v>48</v>
      </c>
      <c r="L288" s="7" t="s">
        <v>4574</v>
      </c>
      <c r="M288" s="7" t="s">
        <v>4575</v>
      </c>
      <c r="N288" s="48"/>
      <c r="O288" s="45" t="str">
        <f t="shared" si="218"/>
        <v>Questionnaire</v>
      </c>
      <c r="P288" s="48" t="s">
        <v>4557</v>
      </c>
      <c r="Q288" s="47" t="s">
        <v>1151</v>
      </c>
      <c r="R288" s="48" t="s">
        <v>4557</v>
      </c>
      <c r="S288" s="60" t="s">
        <v>205</v>
      </c>
      <c r="T288" s="49" t="s">
        <v>63</v>
      </c>
      <c r="U288" s="49" t="s">
        <v>4558</v>
      </c>
      <c r="V288" s="7"/>
      <c r="W288" s="44">
        <v>3.1</v>
      </c>
      <c r="X288" s="49" t="s">
        <v>4560</v>
      </c>
      <c r="Y288" s="49" t="s">
        <v>1144</v>
      </c>
      <c r="Z288" s="49" t="s">
        <v>841</v>
      </c>
      <c r="AA288" s="61">
        <v>0.33</v>
      </c>
      <c r="AB288" s="71">
        <v>37395</v>
      </c>
      <c r="AC288" s="62" t="s">
        <v>4557</v>
      </c>
      <c r="AD288" s="53" t="str">
        <f t="shared" si="219"/>
        <v>Link</v>
      </c>
      <c r="AE288" s="54">
        <v>1269</v>
      </c>
      <c r="AF288" s="55"/>
      <c r="AG288" s="7"/>
      <c r="AH288" s="56">
        <v>152099</v>
      </c>
      <c r="AI288" s="7"/>
      <c r="AJ288" s="7"/>
      <c r="AK288" s="7"/>
      <c r="AL288" s="7"/>
    </row>
    <row r="289" spans="1:38" ht="13" x14ac:dyDescent="0.15">
      <c r="A289" s="57" t="s">
        <v>4544</v>
      </c>
      <c r="B289" s="110" t="s">
        <v>2602</v>
      </c>
      <c r="C289" s="7" t="s">
        <v>41</v>
      </c>
      <c r="D289" s="7" t="s">
        <v>4584</v>
      </c>
      <c r="E289" s="44">
        <v>5</v>
      </c>
      <c r="F289" s="7" t="s">
        <v>116</v>
      </c>
      <c r="G289" s="7"/>
      <c r="H289" s="2" t="s">
        <v>4547</v>
      </c>
      <c r="I289" s="7" t="s">
        <v>2316</v>
      </c>
      <c r="J289" s="7" t="s">
        <v>4585</v>
      </c>
      <c r="K289" s="7" t="s">
        <v>55</v>
      </c>
      <c r="L289" s="7" t="s">
        <v>4587</v>
      </c>
      <c r="M289" s="44">
        <v>2020</v>
      </c>
      <c r="N289" s="48"/>
      <c r="O289" s="45" t="str">
        <f t="shared" si="218"/>
        <v>Questionnaire</v>
      </c>
      <c r="P289" s="48" t="s">
        <v>4557</v>
      </c>
      <c r="Q289" s="47" t="s">
        <v>1151</v>
      </c>
      <c r="R289" s="48" t="s">
        <v>4557</v>
      </c>
      <c r="S289" s="60" t="s">
        <v>205</v>
      </c>
      <c r="T289" s="49" t="s">
        <v>63</v>
      </c>
      <c r="U289" s="49" t="s">
        <v>4558</v>
      </c>
      <c r="V289" s="7"/>
      <c r="W289" s="44">
        <v>3.1</v>
      </c>
      <c r="X289" s="49" t="s">
        <v>4560</v>
      </c>
      <c r="Y289" s="49" t="s">
        <v>1144</v>
      </c>
      <c r="Z289" s="49" t="s">
        <v>841</v>
      </c>
      <c r="AA289" s="61">
        <v>0.33</v>
      </c>
      <c r="AB289" s="71">
        <v>37395</v>
      </c>
      <c r="AC289" s="62" t="s">
        <v>4557</v>
      </c>
      <c r="AD289" s="53" t="str">
        <f t="shared" si="219"/>
        <v>Link</v>
      </c>
      <c r="AE289" s="54">
        <v>1269</v>
      </c>
      <c r="AF289" s="55"/>
      <c r="AG289" s="7"/>
      <c r="AH289" s="111">
        <v>152099</v>
      </c>
      <c r="AI289" s="57"/>
      <c r="AJ289" s="57"/>
      <c r="AK289" s="57"/>
      <c r="AL289" s="57"/>
    </row>
    <row r="290" spans="1:38" ht="15" x14ac:dyDescent="0.2">
      <c r="A290" s="57" t="s">
        <v>4592</v>
      </c>
      <c r="B290" s="31" t="s">
        <v>2602</v>
      </c>
      <c r="C290" s="33" t="s">
        <v>41</v>
      </c>
      <c r="D290" s="7" t="s">
        <v>4593</v>
      </c>
      <c r="E290" s="112">
        <v>5</v>
      </c>
      <c r="F290" s="7"/>
      <c r="G290" s="7"/>
      <c r="H290" s="2" t="s">
        <v>4602</v>
      </c>
      <c r="I290" s="2" t="s">
        <v>4603</v>
      </c>
      <c r="J290" s="2" t="s">
        <v>4604</v>
      </c>
      <c r="K290" s="2" t="s">
        <v>48</v>
      </c>
      <c r="L290" s="2" t="s">
        <v>4605</v>
      </c>
      <c r="M290" s="6" t="s">
        <v>4606</v>
      </c>
      <c r="N290" s="45" t="str">
        <f t="shared" ref="N290:N295" si="220">HYPERLINK("twitter.com/pnwsoftball","@pnwsoftball")</f>
        <v>@pnwsoftball</v>
      </c>
      <c r="O290" s="45" t="str">
        <f t="shared" ref="O290:O295" si="221">HYPERLINK("http://www.pnwathletics.com/recruits/recruithome/","Questionnaire")</f>
        <v>Questionnaire</v>
      </c>
      <c r="P290" s="48" t="s">
        <v>4609</v>
      </c>
      <c r="Q290" s="60" t="s">
        <v>1151</v>
      </c>
      <c r="R290" s="48" t="s">
        <v>4529</v>
      </c>
      <c r="S290" s="48" t="s">
        <v>238</v>
      </c>
      <c r="T290" s="49" t="s">
        <v>74</v>
      </c>
      <c r="U290" s="48" t="s">
        <v>75</v>
      </c>
      <c r="V290" s="49"/>
      <c r="W290" s="65">
        <v>3.14</v>
      </c>
      <c r="X290" s="49" t="s">
        <v>253</v>
      </c>
      <c r="Y290" s="49" t="s">
        <v>1453</v>
      </c>
      <c r="Z290" s="49" t="s">
        <v>841</v>
      </c>
      <c r="AA290" s="65">
        <v>0.59</v>
      </c>
      <c r="AB290" s="48" t="s">
        <v>4614</v>
      </c>
      <c r="AC290" s="52" t="s">
        <v>4609</v>
      </c>
      <c r="AD290" s="53" t="str">
        <f t="shared" ref="AD290:AD295" si="222">HYPERLINK("https://www.pnw.edu/degree-programs/undergraduate-degrees/","Link")</f>
        <v>Link</v>
      </c>
      <c r="AE290" s="54">
        <v>8321</v>
      </c>
      <c r="AF290" s="55"/>
      <c r="AG290" s="55"/>
      <c r="AH290" s="56">
        <v>152248</v>
      </c>
      <c r="AI290" s="56"/>
      <c r="AJ290" s="85"/>
      <c r="AK290" s="56"/>
      <c r="AL290" s="56"/>
    </row>
    <row r="291" spans="1:38" ht="15" x14ac:dyDescent="0.2">
      <c r="A291" s="57" t="s">
        <v>4592</v>
      </c>
      <c r="B291" s="31" t="s">
        <v>2602</v>
      </c>
      <c r="C291" s="33" t="s">
        <v>41</v>
      </c>
      <c r="D291" s="7" t="s">
        <v>4624</v>
      </c>
      <c r="E291" s="112">
        <v>5</v>
      </c>
      <c r="F291" s="7" t="s">
        <v>116</v>
      </c>
      <c r="G291" s="7"/>
      <c r="H291" s="2" t="s">
        <v>4602</v>
      </c>
      <c r="I291" s="7" t="s">
        <v>442</v>
      </c>
      <c r="J291" s="7" t="s">
        <v>2335</v>
      </c>
      <c r="K291" s="7" t="s">
        <v>55</v>
      </c>
      <c r="L291" s="2"/>
      <c r="M291" s="6"/>
      <c r="N291" s="45" t="str">
        <f t="shared" si="220"/>
        <v>@pnwsoftball</v>
      </c>
      <c r="O291" s="45" t="str">
        <f t="shared" si="221"/>
        <v>Questionnaire</v>
      </c>
      <c r="P291" s="48" t="s">
        <v>4609</v>
      </c>
      <c r="Q291" s="60" t="s">
        <v>1151</v>
      </c>
      <c r="R291" s="48" t="s">
        <v>4529</v>
      </c>
      <c r="S291" s="48" t="s">
        <v>238</v>
      </c>
      <c r="T291" s="49" t="s">
        <v>74</v>
      </c>
      <c r="U291" s="48" t="s">
        <v>75</v>
      </c>
      <c r="V291" s="49"/>
      <c r="W291" s="65">
        <v>3.14</v>
      </c>
      <c r="X291" s="49" t="s">
        <v>253</v>
      </c>
      <c r="Y291" s="49" t="s">
        <v>1453</v>
      </c>
      <c r="Z291" s="49" t="s">
        <v>841</v>
      </c>
      <c r="AA291" s="65">
        <v>0.59</v>
      </c>
      <c r="AB291" s="48" t="s">
        <v>4614</v>
      </c>
      <c r="AC291" s="52" t="s">
        <v>4609</v>
      </c>
      <c r="AD291" s="53" t="str">
        <f t="shared" si="222"/>
        <v>Link</v>
      </c>
      <c r="AE291" s="54">
        <v>8321</v>
      </c>
      <c r="AF291" s="55"/>
      <c r="AG291" s="55"/>
      <c r="AH291" s="56">
        <v>152248</v>
      </c>
      <c r="AI291" s="56"/>
      <c r="AJ291" s="85"/>
      <c r="AK291" s="56"/>
      <c r="AL291" s="56"/>
    </row>
    <row r="292" spans="1:38" ht="15" x14ac:dyDescent="0.2">
      <c r="A292" s="57" t="s">
        <v>4592</v>
      </c>
      <c r="B292" s="31" t="s">
        <v>2602</v>
      </c>
      <c r="C292" s="33" t="s">
        <v>41</v>
      </c>
      <c r="D292" s="7" t="s">
        <v>4632</v>
      </c>
      <c r="E292" s="112">
        <v>5</v>
      </c>
      <c r="F292" s="7" t="s">
        <v>116</v>
      </c>
      <c r="G292" s="7"/>
      <c r="H292" s="2" t="s">
        <v>4602</v>
      </c>
      <c r="I292" s="7" t="s">
        <v>4633</v>
      </c>
      <c r="J292" s="7" t="s">
        <v>4634</v>
      </c>
      <c r="K292" s="7" t="s">
        <v>55</v>
      </c>
      <c r="L292" s="2"/>
      <c r="M292" s="48"/>
      <c r="N292" s="45" t="str">
        <f t="shared" si="220"/>
        <v>@pnwsoftball</v>
      </c>
      <c r="O292" s="45" t="str">
        <f t="shared" si="221"/>
        <v>Questionnaire</v>
      </c>
      <c r="P292" s="48" t="s">
        <v>4609</v>
      </c>
      <c r="Q292" s="60" t="s">
        <v>1151</v>
      </c>
      <c r="R292" s="48" t="s">
        <v>4529</v>
      </c>
      <c r="S292" s="48" t="s">
        <v>238</v>
      </c>
      <c r="T292" s="49" t="s">
        <v>74</v>
      </c>
      <c r="U292" s="48" t="s">
        <v>75</v>
      </c>
      <c r="V292" s="49"/>
      <c r="W292" s="65">
        <v>3.14</v>
      </c>
      <c r="X292" s="49" t="s">
        <v>253</v>
      </c>
      <c r="Y292" s="49" t="s">
        <v>1453</v>
      </c>
      <c r="Z292" s="49" t="s">
        <v>841</v>
      </c>
      <c r="AA292" s="65">
        <v>0.59</v>
      </c>
      <c r="AB292" s="48" t="s">
        <v>4614</v>
      </c>
      <c r="AC292" s="52" t="s">
        <v>4609</v>
      </c>
      <c r="AD292" s="53" t="str">
        <f t="shared" si="222"/>
        <v>Link</v>
      </c>
      <c r="AE292" s="54">
        <v>8321</v>
      </c>
      <c r="AF292" s="55"/>
      <c r="AG292" s="55"/>
      <c r="AH292" s="56">
        <v>152248</v>
      </c>
      <c r="AI292" s="56"/>
      <c r="AJ292" s="85"/>
      <c r="AK292" s="56"/>
      <c r="AL292" s="56"/>
    </row>
    <row r="293" spans="1:38" ht="15" x14ac:dyDescent="0.2">
      <c r="A293" s="57" t="s">
        <v>4592</v>
      </c>
      <c r="B293" s="31" t="s">
        <v>2602</v>
      </c>
      <c r="C293" s="33" t="s">
        <v>41</v>
      </c>
      <c r="D293" s="7" t="s">
        <v>4642</v>
      </c>
      <c r="E293" s="112">
        <v>5</v>
      </c>
      <c r="F293" s="7" t="s">
        <v>116</v>
      </c>
      <c r="G293" s="7"/>
      <c r="H293" s="2" t="s">
        <v>4602</v>
      </c>
      <c r="I293" s="7" t="s">
        <v>4644</v>
      </c>
      <c r="J293" s="7" t="s">
        <v>3567</v>
      </c>
      <c r="K293" s="7" t="s">
        <v>55</v>
      </c>
      <c r="L293" s="2"/>
      <c r="M293" s="6"/>
      <c r="N293" s="45" t="str">
        <f t="shared" si="220"/>
        <v>@pnwsoftball</v>
      </c>
      <c r="O293" s="45" t="str">
        <f t="shared" si="221"/>
        <v>Questionnaire</v>
      </c>
      <c r="P293" s="48" t="s">
        <v>4609</v>
      </c>
      <c r="Q293" s="60" t="s">
        <v>1151</v>
      </c>
      <c r="R293" s="48" t="s">
        <v>4529</v>
      </c>
      <c r="S293" s="48" t="s">
        <v>238</v>
      </c>
      <c r="T293" s="49" t="s">
        <v>74</v>
      </c>
      <c r="U293" s="48" t="s">
        <v>75</v>
      </c>
      <c r="V293" s="49"/>
      <c r="W293" s="65">
        <v>3.14</v>
      </c>
      <c r="X293" s="49" t="s">
        <v>253</v>
      </c>
      <c r="Y293" s="49" t="s">
        <v>1453</v>
      </c>
      <c r="Z293" s="49" t="s">
        <v>841</v>
      </c>
      <c r="AA293" s="65">
        <v>0.59</v>
      </c>
      <c r="AB293" s="48" t="s">
        <v>4614</v>
      </c>
      <c r="AC293" s="52" t="s">
        <v>4609</v>
      </c>
      <c r="AD293" s="53" t="str">
        <f t="shared" si="222"/>
        <v>Link</v>
      </c>
      <c r="AE293" s="54">
        <v>8321</v>
      </c>
      <c r="AF293" s="55"/>
      <c r="AG293" s="55"/>
      <c r="AH293" s="56">
        <v>152248</v>
      </c>
      <c r="AI293" s="56"/>
      <c r="AJ293" s="85"/>
      <c r="AK293" s="56"/>
      <c r="AL293" s="56"/>
    </row>
    <row r="294" spans="1:38" ht="15" x14ac:dyDescent="0.2">
      <c r="A294" s="57" t="s">
        <v>4592</v>
      </c>
      <c r="B294" s="31" t="s">
        <v>2602</v>
      </c>
      <c r="C294" s="33" t="s">
        <v>41</v>
      </c>
      <c r="D294" s="7" t="s">
        <v>4651</v>
      </c>
      <c r="E294" s="112">
        <v>5</v>
      </c>
      <c r="F294" s="7" t="s">
        <v>116</v>
      </c>
      <c r="G294" s="7"/>
      <c r="H294" s="2" t="s">
        <v>4602</v>
      </c>
      <c r="I294" s="7" t="s">
        <v>4653</v>
      </c>
      <c r="J294" s="7" t="s">
        <v>4654</v>
      </c>
      <c r="K294" s="7" t="s">
        <v>55</v>
      </c>
      <c r="L294" s="2"/>
      <c r="M294" s="6"/>
      <c r="N294" s="45" t="str">
        <f t="shared" si="220"/>
        <v>@pnwsoftball</v>
      </c>
      <c r="O294" s="45" t="str">
        <f t="shared" si="221"/>
        <v>Questionnaire</v>
      </c>
      <c r="P294" s="48" t="s">
        <v>4609</v>
      </c>
      <c r="Q294" s="60" t="s">
        <v>1151</v>
      </c>
      <c r="R294" s="48" t="s">
        <v>4529</v>
      </c>
      <c r="S294" s="48" t="s">
        <v>238</v>
      </c>
      <c r="T294" s="49" t="s">
        <v>74</v>
      </c>
      <c r="U294" s="48" t="s">
        <v>75</v>
      </c>
      <c r="V294" s="49"/>
      <c r="W294" s="65">
        <v>3.14</v>
      </c>
      <c r="X294" s="49" t="s">
        <v>253</v>
      </c>
      <c r="Y294" s="49" t="s">
        <v>1453</v>
      </c>
      <c r="Z294" s="49" t="s">
        <v>841</v>
      </c>
      <c r="AA294" s="65">
        <v>0.59</v>
      </c>
      <c r="AB294" s="48" t="s">
        <v>4614</v>
      </c>
      <c r="AC294" s="52" t="s">
        <v>4609</v>
      </c>
      <c r="AD294" s="53" t="str">
        <f t="shared" si="222"/>
        <v>Link</v>
      </c>
      <c r="AE294" s="54">
        <v>8321</v>
      </c>
      <c r="AF294" s="55"/>
      <c r="AG294" s="55"/>
      <c r="AH294" s="56">
        <v>152248</v>
      </c>
      <c r="AI294" s="56"/>
      <c r="AJ294" s="85"/>
      <c r="AK294" s="56"/>
      <c r="AL294" s="56"/>
    </row>
    <row r="295" spans="1:38" ht="15" x14ac:dyDescent="0.2">
      <c r="A295" s="57" t="s">
        <v>4592</v>
      </c>
      <c r="B295" s="31" t="s">
        <v>2602</v>
      </c>
      <c r="C295" s="33" t="s">
        <v>41</v>
      </c>
      <c r="D295" s="7" t="s">
        <v>4658</v>
      </c>
      <c r="E295" s="112">
        <v>5</v>
      </c>
      <c r="F295" s="7" t="s">
        <v>116</v>
      </c>
      <c r="G295" s="7"/>
      <c r="H295" s="2" t="s">
        <v>4602</v>
      </c>
      <c r="I295" s="7" t="s">
        <v>3315</v>
      </c>
      <c r="J295" s="7" t="s">
        <v>4660</v>
      </c>
      <c r="K295" s="7" t="s">
        <v>55</v>
      </c>
      <c r="L295" s="2"/>
      <c r="M295" s="6"/>
      <c r="N295" s="45" t="str">
        <f t="shared" si="220"/>
        <v>@pnwsoftball</v>
      </c>
      <c r="O295" s="45" t="str">
        <f t="shared" si="221"/>
        <v>Questionnaire</v>
      </c>
      <c r="P295" s="48" t="s">
        <v>4609</v>
      </c>
      <c r="Q295" s="60" t="s">
        <v>1151</v>
      </c>
      <c r="R295" s="48" t="s">
        <v>4529</v>
      </c>
      <c r="S295" s="48" t="s">
        <v>238</v>
      </c>
      <c r="T295" s="49" t="s">
        <v>74</v>
      </c>
      <c r="U295" s="48" t="s">
        <v>75</v>
      </c>
      <c r="V295" s="49"/>
      <c r="W295" s="65">
        <v>3.14</v>
      </c>
      <c r="X295" s="49" t="s">
        <v>253</v>
      </c>
      <c r="Y295" s="49" t="s">
        <v>1453</v>
      </c>
      <c r="Z295" s="49" t="s">
        <v>841</v>
      </c>
      <c r="AA295" s="65">
        <v>0.59</v>
      </c>
      <c r="AB295" s="48" t="s">
        <v>4614</v>
      </c>
      <c r="AC295" s="52" t="s">
        <v>4609</v>
      </c>
      <c r="AD295" s="53" t="str">
        <f t="shared" si="222"/>
        <v>Link</v>
      </c>
      <c r="AE295" s="54">
        <v>8321</v>
      </c>
      <c r="AF295" s="55"/>
      <c r="AG295" s="55"/>
      <c r="AH295" s="56">
        <v>152248</v>
      </c>
      <c r="AI295" s="56"/>
      <c r="AJ295" s="85"/>
      <c r="AK295" s="56"/>
      <c r="AL295" s="56"/>
    </row>
    <row r="296" spans="1:38" ht="15" x14ac:dyDescent="0.2">
      <c r="A296" s="57" t="s">
        <v>4332</v>
      </c>
      <c r="B296" s="110" t="s">
        <v>2602</v>
      </c>
      <c r="C296" s="7" t="s">
        <v>41</v>
      </c>
      <c r="D296" s="7" t="s">
        <v>4671</v>
      </c>
      <c r="E296" s="44">
        <v>5</v>
      </c>
      <c r="F296" s="7"/>
      <c r="G296" s="7"/>
      <c r="H296" s="2" t="s">
        <v>4674</v>
      </c>
      <c r="I296" s="7" t="s">
        <v>4675</v>
      </c>
      <c r="J296" s="7" t="s">
        <v>4676</v>
      </c>
      <c r="K296" s="7" t="s">
        <v>55</v>
      </c>
      <c r="L296" s="7" t="s">
        <v>4678</v>
      </c>
      <c r="M296" s="7" t="s">
        <v>4679</v>
      </c>
      <c r="N296" s="45" t="str">
        <f t="shared" ref="N296:N299" si="223">HYPERLINK("twitter.com/usisoftball","@usisoftball")</f>
        <v>@usisoftball</v>
      </c>
      <c r="O296" s="45" t="str">
        <f t="shared" ref="O296:O299" si="224">HYPERLINK("https://gousieagles.com/sb_output.aspx?form=3","Questionnaire")</f>
        <v>Questionnaire</v>
      </c>
      <c r="P296" s="48" t="s">
        <v>4687</v>
      </c>
      <c r="Q296" s="47" t="s">
        <v>1151</v>
      </c>
      <c r="R296" s="48" t="s">
        <v>4688</v>
      </c>
      <c r="S296" s="48" t="s">
        <v>238</v>
      </c>
      <c r="T296" s="49" t="s">
        <v>74</v>
      </c>
      <c r="U296" s="49" t="s">
        <v>75</v>
      </c>
      <c r="V296" s="7"/>
      <c r="W296" s="44">
        <v>3.37</v>
      </c>
      <c r="X296" s="49" t="s">
        <v>3338</v>
      </c>
      <c r="Y296" s="49" t="s">
        <v>1145</v>
      </c>
      <c r="Z296" s="49" t="s">
        <v>746</v>
      </c>
      <c r="AA296" s="61">
        <v>0.92</v>
      </c>
      <c r="AB296" s="48" t="s">
        <v>4689</v>
      </c>
      <c r="AC296" s="52" t="s">
        <v>4687</v>
      </c>
      <c r="AD296" s="53" t="str">
        <f t="shared" ref="AD296:AD299" si="225">HYPERLINK("http://www.usi.edu/academics/","Link")</f>
        <v>Link</v>
      </c>
      <c r="AE296" s="54">
        <v>9585</v>
      </c>
      <c r="AF296" s="55"/>
      <c r="AG296" s="7"/>
      <c r="AH296" s="56">
        <v>151306</v>
      </c>
      <c r="AI296" s="7"/>
      <c r="AJ296" s="7"/>
      <c r="AK296" s="7"/>
      <c r="AL296" s="7"/>
    </row>
    <row r="297" spans="1:38" ht="15" x14ac:dyDescent="0.2">
      <c r="A297" s="57" t="s">
        <v>4332</v>
      </c>
      <c r="B297" s="110" t="s">
        <v>2602</v>
      </c>
      <c r="C297" s="7" t="s">
        <v>41</v>
      </c>
      <c r="D297" s="7" t="s">
        <v>4694</v>
      </c>
      <c r="E297" s="44">
        <v>5</v>
      </c>
      <c r="F297" s="7" t="s">
        <v>116</v>
      </c>
      <c r="G297" s="7"/>
      <c r="H297" s="2" t="s">
        <v>4674</v>
      </c>
      <c r="I297" s="7" t="s">
        <v>4695</v>
      </c>
      <c r="J297" s="7" t="s">
        <v>717</v>
      </c>
      <c r="K297" s="7" t="s">
        <v>55</v>
      </c>
      <c r="L297" s="7" t="s">
        <v>4696</v>
      </c>
      <c r="M297" s="7" t="s">
        <v>4697</v>
      </c>
      <c r="N297" s="45" t="str">
        <f t="shared" si="223"/>
        <v>@usisoftball</v>
      </c>
      <c r="O297" s="45" t="str">
        <f t="shared" si="224"/>
        <v>Questionnaire</v>
      </c>
      <c r="P297" s="48" t="s">
        <v>4687</v>
      </c>
      <c r="Q297" s="47" t="s">
        <v>1151</v>
      </c>
      <c r="R297" s="48" t="s">
        <v>4688</v>
      </c>
      <c r="S297" s="48" t="s">
        <v>238</v>
      </c>
      <c r="T297" s="49" t="s">
        <v>74</v>
      </c>
      <c r="U297" s="49" t="s">
        <v>75</v>
      </c>
      <c r="V297" s="7"/>
      <c r="W297" s="44">
        <v>3.37</v>
      </c>
      <c r="X297" s="49" t="s">
        <v>3338</v>
      </c>
      <c r="Y297" s="49" t="s">
        <v>1145</v>
      </c>
      <c r="Z297" s="49" t="s">
        <v>746</v>
      </c>
      <c r="AA297" s="61">
        <v>0.92</v>
      </c>
      <c r="AB297" s="48" t="s">
        <v>4689</v>
      </c>
      <c r="AC297" s="52" t="s">
        <v>4687</v>
      </c>
      <c r="AD297" s="53" t="str">
        <f t="shared" si="225"/>
        <v>Link</v>
      </c>
      <c r="AE297" s="54">
        <v>9585</v>
      </c>
      <c r="AF297" s="55"/>
      <c r="AG297" s="7"/>
      <c r="AH297" s="56">
        <v>151306</v>
      </c>
      <c r="AI297" s="7"/>
      <c r="AJ297" s="7"/>
      <c r="AK297" s="7"/>
      <c r="AL297" s="7"/>
    </row>
    <row r="298" spans="1:38" ht="15" x14ac:dyDescent="0.2">
      <c r="A298" s="57" t="s">
        <v>4332</v>
      </c>
      <c r="B298" s="110" t="s">
        <v>2602</v>
      </c>
      <c r="C298" s="7" t="s">
        <v>41</v>
      </c>
      <c r="D298" s="7" t="s">
        <v>4702</v>
      </c>
      <c r="E298" s="44">
        <v>5</v>
      </c>
      <c r="F298" s="7"/>
      <c r="G298" s="7"/>
      <c r="H298" s="2" t="s">
        <v>4674</v>
      </c>
      <c r="I298" s="7" t="s">
        <v>4703</v>
      </c>
      <c r="J298" s="7" t="s">
        <v>4705</v>
      </c>
      <c r="K298" s="7" t="s">
        <v>48</v>
      </c>
      <c r="L298" s="7" t="s">
        <v>4706</v>
      </c>
      <c r="M298" s="7" t="s">
        <v>4697</v>
      </c>
      <c r="N298" s="45" t="str">
        <f t="shared" si="223"/>
        <v>@usisoftball</v>
      </c>
      <c r="O298" s="45" t="str">
        <f t="shared" si="224"/>
        <v>Questionnaire</v>
      </c>
      <c r="P298" s="48" t="s">
        <v>4687</v>
      </c>
      <c r="Q298" s="47" t="s">
        <v>1151</v>
      </c>
      <c r="R298" s="48" t="s">
        <v>4688</v>
      </c>
      <c r="S298" s="48" t="s">
        <v>238</v>
      </c>
      <c r="T298" s="49" t="s">
        <v>74</v>
      </c>
      <c r="U298" s="49" t="s">
        <v>75</v>
      </c>
      <c r="V298" s="7"/>
      <c r="W298" s="44">
        <v>3.37</v>
      </c>
      <c r="X298" s="49" t="s">
        <v>3338</v>
      </c>
      <c r="Y298" s="49" t="s">
        <v>1145</v>
      </c>
      <c r="Z298" s="49" t="s">
        <v>746</v>
      </c>
      <c r="AA298" s="61">
        <v>0.92</v>
      </c>
      <c r="AB298" s="48" t="s">
        <v>4689</v>
      </c>
      <c r="AC298" s="52" t="s">
        <v>4687</v>
      </c>
      <c r="AD298" s="53" t="str">
        <f t="shared" si="225"/>
        <v>Link</v>
      </c>
      <c r="AE298" s="54">
        <v>9585</v>
      </c>
      <c r="AF298" s="55"/>
      <c r="AG298" s="7"/>
      <c r="AH298" s="56">
        <v>151306</v>
      </c>
      <c r="AI298" s="7"/>
      <c r="AJ298" s="7"/>
      <c r="AK298" s="7"/>
      <c r="AL298" s="7"/>
    </row>
    <row r="299" spans="1:38" ht="15" x14ac:dyDescent="0.2">
      <c r="A299" s="57" t="s">
        <v>4332</v>
      </c>
      <c r="B299" s="110" t="s">
        <v>2602</v>
      </c>
      <c r="C299" s="7" t="s">
        <v>41</v>
      </c>
      <c r="D299" s="7" t="s">
        <v>4713</v>
      </c>
      <c r="E299" s="44">
        <v>5</v>
      </c>
      <c r="F299" s="7"/>
      <c r="G299" s="7"/>
      <c r="H299" s="2" t="s">
        <v>4674</v>
      </c>
      <c r="I299" s="7" t="s">
        <v>878</v>
      </c>
      <c r="J299" s="7" t="s">
        <v>4714</v>
      </c>
      <c r="K299" s="7" t="s">
        <v>139</v>
      </c>
      <c r="L299" s="7"/>
      <c r="M299" s="7" t="s">
        <v>4715</v>
      </c>
      <c r="N299" s="45" t="str">
        <f t="shared" si="223"/>
        <v>@usisoftball</v>
      </c>
      <c r="O299" s="45" t="str">
        <f t="shared" si="224"/>
        <v>Questionnaire</v>
      </c>
      <c r="P299" s="48" t="s">
        <v>4687</v>
      </c>
      <c r="Q299" s="47" t="s">
        <v>1151</v>
      </c>
      <c r="R299" s="48" t="s">
        <v>4688</v>
      </c>
      <c r="S299" s="48" t="s">
        <v>238</v>
      </c>
      <c r="T299" s="49" t="s">
        <v>74</v>
      </c>
      <c r="U299" s="49" t="s">
        <v>75</v>
      </c>
      <c r="V299" s="7"/>
      <c r="W299" s="44">
        <v>3.37</v>
      </c>
      <c r="X299" s="49" t="s">
        <v>3338</v>
      </c>
      <c r="Y299" s="49" t="s">
        <v>1145</v>
      </c>
      <c r="Z299" s="49" t="s">
        <v>746</v>
      </c>
      <c r="AA299" s="61">
        <v>0.92</v>
      </c>
      <c r="AB299" s="48" t="s">
        <v>4689</v>
      </c>
      <c r="AC299" s="52" t="s">
        <v>4687</v>
      </c>
      <c r="AD299" s="53" t="str">
        <f t="shared" si="225"/>
        <v>Link</v>
      </c>
      <c r="AE299" s="54">
        <v>9585</v>
      </c>
      <c r="AF299" s="55"/>
      <c r="AG299" s="7"/>
      <c r="AH299" s="56">
        <v>151306</v>
      </c>
      <c r="AI299" s="7"/>
      <c r="AJ299" s="7"/>
      <c r="AK299" s="7"/>
      <c r="AL299" s="7"/>
    </row>
    <row r="300" spans="1:38" ht="13" x14ac:dyDescent="0.15">
      <c r="A300" s="57" t="s">
        <v>4718</v>
      </c>
      <c r="B300" s="110" t="s">
        <v>2926</v>
      </c>
      <c r="C300" s="7" t="s">
        <v>41</v>
      </c>
      <c r="D300" s="7" t="s">
        <v>4719</v>
      </c>
      <c r="E300" s="44">
        <v>5</v>
      </c>
      <c r="F300" s="7"/>
      <c r="G300" s="7"/>
      <c r="H300" s="2" t="s">
        <v>4721</v>
      </c>
      <c r="I300" s="7" t="s">
        <v>201</v>
      </c>
      <c r="J300" s="7" t="s">
        <v>2255</v>
      </c>
      <c r="K300" s="7" t="s">
        <v>55</v>
      </c>
      <c r="L300" s="7" t="s">
        <v>4724</v>
      </c>
      <c r="M300" s="7" t="s">
        <v>4726</v>
      </c>
      <c r="N300" s="45" t="str">
        <f t="shared" ref="N300:N301" si="226">HYPERLINK("twitter.com/UIU_Softball","@UIU_Softball")</f>
        <v>@UIU_Softball</v>
      </c>
      <c r="O300" s="45" t="str">
        <f t="shared" ref="O300:O301" si="227">HYPERLINK("https://uiupeacocks.com/sb_output.aspx?form=3","Questionnaire")</f>
        <v>Questionnaire</v>
      </c>
      <c r="P300" s="48" t="s">
        <v>4735</v>
      </c>
      <c r="Q300" s="47" t="s">
        <v>2663</v>
      </c>
      <c r="R300" s="48" t="s">
        <v>4737</v>
      </c>
      <c r="S300" s="60" t="s">
        <v>205</v>
      </c>
      <c r="T300" s="49" t="s">
        <v>63</v>
      </c>
      <c r="U300" s="49" t="s">
        <v>75</v>
      </c>
      <c r="V300" s="7"/>
      <c r="W300" s="44">
        <v>3.06</v>
      </c>
      <c r="X300" s="49" t="s">
        <v>4741</v>
      </c>
      <c r="Y300" s="49" t="s">
        <v>4741</v>
      </c>
      <c r="Z300" s="49" t="s">
        <v>4743</v>
      </c>
      <c r="AA300" s="61">
        <v>0.56000000000000005</v>
      </c>
      <c r="AB300" s="71">
        <v>41442</v>
      </c>
      <c r="AC300" s="62" t="s">
        <v>4735</v>
      </c>
      <c r="AD300" s="53" t="str">
        <f t="shared" ref="AD300:AD301" si="228">HYPERLINK("https://uiu.edu/academics/undergraduate/","Link")</f>
        <v>Link</v>
      </c>
      <c r="AE300" s="54">
        <v>3991</v>
      </c>
      <c r="AF300" s="55"/>
      <c r="AG300" s="7"/>
      <c r="AH300" s="56">
        <v>154493</v>
      </c>
      <c r="AI300" s="7"/>
      <c r="AJ300" s="7"/>
      <c r="AK300" s="7"/>
      <c r="AL300" s="7"/>
    </row>
    <row r="301" spans="1:38" ht="13" x14ac:dyDescent="0.15">
      <c r="A301" s="57" t="s">
        <v>4718</v>
      </c>
      <c r="B301" s="110" t="s">
        <v>2926</v>
      </c>
      <c r="C301" s="7" t="s">
        <v>41</v>
      </c>
      <c r="D301" s="7" t="s">
        <v>4751</v>
      </c>
      <c r="E301" s="44">
        <v>5</v>
      </c>
      <c r="F301" s="7"/>
      <c r="G301" s="7"/>
      <c r="H301" s="2" t="s">
        <v>4721</v>
      </c>
      <c r="I301" s="7" t="s">
        <v>981</v>
      </c>
      <c r="J301" s="7" t="s">
        <v>2317</v>
      </c>
      <c r="K301" s="7" t="s">
        <v>48</v>
      </c>
      <c r="L301" s="7" t="s">
        <v>4753</v>
      </c>
      <c r="M301" s="7" t="s">
        <v>4754</v>
      </c>
      <c r="N301" s="45" t="str">
        <f t="shared" si="226"/>
        <v>@UIU_Softball</v>
      </c>
      <c r="O301" s="45" t="str">
        <f t="shared" si="227"/>
        <v>Questionnaire</v>
      </c>
      <c r="P301" s="48" t="s">
        <v>4735</v>
      </c>
      <c r="Q301" s="47" t="s">
        <v>2663</v>
      </c>
      <c r="R301" s="48" t="s">
        <v>4737</v>
      </c>
      <c r="S301" s="60" t="s">
        <v>205</v>
      </c>
      <c r="T301" s="49" t="s">
        <v>63</v>
      </c>
      <c r="U301" s="49" t="s">
        <v>75</v>
      </c>
      <c r="V301" s="7"/>
      <c r="W301" s="44">
        <v>3.06</v>
      </c>
      <c r="X301" s="49" t="s">
        <v>4741</v>
      </c>
      <c r="Y301" s="49" t="s">
        <v>4741</v>
      </c>
      <c r="Z301" s="49" t="s">
        <v>4743</v>
      </c>
      <c r="AA301" s="61">
        <v>0.56000000000000005</v>
      </c>
      <c r="AB301" s="71">
        <v>41442</v>
      </c>
      <c r="AC301" s="62" t="s">
        <v>4735</v>
      </c>
      <c r="AD301" s="53" t="str">
        <f t="shared" si="228"/>
        <v>Link</v>
      </c>
      <c r="AE301" s="54">
        <v>3991</v>
      </c>
      <c r="AF301" s="55"/>
      <c r="AG301" s="7"/>
      <c r="AH301" s="56">
        <v>154493</v>
      </c>
      <c r="AI301" s="7"/>
      <c r="AJ301" s="7"/>
      <c r="AK301" s="7"/>
      <c r="AL301" s="7"/>
    </row>
    <row r="302" spans="1:38" ht="15" x14ac:dyDescent="0.2">
      <c r="A302" s="57" t="s">
        <v>4757</v>
      </c>
      <c r="B302" s="110" t="s">
        <v>2730</v>
      </c>
      <c r="C302" s="7" t="s">
        <v>41</v>
      </c>
      <c r="D302" s="7" t="s">
        <v>4759</v>
      </c>
      <c r="E302" s="44">
        <v>5</v>
      </c>
      <c r="F302" s="7"/>
      <c r="G302" s="7"/>
      <c r="H302" s="2" t="s">
        <v>4760</v>
      </c>
      <c r="I302" s="7" t="s">
        <v>4762</v>
      </c>
      <c r="J302" s="7" t="s">
        <v>4764</v>
      </c>
      <c r="K302" s="7" t="s">
        <v>55</v>
      </c>
      <c r="L302" s="7" t="s">
        <v>4765</v>
      </c>
      <c r="M302" s="7" t="s">
        <v>4766</v>
      </c>
      <c r="N302" s="45" t="s">
        <v>4767</v>
      </c>
      <c r="O302" s="45" t="str">
        <f t="shared" ref="O302:O305" si="229">HYPERLINK("https://esuhornets.com/sb_output.aspx?form=3","Questionnaire")</f>
        <v>Questionnaire</v>
      </c>
      <c r="P302" s="48" t="s">
        <v>4768</v>
      </c>
      <c r="Q302" s="47" t="s">
        <v>528</v>
      </c>
      <c r="R302" s="48" t="s">
        <v>4770</v>
      </c>
      <c r="S302" s="48" t="s">
        <v>172</v>
      </c>
      <c r="T302" s="49" t="s">
        <v>74</v>
      </c>
      <c r="U302" s="49" t="s">
        <v>75</v>
      </c>
      <c r="V302" s="7"/>
      <c r="W302" s="44">
        <v>3.35</v>
      </c>
      <c r="X302" s="49" t="s">
        <v>4773</v>
      </c>
      <c r="Y302" s="49" t="s">
        <v>3613</v>
      </c>
      <c r="Z302" s="49" t="s">
        <v>746</v>
      </c>
      <c r="AA302" s="61">
        <v>0.87</v>
      </c>
      <c r="AB302" s="48" t="s">
        <v>4777</v>
      </c>
      <c r="AC302" s="52" t="s">
        <v>4768</v>
      </c>
      <c r="AD302" s="53" t="str">
        <f t="shared" ref="AD302:AD305" si="230">HYPERLINK("https://www.emporia.edu/sac/list-of-majors.html","Link")</f>
        <v>Link</v>
      </c>
      <c r="AE302" s="54">
        <v>3702</v>
      </c>
      <c r="AF302" s="55"/>
      <c r="AG302" s="7"/>
      <c r="AH302" s="56">
        <v>155025</v>
      </c>
      <c r="AI302" s="7"/>
      <c r="AJ302" s="7"/>
      <c r="AK302" s="7"/>
      <c r="AL302" s="7"/>
    </row>
    <row r="303" spans="1:38" ht="15" x14ac:dyDescent="0.2">
      <c r="A303" s="57" t="s">
        <v>4757</v>
      </c>
      <c r="B303" s="110" t="s">
        <v>2730</v>
      </c>
      <c r="C303" s="7" t="s">
        <v>41</v>
      </c>
      <c r="D303" s="7" t="s">
        <v>4783</v>
      </c>
      <c r="E303" s="44">
        <v>5</v>
      </c>
      <c r="F303" s="7"/>
      <c r="G303" s="7"/>
      <c r="H303" s="2" t="s">
        <v>4760</v>
      </c>
      <c r="I303" s="7" t="s">
        <v>4786</v>
      </c>
      <c r="J303" s="7" t="s">
        <v>4787</v>
      </c>
      <c r="K303" s="7" t="s">
        <v>55</v>
      </c>
      <c r="L303" s="7"/>
      <c r="M303" s="7"/>
      <c r="N303" s="45" t="s">
        <v>4767</v>
      </c>
      <c r="O303" s="45" t="str">
        <f t="shared" si="229"/>
        <v>Questionnaire</v>
      </c>
      <c r="P303" s="48" t="s">
        <v>4768</v>
      </c>
      <c r="Q303" s="47" t="s">
        <v>528</v>
      </c>
      <c r="R303" s="48" t="s">
        <v>4770</v>
      </c>
      <c r="S303" s="48" t="s">
        <v>172</v>
      </c>
      <c r="T303" s="49" t="s">
        <v>74</v>
      </c>
      <c r="U303" s="49" t="s">
        <v>75</v>
      </c>
      <c r="V303" s="7"/>
      <c r="W303" s="44">
        <v>3.35</v>
      </c>
      <c r="X303" s="49" t="s">
        <v>4773</v>
      </c>
      <c r="Y303" s="49" t="s">
        <v>3613</v>
      </c>
      <c r="Z303" s="49" t="s">
        <v>746</v>
      </c>
      <c r="AA303" s="61">
        <v>0.87</v>
      </c>
      <c r="AB303" s="48" t="s">
        <v>4777</v>
      </c>
      <c r="AC303" s="52" t="s">
        <v>4768</v>
      </c>
      <c r="AD303" s="53" t="str">
        <f t="shared" si="230"/>
        <v>Link</v>
      </c>
      <c r="AE303" s="54">
        <v>3702</v>
      </c>
      <c r="AF303" s="55"/>
      <c r="AG303" s="7"/>
      <c r="AH303" s="56">
        <v>155025</v>
      </c>
      <c r="AI303" s="7"/>
      <c r="AJ303" s="7"/>
      <c r="AK303" s="7"/>
      <c r="AL303" s="7"/>
    </row>
    <row r="304" spans="1:38" ht="15" x14ac:dyDescent="0.2">
      <c r="A304" s="57" t="s">
        <v>4757</v>
      </c>
      <c r="B304" s="110" t="s">
        <v>2730</v>
      </c>
      <c r="C304" s="7" t="s">
        <v>41</v>
      </c>
      <c r="D304" s="7" t="s">
        <v>4790</v>
      </c>
      <c r="E304" s="44">
        <v>5</v>
      </c>
      <c r="F304" s="7"/>
      <c r="G304" s="7"/>
      <c r="H304" s="2" t="s">
        <v>4760</v>
      </c>
      <c r="I304" s="7" t="s">
        <v>222</v>
      </c>
      <c r="J304" s="7" t="s">
        <v>4793</v>
      </c>
      <c r="K304" s="7" t="s">
        <v>120</v>
      </c>
      <c r="L304" s="7" t="s">
        <v>4795</v>
      </c>
      <c r="M304" s="7"/>
      <c r="N304" s="45" t="s">
        <v>4767</v>
      </c>
      <c r="O304" s="45" t="str">
        <f t="shared" si="229"/>
        <v>Questionnaire</v>
      </c>
      <c r="P304" s="48" t="s">
        <v>4768</v>
      </c>
      <c r="Q304" s="47" t="s">
        <v>528</v>
      </c>
      <c r="R304" s="48" t="s">
        <v>4770</v>
      </c>
      <c r="S304" s="48" t="s">
        <v>172</v>
      </c>
      <c r="T304" s="49" t="s">
        <v>74</v>
      </c>
      <c r="U304" s="49" t="s">
        <v>75</v>
      </c>
      <c r="V304" s="7"/>
      <c r="W304" s="44">
        <v>3.35</v>
      </c>
      <c r="X304" s="49" t="s">
        <v>4773</v>
      </c>
      <c r="Y304" s="49" t="s">
        <v>3613</v>
      </c>
      <c r="Z304" s="49" t="s">
        <v>746</v>
      </c>
      <c r="AA304" s="61">
        <v>0.87</v>
      </c>
      <c r="AB304" s="48" t="s">
        <v>4777</v>
      </c>
      <c r="AC304" s="52" t="s">
        <v>4768</v>
      </c>
      <c r="AD304" s="53" t="str">
        <f t="shared" si="230"/>
        <v>Link</v>
      </c>
      <c r="AE304" s="54">
        <v>3702</v>
      </c>
      <c r="AF304" s="55"/>
      <c r="AG304" s="7"/>
      <c r="AH304" s="56">
        <v>155025</v>
      </c>
      <c r="AI304" s="7"/>
      <c r="AJ304" s="7"/>
      <c r="AK304" s="7"/>
      <c r="AL304" s="7"/>
    </row>
    <row r="305" spans="1:38" ht="15" x14ac:dyDescent="0.2">
      <c r="A305" s="57" t="s">
        <v>4757</v>
      </c>
      <c r="B305" s="110" t="s">
        <v>2730</v>
      </c>
      <c r="C305" s="7" t="s">
        <v>41</v>
      </c>
      <c r="D305" s="7" t="s">
        <v>4802</v>
      </c>
      <c r="E305" s="44">
        <v>5</v>
      </c>
      <c r="F305" s="7"/>
      <c r="G305" s="7"/>
      <c r="H305" s="2" t="s">
        <v>4760</v>
      </c>
      <c r="I305" s="7" t="s">
        <v>4804</v>
      </c>
      <c r="J305" s="7" t="s">
        <v>4805</v>
      </c>
      <c r="K305" s="7" t="s">
        <v>48</v>
      </c>
      <c r="L305" s="7" t="s">
        <v>4807</v>
      </c>
      <c r="M305" s="7" t="s">
        <v>4809</v>
      </c>
      <c r="N305" s="45" t="s">
        <v>4767</v>
      </c>
      <c r="O305" s="45" t="str">
        <f t="shared" si="229"/>
        <v>Questionnaire</v>
      </c>
      <c r="P305" s="48" t="s">
        <v>4768</v>
      </c>
      <c r="Q305" s="47" t="s">
        <v>528</v>
      </c>
      <c r="R305" s="48" t="s">
        <v>4770</v>
      </c>
      <c r="S305" s="48" t="s">
        <v>172</v>
      </c>
      <c r="T305" s="49" t="s">
        <v>74</v>
      </c>
      <c r="U305" s="49" t="s">
        <v>75</v>
      </c>
      <c r="V305" s="7"/>
      <c r="W305" s="44">
        <v>3.35</v>
      </c>
      <c r="X305" s="49" t="s">
        <v>4773</v>
      </c>
      <c r="Y305" s="49" t="s">
        <v>3613</v>
      </c>
      <c r="Z305" s="49" t="s">
        <v>746</v>
      </c>
      <c r="AA305" s="61">
        <v>0.87</v>
      </c>
      <c r="AB305" s="48" t="s">
        <v>4777</v>
      </c>
      <c r="AC305" s="52" t="s">
        <v>4768</v>
      </c>
      <c r="AD305" s="53" t="str">
        <f t="shared" si="230"/>
        <v>Link</v>
      </c>
      <c r="AE305" s="54">
        <v>3702</v>
      </c>
      <c r="AF305" s="55"/>
      <c r="AG305" s="7"/>
      <c r="AH305" s="56">
        <v>155025</v>
      </c>
      <c r="AI305" s="7"/>
      <c r="AJ305" s="7"/>
      <c r="AK305" s="7"/>
      <c r="AL305" s="7"/>
    </row>
    <row r="306" spans="1:38" ht="15" x14ac:dyDescent="0.2">
      <c r="A306" s="57" t="s">
        <v>4757</v>
      </c>
      <c r="B306" s="110" t="s">
        <v>2730</v>
      </c>
      <c r="C306" s="7" t="s">
        <v>41</v>
      </c>
      <c r="D306" s="7" t="s">
        <v>4814</v>
      </c>
      <c r="E306" s="44">
        <v>5</v>
      </c>
      <c r="F306" s="7"/>
      <c r="G306" s="7"/>
      <c r="H306" s="2" t="s">
        <v>4815</v>
      </c>
      <c r="I306" s="7" t="s">
        <v>361</v>
      </c>
      <c r="J306" s="7" t="s">
        <v>93</v>
      </c>
      <c r="K306" s="7" t="s">
        <v>55</v>
      </c>
      <c r="L306" s="7" t="s">
        <v>4822</v>
      </c>
      <c r="M306" s="7" t="s">
        <v>4823</v>
      </c>
      <c r="N306" s="45" t="str">
        <f t="shared" ref="N306:N307" si="231">HYPERLINK("twitter.com/fhsu_softball","@fhsu_softball")</f>
        <v>@fhsu_softball</v>
      </c>
      <c r="O306" s="45" t="str">
        <f t="shared" ref="O306:O307" si="232">HYPERLINK("https://fhsuathletics.com/sb_output.aspx?form=3","Questionnaire")</f>
        <v>Questionnaire</v>
      </c>
      <c r="P306" s="48" t="s">
        <v>4832</v>
      </c>
      <c r="Q306" s="47" t="s">
        <v>528</v>
      </c>
      <c r="R306" s="48" t="s">
        <v>2158</v>
      </c>
      <c r="S306" s="48" t="s">
        <v>172</v>
      </c>
      <c r="T306" s="49" t="s">
        <v>74</v>
      </c>
      <c r="U306" s="49" t="s">
        <v>75</v>
      </c>
      <c r="V306" s="7"/>
      <c r="W306" s="44">
        <v>3.37</v>
      </c>
      <c r="X306" s="49" t="s">
        <v>214</v>
      </c>
      <c r="Y306" s="49" t="s">
        <v>214</v>
      </c>
      <c r="Z306" s="49" t="s">
        <v>214</v>
      </c>
      <c r="AA306" s="61">
        <v>0.91</v>
      </c>
      <c r="AB306" s="48" t="s">
        <v>4833</v>
      </c>
      <c r="AC306" s="52" t="s">
        <v>4832</v>
      </c>
      <c r="AD306" s="53" t="str">
        <f t="shared" ref="AD306:AD307" si="233">HYPERLINK("https://www.fhsu.edu/academic/majors-minors/index.html","Link")</f>
        <v>Link</v>
      </c>
      <c r="AE306" s="54">
        <v>12045</v>
      </c>
      <c r="AF306" s="55"/>
      <c r="AG306" s="7"/>
      <c r="AH306" s="56">
        <v>155061</v>
      </c>
      <c r="AI306" s="7"/>
      <c r="AJ306" s="7"/>
      <c r="AK306" s="7"/>
      <c r="AL306" s="7"/>
    </row>
    <row r="307" spans="1:38" ht="15" x14ac:dyDescent="0.2">
      <c r="A307" s="57" t="s">
        <v>4757</v>
      </c>
      <c r="B307" s="110" t="s">
        <v>2730</v>
      </c>
      <c r="C307" s="7" t="s">
        <v>41</v>
      </c>
      <c r="D307" s="7" t="s">
        <v>4841</v>
      </c>
      <c r="E307" s="44">
        <v>5</v>
      </c>
      <c r="F307" s="7"/>
      <c r="G307" s="7"/>
      <c r="H307" s="2" t="s">
        <v>4815</v>
      </c>
      <c r="I307" s="7" t="s">
        <v>2998</v>
      </c>
      <c r="J307" s="7" t="s">
        <v>4842</v>
      </c>
      <c r="K307" s="7" t="s">
        <v>48</v>
      </c>
      <c r="L307" s="7" t="s">
        <v>4843</v>
      </c>
      <c r="M307" s="7" t="s">
        <v>4844</v>
      </c>
      <c r="N307" s="45" t="str">
        <f t="shared" si="231"/>
        <v>@fhsu_softball</v>
      </c>
      <c r="O307" s="45" t="str">
        <f t="shared" si="232"/>
        <v>Questionnaire</v>
      </c>
      <c r="P307" s="48" t="s">
        <v>4832</v>
      </c>
      <c r="Q307" s="47" t="s">
        <v>528</v>
      </c>
      <c r="R307" s="48" t="s">
        <v>2158</v>
      </c>
      <c r="S307" s="48" t="s">
        <v>172</v>
      </c>
      <c r="T307" s="49" t="s">
        <v>74</v>
      </c>
      <c r="U307" s="49" t="s">
        <v>75</v>
      </c>
      <c r="V307" s="7"/>
      <c r="W307" s="44">
        <v>3.37</v>
      </c>
      <c r="X307" s="49" t="s">
        <v>214</v>
      </c>
      <c r="Y307" s="49" t="s">
        <v>214</v>
      </c>
      <c r="Z307" s="49" t="s">
        <v>214</v>
      </c>
      <c r="AA307" s="61">
        <v>0.91</v>
      </c>
      <c r="AB307" s="48" t="s">
        <v>4833</v>
      </c>
      <c r="AC307" s="52" t="s">
        <v>4832</v>
      </c>
      <c r="AD307" s="53" t="str">
        <f t="shared" si="233"/>
        <v>Link</v>
      </c>
      <c r="AE307" s="54">
        <v>12045</v>
      </c>
      <c r="AF307" s="55"/>
      <c r="AG307" s="7"/>
      <c r="AH307" s="56">
        <v>155061</v>
      </c>
      <c r="AI307" s="7"/>
      <c r="AJ307" s="7"/>
      <c r="AK307" s="7"/>
      <c r="AL307" s="7"/>
    </row>
    <row r="308" spans="1:38" ht="13" x14ac:dyDescent="0.15">
      <c r="A308" s="57" t="s">
        <v>4757</v>
      </c>
      <c r="B308" s="110" t="s">
        <v>2730</v>
      </c>
      <c r="C308" s="7" t="s">
        <v>41</v>
      </c>
      <c r="D308" s="7" t="s">
        <v>4851</v>
      </c>
      <c r="E308" s="44">
        <v>5</v>
      </c>
      <c r="F308" s="7"/>
      <c r="G308" s="7"/>
      <c r="H308" s="2" t="s">
        <v>4853</v>
      </c>
      <c r="I308" s="7" t="s">
        <v>537</v>
      </c>
      <c r="J308" s="7" t="s">
        <v>4854</v>
      </c>
      <c r="K308" s="7" t="s">
        <v>55</v>
      </c>
      <c r="L308" s="7" t="s">
        <v>4855</v>
      </c>
      <c r="M308" s="7" t="s">
        <v>4856</v>
      </c>
      <c r="N308" s="45" t="str">
        <f t="shared" ref="N308:N309" si="234">HYPERLINK("twitter.com/newmansoftball","@newmansoftball")</f>
        <v>@newmansoftball</v>
      </c>
      <c r="O308" s="45" t="str">
        <f t="shared" ref="O308:O309" si="235">HYPERLINK("https://www.frontrush.com/FR_Web_App/Player/PlayerSubmit.aspx?sid=MTQ5NDg=-izMoSESm+To=&amp;ptype=recruit","Questionnaire")</f>
        <v>Questionnaire</v>
      </c>
      <c r="P308" s="48" t="s">
        <v>4862</v>
      </c>
      <c r="Q308" s="47" t="s">
        <v>528</v>
      </c>
      <c r="R308" s="48" t="s">
        <v>542</v>
      </c>
      <c r="S308" s="48" t="s">
        <v>354</v>
      </c>
      <c r="T308" s="49" t="s">
        <v>63</v>
      </c>
      <c r="U308" s="49" t="s">
        <v>343</v>
      </c>
      <c r="V308" s="7"/>
      <c r="W308" s="44">
        <v>3.5</v>
      </c>
      <c r="X308" s="49" t="s">
        <v>4866</v>
      </c>
      <c r="Y308" s="49" t="s">
        <v>4868</v>
      </c>
      <c r="Z308" s="49" t="s">
        <v>2190</v>
      </c>
      <c r="AA308" s="61">
        <v>0.57999999999999996</v>
      </c>
      <c r="AB308" s="71">
        <v>39406</v>
      </c>
      <c r="AC308" s="62" t="s">
        <v>4862</v>
      </c>
      <c r="AD308" s="53" t="str">
        <f t="shared" ref="AD308:AD309" si="236">HYPERLINK("https://newmanu.edu/academics","Link")</f>
        <v>Link</v>
      </c>
      <c r="AE308" s="54">
        <v>2535</v>
      </c>
      <c r="AF308" s="55"/>
      <c r="AG308" s="7"/>
      <c r="AH308" s="56">
        <v>155335</v>
      </c>
      <c r="AI308" s="7"/>
      <c r="AJ308" s="7"/>
      <c r="AK308" s="7"/>
      <c r="AL308" s="7"/>
    </row>
    <row r="309" spans="1:38" ht="13" x14ac:dyDescent="0.15">
      <c r="A309" s="57" t="s">
        <v>4757</v>
      </c>
      <c r="B309" s="110" t="s">
        <v>2730</v>
      </c>
      <c r="C309" s="7" t="s">
        <v>41</v>
      </c>
      <c r="D309" s="7" t="s">
        <v>4873</v>
      </c>
      <c r="E309" s="44">
        <v>5</v>
      </c>
      <c r="F309" s="7"/>
      <c r="G309" s="7"/>
      <c r="H309" s="2" t="s">
        <v>4853</v>
      </c>
      <c r="I309" s="7" t="s">
        <v>1327</v>
      </c>
      <c r="J309" s="7" t="s">
        <v>4876</v>
      </c>
      <c r="K309" s="7" t="s">
        <v>48</v>
      </c>
      <c r="L309" s="7" t="s">
        <v>4877</v>
      </c>
      <c r="M309" s="7" t="s">
        <v>4856</v>
      </c>
      <c r="N309" s="45" t="str">
        <f t="shared" si="234"/>
        <v>@newmansoftball</v>
      </c>
      <c r="O309" s="45" t="str">
        <f t="shared" si="235"/>
        <v>Questionnaire</v>
      </c>
      <c r="P309" s="48" t="s">
        <v>4862</v>
      </c>
      <c r="Q309" s="47" t="s">
        <v>528</v>
      </c>
      <c r="R309" s="48" t="s">
        <v>542</v>
      </c>
      <c r="S309" s="48" t="s">
        <v>354</v>
      </c>
      <c r="T309" s="49" t="s">
        <v>63</v>
      </c>
      <c r="U309" s="49" t="s">
        <v>343</v>
      </c>
      <c r="V309" s="7"/>
      <c r="W309" s="44">
        <v>3.5</v>
      </c>
      <c r="X309" s="49" t="s">
        <v>4866</v>
      </c>
      <c r="Y309" s="49" t="s">
        <v>4868</v>
      </c>
      <c r="Z309" s="49" t="s">
        <v>2190</v>
      </c>
      <c r="AA309" s="61">
        <v>0.57999999999999996</v>
      </c>
      <c r="AB309" s="71">
        <v>39406</v>
      </c>
      <c r="AC309" s="62" t="s">
        <v>4862</v>
      </c>
      <c r="AD309" s="53" t="str">
        <f t="shared" si="236"/>
        <v>Link</v>
      </c>
      <c r="AE309" s="54">
        <v>2535</v>
      </c>
      <c r="AF309" s="55"/>
      <c r="AG309" s="7"/>
      <c r="AH309" s="56">
        <v>155335</v>
      </c>
      <c r="AI309" s="7"/>
      <c r="AJ309" s="7"/>
      <c r="AK309" s="7"/>
      <c r="AL309" s="7"/>
    </row>
    <row r="310" spans="1:38" ht="13" x14ac:dyDescent="0.15">
      <c r="A310" s="57" t="s">
        <v>4757</v>
      </c>
      <c r="B310" s="110" t="s">
        <v>2730</v>
      </c>
      <c r="C310" s="7" t="s">
        <v>41</v>
      </c>
      <c r="D310" s="7" t="s">
        <v>4878</v>
      </c>
      <c r="E310" s="44">
        <v>5</v>
      </c>
      <c r="F310" s="7"/>
      <c r="G310" s="7"/>
      <c r="H310" s="2" t="s">
        <v>4879</v>
      </c>
      <c r="I310" s="7" t="s">
        <v>1092</v>
      </c>
      <c r="J310" s="7" t="s">
        <v>4880</v>
      </c>
      <c r="K310" s="7" t="s">
        <v>55</v>
      </c>
      <c r="L310" s="7" t="s">
        <v>4882</v>
      </c>
      <c r="M310" s="7" t="s">
        <v>4883</v>
      </c>
      <c r="N310" s="45" t="str">
        <f t="shared" ref="N310:N311" si="237">HYPERLINK("twitter.com/gorillassfb","@gorillassfb")</f>
        <v>@gorillassfb</v>
      </c>
      <c r="O310" s="45" t="str">
        <f t="shared" ref="O310:O311" si="238">HYPERLINK("https://pittstategorillas.com/sb_output.aspx?form=3&amp;path=baseball","Questionnaire")</f>
        <v>Questionnaire</v>
      </c>
      <c r="P310" s="48" t="s">
        <v>4889</v>
      </c>
      <c r="Q310" s="60" t="s">
        <v>528</v>
      </c>
      <c r="R310" s="48" t="s">
        <v>4890</v>
      </c>
      <c r="S310" s="48" t="s">
        <v>172</v>
      </c>
      <c r="T310" s="49" t="s">
        <v>74</v>
      </c>
      <c r="U310" s="49" t="s">
        <v>75</v>
      </c>
      <c r="V310" s="7"/>
      <c r="W310" s="44">
        <v>3.36</v>
      </c>
      <c r="X310" s="49" t="s">
        <v>214</v>
      </c>
      <c r="Y310" s="49" t="s">
        <v>214</v>
      </c>
      <c r="Z310" s="49" t="s">
        <v>125</v>
      </c>
      <c r="AA310" s="61">
        <v>0.87</v>
      </c>
      <c r="AB310" s="48" t="s">
        <v>4892</v>
      </c>
      <c r="AC310" s="90" t="s">
        <v>4889</v>
      </c>
      <c r="AD310" s="53" t="str">
        <f t="shared" ref="AD310:AD311" si="239">HYPERLINK("http://www.pittstate.edu/technology/students/majors-minors.dot?submit=search&amp;degree=all&amp;college=2258&amp;keyword=","Link")</f>
        <v>Link</v>
      </c>
      <c r="AE310" s="54">
        <v>5904</v>
      </c>
      <c r="AF310" s="55"/>
      <c r="AG310" s="7"/>
      <c r="AH310" s="56">
        <v>155681</v>
      </c>
      <c r="AI310" s="7"/>
      <c r="AJ310" s="7"/>
      <c r="AK310" s="7"/>
      <c r="AL310" s="7"/>
    </row>
    <row r="311" spans="1:38" ht="13" x14ac:dyDescent="0.15">
      <c r="A311" s="57" t="s">
        <v>4757</v>
      </c>
      <c r="B311" s="110" t="s">
        <v>2730</v>
      </c>
      <c r="C311" s="7" t="s">
        <v>41</v>
      </c>
      <c r="D311" s="7" t="s">
        <v>4900</v>
      </c>
      <c r="E311" s="44">
        <v>5</v>
      </c>
      <c r="F311" s="7"/>
      <c r="G311" s="7"/>
      <c r="H311" s="2" t="s">
        <v>4879</v>
      </c>
      <c r="I311" s="7" t="s">
        <v>981</v>
      </c>
      <c r="J311" s="7" t="s">
        <v>4901</v>
      </c>
      <c r="K311" s="7" t="s">
        <v>48</v>
      </c>
      <c r="L311" s="7" t="s">
        <v>4902</v>
      </c>
      <c r="M311" s="7" t="s">
        <v>4903</v>
      </c>
      <c r="N311" s="45" t="str">
        <f t="shared" si="237"/>
        <v>@gorillassfb</v>
      </c>
      <c r="O311" s="45" t="str">
        <f t="shared" si="238"/>
        <v>Questionnaire</v>
      </c>
      <c r="P311" s="48" t="s">
        <v>4889</v>
      </c>
      <c r="Q311" s="60" t="s">
        <v>528</v>
      </c>
      <c r="R311" s="48" t="s">
        <v>4890</v>
      </c>
      <c r="S311" s="48" t="s">
        <v>172</v>
      </c>
      <c r="T311" s="49" t="s">
        <v>74</v>
      </c>
      <c r="U311" s="49" t="s">
        <v>75</v>
      </c>
      <c r="V311" s="7"/>
      <c r="W311" s="44">
        <v>3.36</v>
      </c>
      <c r="X311" s="49" t="s">
        <v>214</v>
      </c>
      <c r="Y311" s="49" t="s">
        <v>214</v>
      </c>
      <c r="Z311" s="49" t="s">
        <v>125</v>
      </c>
      <c r="AA311" s="61">
        <v>0.87</v>
      </c>
      <c r="AB311" s="48" t="s">
        <v>4892</v>
      </c>
      <c r="AC311" s="90" t="s">
        <v>4889</v>
      </c>
      <c r="AD311" s="53" t="str">
        <f t="shared" si="239"/>
        <v>Link</v>
      </c>
      <c r="AE311" s="54">
        <v>5904</v>
      </c>
      <c r="AF311" s="55"/>
      <c r="AG311" s="7"/>
      <c r="AH311" s="56">
        <v>155681</v>
      </c>
      <c r="AI311" s="7"/>
      <c r="AJ311" s="7"/>
      <c r="AK311" s="7"/>
      <c r="AL311" s="7"/>
    </row>
    <row r="312" spans="1:38" ht="13" x14ac:dyDescent="0.15">
      <c r="A312" s="57" t="s">
        <v>4757</v>
      </c>
      <c r="B312" s="110" t="s">
        <v>2730</v>
      </c>
      <c r="C312" s="7" t="s">
        <v>41</v>
      </c>
      <c r="D312" s="7" t="s">
        <v>4909</v>
      </c>
      <c r="E312" s="44">
        <v>5</v>
      </c>
      <c r="F312" s="7"/>
      <c r="G312" s="7"/>
      <c r="H312" s="2" t="s">
        <v>4910</v>
      </c>
      <c r="I312" s="7" t="s">
        <v>4912</v>
      </c>
      <c r="J312" s="7" t="s">
        <v>3632</v>
      </c>
      <c r="K312" s="7" t="s">
        <v>55</v>
      </c>
      <c r="L312" s="7" t="s">
        <v>4913</v>
      </c>
      <c r="M312" s="7"/>
      <c r="N312" s="45" t="str">
        <f>HYPERLINK("twitter.com/ichabodsb","@ichabodsb")</f>
        <v>@ichabodsb</v>
      </c>
      <c r="O312" s="45" t="str">
        <f t="shared" ref="O312:O315" si="240">HYPERLINK("https://wusports.com/sb_output.aspx?form=15&amp;","Questionnaire")</f>
        <v>Questionnaire</v>
      </c>
      <c r="P312" s="48" t="s">
        <v>4921</v>
      </c>
      <c r="Q312" s="47" t="s">
        <v>528</v>
      </c>
      <c r="R312" s="48" t="s">
        <v>4922</v>
      </c>
      <c r="S312" s="48" t="s">
        <v>238</v>
      </c>
      <c r="T312" s="49" t="s">
        <v>74</v>
      </c>
      <c r="U312" s="49" t="s">
        <v>75</v>
      </c>
      <c r="V312" s="7"/>
      <c r="W312" s="44">
        <v>3.4</v>
      </c>
      <c r="X312" s="49" t="s">
        <v>214</v>
      </c>
      <c r="Y312" s="49" t="s">
        <v>214</v>
      </c>
      <c r="Z312" s="49" t="s">
        <v>214</v>
      </c>
      <c r="AA312" s="55" t="s">
        <v>214</v>
      </c>
      <c r="AB312" s="48" t="s">
        <v>4925</v>
      </c>
      <c r="AC312" s="62" t="s">
        <v>4921</v>
      </c>
      <c r="AD312" s="53" t="str">
        <f t="shared" ref="AD312:AD315" si="241">HYPERLINK("http://www.washburn.edu/academics/degrees.html","Link")</f>
        <v>Link</v>
      </c>
      <c r="AE312" s="54">
        <v>5780</v>
      </c>
      <c r="AF312" s="55"/>
      <c r="AG312" s="7"/>
      <c r="AH312" s="56">
        <v>156082</v>
      </c>
      <c r="AI312" s="7"/>
      <c r="AJ312" s="7"/>
      <c r="AK312" s="7"/>
      <c r="AL312" s="7"/>
    </row>
    <row r="313" spans="1:38" ht="13" x14ac:dyDescent="0.15">
      <c r="A313" s="57" t="s">
        <v>4757</v>
      </c>
      <c r="B313" s="110" t="s">
        <v>2730</v>
      </c>
      <c r="C313" s="7" t="s">
        <v>41</v>
      </c>
      <c r="D313" s="7" t="s">
        <v>4927</v>
      </c>
      <c r="E313" s="44">
        <v>5</v>
      </c>
      <c r="F313" s="7"/>
      <c r="G313" s="7"/>
      <c r="H313" s="2" t="s">
        <v>4910</v>
      </c>
      <c r="I313" s="7" t="s">
        <v>1124</v>
      </c>
      <c r="J313" s="7" t="s">
        <v>4930</v>
      </c>
      <c r="K313" s="7" t="s">
        <v>55</v>
      </c>
      <c r="L313" s="7" t="s">
        <v>4931</v>
      </c>
      <c r="M313" s="7"/>
      <c r="N313" s="45" t="s">
        <v>4932</v>
      </c>
      <c r="O313" s="45" t="str">
        <f t="shared" si="240"/>
        <v>Questionnaire</v>
      </c>
      <c r="P313" s="48" t="s">
        <v>4921</v>
      </c>
      <c r="Q313" s="47" t="s">
        <v>528</v>
      </c>
      <c r="R313" s="48" t="s">
        <v>4922</v>
      </c>
      <c r="S313" s="48" t="s">
        <v>238</v>
      </c>
      <c r="T313" s="49" t="s">
        <v>74</v>
      </c>
      <c r="U313" s="49" t="s">
        <v>75</v>
      </c>
      <c r="V313" s="7"/>
      <c r="W313" s="44">
        <v>3.4</v>
      </c>
      <c r="X313" s="49" t="s">
        <v>214</v>
      </c>
      <c r="Y313" s="49" t="s">
        <v>214</v>
      </c>
      <c r="Z313" s="49" t="s">
        <v>214</v>
      </c>
      <c r="AA313" s="55" t="s">
        <v>214</v>
      </c>
      <c r="AB313" s="48" t="s">
        <v>4925</v>
      </c>
      <c r="AC313" s="62" t="s">
        <v>4921</v>
      </c>
      <c r="AD313" s="53" t="str">
        <f t="shared" si="241"/>
        <v>Link</v>
      </c>
      <c r="AE313" s="54">
        <v>5780</v>
      </c>
      <c r="AF313" s="55"/>
      <c r="AG313" s="7"/>
      <c r="AH313" s="56">
        <v>156082</v>
      </c>
      <c r="AI313" s="7"/>
      <c r="AJ313" s="7"/>
      <c r="AK313" s="7"/>
      <c r="AL313" s="7"/>
    </row>
    <row r="314" spans="1:38" ht="13" x14ac:dyDescent="0.15">
      <c r="A314" s="57" t="s">
        <v>4757</v>
      </c>
      <c r="B314" s="110" t="s">
        <v>2730</v>
      </c>
      <c r="C314" s="7" t="s">
        <v>41</v>
      </c>
      <c r="D314" s="7" t="s">
        <v>4934</v>
      </c>
      <c r="E314" s="44">
        <v>5</v>
      </c>
      <c r="F314" s="7"/>
      <c r="G314" s="7"/>
      <c r="H314" s="2" t="s">
        <v>4910</v>
      </c>
      <c r="I314" s="7" t="s">
        <v>4935</v>
      </c>
      <c r="J314" s="7" t="s">
        <v>4936</v>
      </c>
      <c r="K314" s="7" t="s">
        <v>48</v>
      </c>
      <c r="L314" s="7" t="s">
        <v>4938</v>
      </c>
      <c r="M314" s="7" t="s">
        <v>4940</v>
      </c>
      <c r="N314" s="45" t="s">
        <v>4942</v>
      </c>
      <c r="O314" s="45" t="str">
        <f t="shared" si="240"/>
        <v>Questionnaire</v>
      </c>
      <c r="P314" s="48" t="s">
        <v>4921</v>
      </c>
      <c r="Q314" s="47" t="s">
        <v>528</v>
      </c>
      <c r="R314" s="48" t="s">
        <v>4922</v>
      </c>
      <c r="S314" s="48" t="s">
        <v>238</v>
      </c>
      <c r="T314" s="49" t="s">
        <v>74</v>
      </c>
      <c r="U314" s="49" t="s">
        <v>75</v>
      </c>
      <c r="V314" s="7"/>
      <c r="W314" s="44">
        <v>3.4</v>
      </c>
      <c r="X314" s="49" t="s">
        <v>214</v>
      </c>
      <c r="Y314" s="49" t="s">
        <v>214</v>
      </c>
      <c r="Z314" s="49" t="s">
        <v>214</v>
      </c>
      <c r="AA314" s="55" t="s">
        <v>214</v>
      </c>
      <c r="AB314" s="48" t="s">
        <v>4925</v>
      </c>
      <c r="AC314" s="62" t="s">
        <v>4921</v>
      </c>
      <c r="AD314" s="53" t="str">
        <f t="shared" si="241"/>
        <v>Link</v>
      </c>
      <c r="AE314" s="54">
        <v>5780</v>
      </c>
      <c r="AF314" s="55"/>
      <c r="AG314" s="7"/>
      <c r="AH314" s="56">
        <v>156082</v>
      </c>
      <c r="AI314" s="7"/>
      <c r="AJ314" s="7"/>
      <c r="AK314" s="7"/>
      <c r="AL314" s="7"/>
    </row>
    <row r="315" spans="1:38" ht="13" x14ac:dyDescent="0.15">
      <c r="A315" s="57" t="s">
        <v>4757</v>
      </c>
      <c r="B315" s="110" t="s">
        <v>2730</v>
      </c>
      <c r="C315" s="7" t="s">
        <v>41</v>
      </c>
      <c r="D315" s="7" t="s">
        <v>4952</v>
      </c>
      <c r="E315" s="44">
        <v>5</v>
      </c>
      <c r="F315" s="7" t="s">
        <v>116</v>
      </c>
      <c r="G315" s="7"/>
      <c r="H315" s="2" t="s">
        <v>4910</v>
      </c>
      <c r="I315" s="7" t="s">
        <v>1124</v>
      </c>
      <c r="J315" s="7" t="s">
        <v>4954</v>
      </c>
      <c r="K315" s="7" t="s">
        <v>55</v>
      </c>
      <c r="L315" s="7" t="s">
        <v>4955</v>
      </c>
      <c r="M315" s="7" t="s">
        <v>4956</v>
      </c>
      <c r="N315" s="7" t="s">
        <v>4957</v>
      </c>
      <c r="O315" s="45" t="str">
        <f t="shared" si="240"/>
        <v>Questionnaire</v>
      </c>
      <c r="P315" s="48" t="s">
        <v>4921</v>
      </c>
      <c r="Q315" s="47" t="s">
        <v>528</v>
      </c>
      <c r="R315" s="48" t="s">
        <v>4922</v>
      </c>
      <c r="S315" s="48" t="s">
        <v>238</v>
      </c>
      <c r="T315" s="49" t="s">
        <v>74</v>
      </c>
      <c r="U315" s="49" t="s">
        <v>75</v>
      </c>
      <c r="V315" s="7"/>
      <c r="W315" s="44">
        <v>3.4</v>
      </c>
      <c r="X315" s="49" t="s">
        <v>214</v>
      </c>
      <c r="Y315" s="49" t="s">
        <v>214</v>
      </c>
      <c r="Z315" s="49" t="s">
        <v>214</v>
      </c>
      <c r="AA315" s="55" t="s">
        <v>214</v>
      </c>
      <c r="AB315" s="48" t="s">
        <v>4925</v>
      </c>
      <c r="AC315" s="62" t="s">
        <v>4921</v>
      </c>
      <c r="AD315" s="53" t="str">
        <f t="shared" si="241"/>
        <v>Link</v>
      </c>
      <c r="AE315" s="54">
        <v>5780</v>
      </c>
      <c r="AF315" s="55"/>
      <c r="AG315" s="7"/>
      <c r="AH315" s="111">
        <v>156082</v>
      </c>
      <c r="AI315" s="57"/>
      <c r="AJ315" s="57"/>
      <c r="AK315" s="57"/>
      <c r="AL315" s="57"/>
    </row>
    <row r="316" spans="1:38" ht="15" x14ac:dyDescent="0.2">
      <c r="A316" s="57" t="s">
        <v>4332</v>
      </c>
      <c r="B316" s="110" t="s">
        <v>3417</v>
      </c>
      <c r="C316" s="7" t="s">
        <v>41</v>
      </c>
      <c r="D316" s="7" t="s">
        <v>4967</v>
      </c>
      <c r="E316" s="44">
        <v>5</v>
      </c>
      <c r="F316" s="7"/>
      <c r="G316" s="7"/>
      <c r="H316" s="2" t="s">
        <v>4968</v>
      </c>
      <c r="I316" s="7" t="s">
        <v>442</v>
      </c>
      <c r="J316" s="7" t="s">
        <v>4969</v>
      </c>
      <c r="K316" s="7" t="s">
        <v>919</v>
      </c>
      <c r="L316" s="7" t="s">
        <v>4970</v>
      </c>
      <c r="M316" s="7" t="s">
        <v>4971</v>
      </c>
      <c r="N316" s="7"/>
      <c r="O316" s="7"/>
      <c r="P316" s="48" t="s">
        <v>4972</v>
      </c>
      <c r="Q316" s="47" t="s">
        <v>935</v>
      </c>
      <c r="R316" s="48" t="s">
        <v>953</v>
      </c>
      <c r="S316" s="48" t="s">
        <v>354</v>
      </c>
      <c r="T316" s="49" t="s">
        <v>63</v>
      </c>
      <c r="U316" s="49" t="s">
        <v>343</v>
      </c>
      <c r="V316" s="7"/>
      <c r="W316" s="44">
        <v>3.52</v>
      </c>
      <c r="X316" s="49" t="s">
        <v>675</v>
      </c>
      <c r="Y316" s="49" t="s">
        <v>77</v>
      </c>
      <c r="Z316" s="49" t="s">
        <v>320</v>
      </c>
      <c r="AA316" s="51">
        <v>0.82450000000000001</v>
      </c>
      <c r="AB316" s="71">
        <v>57794</v>
      </c>
      <c r="AC316" s="52" t="s">
        <v>4972</v>
      </c>
      <c r="AD316" s="53" t="str">
        <f t="shared" ref="AD316:AD323" si="242">HYPERLINK("https://www.bellarmine.edu/programs/","Link")</f>
        <v>Link</v>
      </c>
      <c r="AE316" s="54">
        <v>2647</v>
      </c>
      <c r="AF316" s="55"/>
      <c r="AG316" s="55"/>
      <c r="AH316" s="56">
        <v>156286</v>
      </c>
      <c r="AI316" s="85"/>
      <c r="AJ316" s="7"/>
      <c r="AK316" s="7"/>
      <c r="AL316" s="7"/>
    </row>
    <row r="317" spans="1:38" ht="15" x14ac:dyDescent="0.2">
      <c r="A317" s="57" t="s">
        <v>4332</v>
      </c>
      <c r="B317" s="110" t="s">
        <v>3417</v>
      </c>
      <c r="C317" s="7" t="s">
        <v>41</v>
      </c>
      <c r="D317" s="7" t="s">
        <v>4979</v>
      </c>
      <c r="E317" s="44">
        <v>5</v>
      </c>
      <c r="F317" s="7"/>
      <c r="G317" s="7"/>
      <c r="H317" s="2" t="s">
        <v>4968</v>
      </c>
      <c r="I317" s="7" t="s">
        <v>442</v>
      </c>
      <c r="J317" s="7" t="s">
        <v>4969</v>
      </c>
      <c r="K317" s="7" t="s">
        <v>919</v>
      </c>
      <c r="L317" s="7" t="s">
        <v>4970</v>
      </c>
      <c r="M317" s="7" t="s">
        <v>4971</v>
      </c>
      <c r="N317" s="7"/>
      <c r="O317" s="7"/>
      <c r="P317" s="48" t="s">
        <v>4972</v>
      </c>
      <c r="Q317" s="47" t="s">
        <v>935</v>
      </c>
      <c r="R317" s="48" t="s">
        <v>953</v>
      </c>
      <c r="S317" s="48" t="s">
        <v>354</v>
      </c>
      <c r="T317" s="49" t="s">
        <v>63</v>
      </c>
      <c r="U317" s="49" t="s">
        <v>343</v>
      </c>
      <c r="V317" s="7"/>
      <c r="W317" s="44">
        <v>3.52</v>
      </c>
      <c r="X317" s="49" t="s">
        <v>675</v>
      </c>
      <c r="Y317" s="49" t="s">
        <v>77</v>
      </c>
      <c r="Z317" s="49" t="s">
        <v>320</v>
      </c>
      <c r="AA317" s="51">
        <v>0.82450000000000001</v>
      </c>
      <c r="AB317" s="71">
        <v>57794</v>
      </c>
      <c r="AC317" s="52" t="s">
        <v>4972</v>
      </c>
      <c r="AD317" s="53" t="str">
        <f t="shared" si="242"/>
        <v>Link</v>
      </c>
      <c r="AE317" s="54">
        <v>2647</v>
      </c>
      <c r="AF317" s="55"/>
      <c r="AG317" s="55"/>
      <c r="AH317" s="56">
        <v>156286</v>
      </c>
      <c r="AI317" s="85"/>
      <c r="AJ317" s="7"/>
      <c r="AK317" s="7"/>
      <c r="AL317" s="7"/>
    </row>
    <row r="318" spans="1:38" ht="15" x14ac:dyDescent="0.2">
      <c r="A318" s="57" t="s">
        <v>4332</v>
      </c>
      <c r="B318" s="110" t="s">
        <v>3417</v>
      </c>
      <c r="C318" s="7" t="s">
        <v>41</v>
      </c>
      <c r="D318" s="7" t="s">
        <v>4986</v>
      </c>
      <c r="E318" s="44">
        <v>5</v>
      </c>
      <c r="F318" s="7"/>
      <c r="G318" s="7"/>
      <c r="H318" s="2" t="s">
        <v>4968</v>
      </c>
      <c r="I318" s="7" t="s">
        <v>767</v>
      </c>
      <c r="J318" s="7" t="s">
        <v>4987</v>
      </c>
      <c r="K318" s="7" t="s">
        <v>55</v>
      </c>
      <c r="L318" s="7" t="s">
        <v>4988</v>
      </c>
      <c r="M318" s="7" t="s">
        <v>4971</v>
      </c>
      <c r="N318" s="45" t="str">
        <f t="shared" ref="N318:N323" si="243">HYPERLINK("twitter.com/BUKnightsSB","@BUKnightsSB")</f>
        <v>@BUKnightsSB</v>
      </c>
      <c r="O318" s="45" t="str">
        <f t="shared" ref="O318:O323" si="244">HYPERLINK("https://questionnaire.acsathletics.com/Questionnaire/Questionnaire.aspx?mBvsWBrsfL9uPNO1MaFOCkVM%2fvtLqeIZhs%2fWy1chYVvdnr4X4SG1K8MYwNpHdhrc","Questionnaire")</f>
        <v>Questionnaire</v>
      </c>
      <c r="P318" s="48" t="s">
        <v>4972</v>
      </c>
      <c r="Q318" s="47" t="s">
        <v>935</v>
      </c>
      <c r="R318" s="48" t="s">
        <v>953</v>
      </c>
      <c r="S318" s="48" t="s">
        <v>354</v>
      </c>
      <c r="T318" s="49" t="s">
        <v>63</v>
      </c>
      <c r="U318" s="49" t="s">
        <v>343</v>
      </c>
      <c r="V318" s="7"/>
      <c r="W318" s="44">
        <v>3.52</v>
      </c>
      <c r="X318" s="49" t="s">
        <v>675</v>
      </c>
      <c r="Y318" s="49" t="s">
        <v>77</v>
      </c>
      <c r="Z318" s="49" t="s">
        <v>320</v>
      </c>
      <c r="AA318" s="51">
        <v>0.82450000000000001</v>
      </c>
      <c r="AB318" s="71">
        <v>57794</v>
      </c>
      <c r="AC318" s="52" t="s">
        <v>4972</v>
      </c>
      <c r="AD318" s="53" t="str">
        <f t="shared" si="242"/>
        <v>Link</v>
      </c>
      <c r="AE318" s="54">
        <v>2647</v>
      </c>
      <c r="AF318" s="55"/>
      <c r="AG318" s="7"/>
      <c r="AH318" s="56">
        <v>156286</v>
      </c>
      <c r="AI318" s="7"/>
      <c r="AJ318" s="7"/>
      <c r="AK318" s="7"/>
      <c r="AL318" s="7"/>
    </row>
    <row r="319" spans="1:38" ht="15" x14ac:dyDescent="0.2">
      <c r="A319" s="57" t="s">
        <v>4332</v>
      </c>
      <c r="B319" s="110" t="s">
        <v>3417</v>
      </c>
      <c r="C319" s="7" t="s">
        <v>41</v>
      </c>
      <c r="D319" s="7" t="s">
        <v>5003</v>
      </c>
      <c r="E319" s="44">
        <v>5</v>
      </c>
      <c r="F319" s="7"/>
      <c r="G319" s="7"/>
      <c r="H319" s="2" t="s">
        <v>4968</v>
      </c>
      <c r="I319" s="7" t="s">
        <v>767</v>
      </c>
      <c r="J319" s="7" t="s">
        <v>4987</v>
      </c>
      <c r="K319" s="7" t="s">
        <v>55</v>
      </c>
      <c r="L319" s="7" t="s">
        <v>4988</v>
      </c>
      <c r="M319" s="7" t="s">
        <v>4971</v>
      </c>
      <c r="N319" s="45" t="str">
        <f t="shared" si="243"/>
        <v>@BUKnightsSB</v>
      </c>
      <c r="O319" s="45" t="str">
        <f t="shared" si="244"/>
        <v>Questionnaire</v>
      </c>
      <c r="P319" s="48" t="s">
        <v>4972</v>
      </c>
      <c r="Q319" s="47" t="s">
        <v>935</v>
      </c>
      <c r="R319" s="48" t="s">
        <v>953</v>
      </c>
      <c r="S319" s="48" t="s">
        <v>354</v>
      </c>
      <c r="T319" s="49" t="s">
        <v>63</v>
      </c>
      <c r="U319" s="49" t="s">
        <v>343</v>
      </c>
      <c r="V319" s="7"/>
      <c r="W319" s="44">
        <v>3.52</v>
      </c>
      <c r="X319" s="49" t="s">
        <v>675</v>
      </c>
      <c r="Y319" s="49" t="s">
        <v>77</v>
      </c>
      <c r="Z319" s="49" t="s">
        <v>320</v>
      </c>
      <c r="AA319" s="51">
        <v>0.82450000000000001</v>
      </c>
      <c r="AB319" s="71">
        <v>57794</v>
      </c>
      <c r="AC319" s="52" t="s">
        <v>4972</v>
      </c>
      <c r="AD319" s="53" t="str">
        <f t="shared" si="242"/>
        <v>Link</v>
      </c>
      <c r="AE319" s="54">
        <v>2647</v>
      </c>
      <c r="AF319" s="55"/>
      <c r="AG319" s="7"/>
      <c r="AH319" s="56">
        <v>156286</v>
      </c>
      <c r="AI319" s="7"/>
      <c r="AJ319" s="7"/>
      <c r="AK319" s="7"/>
      <c r="AL319" s="7"/>
    </row>
    <row r="320" spans="1:38" ht="15" x14ac:dyDescent="0.2">
      <c r="A320" s="57" t="s">
        <v>4332</v>
      </c>
      <c r="B320" s="110" t="s">
        <v>3417</v>
      </c>
      <c r="C320" s="7" t="s">
        <v>41</v>
      </c>
      <c r="D320" s="7" t="s">
        <v>5009</v>
      </c>
      <c r="E320" s="44">
        <v>5</v>
      </c>
      <c r="F320" s="7"/>
      <c r="G320" s="7"/>
      <c r="H320" s="2" t="s">
        <v>4968</v>
      </c>
      <c r="I320" s="7" t="s">
        <v>4393</v>
      </c>
      <c r="J320" s="7" t="s">
        <v>5010</v>
      </c>
      <c r="K320" s="7" t="s">
        <v>48</v>
      </c>
      <c r="L320" s="7" t="s">
        <v>5011</v>
      </c>
      <c r="M320" s="7" t="s">
        <v>4971</v>
      </c>
      <c r="N320" s="45" t="str">
        <f t="shared" si="243"/>
        <v>@BUKnightsSB</v>
      </c>
      <c r="O320" s="45" t="str">
        <f t="shared" si="244"/>
        <v>Questionnaire</v>
      </c>
      <c r="P320" s="48" t="s">
        <v>4972</v>
      </c>
      <c r="Q320" s="47" t="s">
        <v>935</v>
      </c>
      <c r="R320" s="48" t="s">
        <v>953</v>
      </c>
      <c r="S320" s="48" t="s">
        <v>354</v>
      </c>
      <c r="T320" s="49" t="s">
        <v>63</v>
      </c>
      <c r="U320" s="49" t="s">
        <v>343</v>
      </c>
      <c r="V320" s="7"/>
      <c r="W320" s="44">
        <v>3.52</v>
      </c>
      <c r="X320" s="49" t="s">
        <v>675</v>
      </c>
      <c r="Y320" s="49" t="s">
        <v>77</v>
      </c>
      <c r="Z320" s="49" t="s">
        <v>320</v>
      </c>
      <c r="AA320" s="51">
        <v>0.82450000000000001</v>
      </c>
      <c r="AB320" s="71">
        <v>57794</v>
      </c>
      <c r="AC320" s="52" t="s">
        <v>4972</v>
      </c>
      <c r="AD320" s="53" t="str">
        <f t="shared" si="242"/>
        <v>Link</v>
      </c>
      <c r="AE320" s="54">
        <v>2647</v>
      </c>
      <c r="AF320" s="55"/>
      <c r="AG320" s="7"/>
      <c r="AH320" s="56">
        <v>156286</v>
      </c>
      <c r="AI320" s="7"/>
      <c r="AJ320" s="7"/>
      <c r="AK320" s="7"/>
      <c r="AL320" s="7"/>
    </row>
    <row r="321" spans="1:38" ht="15" x14ac:dyDescent="0.2">
      <c r="A321" s="57" t="s">
        <v>4332</v>
      </c>
      <c r="B321" s="110" t="s">
        <v>3417</v>
      </c>
      <c r="C321" s="7" t="s">
        <v>41</v>
      </c>
      <c r="D321" s="7" t="s">
        <v>5021</v>
      </c>
      <c r="E321" s="44">
        <v>5</v>
      </c>
      <c r="F321" s="7"/>
      <c r="G321" s="7"/>
      <c r="H321" s="2" t="s">
        <v>4968</v>
      </c>
      <c r="I321" s="7" t="s">
        <v>4393</v>
      </c>
      <c r="J321" s="7" t="s">
        <v>5010</v>
      </c>
      <c r="K321" s="7" t="s">
        <v>48</v>
      </c>
      <c r="L321" s="7" t="s">
        <v>5011</v>
      </c>
      <c r="M321" s="7" t="s">
        <v>4971</v>
      </c>
      <c r="N321" s="45" t="str">
        <f t="shared" si="243"/>
        <v>@BUKnightsSB</v>
      </c>
      <c r="O321" s="45" t="str">
        <f t="shared" si="244"/>
        <v>Questionnaire</v>
      </c>
      <c r="P321" s="48" t="s">
        <v>4972</v>
      </c>
      <c r="Q321" s="47" t="s">
        <v>935</v>
      </c>
      <c r="R321" s="48" t="s">
        <v>953</v>
      </c>
      <c r="S321" s="48" t="s">
        <v>354</v>
      </c>
      <c r="T321" s="49" t="s">
        <v>63</v>
      </c>
      <c r="U321" s="49" t="s">
        <v>343</v>
      </c>
      <c r="V321" s="7"/>
      <c r="W321" s="44">
        <v>3.52</v>
      </c>
      <c r="X321" s="49" t="s">
        <v>675</v>
      </c>
      <c r="Y321" s="49" t="s">
        <v>77</v>
      </c>
      <c r="Z321" s="49" t="s">
        <v>320</v>
      </c>
      <c r="AA321" s="51">
        <v>0.82450000000000001</v>
      </c>
      <c r="AB321" s="71">
        <v>57794</v>
      </c>
      <c r="AC321" s="52" t="s">
        <v>4972</v>
      </c>
      <c r="AD321" s="53" t="str">
        <f t="shared" si="242"/>
        <v>Link</v>
      </c>
      <c r="AE321" s="54">
        <v>2647</v>
      </c>
      <c r="AF321" s="55"/>
      <c r="AG321" s="7"/>
      <c r="AH321" s="56">
        <v>156286</v>
      </c>
      <c r="AI321" s="7"/>
      <c r="AJ321" s="7"/>
      <c r="AK321" s="7"/>
      <c r="AL321" s="7"/>
    </row>
    <row r="322" spans="1:38" ht="15" x14ac:dyDescent="0.2">
      <c r="A322" s="57" t="s">
        <v>4332</v>
      </c>
      <c r="B322" s="110" t="s">
        <v>3417</v>
      </c>
      <c r="C322" s="7" t="s">
        <v>41</v>
      </c>
      <c r="D322" s="7" t="s">
        <v>5031</v>
      </c>
      <c r="E322" s="44">
        <v>5</v>
      </c>
      <c r="F322" s="7" t="s">
        <v>116</v>
      </c>
      <c r="G322" s="7"/>
      <c r="H322" s="2" t="s">
        <v>4968</v>
      </c>
      <c r="I322" s="7" t="s">
        <v>5032</v>
      </c>
      <c r="J322" s="7" t="s">
        <v>5033</v>
      </c>
      <c r="K322" s="7" t="s">
        <v>55</v>
      </c>
      <c r="L322" s="7" t="s">
        <v>5034</v>
      </c>
      <c r="M322" s="7" t="s">
        <v>5035</v>
      </c>
      <c r="N322" s="45" t="str">
        <f t="shared" si="243"/>
        <v>@BUKnightsSB</v>
      </c>
      <c r="O322" s="45" t="str">
        <f t="shared" si="244"/>
        <v>Questionnaire</v>
      </c>
      <c r="P322" s="48" t="s">
        <v>4972</v>
      </c>
      <c r="Q322" s="47" t="s">
        <v>935</v>
      </c>
      <c r="R322" s="48" t="s">
        <v>953</v>
      </c>
      <c r="S322" s="48" t="s">
        <v>354</v>
      </c>
      <c r="T322" s="49" t="s">
        <v>63</v>
      </c>
      <c r="U322" s="49" t="s">
        <v>343</v>
      </c>
      <c r="V322" s="7"/>
      <c r="W322" s="44">
        <v>3.52</v>
      </c>
      <c r="X322" s="49" t="s">
        <v>675</v>
      </c>
      <c r="Y322" s="49" t="s">
        <v>77</v>
      </c>
      <c r="Z322" s="49" t="s">
        <v>320</v>
      </c>
      <c r="AA322" s="51">
        <v>0.82450000000000001</v>
      </c>
      <c r="AB322" s="71">
        <v>57794</v>
      </c>
      <c r="AC322" s="52" t="s">
        <v>4972</v>
      </c>
      <c r="AD322" s="53" t="str">
        <f t="shared" si="242"/>
        <v>Link</v>
      </c>
      <c r="AE322" s="54">
        <v>2647</v>
      </c>
      <c r="AF322" s="55"/>
      <c r="AG322" s="7"/>
      <c r="AH322" s="111">
        <v>156286</v>
      </c>
      <c r="AI322" s="57"/>
      <c r="AJ322" s="57"/>
      <c r="AK322" s="57"/>
      <c r="AL322" s="57"/>
    </row>
    <row r="323" spans="1:38" ht="15" x14ac:dyDescent="0.2">
      <c r="A323" s="57" t="s">
        <v>4332</v>
      </c>
      <c r="B323" s="110" t="s">
        <v>3417</v>
      </c>
      <c r="C323" s="7" t="s">
        <v>41</v>
      </c>
      <c r="D323" s="7" t="s">
        <v>5044</v>
      </c>
      <c r="E323" s="44">
        <v>5</v>
      </c>
      <c r="F323" s="7" t="s">
        <v>116</v>
      </c>
      <c r="G323" s="7"/>
      <c r="H323" s="2" t="s">
        <v>4968</v>
      </c>
      <c r="I323" s="7" t="s">
        <v>5032</v>
      </c>
      <c r="J323" s="7" t="s">
        <v>5033</v>
      </c>
      <c r="K323" s="7" t="s">
        <v>55</v>
      </c>
      <c r="L323" s="7" t="s">
        <v>5034</v>
      </c>
      <c r="M323" s="7" t="s">
        <v>5035</v>
      </c>
      <c r="N323" s="45" t="str">
        <f t="shared" si="243"/>
        <v>@BUKnightsSB</v>
      </c>
      <c r="O323" s="45" t="str">
        <f t="shared" si="244"/>
        <v>Questionnaire</v>
      </c>
      <c r="P323" s="48" t="s">
        <v>4972</v>
      </c>
      <c r="Q323" s="47" t="s">
        <v>935</v>
      </c>
      <c r="R323" s="48" t="s">
        <v>953</v>
      </c>
      <c r="S323" s="48" t="s">
        <v>354</v>
      </c>
      <c r="T323" s="49" t="s">
        <v>63</v>
      </c>
      <c r="U323" s="49" t="s">
        <v>343</v>
      </c>
      <c r="V323" s="7"/>
      <c r="W323" s="44">
        <v>3.52</v>
      </c>
      <c r="X323" s="49" t="s">
        <v>675</v>
      </c>
      <c r="Y323" s="49" t="s">
        <v>77</v>
      </c>
      <c r="Z323" s="49" t="s">
        <v>320</v>
      </c>
      <c r="AA323" s="51">
        <v>0.82450000000000001</v>
      </c>
      <c r="AB323" s="71">
        <v>57794</v>
      </c>
      <c r="AC323" s="52" t="s">
        <v>4972</v>
      </c>
      <c r="AD323" s="53" t="str">
        <f t="shared" si="242"/>
        <v>Link</v>
      </c>
      <c r="AE323" s="54">
        <v>2647</v>
      </c>
      <c r="AF323" s="55"/>
      <c r="AG323" s="7"/>
      <c r="AH323" s="111">
        <v>156286</v>
      </c>
      <c r="AI323" s="57"/>
      <c r="AJ323" s="57"/>
      <c r="AK323" s="57"/>
      <c r="AL323" s="57"/>
    </row>
    <row r="324" spans="1:38" ht="15" x14ac:dyDescent="0.2">
      <c r="A324" s="36" t="s">
        <v>182</v>
      </c>
      <c r="B324" s="110" t="s">
        <v>3417</v>
      </c>
      <c r="C324" s="7" t="s">
        <v>41</v>
      </c>
      <c r="D324" s="7" t="s">
        <v>5056</v>
      </c>
      <c r="E324" s="44">
        <v>5</v>
      </c>
      <c r="F324" s="7"/>
      <c r="G324" s="7"/>
      <c r="H324" s="2" t="s">
        <v>5059</v>
      </c>
      <c r="I324" s="7" t="s">
        <v>5060</v>
      </c>
      <c r="J324" s="7" t="s">
        <v>5061</v>
      </c>
      <c r="K324" s="7" t="s">
        <v>55</v>
      </c>
      <c r="L324" s="7" t="s">
        <v>5063</v>
      </c>
      <c r="M324" s="7" t="s">
        <v>5064</v>
      </c>
      <c r="N324" s="45" t="str">
        <f t="shared" ref="N324:N325" si="245">HYPERLINK("twitter.com/kysusoftball","@kysusoftball")</f>
        <v>@kysusoftball</v>
      </c>
      <c r="O324" s="45" t="str">
        <f t="shared" ref="O324:O325" si="246">HYPERLINK("https://ksuthorobreds.com/sb_output.aspx?form=3","Questionnaire")</f>
        <v>Questionnaire</v>
      </c>
      <c r="P324" s="48" t="s">
        <v>5070</v>
      </c>
      <c r="Q324" s="47" t="s">
        <v>935</v>
      </c>
      <c r="R324" s="48" t="s">
        <v>5071</v>
      </c>
      <c r="S324" s="48" t="s">
        <v>468</v>
      </c>
      <c r="T324" s="49" t="s">
        <v>74</v>
      </c>
      <c r="U324" s="49" t="s">
        <v>75</v>
      </c>
      <c r="V324" s="7" t="s">
        <v>212</v>
      </c>
      <c r="W324" s="44">
        <v>3.03</v>
      </c>
      <c r="X324" s="49" t="s">
        <v>5073</v>
      </c>
      <c r="Y324" s="49" t="s">
        <v>5074</v>
      </c>
      <c r="Z324" s="49" t="s">
        <v>3230</v>
      </c>
      <c r="AA324" s="61">
        <v>0.49</v>
      </c>
      <c r="AB324" s="48" t="s">
        <v>5075</v>
      </c>
      <c r="AC324" s="52" t="s">
        <v>5070</v>
      </c>
      <c r="AD324" s="53" t="str">
        <f t="shared" ref="AD324:AD325" si="247">HYPERLINK("http://kysu.edu/academics/academic-programs-wd/","Link")</f>
        <v>Link</v>
      </c>
      <c r="AE324" s="54">
        <v>1568</v>
      </c>
      <c r="AF324" s="55"/>
      <c r="AG324" s="7"/>
      <c r="AH324" s="56">
        <v>157058</v>
      </c>
      <c r="AI324" s="7"/>
      <c r="AJ324" s="7"/>
      <c r="AK324" s="7"/>
      <c r="AL324" s="7"/>
    </row>
    <row r="325" spans="1:38" ht="15" x14ac:dyDescent="0.2">
      <c r="A325" s="36" t="s">
        <v>182</v>
      </c>
      <c r="B325" s="110" t="s">
        <v>3417</v>
      </c>
      <c r="C325" s="7" t="s">
        <v>41</v>
      </c>
      <c r="D325" s="7" t="s">
        <v>5082</v>
      </c>
      <c r="E325" s="44">
        <v>5</v>
      </c>
      <c r="F325" s="7"/>
      <c r="G325" s="7"/>
      <c r="H325" s="2" t="s">
        <v>5059</v>
      </c>
      <c r="I325" s="7" t="s">
        <v>728</v>
      </c>
      <c r="J325" s="7" t="s">
        <v>5083</v>
      </c>
      <c r="K325" s="7" t="s">
        <v>48</v>
      </c>
      <c r="L325" s="7" t="s">
        <v>5084</v>
      </c>
      <c r="M325" s="7" t="s">
        <v>5064</v>
      </c>
      <c r="N325" s="45" t="str">
        <f t="shared" si="245"/>
        <v>@kysusoftball</v>
      </c>
      <c r="O325" s="45" t="str">
        <f t="shared" si="246"/>
        <v>Questionnaire</v>
      </c>
      <c r="P325" s="48" t="s">
        <v>5070</v>
      </c>
      <c r="Q325" s="47" t="s">
        <v>935</v>
      </c>
      <c r="R325" s="48" t="s">
        <v>5071</v>
      </c>
      <c r="S325" s="48" t="s">
        <v>468</v>
      </c>
      <c r="T325" s="49" t="s">
        <v>74</v>
      </c>
      <c r="U325" s="49" t="s">
        <v>75</v>
      </c>
      <c r="V325" s="7" t="s">
        <v>212</v>
      </c>
      <c r="W325" s="44">
        <v>3.03</v>
      </c>
      <c r="X325" s="49" t="s">
        <v>5073</v>
      </c>
      <c r="Y325" s="49" t="s">
        <v>5074</v>
      </c>
      <c r="Z325" s="49" t="s">
        <v>3230</v>
      </c>
      <c r="AA325" s="61">
        <v>0.49</v>
      </c>
      <c r="AB325" s="48" t="s">
        <v>5075</v>
      </c>
      <c r="AC325" s="52" t="s">
        <v>5070</v>
      </c>
      <c r="AD325" s="53" t="str">
        <f t="shared" si="247"/>
        <v>Link</v>
      </c>
      <c r="AE325" s="54">
        <v>1568</v>
      </c>
      <c r="AF325" s="55"/>
      <c r="AG325" s="7"/>
      <c r="AH325" s="56">
        <v>157058</v>
      </c>
      <c r="AI325" s="7"/>
      <c r="AJ325" s="7"/>
      <c r="AK325" s="7"/>
      <c r="AL325" s="7"/>
    </row>
    <row r="326" spans="1:38" ht="15" x14ac:dyDescent="0.2">
      <c r="A326" s="57" t="s">
        <v>5090</v>
      </c>
      <c r="B326" s="110" t="s">
        <v>3417</v>
      </c>
      <c r="C326" s="7" t="s">
        <v>41</v>
      </c>
      <c r="D326" s="7" t="s">
        <v>5091</v>
      </c>
      <c r="E326" s="44">
        <v>5</v>
      </c>
      <c r="F326" s="7"/>
      <c r="G326" s="7" t="s">
        <v>126</v>
      </c>
      <c r="H326" s="2" t="s">
        <v>5092</v>
      </c>
      <c r="I326" s="7" t="s">
        <v>5093</v>
      </c>
      <c r="J326" s="7"/>
      <c r="K326" s="7"/>
      <c r="L326" s="7"/>
      <c r="M326" s="7"/>
      <c r="N326" s="45" t="str">
        <f t="shared" ref="N326:N327" si="248">HYPERLINK("twitter.com/kwc_softball","@kwc_softball")</f>
        <v>@kwc_softball</v>
      </c>
      <c r="O326" s="45" t="str">
        <f t="shared" ref="O326:O327" si="249">HYPERLINK("https://kwcpanthers.com/sports/2016/2/21/GEN_0221165205.aspx","Questionnaire")</f>
        <v>Questionnaire</v>
      </c>
      <c r="P326" s="48" t="s">
        <v>5105</v>
      </c>
      <c r="Q326" s="47" t="s">
        <v>935</v>
      </c>
      <c r="R326" s="48" t="s">
        <v>5106</v>
      </c>
      <c r="S326" s="48" t="s">
        <v>186</v>
      </c>
      <c r="T326" s="49" t="s">
        <v>63</v>
      </c>
      <c r="U326" s="49" t="s">
        <v>65</v>
      </c>
      <c r="V326" s="7"/>
      <c r="W326" s="44">
        <v>3.3</v>
      </c>
      <c r="X326" s="49" t="s">
        <v>2439</v>
      </c>
      <c r="Y326" s="49" t="s">
        <v>396</v>
      </c>
      <c r="Z326" s="49" t="s">
        <v>841</v>
      </c>
      <c r="AA326" s="61">
        <v>0.56999999999999995</v>
      </c>
      <c r="AB326" s="71">
        <v>36130</v>
      </c>
      <c r="AC326" s="52" t="s">
        <v>5105</v>
      </c>
      <c r="AD326" s="53" t="str">
        <f t="shared" ref="AD326:AD327" si="250">HYPERLINK("https://kwc.edu/academics/academic-programs/majors/","Link")</f>
        <v>Link</v>
      </c>
      <c r="AE326" s="54">
        <v>785</v>
      </c>
      <c r="AF326" s="55"/>
      <c r="AG326" s="7"/>
      <c r="AH326" s="56">
        <v>157076</v>
      </c>
      <c r="AI326" s="7"/>
      <c r="AJ326" s="7"/>
      <c r="AK326" s="7"/>
      <c r="AL326" s="7"/>
    </row>
    <row r="327" spans="1:38" ht="15" x14ac:dyDescent="0.2">
      <c r="A327" s="57" t="s">
        <v>5090</v>
      </c>
      <c r="B327" s="110" t="s">
        <v>3417</v>
      </c>
      <c r="C327" s="7" t="s">
        <v>41</v>
      </c>
      <c r="D327" s="7" t="s">
        <v>5111</v>
      </c>
      <c r="E327" s="44">
        <v>5</v>
      </c>
      <c r="F327" s="7"/>
      <c r="G327" s="7"/>
      <c r="H327" s="2" t="s">
        <v>5092</v>
      </c>
      <c r="I327" s="7" t="s">
        <v>5112</v>
      </c>
      <c r="J327" s="7" t="s">
        <v>5113</v>
      </c>
      <c r="K327" s="7" t="s">
        <v>48</v>
      </c>
      <c r="L327" s="7" t="s">
        <v>5115</v>
      </c>
      <c r="M327" s="7" t="s">
        <v>5116</v>
      </c>
      <c r="N327" s="45" t="str">
        <f t="shared" si="248"/>
        <v>@kwc_softball</v>
      </c>
      <c r="O327" s="45" t="str">
        <f t="shared" si="249"/>
        <v>Questionnaire</v>
      </c>
      <c r="P327" s="48" t="s">
        <v>5105</v>
      </c>
      <c r="Q327" s="47" t="s">
        <v>935</v>
      </c>
      <c r="R327" s="48" t="s">
        <v>5106</v>
      </c>
      <c r="S327" s="48" t="s">
        <v>186</v>
      </c>
      <c r="T327" s="49" t="s">
        <v>63</v>
      </c>
      <c r="U327" s="49" t="s">
        <v>65</v>
      </c>
      <c r="V327" s="7"/>
      <c r="W327" s="44">
        <v>3.3</v>
      </c>
      <c r="X327" s="49" t="s">
        <v>2439</v>
      </c>
      <c r="Y327" s="49" t="s">
        <v>396</v>
      </c>
      <c r="Z327" s="49" t="s">
        <v>841</v>
      </c>
      <c r="AA327" s="61">
        <v>0.56999999999999995</v>
      </c>
      <c r="AB327" s="71">
        <v>36130</v>
      </c>
      <c r="AC327" s="52" t="s">
        <v>5105</v>
      </c>
      <c r="AD327" s="53" t="str">
        <f t="shared" si="250"/>
        <v>Link</v>
      </c>
      <c r="AE327" s="54">
        <v>785</v>
      </c>
      <c r="AF327" s="55"/>
      <c r="AG327" s="7"/>
      <c r="AH327" s="56">
        <v>157076</v>
      </c>
      <c r="AI327" s="7"/>
      <c r="AJ327" s="7"/>
      <c r="AK327" s="7"/>
      <c r="AL327" s="7"/>
    </row>
    <row r="328" spans="1:38" ht="13" x14ac:dyDescent="0.15">
      <c r="A328" s="36" t="s">
        <v>5122</v>
      </c>
      <c r="B328" s="110" t="s">
        <v>4127</v>
      </c>
      <c r="C328" s="7" t="s">
        <v>41</v>
      </c>
      <c r="D328" s="7" t="s">
        <v>5123</v>
      </c>
      <c r="E328" s="44">
        <v>5</v>
      </c>
      <c r="F328" s="7" t="s">
        <v>116</v>
      </c>
      <c r="G328" s="7"/>
      <c r="H328" s="2" t="s">
        <v>5124</v>
      </c>
      <c r="I328" s="7" t="s">
        <v>767</v>
      </c>
      <c r="J328" s="7" t="s">
        <v>5125</v>
      </c>
      <c r="K328" s="7" t="s">
        <v>48</v>
      </c>
      <c r="L328" s="7" t="s">
        <v>5127</v>
      </c>
      <c r="M328" s="7" t="s">
        <v>5129</v>
      </c>
      <c r="N328" s="45" t="str">
        <f t="shared" ref="N328:N331" si="251">HYPERLINK("twitter.com/bsu_softball","@bsu_softball")</f>
        <v>@bsu_softball</v>
      </c>
      <c r="O328" s="45" t="str">
        <f t="shared" ref="O328:O331" si="252">HYPERLINK("https://bsubulldogs.com/sb_output.aspx?form=3","Questionnaire")</f>
        <v>Questionnaire</v>
      </c>
      <c r="P328" s="48" t="s">
        <v>5133</v>
      </c>
      <c r="Q328" s="60" t="s">
        <v>1668</v>
      </c>
      <c r="R328" s="48" t="s">
        <v>5135</v>
      </c>
      <c r="S328" s="48" t="s">
        <v>186</v>
      </c>
      <c r="T328" s="4" t="s">
        <v>74</v>
      </c>
      <c r="U328" s="7" t="s">
        <v>75</v>
      </c>
      <c r="V328" s="7" t="s">
        <v>212</v>
      </c>
      <c r="W328" s="37">
        <v>2.5299999999999998</v>
      </c>
      <c r="X328" s="49" t="s">
        <v>3614</v>
      </c>
      <c r="Y328" s="49" t="s">
        <v>5140</v>
      </c>
      <c r="Z328" s="49" t="s">
        <v>3784</v>
      </c>
      <c r="AA328" s="38">
        <v>0.41260000000000002</v>
      </c>
      <c r="AB328" s="48" t="s">
        <v>5141</v>
      </c>
      <c r="AC328" s="90" t="s">
        <v>5133</v>
      </c>
      <c r="AD328" s="53" t="str">
        <f t="shared" ref="AD328:AD331" si="253">HYPERLINK("https://www.bowiestate.edu/academics-research/majors/","Link")</f>
        <v>Link</v>
      </c>
      <c r="AE328" s="42">
        <v>4711</v>
      </c>
      <c r="AF328" s="55"/>
      <c r="AG328" s="7"/>
      <c r="AH328" s="56">
        <v>162007</v>
      </c>
      <c r="AI328" s="7"/>
      <c r="AJ328" s="7"/>
      <c r="AK328" s="7"/>
      <c r="AL328" s="7"/>
    </row>
    <row r="329" spans="1:38" ht="13" x14ac:dyDescent="0.15">
      <c r="A329" s="36" t="s">
        <v>5122</v>
      </c>
      <c r="B329" s="110" t="s">
        <v>4127</v>
      </c>
      <c r="C329" s="7" t="s">
        <v>41</v>
      </c>
      <c r="D329" s="7" t="s">
        <v>5123</v>
      </c>
      <c r="E329" s="44">
        <v>5</v>
      </c>
      <c r="F329" s="7" t="s">
        <v>116</v>
      </c>
      <c r="G329" s="7"/>
      <c r="H329" s="2" t="s">
        <v>5124</v>
      </c>
      <c r="I329" s="7" t="s">
        <v>767</v>
      </c>
      <c r="J329" s="7" t="s">
        <v>5125</v>
      </c>
      <c r="K329" s="7" t="s">
        <v>1048</v>
      </c>
      <c r="L329" s="7" t="s">
        <v>5151</v>
      </c>
      <c r="M329" s="7" t="s">
        <v>5129</v>
      </c>
      <c r="N329" s="45" t="str">
        <f t="shared" si="251"/>
        <v>@bsu_softball</v>
      </c>
      <c r="O329" s="45" t="str">
        <f t="shared" si="252"/>
        <v>Questionnaire</v>
      </c>
      <c r="P329" s="48" t="s">
        <v>5133</v>
      </c>
      <c r="Q329" s="60" t="s">
        <v>1668</v>
      </c>
      <c r="R329" s="48" t="s">
        <v>5135</v>
      </c>
      <c r="S329" s="48" t="s">
        <v>186</v>
      </c>
      <c r="T329" s="4" t="s">
        <v>74</v>
      </c>
      <c r="U329" s="49" t="s">
        <v>75</v>
      </c>
      <c r="V329" s="7" t="s">
        <v>212</v>
      </c>
      <c r="W329" s="37">
        <v>2.5299999999999998</v>
      </c>
      <c r="X329" s="49" t="s">
        <v>3614</v>
      </c>
      <c r="Y329" s="49" t="s">
        <v>5140</v>
      </c>
      <c r="Z329" s="49" t="s">
        <v>3784</v>
      </c>
      <c r="AA329" s="38">
        <v>0.41260000000000002</v>
      </c>
      <c r="AB329" s="48" t="s">
        <v>5141</v>
      </c>
      <c r="AC329" s="90" t="s">
        <v>5133</v>
      </c>
      <c r="AD329" s="53" t="str">
        <f t="shared" si="253"/>
        <v>Link</v>
      </c>
      <c r="AE329" s="42">
        <v>4711</v>
      </c>
      <c r="AF329" s="55"/>
      <c r="AG329" s="55"/>
      <c r="AH329" s="56">
        <v>162007</v>
      </c>
      <c r="AI329" s="85"/>
      <c r="AJ329" s="7"/>
      <c r="AK329" s="7"/>
      <c r="AL329" s="7"/>
    </row>
    <row r="330" spans="1:38" ht="13" x14ac:dyDescent="0.15">
      <c r="A330" s="36" t="s">
        <v>5122</v>
      </c>
      <c r="B330" s="110" t="s">
        <v>4127</v>
      </c>
      <c r="C330" s="7" t="s">
        <v>41</v>
      </c>
      <c r="D330" s="7" t="s">
        <v>5123</v>
      </c>
      <c r="E330" s="44">
        <v>5</v>
      </c>
      <c r="F330" s="7" t="s">
        <v>116</v>
      </c>
      <c r="G330" s="7"/>
      <c r="H330" s="2" t="s">
        <v>5124</v>
      </c>
      <c r="I330" s="7" t="s">
        <v>5159</v>
      </c>
      <c r="J330" s="7" t="s">
        <v>2919</v>
      </c>
      <c r="K330" s="7" t="s">
        <v>55</v>
      </c>
      <c r="L330" s="7"/>
      <c r="M330" s="7"/>
      <c r="N330" s="45" t="str">
        <f t="shared" si="251"/>
        <v>@bsu_softball</v>
      </c>
      <c r="O330" s="45" t="str">
        <f t="shared" si="252"/>
        <v>Questionnaire</v>
      </c>
      <c r="P330" s="48" t="s">
        <v>5133</v>
      </c>
      <c r="Q330" s="60" t="s">
        <v>1668</v>
      </c>
      <c r="R330" s="48" t="s">
        <v>5135</v>
      </c>
      <c r="S330" s="48" t="s">
        <v>186</v>
      </c>
      <c r="T330" s="4" t="s">
        <v>74</v>
      </c>
      <c r="U330" s="49" t="s">
        <v>75</v>
      </c>
      <c r="V330" s="7" t="s">
        <v>212</v>
      </c>
      <c r="W330" s="37">
        <v>2.5299999999999998</v>
      </c>
      <c r="X330" s="49" t="s">
        <v>3614</v>
      </c>
      <c r="Y330" s="49" t="s">
        <v>5140</v>
      </c>
      <c r="Z330" s="49" t="s">
        <v>3784</v>
      </c>
      <c r="AA330" s="38">
        <v>0.41260000000000002</v>
      </c>
      <c r="AB330" s="48" t="s">
        <v>5141</v>
      </c>
      <c r="AC330" s="90" t="s">
        <v>5133</v>
      </c>
      <c r="AD330" s="53" t="str">
        <f t="shared" si="253"/>
        <v>Link</v>
      </c>
      <c r="AE330" s="42">
        <v>4711</v>
      </c>
      <c r="AF330" s="55"/>
      <c r="AG330" s="55"/>
      <c r="AH330" s="56">
        <v>162007</v>
      </c>
      <c r="AI330" s="85"/>
      <c r="AJ330" s="7"/>
      <c r="AK330" s="7"/>
      <c r="AL330" s="7"/>
    </row>
    <row r="331" spans="1:38" ht="13" x14ac:dyDescent="0.15">
      <c r="A331" s="36" t="s">
        <v>5122</v>
      </c>
      <c r="B331" s="110" t="s">
        <v>4127</v>
      </c>
      <c r="C331" s="7" t="s">
        <v>41</v>
      </c>
      <c r="D331" s="7" t="s">
        <v>5123</v>
      </c>
      <c r="E331" s="44">
        <v>5</v>
      </c>
      <c r="F331" s="7" t="s">
        <v>116</v>
      </c>
      <c r="G331" s="7"/>
      <c r="H331" s="2" t="s">
        <v>5124</v>
      </c>
      <c r="I331" s="7" t="s">
        <v>442</v>
      </c>
      <c r="J331" s="7" t="s">
        <v>5125</v>
      </c>
      <c r="K331" s="7" t="s">
        <v>55</v>
      </c>
      <c r="L331" s="7"/>
      <c r="M331" s="7"/>
      <c r="N331" s="45" t="str">
        <f t="shared" si="251"/>
        <v>@bsu_softball</v>
      </c>
      <c r="O331" s="45" t="str">
        <f t="shared" si="252"/>
        <v>Questionnaire</v>
      </c>
      <c r="P331" s="48" t="s">
        <v>5133</v>
      </c>
      <c r="Q331" s="60" t="s">
        <v>1668</v>
      </c>
      <c r="R331" s="48" t="s">
        <v>5135</v>
      </c>
      <c r="S331" s="48" t="s">
        <v>186</v>
      </c>
      <c r="T331" s="4" t="s">
        <v>74</v>
      </c>
      <c r="U331" s="49" t="s">
        <v>75</v>
      </c>
      <c r="V331" s="7" t="s">
        <v>212</v>
      </c>
      <c r="W331" s="37">
        <v>2.5299999999999998</v>
      </c>
      <c r="X331" s="49" t="s">
        <v>3614</v>
      </c>
      <c r="Y331" s="49" t="s">
        <v>5140</v>
      </c>
      <c r="Z331" s="49" t="s">
        <v>3784</v>
      </c>
      <c r="AA331" s="38">
        <v>0.41260000000000002</v>
      </c>
      <c r="AB331" s="48" t="s">
        <v>5141</v>
      </c>
      <c r="AC331" s="90" t="s">
        <v>5133</v>
      </c>
      <c r="AD331" s="53" t="str">
        <f t="shared" si="253"/>
        <v>Link</v>
      </c>
      <c r="AE331" s="42">
        <v>4711</v>
      </c>
      <c r="AF331" s="55"/>
      <c r="AG331" s="55"/>
      <c r="AH331" s="56">
        <v>162007</v>
      </c>
      <c r="AI331" s="85"/>
      <c r="AJ331" s="7"/>
      <c r="AK331" s="7"/>
      <c r="AL331" s="7"/>
    </row>
    <row r="332" spans="1:38" ht="15" x14ac:dyDescent="0.2">
      <c r="A332" s="57" t="s">
        <v>2694</v>
      </c>
      <c r="B332" s="110" t="s">
        <v>4463</v>
      </c>
      <c r="C332" s="7" t="s">
        <v>41</v>
      </c>
      <c r="D332" s="7" t="s">
        <v>5170</v>
      </c>
      <c r="E332" s="44">
        <v>5</v>
      </c>
      <c r="F332" s="7"/>
      <c r="G332" s="7"/>
      <c r="H332" s="2" t="s">
        <v>5171</v>
      </c>
      <c r="I332" s="7" t="s">
        <v>537</v>
      </c>
      <c r="J332" s="7" t="s">
        <v>5172</v>
      </c>
      <c r="K332" s="7" t="s">
        <v>55</v>
      </c>
      <c r="L332" s="7" t="s">
        <v>5173</v>
      </c>
      <c r="M332" s="7"/>
      <c r="N332" s="7"/>
      <c r="O332" s="7"/>
      <c r="P332" s="48" t="s">
        <v>5175</v>
      </c>
      <c r="Q332" s="47" t="s">
        <v>595</v>
      </c>
      <c r="R332" s="48" t="s">
        <v>4357</v>
      </c>
      <c r="S332" s="48" t="s">
        <v>62</v>
      </c>
      <c r="T332" s="49" t="s">
        <v>63</v>
      </c>
      <c r="U332" s="49" t="s">
        <v>75</v>
      </c>
      <c r="V332" s="7"/>
      <c r="W332" s="44">
        <v>2.8</v>
      </c>
      <c r="X332" s="49" t="s">
        <v>5178</v>
      </c>
      <c r="Y332" s="49" t="s">
        <v>5179</v>
      </c>
      <c r="Z332" s="49" t="s">
        <v>3952</v>
      </c>
      <c r="AA332" s="51">
        <v>0.69299999999999995</v>
      </c>
      <c r="AB332" s="113">
        <v>49490</v>
      </c>
      <c r="AC332" s="52" t="s">
        <v>5175</v>
      </c>
      <c r="AD332" s="53" t="str">
        <f t="shared" ref="AD332:AD335" si="254">HYPERLINK("https://www.aic.edu/academics/academic-programs/program-directory/","Link")</f>
        <v>Link</v>
      </c>
      <c r="AE332" s="54">
        <v>1414</v>
      </c>
      <c r="AF332" s="55"/>
      <c r="AG332" s="55"/>
      <c r="AH332" s="56">
        <v>164447</v>
      </c>
      <c r="AI332" s="85"/>
      <c r="AJ332" s="7"/>
      <c r="AK332" s="7"/>
      <c r="AL332" s="7"/>
    </row>
    <row r="333" spans="1:38" ht="15" x14ac:dyDescent="0.2">
      <c r="A333" s="57" t="s">
        <v>2694</v>
      </c>
      <c r="B333" s="110" t="s">
        <v>4463</v>
      </c>
      <c r="C333" s="7" t="s">
        <v>41</v>
      </c>
      <c r="D333" s="7" t="s">
        <v>5190</v>
      </c>
      <c r="E333" s="44">
        <v>5</v>
      </c>
      <c r="F333" s="7"/>
      <c r="G333" s="7"/>
      <c r="H333" s="2" t="s">
        <v>5171</v>
      </c>
      <c r="I333" s="7" t="s">
        <v>5191</v>
      </c>
      <c r="J333" s="7" t="s">
        <v>5192</v>
      </c>
      <c r="K333" s="7" t="s">
        <v>48</v>
      </c>
      <c r="L333" s="7" t="s">
        <v>5193</v>
      </c>
      <c r="M333" s="7" t="s">
        <v>5195</v>
      </c>
      <c r="N333" s="48"/>
      <c r="O333" s="45" t="str">
        <f t="shared" ref="O333:O334" si="255">HYPERLINK("https://aicyellowjackets.com/sb_output.aspx?form=1","Questionnaire")</f>
        <v>Questionnaire</v>
      </c>
      <c r="P333" s="48" t="s">
        <v>5175</v>
      </c>
      <c r="Q333" s="47" t="s">
        <v>595</v>
      </c>
      <c r="R333" s="48" t="s">
        <v>4357</v>
      </c>
      <c r="S333" s="48" t="s">
        <v>62</v>
      </c>
      <c r="T333" s="49" t="s">
        <v>63</v>
      </c>
      <c r="U333" s="7" t="s">
        <v>75</v>
      </c>
      <c r="V333" s="7"/>
      <c r="W333" s="44">
        <v>2.8</v>
      </c>
      <c r="X333" s="49" t="s">
        <v>5178</v>
      </c>
      <c r="Y333" s="49" t="s">
        <v>5179</v>
      </c>
      <c r="Z333" s="49" t="s">
        <v>3952</v>
      </c>
      <c r="AA333" s="51">
        <v>0.69299999999999995</v>
      </c>
      <c r="AB333" s="113">
        <v>49490</v>
      </c>
      <c r="AC333" s="52" t="s">
        <v>5175</v>
      </c>
      <c r="AD333" s="53" t="str">
        <f t="shared" si="254"/>
        <v>Link</v>
      </c>
      <c r="AE333" s="54">
        <v>1414</v>
      </c>
      <c r="AF333" s="55"/>
      <c r="AG333" s="7"/>
      <c r="AH333" s="56">
        <v>164447</v>
      </c>
      <c r="AI333" s="7"/>
      <c r="AJ333" s="7"/>
      <c r="AK333" s="7"/>
      <c r="AL333" s="7"/>
    </row>
    <row r="334" spans="1:38" ht="15" x14ac:dyDescent="0.2">
      <c r="A334" s="57" t="s">
        <v>2694</v>
      </c>
      <c r="B334" s="110" t="s">
        <v>4463</v>
      </c>
      <c r="C334" s="7" t="s">
        <v>41</v>
      </c>
      <c r="D334" s="7" t="s">
        <v>5203</v>
      </c>
      <c r="E334" s="44">
        <v>5</v>
      </c>
      <c r="F334" s="7"/>
      <c r="G334" s="7"/>
      <c r="H334" s="2" t="s">
        <v>5171</v>
      </c>
      <c r="I334" s="7" t="s">
        <v>5206</v>
      </c>
      <c r="J334" s="7" t="s">
        <v>5207</v>
      </c>
      <c r="K334" s="7" t="s">
        <v>139</v>
      </c>
      <c r="L334" s="7"/>
      <c r="M334" s="7"/>
      <c r="N334" s="48"/>
      <c r="O334" s="45" t="str">
        <f t="shared" si="255"/>
        <v>Questionnaire</v>
      </c>
      <c r="P334" s="48" t="s">
        <v>5175</v>
      </c>
      <c r="Q334" s="47" t="s">
        <v>595</v>
      </c>
      <c r="R334" s="48" t="s">
        <v>4357</v>
      </c>
      <c r="S334" s="48" t="s">
        <v>62</v>
      </c>
      <c r="T334" s="49" t="s">
        <v>63</v>
      </c>
      <c r="U334" s="7" t="s">
        <v>75</v>
      </c>
      <c r="V334" s="7"/>
      <c r="W334" s="44">
        <v>2.8</v>
      </c>
      <c r="X334" s="49" t="s">
        <v>5178</v>
      </c>
      <c r="Y334" s="49" t="s">
        <v>5179</v>
      </c>
      <c r="Z334" s="49" t="s">
        <v>3952</v>
      </c>
      <c r="AA334" s="51">
        <v>0.69299999999999995</v>
      </c>
      <c r="AB334" s="113">
        <v>49490</v>
      </c>
      <c r="AC334" s="52" t="s">
        <v>5175</v>
      </c>
      <c r="AD334" s="53" t="str">
        <f t="shared" si="254"/>
        <v>Link</v>
      </c>
      <c r="AE334" s="54">
        <v>1414</v>
      </c>
      <c r="AF334" s="55"/>
      <c r="AG334" s="7"/>
      <c r="AH334" s="56">
        <v>164447</v>
      </c>
      <c r="AI334" s="7"/>
      <c r="AJ334" s="7"/>
      <c r="AK334" s="7"/>
      <c r="AL334" s="7"/>
    </row>
    <row r="335" spans="1:38" ht="15" x14ac:dyDescent="0.2">
      <c r="A335" s="57" t="s">
        <v>2694</v>
      </c>
      <c r="B335" s="110" t="s">
        <v>4463</v>
      </c>
      <c r="C335" s="7" t="s">
        <v>41</v>
      </c>
      <c r="D335" s="7" t="s">
        <v>5211</v>
      </c>
      <c r="E335" s="44">
        <v>5</v>
      </c>
      <c r="F335" s="7" t="s">
        <v>116</v>
      </c>
      <c r="G335" s="7"/>
      <c r="H335" s="2" t="s">
        <v>5171</v>
      </c>
      <c r="I335" s="7" t="s">
        <v>3654</v>
      </c>
      <c r="J335" s="7" t="s">
        <v>5215</v>
      </c>
      <c r="K335" s="7" t="s">
        <v>139</v>
      </c>
      <c r="L335" s="7"/>
      <c r="M335" s="7"/>
      <c r="N335" s="7"/>
      <c r="O335" s="7"/>
      <c r="P335" s="48" t="s">
        <v>5175</v>
      </c>
      <c r="Q335" s="47" t="s">
        <v>595</v>
      </c>
      <c r="R335" s="48" t="s">
        <v>4357</v>
      </c>
      <c r="S335" s="48" t="s">
        <v>62</v>
      </c>
      <c r="T335" s="49" t="s">
        <v>63</v>
      </c>
      <c r="U335" s="49" t="s">
        <v>75</v>
      </c>
      <c r="V335" s="7"/>
      <c r="W335" s="44">
        <v>2.8</v>
      </c>
      <c r="X335" s="49" t="s">
        <v>5178</v>
      </c>
      <c r="Y335" s="49" t="s">
        <v>5179</v>
      </c>
      <c r="Z335" s="49" t="s">
        <v>3952</v>
      </c>
      <c r="AA335" s="51">
        <v>0.69299999999999995</v>
      </c>
      <c r="AB335" s="113">
        <v>49490</v>
      </c>
      <c r="AC335" s="52" t="s">
        <v>5175</v>
      </c>
      <c r="AD335" s="53" t="str">
        <f t="shared" si="254"/>
        <v>Link</v>
      </c>
      <c r="AE335" s="54">
        <v>1414</v>
      </c>
      <c r="AF335" s="55"/>
      <c r="AG335" s="55"/>
      <c r="AH335" s="111">
        <v>164447</v>
      </c>
      <c r="AI335" s="57"/>
      <c r="AJ335" s="57"/>
      <c r="AK335" s="57"/>
      <c r="AL335" s="57"/>
    </row>
    <row r="336" spans="1:38" ht="13" x14ac:dyDescent="0.15">
      <c r="A336" s="57" t="s">
        <v>2694</v>
      </c>
      <c r="B336" s="110" t="s">
        <v>4463</v>
      </c>
      <c r="C336" s="7" t="s">
        <v>41</v>
      </c>
      <c r="D336" s="7" t="s">
        <v>5221</v>
      </c>
      <c r="E336" s="44">
        <v>5</v>
      </c>
      <c r="F336" s="7"/>
      <c r="G336" s="7"/>
      <c r="H336" s="2" t="s">
        <v>5222</v>
      </c>
      <c r="I336" s="7" t="s">
        <v>811</v>
      </c>
      <c r="J336" s="7" t="s">
        <v>5224</v>
      </c>
      <c r="K336" s="7" t="s">
        <v>55</v>
      </c>
      <c r="L336" s="7"/>
      <c r="M336" s="7"/>
      <c r="N336" s="7"/>
      <c r="O336" s="7"/>
      <c r="P336" s="48" t="s">
        <v>5226</v>
      </c>
      <c r="Q336" s="60" t="s">
        <v>595</v>
      </c>
      <c r="R336" s="48" t="s">
        <v>4650</v>
      </c>
      <c r="S336" s="48" t="s">
        <v>62</v>
      </c>
      <c r="T336" s="73" t="s">
        <v>63</v>
      </c>
      <c r="U336" s="49" t="s">
        <v>343</v>
      </c>
      <c r="V336" s="7"/>
      <c r="W336" s="44">
        <v>3.38</v>
      </c>
      <c r="X336" s="49" t="s">
        <v>5022</v>
      </c>
      <c r="Y336" s="49" t="s">
        <v>5022</v>
      </c>
      <c r="Z336" s="49" t="s">
        <v>5227</v>
      </c>
      <c r="AA336" s="51">
        <v>0.77729999999999999</v>
      </c>
      <c r="AB336" s="71">
        <v>50720</v>
      </c>
      <c r="AC336" s="90" t="s">
        <v>5226</v>
      </c>
      <c r="AD336" s="53" t="str">
        <f t="shared" ref="AD336:AD338" si="256">HYPERLINK("https://www.assumption.edu/academics/programs","Link")</f>
        <v>Link</v>
      </c>
      <c r="AE336" s="54">
        <v>2189</v>
      </c>
      <c r="AF336" s="55"/>
      <c r="AG336" s="55"/>
      <c r="AH336" s="56">
        <v>164562</v>
      </c>
      <c r="AI336" s="85"/>
      <c r="AJ336" s="7"/>
      <c r="AK336" s="7"/>
      <c r="AL336" s="7"/>
    </row>
    <row r="337" spans="1:38" ht="13" x14ac:dyDescent="0.15">
      <c r="A337" s="57" t="s">
        <v>2694</v>
      </c>
      <c r="B337" s="110" t="s">
        <v>4463</v>
      </c>
      <c r="C337" s="7" t="s">
        <v>41</v>
      </c>
      <c r="D337" s="7" t="s">
        <v>5232</v>
      </c>
      <c r="E337" s="44">
        <v>5</v>
      </c>
      <c r="F337" s="7"/>
      <c r="G337" s="7"/>
      <c r="H337" s="2" t="s">
        <v>5222</v>
      </c>
      <c r="I337" s="7" t="s">
        <v>201</v>
      </c>
      <c r="J337" s="7" t="s">
        <v>5234</v>
      </c>
      <c r="K337" s="7" t="s">
        <v>55</v>
      </c>
      <c r="L337" s="7" t="s">
        <v>5235</v>
      </c>
      <c r="M337" s="7"/>
      <c r="N337" s="45" t="str">
        <f t="shared" ref="N337:N338" si="257">HYPERLINK("twitter.com/acgreyhoundssb","@acgreyhoundssb")</f>
        <v>@acgreyhoundssb</v>
      </c>
      <c r="O337" s="45" t="str">
        <f t="shared" ref="O337:O338" si="258">HYPERLINK("https://assumption.prestosports.com/athletics/recruiting/index","Questionnaire")</f>
        <v>Questionnaire</v>
      </c>
      <c r="P337" s="48" t="s">
        <v>5226</v>
      </c>
      <c r="Q337" s="60" t="s">
        <v>595</v>
      </c>
      <c r="R337" s="48" t="s">
        <v>4650</v>
      </c>
      <c r="S337" s="48" t="s">
        <v>62</v>
      </c>
      <c r="T337" s="73" t="s">
        <v>63</v>
      </c>
      <c r="U337" s="7" t="s">
        <v>343</v>
      </c>
      <c r="V337" s="7"/>
      <c r="W337" s="44">
        <v>3.38</v>
      </c>
      <c r="X337" s="49" t="s">
        <v>5022</v>
      </c>
      <c r="Y337" s="49" t="s">
        <v>5022</v>
      </c>
      <c r="Z337" s="49" t="s">
        <v>5227</v>
      </c>
      <c r="AA337" s="51">
        <v>0.77729999999999999</v>
      </c>
      <c r="AB337" s="71">
        <v>50720</v>
      </c>
      <c r="AC337" s="90" t="s">
        <v>5226</v>
      </c>
      <c r="AD337" s="53" t="str">
        <f t="shared" si="256"/>
        <v>Link</v>
      </c>
      <c r="AE337" s="54">
        <v>2189</v>
      </c>
      <c r="AF337" s="55"/>
      <c r="AG337" s="7"/>
      <c r="AH337" s="56">
        <v>164562</v>
      </c>
      <c r="AI337" s="7"/>
      <c r="AJ337" s="7"/>
      <c r="AK337" s="7"/>
      <c r="AL337" s="7"/>
    </row>
    <row r="338" spans="1:38" ht="13" x14ac:dyDescent="0.15">
      <c r="A338" s="57" t="s">
        <v>2694</v>
      </c>
      <c r="B338" s="110" t="s">
        <v>4463</v>
      </c>
      <c r="C338" s="7" t="s">
        <v>41</v>
      </c>
      <c r="D338" s="7" t="s">
        <v>5248</v>
      </c>
      <c r="E338" s="44">
        <v>5</v>
      </c>
      <c r="F338" s="7"/>
      <c r="G338" s="7"/>
      <c r="H338" s="2" t="s">
        <v>5222</v>
      </c>
      <c r="I338" s="7" t="s">
        <v>2658</v>
      </c>
      <c r="J338" s="7" t="s">
        <v>5249</v>
      </c>
      <c r="K338" s="7" t="s">
        <v>48</v>
      </c>
      <c r="L338" s="7" t="s">
        <v>5250</v>
      </c>
      <c r="M338" s="7" t="s">
        <v>5251</v>
      </c>
      <c r="N338" s="45" t="str">
        <f t="shared" si="257"/>
        <v>@acgreyhoundssb</v>
      </c>
      <c r="O338" s="45" t="str">
        <f t="shared" si="258"/>
        <v>Questionnaire</v>
      </c>
      <c r="P338" s="48" t="s">
        <v>5226</v>
      </c>
      <c r="Q338" s="60" t="s">
        <v>595</v>
      </c>
      <c r="R338" s="48" t="s">
        <v>4650</v>
      </c>
      <c r="S338" s="48" t="s">
        <v>62</v>
      </c>
      <c r="T338" s="73" t="s">
        <v>63</v>
      </c>
      <c r="U338" s="7" t="s">
        <v>343</v>
      </c>
      <c r="V338" s="7"/>
      <c r="W338" s="44">
        <v>3.38</v>
      </c>
      <c r="X338" s="49" t="s">
        <v>5022</v>
      </c>
      <c r="Y338" s="49" t="s">
        <v>5022</v>
      </c>
      <c r="Z338" s="49" t="s">
        <v>5227</v>
      </c>
      <c r="AA338" s="51">
        <v>0.77729999999999999</v>
      </c>
      <c r="AB338" s="71">
        <v>50720</v>
      </c>
      <c r="AC338" s="90" t="s">
        <v>5226</v>
      </c>
      <c r="AD338" s="53" t="str">
        <f t="shared" si="256"/>
        <v>Link</v>
      </c>
      <c r="AE338" s="54">
        <v>2189</v>
      </c>
      <c r="AF338" s="55"/>
      <c r="AG338" s="7"/>
      <c r="AH338" s="56">
        <v>164562</v>
      </c>
      <c r="AI338" s="7"/>
      <c r="AJ338" s="7"/>
      <c r="AK338" s="7"/>
      <c r="AL338" s="7"/>
    </row>
    <row r="339" spans="1:38" ht="13" x14ac:dyDescent="0.15">
      <c r="A339" s="57" t="s">
        <v>2694</v>
      </c>
      <c r="B339" s="110" t="s">
        <v>4463</v>
      </c>
      <c r="C339" s="7" t="s">
        <v>41</v>
      </c>
      <c r="D339" s="7" t="s">
        <v>5259</v>
      </c>
      <c r="E339" s="44">
        <v>5</v>
      </c>
      <c r="F339" s="7"/>
      <c r="G339" s="7"/>
      <c r="H339" s="2" t="s">
        <v>5260</v>
      </c>
      <c r="I339" s="7" t="s">
        <v>1080</v>
      </c>
      <c r="J339" s="7" t="s">
        <v>5262</v>
      </c>
      <c r="K339" s="7" t="s">
        <v>55</v>
      </c>
      <c r="L339" s="7" t="s">
        <v>5263</v>
      </c>
      <c r="M339" s="7" t="s">
        <v>5264</v>
      </c>
      <c r="N339" s="48"/>
      <c r="O339" s="45" t="str">
        <f t="shared" ref="O339:O341" si="259">HYPERLINK("http://www.bentleyfalcons.com/rightside/pros-athlete-quest","Questionnaire")</f>
        <v>Questionnaire</v>
      </c>
      <c r="P339" s="48" t="s">
        <v>5266</v>
      </c>
      <c r="Q339" s="60" t="s">
        <v>595</v>
      </c>
      <c r="R339" s="48" t="s">
        <v>4682</v>
      </c>
      <c r="S339" s="48" t="s">
        <v>186</v>
      </c>
      <c r="T339" s="49" t="s">
        <v>63</v>
      </c>
      <c r="U339" s="7" t="s">
        <v>75</v>
      </c>
      <c r="V339" s="7"/>
      <c r="W339" s="44">
        <v>3.66</v>
      </c>
      <c r="X339" s="49" t="s">
        <v>1723</v>
      </c>
      <c r="Y339" s="49" t="s">
        <v>190</v>
      </c>
      <c r="Z339" s="49" t="s">
        <v>412</v>
      </c>
      <c r="AA339" s="51">
        <v>0.4632</v>
      </c>
      <c r="AB339" s="71">
        <v>63350</v>
      </c>
      <c r="AC339" s="90" t="s">
        <v>5266</v>
      </c>
      <c r="AD339" s="53" t="str">
        <f t="shared" ref="AD339:AD341" si="260">HYPERLINK("https://catalog.bentley.edu/undergraduate/programs/","Link")</f>
        <v>Link</v>
      </c>
      <c r="AE339" s="54">
        <v>4222</v>
      </c>
      <c r="AF339" s="55"/>
      <c r="AG339" s="7"/>
      <c r="AH339" s="56">
        <v>164739</v>
      </c>
      <c r="AI339" s="7"/>
      <c r="AJ339" s="7"/>
      <c r="AK339" s="7"/>
      <c r="AL339" s="7"/>
    </row>
    <row r="340" spans="1:38" ht="13" x14ac:dyDescent="0.15">
      <c r="A340" s="57" t="s">
        <v>2694</v>
      </c>
      <c r="B340" s="110" t="s">
        <v>4463</v>
      </c>
      <c r="C340" s="7" t="s">
        <v>41</v>
      </c>
      <c r="D340" s="7" t="s">
        <v>5276</v>
      </c>
      <c r="E340" s="44">
        <v>5</v>
      </c>
      <c r="F340" s="7"/>
      <c r="G340" s="7"/>
      <c r="H340" s="2" t="s">
        <v>5260</v>
      </c>
      <c r="I340" s="7" t="s">
        <v>711</v>
      </c>
      <c r="J340" s="7" t="s">
        <v>5025</v>
      </c>
      <c r="K340" s="7" t="s">
        <v>120</v>
      </c>
      <c r="L340" s="7" t="s">
        <v>5277</v>
      </c>
      <c r="M340" s="7" t="s">
        <v>5264</v>
      </c>
      <c r="N340" s="7"/>
      <c r="O340" s="45" t="str">
        <f t="shared" si="259"/>
        <v>Questionnaire</v>
      </c>
      <c r="P340" s="48" t="s">
        <v>5266</v>
      </c>
      <c r="Q340" s="60" t="s">
        <v>595</v>
      </c>
      <c r="R340" s="48" t="s">
        <v>4682</v>
      </c>
      <c r="S340" s="48" t="s">
        <v>186</v>
      </c>
      <c r="T340" s="49" t="s">
        <v>63</v>
      </c>
      <c r="U340" s="7" t="s">
        <v>75</v>
      </c>
      <c r="V340" s="7"/>
      <c r="W340" s="44">
        <v>3.66</v>
      </c>
      <c r="X340" s="49" t="s">
        <v>1723</v>
      </c>
      <c r="Y340" s="49" t="s">
        <v>190</v>
      </c>
      <c r="Z340" s="49" t="s">
        <v>412</v>
      </c>
      <c r="AA340" s="51">
        <v>0.4632</v>
      </c>
      <c r="AB340" s="71">
        <v>63350</v>
      </c>
      <c r="AC340" s="90" t="s">
        <v>5266</v>
      </c>
      <c r="AD340" s="53" t="str">
        <f t="shared" si="260"/>
        <v>Link</v>
      </c>
      <c r="AE340" s="54">
        <v>4222</v>
      </c>
      <c r="AF340" s="55"/>
      <c r="AG340" s="7"/>
      <c r="AH340" s="56">
        <v>164739</v>
      </c>
      <c r="AI340" s="7"/>
      <c r="AJ340" s="7"/>
      <c r="AK340" s="7"/>
      <c r="AL340" s="7"/>
    </row>
    <row r="341" spans="1:38" ht="13" x14ac:dyDescent="0.15">
      <c r="A341" s="57" t="s">
        <v>2694</v>
      </c>
      <c r="B341" s="110" t="s">
        <v>4463</v>
      </c>
      <c r="C341" s="7" t="s">
        <v>41</v>
      </c>
      <c r="D341" s="7" t="s">
        <v>5285</v>
      </c>
      <c r="E341" s="44">
        <v>5</v>
      </c>
      <c r="F341" s="7"/>
      <c r="G341" s="7"/>
      <c r="H341" s="2" t="s">
        <v>5260</v>
      </c>
      <c r="I341" s="7" t="s">
        <v>1610</v>
      </c>
      <c r="J341" s="7" t="s">
        <v>5286</v>
      </c>
      <c r="K341" s="7" t="s">
        <v>48</v>
      </c>
      <c r="L341" s="7" t="s">
        <v>5287</v>
      </c>
      <c r="M341" s="7" t="s">
        <v>5264</v>
      </c>
      <c r="N341" s="48"/>
      <c r="O341" s="45" t="str">
        <f t="shared" si="259"/>
        <v>Questionnaire</v>
      </c>
      <c r="P341" s="48" t="s">
        <v>5266</v>
      </c>
      <c r="Q341" s="60" t="s">
        <v>595</v>
      </c>
      <c r="R341" s="48" t="s">
        <v>4682</v>
      </c>
      <c r="S341" s="48" t="s">
        <v>186</v>
      </c>
      <c r="T341" s="49" t="s">
        <v>63</v>
      </c>
      <c r="U341" s="7" t="s">
        <v>75</v>
      </c>
      <c r="V341" s="7"/>
      <c r="W341" s="44">
        <v>3.66</v>
      </c>
      <c r="X341" s="49" t="s">
        <v>1723</v>
      </c>
      <c r="Y341" s="49" t="s">
        <v>190</v>
      </c>
      <c r="Z341" s="49" t="s">
        <v>412</v>
      </c>
      <c r="AA341" s="51">
        <v>0.4632</v>
      </c>
      <c r="AB341" s="71">
        <v>63350</v>
      </c>
      <c r="AC341" s="90" t="s">
        <v>5266</v>
      </c>
      <c r="AD341" s="53" t="str">
        <f t="shared" si="260"/>
        <v>Link</v>
      </c>
      <c r="AE341" s="54">
        <v>4222</v>
      </c>
      <c r="AF341" s="55"/>
      <c r="AG341" s="7"/>
      <c r="AH341" s="56">
        <v>164739</v>
      </c>
      <c r="AI341" s="7"/>
      <c r="AJ341" s="7"/>
      <c r="AK341" s="7"/>
      <c r="AL341" s="7"/>
    </row>
    <row r="342" spans="1:38" ht="13" x14ac:dyDescent="0.15">
      <c r="A342" s="57" t="s">
        <v>2694</v>
      </c>
      <c r="B342" s="110" t="s">
        <v>4463</v>
      </c>
      <c r="C342" s="7" t="s">
        <v>41</v>
      </c>
      <c r="D342" s="7" t="s">
        <v>5292</v>
      </c>
      <c r="E342" s="44">
        <v>5</v>
      </c>
      <c r="F342" s="7"/>
      <c r="G342" s="7"/>
      <c r="H342" s="2" t="s">
        <v>5293</v>
      </c>
      <c r="I342" s="7" t="s">
        <v>5294</v>
      </c>
      <c r="J342" s="7" t="s">
        <v>5295</v>
      </c>
      <c r="K342" s="7" t="s">
        <v>55</v>
      </c>
      <c r="L342" s="7" t="s">
        <v>5296</v>
      </c>
      <c r="M342" s="7"/>
      <c r="N342" s="45" t="str">
        <f t="shared" ref="N342:N345" si="261">HYPERLINK("twitter.com/merrimacksb","@merrimacksb")</f>
        <v>@merrimacksb</v>
      </c>
      <c r="O342" s="45" t="str">
        <f t="shared" ref="O342:O345" si="262">HYPERLINK("https://merrimackathletics.com/sb_output.aspx?form=3","Questionnaire")</f>
        <v>Questionnaire</v>
      </c>
      <c r="P342" s="48" t="s">
        <v>5304</v>
      </c>
      <c r="Q342" s="60" t="s">
        <v>595</v>
      </c>
      <c r="R342" s="48" t="s">
        <v>5305</v>
      </c>
      <c r="S342" s="48" t="s">
        <v>468</v>
      </c>
      <c r="T342" s="49" t="s">
        <v>63</v>
      </c>
      <c r="U342" s="7" t="s">
        <v>343</v>
      </c>
      <c r="V342" s="7"/>
      <c r="W342" s="44">
        <v>3.1</v>
      </c>
      <c r="X342" s="49" t="s">
        <v>214</v>
      </c>
      <c r="Y342" s="49" t="s">
        <v>214</v>
      </c>
      <c r="Z342" s="49" t="s">
        <v>214</v>
      </c>
      <c r="AA342" s="61">
        <v>0.82</v>
      </c>
      <c r="AB342" s="71">
        <v>55620</v>
      </c>
      <c r="AC342" s="62" t="s">
        <v>5304</v>
      </c>
      <c r="AD342" s="53" t="str">
        <f t="shared" ref="AD342:AD345" si="263">HYPERLINK("https://www.merrimack.edu/admission/undergraduate/majors-and-minors.php","Link")</f>
        <v>Link</v>
      </c>
      <c r="AE342" s="54">
        <v>3433</v>
      </c>
      <c r="AF342" s="55"/>
      <c r="AG342" s="7"/>
      <c r="AH342" s="56">
        <v>166850</v>
      </c>
      <c r="AI342" s="7"/>
      <c r="AJ342" s="7"/>
      <c r="AK342" s="7"/>
      <c r="AL342" s="7"/>
    </row>
    <row r="343" spans="1:38" ht="13" x14ac:dyDescent="0.15">
      <c r="A343" s="57" t="s">
        <v>2694</v>
      </c>
      <c r="B343" s="110" t="s">
        <v>4463</v>
      </c>
      <c r="C343" s="7" t="s">
        <v>41</v>
      </c>
      <c r="D343" s="7" t="s">
        <v>5312</v>
      </c>
      <c r="E343" s="44">
        <v>5</v>
      </c>
      <c r="F343" s="7"/>
      <c r="G343" s="7"/>
      <c r="H343" s="2" t="s">
        <v>5293</v>
      </c>
      <c r="I343" s="7" t="s">
        <v>3664</v>
      </c>
      <c r="J343" s="7" t="s">
        <v>5314</v>
      </c>
      <c r="K343" s="7" t="s">
        <v>55</v>
      </c>
      <c r="L343" s="7"/>
      <c r="M343" s="7"/>
      <c r="N343" s="45" t="str">
        <f t="shared" si="261"/>
        <v>@merrimacksb</v>
      </c>
      <c r="O343" s="45" t="str">
        <f t="shared" si="262"/>
        <v>Questionnaire</v>
      </c>
      <c r="P343" s="48" t="s">
        <v>5304</v>
      </c>
      <c r="Q343" s="60" t="s">
        <v>595</v>
      </c>
      <c r="R343" s="48" t="s">
        <v>5305</v>
      </c>
      <c r="S343" s="48" t="s">
        <v>468</v>
      </c>
      <c r="T343" s="49" t="s">
        <v>63</v>
      </c>
      <c r="U343" s="7" t="s">
        <v>343</v>
      </c>
      <c r="V343" s="7"/>
      <c r="W343" s="44">
        <v>3.1</v>
      </c>
      <c r="X343" s="49" t="s">
        <v>214</v>
      </c>
      <c r="Y343" s="49" t="s">
        <v>214</v>
      </c>
      <c r="Z343" s="49" t="s">
        <v>214</v>
      </c>
      <c r="AA343" s="61">
        <v>0.82</v>
      </c>
      <c r="AB343" s="71">
        <v>55620</v>
      </c>
      <c r="AC343" s="62" t="s">
        <v>5304</v>
      </c>
      <c r="AD343" s="53" t="str">
        <f t="shared" si="263"/>
        <v>Link</v>
      </c>
      <c r="AE343" s="54">
        <v>3433</v>
      </c>
      <c r="AF343" s="55"/>
      <c r="AG343" s="7"/>
      <c r="AH343" s="56">
        <v>166850</v>
      </c>
      <c r="AI343" s="7"/>
      <c r="AJ343" s="7"/>
      <c r="AK343" s="7"/>
      <c r="AL343" s="7"/>
    </row>
    <row r="344" spans="1:38" ht="13" x14ac:dyDescent="0.15">
      <c r="A344" s="57" t="s">
        <v>2694</v>
      </c>
      <c r="B344" s="110" t="s">
        <v>4463</v>
      </c>
      <c r="C344" s="7" t="s">
        <v>41</v>
      </c>
      <c r="D344" s="7" t="s">
        <v>5318</v>
      </c>
      <c r="E344" s="44">
        <v>5</v>
      </c>
      <c r="F344" s="7"/>
      <c r="G344" s="7"/>
      <c r="H344" s="2" t="s">
        <v>5293</v>
      </c>
      <c r="I344" s="7" t="s">
        <v>5320</v>
      </c>
      <c r="J344" s="7" t="s">
        <v>5321</v>
      </c>
      <c r="K344" s="7" t="s">
        <v>48</v>
      </c>
      <c r="L344" s="7" t="s">
        <v>5322</v>
      </c>
      <c r="M344" s="7" t="s">
        <v>5323</v>
      </c>
      <c r="N344" s="45" t="str">
        <f t="shared" si="261"/>
        <v>@merrimacksb</v>
      </c>
      <c r="O344" s="45" t="str">
        <f t="shared" si="262"/>
        <v>Questionnaire</v>
      </c>
      <c r="P344" s="48" t="s">
        <v>5304</v>
      </c>
      <c r="Q344" s="60" t="s">
        <v>595</v>
      </c>
      <c r="R344" s="48" t="s">
        <v>5305</v>
      </c>
      <c r="S344" s="48" t="s">
        <v>468</v>
      </c>
      <c r="T344" s="49" t="s">
        <v>63</v>
      </c>
      <c r="U344" s="7" t="s">
        <v>343</v>
      </c>
      <c r="V344" s="7"/>
      <c r="W344" s="44">
        <v>3.1</v>
      </c>
      <c r="X344" s="49" t="s">
        <v>214</v>
      </c>
      <c r="Y344" s="49" t="s">
        <v>214</v>
      </c>
      <c r="Z344" s="49" t="s">
        <v>214</v>
      </c>
      <c r="AA344" s="61">
        <v>0.82</v>
      </c>
      <c r="AB344" s="71">
        <v>55620</v>
      </c>
      <c r="AC344" s="62" t="s">
        <v>5304</v>
      </c>
      <c r="AD344" s="53" t="str">
        <f t="shared" si="263"/>
        <v>Link</v>
      </c>
      <c r="AE344" s="54">
        <v>3433</v>
      </c>
      <c r="AF344" s="55"/>
      <c r="AG344" s="7"/>
      <c r="AH344" s="56">
        <v>166850</v>
      </c>
      <c r="AI344" s="7"/>
      <c r="AJ344" s="7"/>
      <c r="AK344" s="7"/>
      <c r="AL344" s="7"/>
    </row>
    <row r="345" spans="1:38" ht="13" x14ac:dyDescent="0.15">
      <c r="A345" s="57" t="s">
        <v>2694</v>
      </c>
      <c r="B345" s="110" t="s">
        <v>4463</v>
      </c>
      <c r="C345" s="7" t="s">
        <v>41</v>
      </c>
      <c r="D345" s="7" t="s">
        <v>5331</v>
      </c>
      <c r="E345" s="44">
        <v>5</v>
      </c>
      <c r="F345" s="7"/>
      <c r="G345" s="7"/>
      <c r="H345" s="2" t="s">
        <v>5293</v>
      </c>
      <c r="I345" s="7" t="s">
        <v>694</v>
      </c>
      <c r="J345" s="7" t="s">
        <v>5333</v>
      </c>
      <c r="K345" s="7" t="s">
        <v>139</v>
      </c>
      <c r="L345" s="7"/>
      <c r="M345" s="7"/>
      <c r="N345" s="45" t="str">
        <f t="shared" si="261"/>
        <v>@merrimacksb</v>
      </c>
      <c r="O345" s="45" t="str">
        <f t="shared" si="262"/>
        <v>Questionnaire</v>
      </c>
      <c r="P345" s="48" t="s">
        <v>5304</v>
      </c>
      <c r="Q345" s="60" t="s">
        <v>595</v>
      </c>
      <c r="R345" s="48" t="s">
        <v>5305</v>
      </c>
      <c r="S345" s="48" t="s">
        <v>468</v>
      </c>
      <c r="T345" s="49" t="s">
        <v>63</v>
      </c>
      <c r="U345" s="7" t="s">
        <v>343</v>
      </c>
      <c r="V345" s="7"/>
      <c r="W345" s="44">
        <v>3.1</v>
      </c>
      <c r="X345" s="49" t="s">
        <v>214</v>
      </c>
      <c r="Y345" s="49" t="s">
        <v>214</v>
      </c>
      <c r="Z345" s="49" t="s">
        <v>214</v>
      </c>
      <c r="AA345" s="61">
        <v>0.82</v>
      </c>
      <c r="AB345" s="71">
        <v>55620</v>
      </c>
      <c r="AC345" s="62" t="s">
        <v>5304</v>
      </c>
      <c r="AD345" s="53" t="str">
        <f t="shared" si="263"/>
        <v>Link</v>
      </c>
      <c r="AE345" s="54">
        <v>3433</v>
      </c>
      <c r="AF345" s="55"/>
      <c r="AG345" s="7"/>
      <c r="AH345" s="56">
        <v>166850</v>
      </c>
      <c r="AI345" s="7"/>
      <c r="AJ345" s="7"/>
      <c r="AK345" s="7"/>
      <c r="AL345" s="7"/>
    </row>
    <row r="346" spans="1:38" ht="13" x14ac:dyDescent="0.15">
      <c r="A346" s="57" t="s">
        <v>2694</v>
      </c>
      <c r="B346" s="110" t="s">
        <v>4463</v>
      </c>
      <c r="C346" s="7" t="s">
        <v>41</v>
      </c>
      <c r="D346" s="7" t="s">
        <v>5340</v>
      </c>
      <c r="E346" s="44">
        <v>5</v>
      </c>
      <c r="F346" s="7"/>
      <c r="G346" s="7"/>
      <c r="H346" s="2" t="s">
        <v>5341</v>
      </c>
      <c r="I346" s="7" t="s">
        <v>402</v>
      </c>
      <c r="J346" s="7" t="s">
        <v>5342</v>
      </c>
      <c r="K346" s="7" t="s">
        <v>48</v>
      </c>
      <c r="L346" s="7" t="s">
        <v>5343</v>
      </c>
      <c r="M346" s="7" t="s">
        <v>5344</v>
      </c>
      <c r="N346" s="48"/>
      <c r="O346" s="45" t="str">
        <f>HYPERLINK("https://www.stonehillskyhawks.com/information/prospective/index","Questionnaire")</f>
        <v>Questionnaire</v>
      </c>
      <c r="P346" s="48" t="s">
        <v>5347</v>
      </c>
      <c r="Q346" s="60" t="s">
        <v>595</v>
      </c>
      <c r="R346" s="48" t="s">
        <v>5348</v>
      </c>
      <c r="S346" s="48" t="s">
        <v>172</v>
      </c>
      <c r="T346" s="49" t="s">
        <v>63</v>
      </c>
      <c r="U346" s="7" t="s">
        <v>343</v>
      </c>
      <c r="V346" s="7"/>
      <c r="W346" s="44">
        <v>3.31</v>
      </c>
      <c r="X346" s="49" t="s">
        <v>344</v>
      </c>
      <c r="Y346" s="49" t="s">
        <v>76</v>
      </c>
      <c r="Z346" s="49" t="s">
        <v>689</v>
      </c>
      <c r="AA346" s="61">
        <v>0.73</v>
      </c>
      <c r="AB346" s="71">
        <v>57530</v>
      </c>
      <c r="AC346" s="62" t="s">
        <v>5347</v>
      </c>
      <c r="AD346" s="53" t="str">
        <f>HYPERLINK("http://www.stonehill.edu/academics/areas-of-study/","Link")</f>
        <v>Link</v>
      </c>
      <c r="AE346" s="54">
        <v>2481</v>
      </c>
      <c r="AF346" s="55"/>
      <c r="AG346" s="44">
        <v>111</v>
      </c>
      <c r="AH346" s="56">
        <v>167996</v>
      </c>
      <c r="AI346" s="7"/>
      <c r="AJ346" s="7"/>
      <c r="AK346" s="7"/>
      <c r="AL346" s="7"/>
    </row>
    <row r="347" spans="1:38" ht="13" x14ac:dyDescent="0.15">
      <c r="A347" s="36" t="s">
        <v>4592</v>
      </c>
      <c r="B347" s="110" t="s">
        <v>4553</v>
      </c>
      <c r="C347" s="7" t="s">
        <v>41</v>
      </c>
      <c r="D347" s="7" t="s">
        <v>5353</v>
      </c>
      <c r="E347" s="44">
        <v>5</v>
      </c>
      <c r="F347" s="7"/>
      <c r="G347" s="7"/>
      <c r="H347" s="2" t="s">
        <v>5354</v>
      </c>
      <c r="I347" s="7" t="s">
        <v>2658</v>
      </c>
      <c r="J347" s="7" t="s">
        <v>5355</v>
      </c>
      <c r="K347" s="7" t="s">
        <v>55</v>
      </c>
      <c r="L347" s="7" t="s">
        <v>5357</v>
      </c>
      <c r="M347" s="7"/>
      <c r="N347" s="7"/>
      <c r="O347" s="7"/>
      <c r="P347" s="48" t="s">
        <v>5359</v>
      </c>
      <c r="Q347" s="47" t="s">
        <v>4538</v>
      </c>
      <c r="R347" s="48" t="s">
        <v>5360</v>
      </c>
      <c r="S347" s="48" t="s">
        <v>62</v>
      </c>
      <c r="T347" s="49" t="s">
        <v>63</v>
      </c>
      <c r="U347" s="49" t="s">
        <v>75</v>
      </c>
      <c r="V347" s="7"/>
      <c r="W347" s="44">
        <v>3.09</v>
      </c>
      <c r="X347" s="49" t="s">
        <v>214</v>
      </c>
      <c r="Y347" s="49" t="s">
        <v>214</v>
      </c>
      <c r="Z347" s="49" t="s">
        <v>214</v>
      </c>
      <c r="AA347" s="61">
        <v>0.78</v>
      </c>
      <c r="AB347" s="71">
        <v>29306</v>
      </c>
      <c r="AC347" s="62" t="s">
        <v>5359</v>
      </c>
      <c r="AD347" s="53" t="str">
        <f t="shared" ref="AD347:AD351" si="264">HYPERLINK("https://www.davenport.edu/programs","Link")</f>
        <v>Link</v>
      </c>
      <c r="AE347" s="54">
        <v>5917</v>
      </c>
      <c r="AF347" s="55"/>
      <c r="AG347" s="55"/>
      <c r="AH347" s="56">
        <v>169479</v>
      </c>
      <c r="AI347" s="85"/>
      <c r="AJ347" s="7"/>
      <c r="AK347" s="7"/>
      <c r="AL347" s="7"/>
    </row>
    <row r="348" spans="1:38" ht="13" x14ac:dyDescent="0.15">
      <c r="A348" s="36" t="s">
        <v>4592</v>
      </c>
      <c r="B348" s="110" t="s">
        <v>4553</v>
      </c>
      <c r="C348" s="7" t="s">
        <v>41</v>
      </c>
      <c r="D348" s="7" t="s">
        <v>5369</v>
      </c>
      <c r="E348" s="44">
        <v>5</v>
      </c>
      <c r="F348" s="7"/>
      <c r="G348" s="7" t="s">
        <v>126</v>
      </c>
      <c r="H348" s="2" t="s">
        <v>5354</v>
      </c>
      <c r="I348" s="7" t="s">
        <v>5370</v>
      </c>
      <c r="J348" s="7"/>
      <c r="K348" s="7"/>
      <c r="L348" s="7"/>
      <c r="M348" s="7"/>
      <c r="N348" s="7"/>
      <c r="O348" s="7"/>
      <c r="P348" s="48" t="s">
        <v>5359</v>
      </c>
      <c r="Q348" s="47" t="s">
        <v>4538</v>
      </c>
      <c r="R348" s="48" t="s">
        <v>5360</v>
      </c>
      <c r="S348" s="48" t="s">
        <v>62</v>
      </c>
      <c r="T348" s="49" t="s">
        <v>63</v>
      </c>
      <c r="U348" s="49" t="s">
        <v>75</v>
      </c>
      <c r="V348" s="7"/>
      <c r="W348" s="44">
        <v>3.09</v>
      </c>
      <c r="X348" s="49" t="s">
        <v>214</v>
      </c>
      <c r="Y348" s="49" t="s">
        <v>214</v>
      </c>
      <c r="Z348" s="49" t="s">
        <v>214</v>
      </c>
      <c r="AA348" s="61">
        <v>0.78</v>
      </c>
      <c r="AB348" s="71">
        <v>29306</v>
      </c>
      <c r="AC348" s="62" t="s">
        <v>5359</v>
      </c>
      <c r="AD348" s="53" t="str">
        <f t="shared" si="264"/>
        <v>Link</v>
      </c>
      <c r="AE348" s="54">
        <v>5917</v>
      </c>
      <c r="AF348" s="55"/>
      <c r="AG348" s="55"/>
      <c r="AH348" s="56">
        <v>169479</v>
      </c>
      <c r="AI348" s="85"/>
      <c r="AJ348" s="7"/>
      <c r="AK348" s="7"/>
      <c r="AL348" s="7"/>
    </row>
    <row r="349" spans="1:38" ht="13" x14ac:dyDescent="0.15">
      <c r="A349" s="36" t="s">
        <v>4592</v>
      </c>
      <c r="B349" s="110" t="s">
        <v>4553</v>
      </c>
      <c r="C349" s="7" t="s">
        <v>41</v>
      </c>
      <c r="D349" s="7" t="s">
        <v>5377</v>
      </c>
      <c r="E349" s="44">
        <v>5</v>
      </c>
      <c r="F349" s="7"/>
      <c r="G349" s="7"/>
      <c r="H349" s="2" t="s">
        <v>5354</v>
      </c>
      <c r="I349" s="7" t="s">
        <v>222</v>
      </c>
      <c r="J349" s="7" t="s">
        <v>5378</v>
      </c>
      <c r="K349" s="7" t="s">
        <v>55</v>
      </c>
      <c r="L349" s="7" t="s">
        <v>5379</v>
      </c>
      <c r="M349" s="7"/>
      <c r="N349" s="45" t="str">
        <f t="shared" ref="N349:N350" si="265">HYPERLINK("twitter.com/du_sball","@du_sball")</f>
        <v>@du_sball</v>
      </c>
      <c r="O349" s="48" t="s">
        <v>22</v>
      </c>
      <c r="P349" s="48" t="s">
        <v>5359</v>
      </c>
      <c r="Q349" s="47" t="s">
        <v>4538</v>
      </c>
      <c r="R349" s="48" t="s">
        <v>5360</v>
      </c>
      <c r="S349" s="48" t="s">
        <v>62</v>
      </c>
      <c r="T349" s="49" t="s">
        <v>63</v>
      </c>
      <c r="U349" s="7" t="s">
        <v>75</v>
      </c>
      <c r="V349" s="7"/>
      <c r="W349" s="44">
        <v>3.09</v>
      </c>
      <c r="X349" s="49" t="s">
        <v>214</v>
      </c>
      <c r="Y349" s="49" t="s">
        <v>214</v>
      </c>
      <c r="Z349" s="49" t="s">
        <v>214</v>
      </c>
      <c r="AA349" s="61">
        <v>0.78</v>
      </c>
      <c r="AB349" s="71">
        <v>29306</v>
      </c>
      <c r="AC349" s="62" t="s">
        <v>5359</v>
      </c>
      <c r="AD349" s="53" t="str">
        <f t="shared" si="264"/>
        <v>Link</v>
      </c>
      <c r="AE349" s="54">
        <v>5917</v>
      </c>
      <c r="AF349" s="55"/>
      <c r="AG349" s="7"/>
      <c r="AH349" s="56">
        <v>169479</v>
      </c>
      <c r="AI349" s="7"/>
      <c r="AJ349" s="7"/>
      <c r="AK349" s="7"/>
      <c r="AL349" s="7"/>
    </row>
    <row r="350" spans="1:38" ht="13" x14ac:dyDescent="0.15">
      <c r="A350" s="36" t="s">
        <v>4592</v>
      </c>
      <c r="B350" s="110" t="s">
        <v>4553</v>
      </c>
      <c r="C350" s="7" t="s">
        <v>41</v>
      </c>
      <c r="D350" s="7" t="s">
        <v>5387</v>
      </c>
      <c r="E350" s="44">
        <v>5</v>
      </c>
      <c r="F350" s="7"/>
      <c r="G350" s="7"/>
      <c r="H350" s="2" t="s">
        <v>5354</v>
      </c>
      <c r="I350" s="7" t="s">
        <v>1148</v>
      </c>
      <c r="J350" s="7" t="s">
        <v>5388</v>
      </c>
      <c r="K350" s="7" t="s">
        <v>55</v>
      </c>
      <c r="L350" s="7" t="s">
        <v>5389</v>
      </c>
      <c r="M350" s="7"/>
      <c r="N350" s="45" t="str">
        <f t="shared" si="265"/>
        <v>@du_sball</v>
      </c>
      <c r="O350" s="48" t="s">
        <v>22</v>
      </c>
      <c r="P350" s="48" t="s">
        <v>5359</v>
      </c>
      <c r="Q350" s="47" t="s">
        <v>4538</v>
      </c>
      <c r="R350" s="48" t="s">
        <v>5360</v>
      </c>
      <c r="S350" s="48" t="s">
        <v>62</v>
      </c>
      <c r="T350" s="49" t="s">
        <v>63</v>
      </c>
      <c r="U350" s="7" t="s">
        <v>75</v>
      </c>
      <c r="V350" s="7"/>
      <c r="W350" s="44">
        <v>3.09</v>
      </c>
      <c r="X350" s="49" t="s">
        <v>214</v>
      </c>
      <c r="Y350" s="49" t="s">
        <v>214</v>
      </c>
      <c r="Z350" s="49" t="s">
        <v>214</v>
      </c>
      <c r="AA350" s="61">
        <v>0.78</v>
      </c>
      <c r="AB350" s="71">
        <v>29306</v>
      </c>
      <c r="AC350" s="62" t="s">
        <v>5359</v>
      </c>
      <c r="AD350" s="53" t="str">
        <f t="shared" si="264"/>
        <v>Link</v>
      </c>
      <c r="AE350" s="54">
        <v>5917</v>
      </c>
      <c r="AF350" s="55"/>
      <c r="AG350" s="7"/>
      <c r="AH350" s="56">
        <v>169479</v>
      </c>
      <c r="AI350" s="7"/>
      <c r="AJ350" s="7"/>
      <c r="AK350" s="7"/>
      <c r="AL350" s="7"/>
    </row>
    <row r="351" spans="1:38" ht="13" x14ac:dyDescent="0.15">
      <c r="A351" s="36" t="s">
        <v>4592</v>
      </c>
      <c r="B351" s="110" t="s">
        <v>4553</v>
      </c>
      <c r="C351" s="7" t="s">
        <v>41</v>
      </c>
      <c r="D351" s="7" t="s">
        <v>5396</v>
      </c>
      <c r="E351" s="44">
        <v>5</v>
      </c>
      <c r="F351" s="7"/>
      <c r="G351" s="7"/>
      <c r="H351" s="2" t="s">
        <v>5354</v>
      </c>
      <c r="I351" s="7" t="s">
        <v>4599</v>
      </c>
      <c r="J351" s="7" t="s">
        <v>5397</v>
      </c>
      <c r="K351" s="7" t="s">
        <v>48</v>
      </c>
      <c r="L351" s="7" t="s">
        <v>5398</v>
      </c>
      <c r="M351" s="7" t="s">
        <v>5399</v>
      </c>
      <c r="N351" s="45" t="s">
        <v>5400</v>
      </c>
      <c r="O351" s="48" t="s">
        <v>22</v>
      </c>
      <c r="P351" s="48" t="s">
        <v>5359</v>
      </c>
      <c r="Q351" s="47" t="s">
        <v>4538</v>
      </c>
      <c r="R351" s="48" t="s">
        <v>5360</v>
      </c>
      <c r="S351" s="48" t="s">
        <v>62</v>
      </c>
      <c r="T351" s="49" t="s">
        <v>63</v>
      </c>
      <c r="U351" s="7" t="s">
        <v>75</v>
      </c>
      <c r="V351" s="7"/>
      <c r="W351" s="44">
        <v>3.09</v>
      </c>
      <c r="X351" s="49" t="s">
        <v>214</v>
      </c>
      <c r="Y351" s="49" t="s">
        <v>214</v>
      </c>
      <c r="Z351" s="49" t="s">
        <v>214</v>
      </c>
      <c r="AA351" s="61">
        <v>0.78</v>
      </c>
      <c r="AB351" s="71">
        <v>29306</v>
      </c>
      <c r="AC351" s="62" t="s">
        <v>5359</v>
      </c>
      <c r="AD351" s="53" t="str">
        <f t="shared" si="264"/>
        <v>Link</v>
      </c>
      <c r="AE351" s="54">
        <v>5917</v>
      </c>
      <c r="AF351" s="55"/>
      <c r="AG351" s="7"/>
      <c r="AH351" s="56">
        <v>169479</v>
      </c>
      <c r="AI351" s="7"/>
      <c r="AJ351" s="7"/>
      <c r="AK351" s="7"/>
      <c r="AL351" s="7"/>
    </row>
    <row r="352" spans="1:38" ht="13" x14ac:dyDescent="0.15">
      <c r="A352" s="36" t="s">
        <v>4592</v>
      </c>
      <c r="B352" s="110" t="s">
        <v>4553</v>
      </c>
      <c r="C352" s="7" t="s">
        <v>41</v>
      </c>
      <c r="D352" s="7" t="s">
        <v>5408</v>
      </c>
      <c r="E352" s="44">
        <v>5</v>
      </c>
      <c r="F352" s="7"/>
      <c r="G352" s="7"/>
      <c r="H352" s="2" t="s">
        <v>5409</v>
      </c>
      <c r="I352" s="7" t="s">
        <v>1726</v>
      </c>
      <c r="J352" s="7" t="s">
        <v>5410</v>
      </c>
      <c r="K352" s="7" t="s">
        <v>55</v>
      </c>
      <c r="L352" s="7" t="s">
        <v>5411</v>
      </c>
      <c r="M352" s="7" t="s">
        <v>5412</v>
      </c>
      <c r="N352" s="45" t="str">
        <f t="shared" ref="N352:N354" si="266">HYPERLINK("twitter.com/Ferris_Sball","@Ferris_Sball")</f>
        <v>@Ferris_Sball</v>
      </c>
      <c r="O352" s="45" t="str">
        <f t="shared" ref="O352:O354" si="267">HYPERLINK("https://www.ferrisstatebulldogs.com/information/athleteinfo","Questionnaire")</f>
        <v>Questionnaire</v>
      </c>
      <c r="P352" s="7" t="s">
        <v>5417</v>
      </c>
      <c r="Q352" s="36" t="s">
        <v>4538</v>
      </c>
      <c r="R352" s="6" t="s">
        <v>5419</v>
      </c>
      <c r="S352" s="4" t="s">
        <v>172</v>
      </c>
      <c r="T352" s="4" t="s">
        <v>74</v>
      </c>
      <c r="U352" s="4" t="s">
        <v>75</v>
      </c>
      <c r="V352" s="7"/>
      <c r="W352" s="37">
        <v>3.24</v>
      </c>
      <c r="X352" s="7" t="s">
        <v>5423</v>
      </c>
      <c r="Y352" s="7" t="s">
        <v>1648</v>
      </c>
      <c r="Z352" s="4" t="s">
        <v>746</v>
      </c>
      <c r="AA352" s="65">
        <v>0.78</v>
      </c>
      <c r="AB352" s="6" t="s">
        <v>5425</v>
      </c>
      <c r="AC352" s="66" t="s">
        <v>5417</v>
      </c>
      <c r="AD352" s="67" t="str">
        <f t="shared" ref="AD352:AD354" si="268">HYPERLINK("https://ferris.edu/HTMLS/colleges/educatio/education/Majors-Minors.htm","Link")</f>
        <v>Link</v>
      </c>
      <c r="AE352" s="42">
        <v>12866</v>
      </c>
      <c r="AF352" s="55"/>
      <c r="AG352" s="7"/>
      <c r="AH352" s="56">
        <v>169910</v>
      </c>
      <c r="AI352" s="7"/>
      <c r="AJ352" s="7"/>
      <c r="AK352" s="7"/>
      <c r="AL352" s="7"/>
    </row>
    <row r="353" spans="1:38" ht="13" x14ac:dyDescent="0.15">
      <c r="A353" s="36" t="s">
        <v>4592</v>
      </c>
      <c r="B353" s="110" t="s">
        <v>4553</v>
      </c>
      <c r="C353" s="7" t="s">
        <v>41</v>
      </c>
      <c r="D353" s="7" t="s">
        <v>5429</v>
      </c>
      <c r="E353" s="44">
        <v>5</v>
      </c>
      <c r="F353" s="7"/>
      <c r="G353" s="7"/>
      <c r="H353" s="2" t="s">
        <v>5409</v>
      </c>
      <c r="I353" s="7" t="s">
        <v>283</v>
      </c>
      <c r="J353" s="7" t="s">
        <v>5433</v>
      </c>
      <c r="K353" s="7" t="s">
        <v>48</v>
      </c>
      <c r="L353" s="7" t="s">
        <v>5434</v>
      </c>
      <c r="M353" s="7" t="s">
        <v>5435</v>
      </c>
      <c r="N353" s="45" t="str">
        <f t="shared" si="266"/>
        <v>@Ferris_Sball</v>
      </c>
      <c r="O353" s="45" t="str">
        <f t="shared" si="267"/>
        <v>Questionnaire</v>
      </c>
      <c r="P353" s="7" t="s">
        <v>5417</v>
      </c>
      <c r="Q353" s="36" t="s">
        <v>4538</v>
      </c>
      <c r="R353" s="6" t="s">
        <v>5419</v>
      </c>
      <c r="S353" s="4" t="s">
        <v>172</v>
      </c>
      <c r="T353" s="4" t="s">
        <v>74</v>
      </c>
      <c r="U353" s="4" t="s">
        <v>75</v>
      </c>
      <c r="V353" s="7"/>
      <c r="W353" s="37">
        <v>3.24</v>
      </c>
      <c r="X353" s="7" t="s">
        <v>5423</v>
      </c>
      <c r="Y353" s="7" t="s">
        <v>1648</v>
      </c>
      <c r="Z353" s="4" t="s">
        <v>746</v>
      </c>
      <c r="AA353" s="65">
        <v>0.78</v>
      </c>
      <c r="AB353" s="6" t="s">
        <v>5425</v>
      </c>
      <c r="AC353" s="66" t="s">
        <v>5417</v>
      </c>
      <c r="AD353" s="67" t="str">
        <f t="shared" si="268"/>
        <v>Link</v>
      </c>
      <c r="AE353" s="42">
        <v>12866</v>
      </c>
      <c r="AF353" s="55"/>
      <c r="AG353" s="7"/>
      <c r="AH353" s="56">
        <v>169910</v>
      </c>
      <c r="AI353" s="7"/>
      <c r="AJ353" s="7"/>
      <c r="AK353" s="7"/>
      <c r="AL353" s="7"/>
    </row>
    <row r="354" spans="1:38" ht="13" x14ac:dyDescent="0.15">
      <c r="A354" s="36" t="s">
        <v>4592</v>
      </c>
      <c r="B354" s="110" t="s">
        <v>4553</v>
      </c>
      <c r="C354" s="7" t="s">
        <v>41</v>
      </c>
      <c r="D354" s="7" t="s">
        <v>5439</v>
      </c>
      <c r="E354" s="44">
        <v>5</v>
      </c>
      <c r="F354" s="7"/>
      <c r="G354" s="7"/>
      <c r="H354" s="2" t="s">
        <v>5409</v>
      </c>
      <c r="I354" s="7" t="s">
        <v>3041</v>
      </c>
      <c r="J354" s="7" t="s">
        <v>5433</v>
      </c>
      <c r="K354" s="7" t="s">
        <v>139</v>
      </c>
      <c r="L354" s="7" t="s">
        <v>5441</v>
      </c>
      <c r="M354" s="7" t="s">
        <v>5443</v>
      </c>
      <c r="N354" s="45" t="str">
        <f t="shared" si="266"/>
        <v>@Ferris_Sball</v>
      </c>
      <c r="O354" s="45" t="str">
        <f t="shared" si="267"/>
        <v>Questionnaire</v>
      </c>
      <c r="P354" s="7" t="s">
        <v>5417</v>
      </c>
      <c r="Q354" s="36" t="s">
        <v>4538</v>
      </c>
      <c r="R354" s="6" t="s">
        <v>5419</v>
      </c>
      <c r="S354" s="4" t="s">
        <v>172</v>
      </c>
      <c r="T354" s="4" t="s">
        <v>74</v>
      </c>
      <c r="U354" s="4" t="s">
        <v>75</v>
      </c>
      <c r="V354" s="7"/>
      <c r="W354" s="37">
        <v>3.24</v>
      </c>
      <c r="X354" s="7" t="s">
        <v>5423</v>
      </c>
      <c r="Y354" s="7" t="s">
        <v>1648</v>
      </c>
      <c r="Z354" s="4" t="s">
        <v>746</v>
      </c>
      <c r="AA354" s="65">
        <v>0.78</v>
      </c>
      <c r="AB354" s="6" t="s">
        <v>5425</v>
      </c>
      <c r="AC354" s="66" t="s">
        <v>5417</v>
      </c>
      <c r="AD354" s="67" t="str">
        <f t="shared" si="268"/>
        <v>Link</v>
      </c>
      <c r="AE354" s="42">
        <v>12866</v>
      </c>
      <c r="AF354" s="55"/>
      <c r="AG354" s="7"/>
      <c r="AH354" s="56">
        <v>169910</v>
      </c>
      <c r="AI354" s="7"/>
      <c r="AJ354" s="7"/>
      <c r="AK354" s="7"/>
      <c r="AL354" s="7"/>
    </row>
    <row r="355" spans="1:38" ht="13" x14ac:dyDescent="0.15">
      <c r="A355" s="36" t="s">
        <v>4592</v>
      </c>
      <c r="B355" s="110" t="s">
        <v>4553</v>
      </c>
      <c r="C355" s="7" t="s">
        <v>41</v>
      </c>
      <c r="D355" s="7" t="s">
        <v>5446</v>
      </c>
      <c r="E355" s="44">
        <v>5</v>
      </c>
      <c r="F355" s="7"/>
      <c r="G355" s="7"/>
      <c r="H355" s="2" t="s">
        <v>5449</v>
      </c>
      <c r="I355" s="7" t="s">
        <v>1092</v>
      </c>
      <c r="J355" s="7" t="s">
        <v>2002</v>
      </c>
      <c r="K355" s="7" t="s">
        <v>55</v>
      </c>
      <c r="L355" s="7" t="s">
        <v>5453</v>
      </c>
      <c r="M355" s="7" t="s">
        <v>5455</v>
      </c>
      <c r="N355" s="45" t="str">
        <f t="shared" ref="N355:N358" si="269">HYPERLINK("twitter.com/gvsusoftball","@gvsusoftball")</f>
        <v>@gvsusoftball</v>
      </c>
      <c r="O355" s="48" t="s">
        <v>22</v>
      </c>
      <c r="P355" s="48" t="s">
        <v>5457</v>
      </c>
      <c r="Q355" s="47" t="s">
        <v>4538</v>
      </c>
      <c r="R355" s="48" t="s">
        <v>5458</v>
      </c>
      <c r="S355" s="48" t="s">
        <v>172</v>
      </c>
      <c r="T355" s="73" t="s">
        <v>74</v>
      </c>
      <c r="U355" s="7" t="s">
        <v>75</v>
      </c>
      <c r="V355" s="7"/>
      <c r="W355" s="44">
        <v>3.52</v>
      </c>
      <c r="X355" s="49" t="s">
        <v>5460</v>
      </c>
      <c r="Y355" s="49" t="s">
        <v>2141</v>
      </c>
      <c r="Z355" s="49" t="s">
        <v>1650</v>
      </c>
      <c r="AA355" s="61">
        <v>0.82</v>
      </c>
      <c r="AB355" s="48" t="s">
        <v>5462</v>
      </c>
      <c r="AC355" s="62" t="s">
        <v>5457</v>
      </c>
      <c r="AD355" s="53" t="str">
        <f t="shared" ref="AD355:AD358" si="270">HYPERLINK("https://www.gvsu.edu/acad-index.htm","Link")</f>
        <v>Link</v>
      </c>
      <c r="AE355" s="54">
        <v>22209</v>
      </c>
      <c r="AF355" s="55"/>
      <c r="AG355" s="7"/>
      <c r="AH355" s="56">
        <v>170082</v>
      </c>
      <c r="AI355" s="7"/>
      <c r="AJ355" s="7"/>
      <c r="AK355" s="7"/>
      <c r="AL355" s="7"/>
    </row>
    <row r="356" spans="1:38" ht="13" x14ac:dyDescent="0.15">
      <c r="A356" s="36" t="s">
        <v>4592</v>
      </c>
      <c r="B356" s="110" t="s">
        <v>4553</v>
      </c>
      <c r="C356" s="7" t="s">
        <v>41</v>
      </c>
      <c r="D356" s="7" t="s">
        <v>5469</v>
      </c>
      <c r="E356" s="44">
        <v>5</v>
      </c>
      <c r="F356" s="7"/>
      <c r="G356" s="7"/>
      <c r="H356" s="2" t="s">
        <v>5449</v>
      </c>
      <c r="I356" s="7" t="s">
        <v>5470</v>
      </c>
      <c r="J356" s="7" t="s">
        <v>5471</v>
      </c>
      <c r="K356" s="7" t="s">
        <v>55</v>
      </c>
      <c r="L356" s="7"/>
      <c r="M356" s="7"/>
      <c r="N356" s="45" t="str">
        <f t="shared" si="269"/>
        <v>@gvsusoftball</v>
      </c>
      <c r="O356" s="48" t="s">
        <v>22</v>
      </c>
      <c r="P356" s="48" t="s">
        <v>5457</v>
      </c>
      <c r="Q356" s="47" t="s">
        <v>4538</v>
      </c>
      <c r="R356" s="48" t="s">
        <v>5458</v>
      </c>
      <c r="S356" s="48" t="s">
        <v>172</v>
      </c>
      <c r="T356" s="73" t="s">
        <v>74</v>
      </c>
      <c r="U356" s="7" t="s">
        <v>75</v>
      </c>
      <c r="V356" s="7"/>
      <c r="W356" s="44">
        <v>3.52</v>
      </c>
      <c r="X356" s="49" t="s">
        <v>5460</v>
      </c>
      <c r="Y356" s="49" t="s">
        <v>2141</v>
      </c>
      <c r="Z356" s="49" t="s">
        <v>1650</v>
      </c>
      <c r="AA356" s="61">
        <v>0.82</v>
      </c>
      <c r="AB356" s="48" t="s">
        <v>5462</v>
      </c>
      <c r="AC356" s="62" t="s">
        <v>5457</v>
      </c>
      <c r="AD356" s="53" t="str">
        <f t="shared" si="270"/>
        <v>Link</v>
      </c>
      <c r="AE356" s="54">
        <v>22209</v>
      </c>
      <c r="AF356" s="55"/>
      <c r="AG356" s="7"/>
      <c r="AH356" s="56">
        <v>170082</v>
      </c>
      <c r="AI356" s="7"/>
      <c r="AJ356" s="7"/>
      <c r="AK356" s="7"/>
      <c r="AL356" s="7"/>
    </row>
    <row r="357" spans="1:38" ht="13" x14ac:dyDescent="0.15">
      <c r="A357" s="36" t="s">
        <v>4592</v>
      </c>
      <c r="B357" s="110" t="s">
        <v>4553</v>
      </c>
      <c r="C357" s="7" t="s">
        <v>41</v>
      </c>
      <c r="D357" s="7" t="s">
        <v>5476</v>
      </c>
      <c r="E357" s="44">
        <v>5</v>
      </c>
      <c r="F357" s="7"/>
      <c r="G357" s="7"/>
      <c r="H357" s="2" t="s">
        <v>5449</v>
      </c>
      <c r="I357" s="7" t="s">
        <v>5477</v>
      </c>
      <c r="J357" s="7" t="s">
        <v>5478</v>
      </c>
      <c r="K357" s="7" t="s">
        <v>55</v>
      </c>
      <c r="L357" s="7"/>
      <c r="M357" s="7"/>
      <c r="N357" s="45" t="str">
        <f t="shared" si="269"/>
        <v>@gvsusoftball</v>
      </c>
      <c r="O357" s="48" t="s">
        <v>22</v>
      </c>
      <c r="P357" s="48" t="s">
        <v>5457</v>
      </c>
      <c r="Q357" s="47" t="s">
        <v>4538</v>
      </c>
      <c r="R357" s="48" t="s">
        <v>5458</v>
      </c>
      <c r="S357" s="48" t="s">
        <v>172</v>
      </c>
      <c r="T357" s="73" t="s">
        <v>74</v>
      </c>
      <c r="U357" s="7" t="s">
        <v>75</v>
      </c>
      <c r="V357" s="7"/>
      <c r="W357" s="44">
        <v>3.52</v>
      </c>
      <c r="X357" s="49" t="s">
        <v>5460</v>
      </c>
      <c r="Y357" s="49" t="s">
        <v>2141</v>
      </c>
      <c r="Z357" s="49" t="s">
        <v>1650</v>
      </c>
      <c r="AA357" s="61">
        <v>0.82</v>
      </c>
      <c r="AB357" s="48" t="s">
        <v>5462</v>
      </c>
      <c r="AC357" s="62" t="s">
        <v>5457</v>
      </c>
      <c r="AD357" s="53" t="str">
        <f t="shared" si="270"/>
        <v>Link</v>
      </c>
      <c r="AE357" s="54">
        <v>22209</v>
      </c>
      <c r="AF357" s="55"/>
      <c r="AG357" s="7"/>
      <c r="AH357" s="56">
        <v>170082</v>
      </c>
      <c r="AI357" s="7"/>
      <c r="AJ357" s="7"/>
      <c r="AK357" s="7"/>
      <c r="AL357" s="7"/>
    </row>
    <row r="358" spans="1:38" ht="13" x14ac:dyDescent="0.15">
      <c r="A358" s="36" t="s">
        <v>4592</v>
      </c>
      <c r="B358" s="110" t="s">
        <v>4553</v>
      </c>
      <c r="C358" s="7" t="s">
        <v>41</v>
      </c>
      <c r="D358" s="7" t="s">
        <v>5486</v>
      </c>
      <c r="E358" s="44">
        <v>5</v>
      </c>
      <c r="F358" s="7"/>
      <c r="G358" s="7"/>
      <c r="H358" s="2" t="s">
        <v>5449</v>
      </c>
      <c r="I358" s="7" t="s">
        <v>847</v>
      </c>
      <c r="J358" s="7" t="s">
        <v>5488</v>
      </c>
      <c r="K358" s="7" t="s">
        <v>48</v>
      </c>
      <c r="L358" s="7" t="s">
        <v>5489</v>
      </c>
      <c r="M358" s="7" t="s">
        <v>5490</v>
      </c>
      <c r="N358" s="45" t="str">
        <f t="shared" si="269"/>
        <v>@gvsusoftball</v>
      </c>
      <c r="O358" s="48" t="s">
        <v>22</v>
      </c>
      <c r="P358" s="48" t="s">
        <v>5457</v>
      </c>
      <c r="Q358" s="47" t="s">
        <v>4538</v>
      </c>
      <c r="R358" s="48" t="s">
        <v>5458</v>
      </c>
      <c r="S358" s="48" t="s">
        <v>172</v>
      </c>
      <c r="T358" s="73" t="s">
        <v>74</v>
      </c>
      <c r="U358" s="7" t="s">
        <v>75</v>
      </c>
      <c r="V358" s="7"/>
      <c r="W358" s="44">
        <v>3.52</v>
      </c>
      <c r="X358" s="49" t="s">
        <v>5460</v>
      </c>
      <c r="Y358" s="49" t="s">
        <v>2141</v>
      </c>
      <c r="Z358" s="49" t="s">
        <v>1650</v>
      </c>
      <c r="AA358" s="61">
        <v>0.82</v>
      </c>
      <c r="AB358" s="48" t="s">
        <v>5462</v>
      </c>
      <c r="AC358" s="62" t="s">
        <v>5457</v>
      </c>
      <c r="AD358" s="53" t="str">
        <f t="shared" si="270"/>
        <v>Link</v>
      </c>
      <c r="AE358" s="54">
        <v>22209</v>
      </c>
      <c r="AF358" s="55"/>
      <c r="AG358" s="7"/>
      <c r="AH358" s="56">
        <v>170082</v>
      </c>
      <c r="AI358" s="7"/>
      <c r="AJ358" s="7"/>
      <c r="AK358" s="7"/>
      <c r="AL358" s="7"/>
    </row>
    <row r="359" spans="1:38" ht="13" x14ac:dyDescent="0.15">
      <c r="A359" s="36" t="s">
        <v>5090</v>
      </c>
      <c r="B359" s="110" t="s">
        <v>4553</v>
      </c>
      <c r="C359" s="7" t="s">
        <v>41</v>
      </c>
      <c r="D359" s="7" t="s">
        <v>5497</v>
      </c>
      <c r="E359" s="44">
        <v>5</v>
      </c>
      <c r="F359" s="7"/>
      <c r="G359" s="7"/>
      <c r="H359" s="2" t="s">
        <v>5498</v>
      </c>
      <c r="I359" s="7" t="s">
        <v>1726</v>
      </c>
      <c r="J359" s="7" t="s">
        <v>5499</v>
      </c>
      <c r="K359" s="7" t="s">
        <v>55</v>
      </c>
      <c r="L359" s="7" t="s">
        <v>5500</v>
      </c>
      <c r="M359" s="7" t="s">
        <v>5501</v>
      </c>
      <c r="N359" s="45" t="str">
        <f t="shared" ref="N359:N361" si="271">HYPERLINK("twitter.com/hcsbchargers","@hcsbchargers")</f>
        <v>@hcsbchargers</v>
      </c>
      <c r="O359" s="48" t="s">
        <v>22</v>
      </c>
      <c r="P359" s="48" t="s">
        <v>5503</v>
      </c>
      <c r="Q359" s="47" t="s">
        <v>4538</v>
      </c>
      <c r="R359" s="48" t="s">
        <v>5503</v>
      </c>
      <c r="S359" s="60" t="s">
        <v>205</v>
      </c>
      <c r="T359" s="49" t="s">
        <v>63</v>
      </c>
      <c r="U359" s="7" t="s">
        <v>1028</v>
      </c>
      <c r="V359" s="7"/>
      <c r="W359" s="44">
        <v>3.77</v>
      </c>
      <c r="X359" s="49" t="s">
        <v>4673</v>
      </c>
      <c r="Y359" s="49" t="s">
        <v>178</v>
      </c>
      <c r="Z359" s="49" t="s">
        <v>5510</v>
      </c>
      <c r="AA359" s="61">
        <v>0.45</v>
      </c>
      <c r="AB359" s="71">
        <v>38922</v>
      </c>
      <c r="AC359" s="92" t="s">
        <v>5503</v>
      </c>
      <c r="AD359" s="53" t="str">
        <f t="shared" ref="AD359:AD361" si="272">HYPERLINK("https://www.hillsdale.edu/academics/majors-minors/","Link")</f>
        <v>Link</v>
      </c>
      <c r="AE359" s="54">
        <v>1486</v>
      </c>
      <c r="AF359" s="55"/>
      <c r="AG359" s="44">
        <v>71</v>
      </c>
      <c r="AH359" s="56">
        <v>170286</v>
      </c>
      <c r="AI359" s="7"/>
      <c r="AJ359" s="7"/>
      <c r="AK359" s="7"/>
      <c r="AL359" s="7"/>
    </row>
    <row r="360" spans="1:38" ht="13" x14ac:dyDescent="0.15">
      <c r="A360" s="36" t="s">
        <v>5090</v>
      </c>
      <c r="B360" s="110" t="s">
        <v>4553</v>
      </c>
      <c r="C360" s="7" t="s">
        <v>41</v>
      </c>
      <c r="D360" s="7" t="s">
        <v>5514</v>
      </c>
      <c r="E360" s="44">
        <v>5</v>
      </c>
      <c r="F360" s="7"/>
      <c r="G360" s="7"/>
      <c r="H360" s="2" t="s">
        <v>5498</v>
      </c>
      <c r="I360" s="7" t="s">
        <v>2122</v>
      </c>
      <c r="J360" s="7" t="s">
        <v>443</v>
      </c>
      <c r="K360" s="7" t="s">
        <v>55</v>
      </c>
      <c r="L360" s="7" t="s">
        <v>5519</v>
      </c>
      <c r="M360" s="7"/>
      <c r="N360" s="45" t="str">
        <f t="shared" si="271"/>
        <v>@hcsbchargers</v>
      </c>
      <c r="O360" s="48" t="s">
        <v>22</v>
      </c>
      <c r="P360" s="48" t="s">
        <v>5503</v>
      </c>
      <c r="Q360" s="47" t="s">
        <v>4538</v>
      </c>
      <c r="R360" s="48" t="s">
        <v>5503</v>
      </c>
      <c r="S360" s="60" t="s">
        <v>205</v>
      </c>
      <c r="T360" s="49" t="s">
        <v>63</v>
      </c>
      <c r="U360" s="7" t="s">
        <v>1028</v>
      </c>
      <c r="V360" s="7"/>
      <c r="W360" s="44">
        <v>3.77</v>
      </c>
      <c r="X360" s="49" t="s">
        <v>4673</v>
      </c>
      <c r="Y360" s="49" t="s">
        <v>178</v>
      </c>
      <c r="Z360" s="49" t="s">
        <v>5510</v>
      </c>
      <c r="AA360" s="61">
        <v>0.45</v>
      </c>
      <c r="AB360" s="71">
        <v>38922</v>
      </c>
      <c r="AC360" s="92" t="s">
        <v>5503</v>
      </c>
      <c r="AD360" s="53" t="str">
        <f t="shared" si="272"/>
        <v>Link</v>
      </c>
      <c r="AE360" s="54">
        <v>1486</v>
      </c>
      <c r="AF360" s="55"/>
      <c r="AG360" s="44">
        <v>71</v>
      </c>
      <c r="AH360" s="56">
        <v>170286</v>
      </c>
      <c r="AI360" s="7"/>
      <c r="AJ360" s="7"/>
      <c r="AK360" s="7"/>
      <c r="AL360" s="7"/>
    </row>
    <row r="361" spans="1:38" ht="13" x14ac:dyDescent="0.15">
      <c r="A361" s="36" t="s">
        <v>5090</v>
      </c>
      <c r="B361" s="110" t="s">
        <v>4553</v>
      </c>
      <c r="C361" s="7" t="s">
        <v>41</v>
      </c>
      <c r="D361" s="7" t="s">
        <v>5527</v>
      </c>
      <c r="E361" s="44">
        <v>5</v>
      </c>
      <c r="F361" s="7"/>
      <c r="G361" s="7"/>
      <c r="H361" s="2" t="s">
        <v>5498</v>
      </c>
      <c r="I361" s="7" t="s">
        <v>150</v>
      </c>
      <c r="J361" s="7" t="s">
        <v>443</v>
      </c>
      <c r="K361" s="7" t="s">
        <v>48</v>
      </c>
      <c r="L361" s="7" t="s">
        <v>5530</v>
      </c>
      <c r="M361" s="7" t="s">
        <v>5531</v>
      </c>
      <c r="N361" s="45" t="str">
        <f t="shared" si="271"/>
        <v>@hcsbchargers</v>
      </c>
      <c r="O361" s="48" t="s">
        <v>22</v>
      </c>
      <c r="P361" s="48" t="s">
        <v>5503</v>
      </c>
      <c r="Q361" s="47" t="s">
        <v>4538</v>
      </c>
      <c r="R361" s="48" t="s">
        <v>5503</v>
      </c>
      <c r="S361" s="60" t="s">
        <v>205</v>
      </c>
      <c r="T361" s="49" t="s">
        <v>63</v>
      </c>
      <c r="U361" s="7" t="s">
        <v>1028</v>
      </c>
      <c r="V361" s="7"/>
      <c r="W361" s="44">
        <v>3.77</v>
      </c>
      <c r="X361" s="49" t="s">
        <v>4673</v>
      </c>
      <c r="Y361" s="49" t="s">
        <v>178</v>
      </c>
      <c r="Z361" s="49" t="s">
        <v>5510</v>
      </c>
      <c r="AA361" s="61">
        <v>0.45</v>
      </c>
      <c r="AB361" s="71">
        <v>38922</v>
      </c>
      <c r="AC361" s="92" t="s">
        <v>5503</v>
      </c>
      <c r="AD361" s="53" t="str">
        <f t="shared" si="272"/>
        <v>Link</v>
      </c>
      <c r="AE361" s="54">
        <v>1486</v>
      </c>
      <c r="AF361" s="55"/>
      <c r="AG361" s="44">
        <v>71</v>
      </c>
      <c r="AH361" s="56">
        <v>170286</v>
      </c>
      <c r="AI361" s="7"/>
      <c r="AJ361" s="7"/>
      <c r="AK361" s="7"/>
      <c r="AL361" s="7"/>
    </row>
    <row r="362" spans="1:38" ht="13" x14ac:dyDescent="0.15">
      <c r="A362" s="36" t="s">
        <v>4592</v>
      </c>
      <c r="B362" s="110" t="s">
        <v>4553</v>
      </c>
      <c r="C362" s="7" t="s">
        <v>41</v>
      </c>
      <c r="D362" s="7" t="s">
        <v>5537</v>
      </c>
      <c r="E362" s="44">
        <v>5</v>
      </c>
      <c r="F362" s="7"/>
      <c r="G362" s="7"/>
      <c r="H362" s="2" t="s">
        <v>5538</v>
      </c>
      <c r="I362" s="7" t="s">
        <v>2028</v>
      </c>
      <c r="J362" s="7" t="s">
        <v>5539</v>
      </c>
      <c r="K362" s="7" t="s">
        <v>55</v>
      </c>
      <c r="L362" s="7" t="s">
        <v>5541</v>
      </c>
      <c r="M362" s="7" t="s">
        <v>5543</v>
      </c>
      <c r="N362" s="45" t="str">
        <f t="shared" ref="N362:N367" si="273">HYPERLINK("twitter.com/twolvessoftball","@twolvessoftball")</f>
        <v>@twolvessoftball</v>
      </c>
      <c r="O362" s="45" t="str">
        <f t="shared" ref="O362:O367" si="274">HYPERLINK("https://forms.northwood.edu/athletics/prospect-form/","Questionnaire")</f>
        <v>Questionnaire</v>
      </c>
      <c r="P362" s="48" t="s">
        <v>5544</v>
      </c>
      <c r="Q362" s="47" t="s">
        <v>4538</v>
      </c>
      <c r="R362" s="48" t="s">
        <v>5545</v>
      </c>
      <c r="S362" s="48" t="s">
        <v>468</v>
      </c>
      <c r="T362" s="49" t="s">
        <v>63</v>
      </c>
      <c r="U362" s="7" t="s">
        <v>75</v>
      </c>
      <c r="V362" s="7"/>
      <c r="W362" s="44">
        <v>3.23</v>
      </c>
      <c r="X362" s="49" t="s">
        <v>447</v>
      </c>
      <c r="Y362" s="49" t="s">
        <v>5423</v>
      </c>
      <c r="Z362" s="49" t="s">
        <v>240</v>
      </c>
      <c r="AA362" s="61">
        <v>0.67</v>
      </c>
      <c r="AB362" s="71">
        <v>39098</v>
      </c>
      <c r="AC362" s="62" t="s">
        <v>5544</v>
      </c>
      <c r="AD362" s="53" t="str">
        <f t="shared" ref="AD362:AD367" si="275">HYPERLINK("http://www.northwood.edu/academics/undergraduate","Link")</f>
        <v>Link</v>
      </c>
      <c r="AE362" s="54">
        <v>3050</v>
      </c>
      <c r="AF362" s="55"/>
      <c r="AG362" s="7"/>
      <c r="AH362" s="56">
        <v>171492</v>
      </c>
      <c r="AI362" s="7"/>
      <c r="AJ362" s="7"/>
      <c r="AK362" s="7"/>
      <c r="AL362" s="7"/>
    </row>
    <row r="363" spans="1:38" ht="13" x14ac:dyDescent="0.15">
      <c r="A363" s="36" t="s">
        <v>4592</v>
      </c>
      <c r="B363" s="110" t="s">
        <v>4553</v>
      </c>
      <c r="C363" s="7" t="s">
        <v>41</v>
      </c>
      <c r="D363" s="7" t="s">
        <v>5550</v>
      </c>
      <c r="E363" s="44">
        <v>5</v>
      </c>
      <c r="F363" s="7"/>
      <c r="G363" s="7"/>
      <c r="H363" s="2" t="s">
        <v>5538</v>
      </c>
      <c r="I363" s="7" t="s">
        <v>2028</v>
      </c>
      <c r="J363" s="7" t="s">
        <v>5539</v>
      </c>
      <c r="K363" s="7" t="s">
        <v>55</v>
      </c>
      <c r="L363" s="7" t="s">
        <v>5541</v>
      </c>
      <c r="M363" s="7" t="s">
        <v>5543</v>
      </c>
      <c r="N363" s="45" t="str">
        <f t="shared" si="273"/>
        <v>@twolvessoftball</v>
      </c>
      <c r="O363" s="45" t="str">
        <f t="shared" si="274"/>
        <v>Questionnaire</v>
      </c>
      <c r="P363" s="48" t="s">
        <v>5544</v>
      </c>
      <c r="Q363" s="47" t="s">
        <v>4538</v>
      </c>
      <c r="R363" s="48" t="s">
        <v>5545</v>
      </c>
      <c r="S363" s="48" t="s">
        <v>468</v>
      </c>
      <c r="T363" s="49" t="s">
        <v>63</v>
      </c>
      <c r="U363" s="7" t="s">
        <v>75</v>
      </c>
      <c r="V363" s="7"/>
      <c r="W363" s="44">
        <v>3.23</v>
      </c>
      <c r="X363" s="49" t="s">
        <v>447</v>
      </c>
      <c r="Y363" s="49" t="s">
        <v>5423</v>
      </c>
      <c r="Z363" s="49" t="s">
        <v>240</v>
      </c>
      <c r="AA363" s="61">
        <v>0.67</v>
      </c>
      <c r="AB363" s="71">
        <v>39098</v>
      </c>
      <c r="AC363" s="62" t="s">
        <v>5544</v>
      </c>
      <c r="AD363" s="53" t="str">
        <f t="shared" si="275"/>
        <v>Link</v>
      </c>
      <c r="AE363" s="54">
        <v>3050</v>
      </c>
      <c r="AF363" s="55"/>
      <c r="AG363" s="7"/>
      <c r="AH363" s="56">
        <v>171492</v>
      </c>
      <c r="AI363" s="7"/>
      <c r="AJ363" s="7"/>
      <c r="AK363" s="7"/>
      <c r="AL363" s="7"/>
    </row>
    <row r="364" spans="1:38" ht="13" x14ac:dyDescent="0.15">
      <c r="A364" s="36" t="s">
        <v>4592</v>
      </c>
      <c r="B364" s="110" t="s">
        <v>4553</v>
      </c>
      <c r="C364" s="7" t="s">
        <v>41</v>
      </c>
      <c r="D364" s="7" t="s">
        <v>5556</v>
      </c>
      <c r="E364" s="44">
        <v>5</v>
      </c>
      <c r="F364" s="7"/>
      <c r="G364" s="7"/>
      <c r="H364" s="2" t="s">
        <v>5538</v>
      </c>
      <c r="I364" s="7" t="s">
        <v>5557</v>
      </c>
      <c r="J364" s="7" t="s">
        <v>5558</v>
      </c>
      <c r="K364" s="7" t="s">
        <v>120</v>
      </c>
      <c r="L364" s="7" t="s">
        <v>5560</v>
      </c>
      <c r="M364" s="7"/>
      <c r="N364" s="45" t="str">
        <f t="shared" si="273"/>
        <v>@twolvessoftball</v>
      </c>
      <c r="O364" s="45" t="str">
        <f t="shared" si="274"/>
        <v>Questionnaire</v>
      </c>
      <c r="P364" s="48" t="s">
        <v>5544</v>
      </c>
      <c r="Q364" s="47" t="s">
        <v>4538</v>
      </c>
      <c r="R364" s="48" t="s">
        <v>5545</v>
      </c>
      <c r="S364" s="48" t="s">
        <v>468</v>
      </c>
      <c r="T364" s="49" t="s">
        <v>63</v>
      </c>
      <c r="U364" s="7" t="s">
        <v>75</v>
      </c>
      <c r="V364" s="7"/>
      <c r="W364" s="44">
        <v>3.23</v>
      </c>
      <c r="X364" s="49" t="s">
        <v>447</v>
      </c>
      <c r="Y364" s="49" t="s">
        <v>5423</v>
      </c>
      <c r="Z364" s="49" t="s">
        <v>240</v>
      </c>
      <c r="AA364" s="61">
        <v>0.67</v>
      </c>
      <c r="AB364" s="71">
        <v>39098</v>
      </c>
      <c r="AC364" s="62" t="s">
        <v>5544</v>
      </c>
      <c r="AD364" s="53" t="str">
        <f t="shared" si="275"/>
        <v>Link</v>
      </c>
      <c r="AE364" s="54">
        <v>3050</v>
      </c>
      <c r="AF364" s="55"/>
      <c r="AG364" s="7"/>
      <c r="AH364" s="56">
        <v>171492</v>
      </c>
      <c r="AI364" s="7"/>
      <c r="AJ364" s="7"/>
      <c r="AK364" s="7"/>
      <c r="AL364" s="7"/>
    </row>
    <row r="365" spans="1:38" ht="13" x14ac:dyDescent="0.15">
      <c r="A365" s="36" t="s">
        <v>4592</v>
      </c>
      <c r="B365" s="110" t="s">
        <v>4553</v>
      </c>
      <c r="C365" s="7" t="s">
        <v>41</v>
      </c>
      <c r="D365" s="7" t="s">
        <v>5570</v>
      </c>
      <c r="E365" s="44">
        <v>5</v>
      </c>
      <c r="F365" s="7"/>
      <c r="G365" s="7"/>
      <c r="H365" s="2" t="s">
        <v>5538</v>
      </c>
      <c r="I365" s="7" t="s">
        <v>5557</v>
      </c>
      <c r="J365" s="7" t="s">
        <v>5558</v>
      </c>
      <c r="K365" s="7" t="s">
        <v>120</v>
      </c>
      <c r="L365" s="7" t="s">
        <v>5560</v>
      </c>
      <c r="M365" s="7"/>
      <c r="N365" s="45" t="str">
        <f t="shared" si="273"/>
        <v>@twolvessoftball</v>
      </c>
      <c r="O365" s="45" t="str">
        <f t="shared" si="274"/>
        <v>Questionnaire</v>
      </c>
      <c r="P365" s="48" t="s">
        <v>5544</v>
      </c>
      <c r="Q365" s="47" t="s">
        <v>4538</v>
      </c>
      <c r="R365" s="48" t="s">
        <v>5545</v>
      </c>
      <c r="S365" s="48" t="s">
        <v>468</v>
      </c>
      <c r="T365" s="49" t="s">
        <v>63</v>
      </c>
      <c r="U365" s="7" t="s">
        <v>75</v>
      </c>
      <c r="V365" s="7"/>
      <c r="W365" s="44">
        <v>3.23</v>
      </c>
      <c r="X365" s="49" t="s">
        <v>447</v>
      </c>
      <c r="Y365" s="49" t="s">
        <v>5423</v>
      </c>
      <c r="Z365" s="49" t="s">
        <v>240</v>
      </c>
      <c r="AA365" s="61">
        <v>0.67</v>
      </c>
      <c r="AB365" s="71">
        <v>39098</v>
      </c>
      <c r="AC365" s="62" t="s">
        <v>5544</v>
      </c>
      <c r="AD365" s="53" t="str">
        <f t="shared" si="275"/>
        <v>Link</v>
      </c>
      <c r="AE365" s="54">
        <v>3050</v>
      </c>
      <c r="AF365" s="55"/>
      <c r="AG365" s="7"/>
      <c r="AH365" s="56">
        <v>171492</v>
      </c>
      <c r="AI365" s="7"/>
      <c r="AJ365" s="7"/>
      <c r="AK365" s="7"/>
      <c r="AL365" s="7"/>
    </row>
    <row r="366" spans="1:38" ht="13" x14ac:dyDescent="0.15">
      <c r="A366" s="36" t="s">
        <v>4592</v>
      </c>
      <c r="B366" s="110" t="s">
        <v>4553</v>
      </c>
      <c r="C366" s="7" t="s">
        <v>41</v>
      </c>
      <c r="D366" s="7" t="s">
        <v>5579</v>
      </c>
      <c r="E366" s="44">
        <v>5</v>
      </c>
      <c r="F366" s="7"/>
      <c r="G366" s="7"/>
      <c r="H366" s="2" t="s">
        <v>5538</v>
      </c>
      <c r="I366" s="7" t="s">
        <v>5580</v>
      </c>
      <c r="J366" s="7" t="s">
        <v>5581</v>
      </c>
      <c r="K366" s="7" t="s">
        <v>48</v>
      </c>
      <c r="L366" s="7" t="s">
        <v>5583</v>
      </c>
      <c r="M366" s="7" t="s">
        <v>5584</v>
      </c>
      <c r="N366" s="45" t="str">
        <f t="shared" si="273"/>
        <v>@twolvessoftball</v>
      </c>
      <c r="O366" s="45" t="str">
        <f t="shared" si="274"/>
        <v>Questionnaire</v>
      </c>
      <c r="P366" s="48" t="s">
        <v>5544</v>
      </c>
      <c r="Q366" s="47" t="s">
        <v>4538</v>
      </c>
      <c r="R366" s="48" t="s">
        <v>5545</v>
      </c>
      <c r="S366" s="48" t="s">
        <v>468</v>
      </c>
      <c r="T366" s="49" t="s">
        <v>63</v>
      </c>
      <c r="U366" s="7" t="s">
        <v>75</v>
      </c>
      <c r="V366" s="7"/>
      <c r="W366" s="44">
        <v>3.23</v>
      </c>
      <c r="X366" s="49" t="s">
        <v>447</v>
      </c>
      <c r="Y366" s="49" t="s">
        <v>5423</v>
      </c>
      <c r="Z366" s="49" t="s">
        <v>240</v>
      </c>
      <c r="AA366" s="61">
        <v>0.67</v>
      </c>
      <c r="AB366" s="71">
        <v>39098</v>
      </c>
      <c r="AC366" s="62" t="s">
        <v>5544</v>
      </c>
      <c r="AD366" s="53" t="str">
        <f t="shared" si="275"/>
        <v>Link</v>
      </c>
      <c r="AE366" s="54">
        <v>3050</v>
      </c>
      <c r="AF366" s="55"/>
      <c r="AG366" s="7"/>
      <c r="AH366" s="56">
        <v>171492</v>
      </c>
      <c r="AI366" s="7"/>
      <c r="AJ366" s="7"/>
      <c r="AK366" s="7"/>
      <c r="AL366" s="7"/>
    </row>
    <row r="367" spans="1:38" ht="13" x14ac:dyDescent="0.15">
      <c r="A367" s="36" t="s">
        <v>4592</v>
      </c>
      <c r="B367" s="110" t="s">
        <v>4553</v>
      </c>
      <c r="C367" s="7" t="s">
        <v>41</v>
      </c>
      <c r="D367" s="7" t="s">
        <v>5591</v>
      </c>
      <c r="E367" s="44">
        <v>5</v>
      </c>
      <c r="F367" s="7"/>
      <c r="G367" s="7"/>
      <c r="H367" s="2" t="s">
        <v>5538</v>
      </c>
      <c r="I367" s="7" t="s">
        <v>5580</v>
      </c>
      <c r="J367" s="7" t="s">
        <v>5581</v>
      </c>
      <c r="K367" s="7" t="s">
        <v>48</v>
      </c>
      <c r="L367" s="7" t="s">
        <v>5583</v>
      </c>
      <c r="M367" s="7" t="s">
        <v>5584</v>
      </c>
      <c r="N367" s="45" t="str">
        <f t="shared" si="273"/>
        <v>@twolvessoftball</v>
      </c>
      <c r="O367" s="45" t="str">
        <f t="shared" si="274"/>
        <v>Questionnaire</v>
      </c>
      <c r="P367" s="48" t="s">
        <v>5544</v>
      </c>
      <c r="Q367" s="47" t="s">
        <v>4538</v>
      </c>
      <c r="R367" s="48" t="s">
        <v>5545</v>
      </c>
      <c r="S367" s="48" t="s">
        <v>468</v>
      </c>
      <c r="T367" s="49" t="s">
        <v>63</v>
      </c>
      <c r="U367" s="7" t="s">
        <v>75</v>
      </c>
      <c r="V367" s="7"/>
      <c r="W367" s="44">
        <v>3.23</v>
      </c>
      <c r="X367" s="49" t="s">
        <v>447</v>
      </c>
      <c r="Y367" s="49" t="s">
        <v>5423</v>
      </c>
      <c r="Z367" s="49" t="s">
        <v>240</v>
      </c>
      <c r="AA367" s="61">
        <v>0.67</v>
      </c>
      <c r="AB367" s="71">
        <v>39098</v>
      </c>
      <c r="AC367" s="62" t="s">
        <v>5544</v>
      </c>
      <c r="AD367" s="53" t="str">
        <f t="shared" si="275"/>
        <v>Link</v>
      </c>
      <c r="AE367" s="54">
        <v>3050</v>
      </c>
      <c r="AF367" s="55"/>
      <c r="AG367" s="7"/>
      <c r="AH367" s="56">
        <v>171492</v>
      </c>
      <c r="AI367" s="7"/>
      <c r="AJ367" s="7"/>
      <c r="AK367" s="7"/>
      <c r="AL367" s="7"/>
    </row>
    <row r="368" spans="1:38" ht="15" x14ac:dyDescent="0.2">
      <c r="A368" s="36" t="s">
        <v>4592</v>
      </c>
      <c r="B368" s="110" t="s">
        <v>4553</v>
      </c>
      <c r="C368" s="7" t="s">
        <v>41</v>
      </c>
      <c r="D368" s="7" t="s">
        <v>5600</v>
      </c>
      <c r="E368" s="44">
        <v>5</v>
      </c>
      <c r="F368" s="7"/>
      <c r="G368" s="7"/>
      <c r="H368" s="2" t="s">
        <v>5601</v>
      </c>
      <c r="I368" s="7" t="s">
        <v>5602</v>
      </c>
      <c r="J368" s="7" t="s">
        <v>5603</v>
      </c>
      <c r="K368" s="7" t="s">
        <v>55</v>
      </c>
      <c r="L368" s="7" t="s">
        <v>5604</v>
      </c>
      <c r="M368" s="7"/>
      <c r="N368" s="45" t="str">
        <f t="shared" ref="N368:N372" si="276">HYPERLINK("twitter.com/svsu_softball","@svsu_softball")</f>
        <v>@svsu_softball</v>
      </c>
      <c r="O368" s="45" t="str">
        <f t="shared" ref="O368:O372" si="277">HYPERLINK("https://www.svsucardinals.com/information/Compliance/RecruitingForms","Questionnaire")</f>
        <v>Questionnaire</v>
      </c>
      <c r="P368" s="48" t="s">
        <v>5612</v>
      </c>
      <c r="Q368" s="47" t="s">
        <v>4538</v>
      </c>
      <c r="R368" s="48" t="s">
        <v>5613</v>
      </c>
      <c r="S368" s="60" t="s">
        <v>205</v>
      </c>
      <c r="T368" s="49" t="s">
        <v>74</v>
      </c>
      <c r="U368" s="7" t="s">
        <v>75</v>
      </c>
      <c r="V368" s="7"/>
      <c r="W368" s="44">
        <v>3.39</v>
      </c>
      <c r="X368" s="49" t="s">
        <v>5614</v>
      </c>
      <c r="Y368" s="49" t="s">
        <v>5615</v>
      </c>
      <c r="Z368" s="49" t="s">
        <v>1994</v>
      </c>
      <c r="AA368" s="61">
        <v>0.76</v>
      </c>
      <c r="AB368" s="48" t="s">
        <v>5617</v>
      </c>
      <c r="AC368" s="52" t="s">
        <v>5612</v>
      </c>
      <c r="AD368" s="53" t="str">
        <f t="shared" ref="AD368:AD372" si="278">HYPERLINK("http://www.svsu.edu/academicprograms/undergraduateprograms/","Link")</f>
        <v>Link</v>
      </c>
      <c r="AE368" s="54">
        <v>8335</v>
      </c>
      <c r="AF368" s="55"/>
      <c r="AG368" s="7"/>
      <c r="AH368" s="56">
        <v>172051</v>
      </c>
      <c r="AI368" s="7"/>
      <c r="AJ368" s="7"/>
      <c r="AK368" s="7"/>
      <c r="AL368" s="7"/>
    </row>
    <row r="369" spans="1:38" ht="15" x14ac:dyDescent="0.2">
      <c r="A369" s="36" t="s">
        <v>4592</v>
      </c>
      <c r="B369" s="110" t="s">
        <v>4553</v>
      </c>
      <c r="C369" s="7" t="s">
        <v>41</v>
      </c>
      <c r="D369" s="7" t="s">
        <v>5628</v>
      </c>
      <c r="E369" s="44">
        <v>5</v>
      </c>
      <c r="F369" s="7"/>
      <c r="G369" s="7"/>
      <c r="H369" s="2" t="s">
        <v>5601</v>
      </c>
      <c r="I369" s="7" t="s">
        <v>2200</v>
      </c>
      <c r="J369" s="7" t="s">
        <v>5629</v>
      </c>
      <c r="K369" s="7" t="s">
        <v>48</v>
      </c>
      <c r="L369" s="7" t="s">
        <v>5630</v>
      </c>
      <c r="M369" s="7" t="s">
        <v>5631</v>
      </c>
      <c r="N369" s="45" t="str">
        <f t="shared" si="276"/>
        <v>@svsu_softball</v>
      </c>
      <c r="O369" s="45" t="str">
        <f t="shared" si="277"/>
        <v>Questionnaire</v>
      </c>
      <c r="P369" s="48" t="s">
        <v>5612</v>
      </c>
      <c r="Q369" s="47" t="s">
        <v>4538</v>
      </c>
      <c r="R369" s="48" t="s">
        <v>5613</v>
      </c>
      <c r="S369" s="60" t="s">
        <v>205</v>
      </c>
      <c r="T369" s="49" t="s">
        <v>74</v>
      </c>
      <c r="U369" s="7" t="s">
        <v>75</v>
      </c>
      <c r="V369" s="7"/>
      <c r="W369" s="44">
        <v>3.39</v>
      </c>
      <c r="X369" s="49" t="s">
        <v>5614</v>
      </c>
      <c r="Y369" s="49" t="s">
        <v>5615</v>
      </c>
      <c r="Z369" s="49" t="s">
        <v>1994</v>
      </c>
      <c r="AA369" s="61">
        <v>0.76</v>
      </c>
      <c r="AB369" s="48" t="s">
        <v>5617</v>
      </c>
      <c r="AC369" s="52" t="s">
        <v>5612</v>
      </c>
      <c r="AD369" s="53" t="str">
        <f t="shared" si="278"/>
        <v>Link</v>
      </c>
      <c r="AE369" s="54">
        <v>8335</v>
      </c>
      <c r="AF369" s="55"/>
      <c r="AG369" s="7"/>
      <c r="AH369" s="56">
        <v>172051</v>
      </c>
      <c r="AI369" s="7"/>
      <c r="AJ369" s="7"/>
      <c r="AK369" s="7"/>
      <c r="AL369" s="7"/>
    </row>
    <row r="370" spans="1:38" ht="15" x14ac:dyDescent="0.2">
      <c r="A370" s="36" t="s">
        <v>4592</v>
      </c>
      <c r="B370" s="110" t="s">
        <v>4553</v>
      </c>
      <c r="C370" s="7" t="s">
        <v>41</v>
      </c>
      <c r="D370" s="7" t="s">
        <v>5638</v>
      </c>
      <c r="E370" s="44">
        <v>5</v>
      </c>
      <c r="F370" s="7"/>
      <c r="G370" s="7" t="s">
        <v>126</v>
      </c>
      <c r="H370" s="2" t="s">
        <v>5601</v>
      </c>
      <c r="I370" s="7" t="s">
        <v>5639</v>
      </c>
      <c r="J370" s="7"/>
      <c r="K370" s="7"/>
      <c r="L370" s="7"/>
      <c r="M370" s="7"/>
      <c r="N370" s="45" t="str">
        <f t="shared" si="276"/>
        <v>@svsu_softball</v>
      </c>
      <c r="O370" s="45" t="str">
        <f t="shared" si="277"/>
        <v>Questionnaire</v>
      </c>
      <c r="P370" s="48" t="s">
        <v>5612</v>
      </c>
      <c r="Q370" s="47" t="s">
        <v>4538</v>
      </c>
      <c r="R370" s="48" t="s">
        <v>5613</v>
      </c>
      <c r="S370" s="60" t="s">
        <v>205</v>
      </c>
      <c r="T370" s="49" t="s">
        <v>74</v>
      </c>
      <c r="U370" s="7" t="s">
        <v>75</v>
      </c>
      <c r="V370" s="7"/>
      <c r="W370" s="44">
        <v>3.39</v>
      </c>
      <c r="X370" s="49" t="s">
        <v>5614</v>
      </c>
      <c r="Y370" s="49" t="s">
        <v>5615</v>
      </c>
      <c r="Z370" s="49" t="s">
        <v>1994</v>
      </c>
      <c r="AA370" s="61">
        <v>0.76</v>
      </c>
      <c r="AB370" s="48" t="s">
        <v>5617</v>
      </c>
      <c r="AC370" s="52" t="s">
        <v>5612</v>
      </c>
      <c r="AD370" s="53" t="str">
        <f t="shared" si="278"/>
        <v>Link</v>
      </c>
      <c r="AE370" s="54">
        <v>8335</v>
      </c>
      <c r="AF370" s="55"/>
      <c r="AG370" s="7"/>
      <c r="AH370" s="56">
        <v>172051</v>
      </c>
      <c r="AI370" s="7"/>
      <c r="AJ370" s="7"/>
      <c r="AK370" s="7"/>
      <c r="AL370" s="7"/>
    </row>
    <row r="371" spans="1:38" ht="15" x14ac:dyDescent="0.2">
      <c r="A371" s="36" t="s">
        <v>4592</v>
      </c>
      <c r="B371" s="110" t="s">
        <v>4553</v>
      </c>
      <c r="C371" s="7" t="s">
        <v>41</v>
      </c>
      <c r="D371" s="7" t="s">
        <v>5649</v>
      </c>
      <c r="E371" s="44">
        <v>5</v>
      </c>
      <c r="F371" s="7" t="s">
        <v>116</v>
      </c>
      <c r="G371" s="7"/>
      <c r="H371" s="2" t="s">
        <v>5601</v>
      </c>
      <c r="I371" s="7" t="s">
        <v>173</v>
      </c>
      <c r="J371" s="7" t="s">
        <v>5650</v>
      </c>
      <c r="K371" s="7" t="s">
        <v>139</v>
      </c>
      <c r="L371" s="7"/>
      <c r="M371" s="7"/>
      <c r="N371" s="45" t="str">
        <f t="shared" si="276"/>
        <v>@svsu_softball</v>
      </c>
      <c r="O371" s="45" t="str">
        <f t="shared" si="277"/>
        <v>Questionnaire</v>
      </c>
      <c r="P371" s="48" t="s">
        <v>5612</v>
      </c>
      <c r="Q371" s="47" t="s">
        <v>4538</v>
      </c>
      <c r="R371" s="48" t="s">
        <v>5613</v>
      </c>
      <c r="S371" s="60" t="s">
        <v>205</v>
      </c>
      <c r="T371" s="49" t="s">
        <v>74</v>
      </c>
      <c r="U371" s="7" t="s">
        <v>75</v>
      </c>
      <c r="V371" s="7"/>
      <c r="W371" s="44">
        <v>3.39</v>
      </c>
      <c r="X371" s="49" t="s">
        <v>5614</v>
      </c>
      <c r="Y371" s="49" t="s">
        <v>5615</v>
      </c>
      <c r="Z371" s="49" t="s">
        <v>1994</v>
      </c>
      <c r="AA371" s="61">
        <v>0.76</v>
      </c>
      <c r="AB371" s="48" t="s">
        <v>5617</v>
      </c>
      <c r="AC371" s="52" t="s">
        <v>5612</v>
      </c>
      <c r="AD371" s="53" t="str">
        <f t="shared" si="278"/>
        <v>Link</v>
      </c>
      <c r="AE371" s="54">
        <v>8335</v>
      </c>
      <c r="AF371" s="55"/>
      <c r="AG371" s="7"/>
      <c r="AH371" s="111">
        <v>172051</v>
      </c>
      <c r="AI371" s="57"/>
      <c r="AJ371" s="57"/>
      <c r="AK371" s="57"/>
      <c r="AL371" s="57"/>
    </row>
    <row r="372" spans="1:38" ht="15" x14ac:dyDescent="0.2">
      <c r="A372" s="36" t="s">
        <v>4592</v>
      </c>
      <c r="B372" s="110" t="s">
        <v>4553</v>
      </c>
      <c r="C372" s="7" t="s">
        <v>41</v>
      </c>
      <c r="D372" s="7" t="s">
        <v>5659</v>
      </c>
      <c r="E372" s="44">
        <v>5</v>
      </c>
      <c r="F372" s="7" t="s">
        <v>116</v>
      </c>
      <c r="G372" s="7"/>
      <c r="H372" s="2" t="s">
        <v>5601</v>
      </c>
      <c r="I372" s="7" t="s">
        <v>1351</v>
      </c>
      <c r="J372" s="7" t="s">
        <v>5660</v>
      </c>
      <c r="K372" s="7" t="s">
        <v>139</v>
      </c>
      <c r="L372" s="7"/>
      <c r="M372" s="7"/>
      <c r="N372" s="45" t="str">
        <f t="shared" si="276"/>
        <v>@svsu_softball</v>
      </c>
      <c r="O372" s="45" t="str">
        <f t="shared" si="277"/>
        <v>Questionnaire</v>
      </c>
      <c r="P372" s="48" t="s">
        <v>5612</v>
      </c>
      <c r="Q372" s="47" t="s">
        <v>4538</v>
      </c>
      <c r="R372" s="48" t="s">
        <v>5613</v>
      </c>
      <c r="S372" s="60" t="s">
        <v>205</v>
      </c>
      <c r="T372" s="49" t="s">
        <v>74</v>
      </c>
      <c r="U372" s="7" t="s">
        <v>75</v>
      </c>
      <c r="V372" s="7"/>
      <c r="W372" s="44">
        <v>3.39</v>
      </c>
      <c r="X372" s="49" t="s">
        <v>5614</v>
      </c>
      <c r="Y372" s="49" t="s">
        <v>5615</v>
      </c>
      <c r="Z372" s="49" t="s">
        <v>1994</v>
      </c>
      <c r="AA372" s="61">
        <v>0.76</v>
      </c>
      <c r="AB372" s="48" t="s">
        <v>5617</v>
      </c>
      <c r="AC372" s="52" t="s">
        <v>5612</v>
      </c>
      <c r="AD372" s="53" t="str">
        <f t="shared" si="278"/>
        <v>Link</v>
      </c>
      <c r="AE372" s="54">
        <v>8335</v>
      </c>
      <c r="AF372" s="55"/>
      <c r="AG372" s="7"/>
      <c r="AH372" s="111">
        <v>172051</v>
      </c>
      <c r="AI372" s="57"/>
      <c r="AJ372" s="57"/>
      <c r="AK372" s="57"/>
      <c r="AL372" s="57"/>
    </row>
    <row r="373" spans="1:38" ht="13" x14ac:dyDescent="0.15">
      <c r="A373" s="36" t="s">
        <v>4592</v>
      </c>
      <c r="B373" s="110" t="s">
        <v>4553</v>
      </c>
      <c r="C373" s="7" t="s">
        <v>41</v>
      </c>
      <c r="D373" s="7" t="s">
        <v>5670</v>
      </c>
      <c r="E373" s="44">
        <v>5</v>
      </c>
      <c r="F373" s="7"/>
      <c r="G373" s="7"/>
      <c r="H373" s="2" t="s">
        <v>5671</v>
      </c>
      <c r="I373" s="7" t="s">
        <v>2608</v>
      </c>
      <c r="J373" s="7" t="s">
        <v>4159</v>
      </c>
      <c r="K373" s="7" t="s">
        <v>55</v>
      </c>
      <c r="L373" s="7" t="s">
        <v>5673</v>
      </c>
      <c r="M373" s="6" t="s">
        <v>5674</v>
      </c>
      <c r="N373" s="45" t="str">
        <f t="shared" ref="N373:N375" si="279">HYPERLINK("twitter.com/wscwildcatsb","@wscwildcatsb")</f>
        <v>@wscwildcatsb</v>
      </c>
      <c r="O373" s="45" t="str">
        <f t="shared" ref="O373:O375" si="280">HYPERLINK("https://wsuathletics.com/sports/2012/4/7/FB_0407120912.aspx","Questionnaire")</f>
        <v>Questionnaire</v>
      </c>
      <c r="P373" s="48" t="s">
        <v>5680</v>
      </c>
      <c r="Q373" s="47" t="s">
        <v>4538</v>
      </c>
      <c r="R373" s="48" t="s">
        <v>5681</v>
      </c>
      <c r="S373" s="48" t="s">
        <v>354</v>
      </c>
      <c r="T373" s="49" t="s">
        <v>74</v>
      </c>
      <c r="U373" s="7" t="s">
        <v>75</v>
      </c>
      <c r="V373" s="7"/>
      <c r="W373" s="44">
        <v>3.37</v>
      </c>
      <c r="X373" s="49" t="s">
        <v>214</v>
      </c>
      <c r="Y373" s="49" t="s">
        <v>214</v>
      </c>
      <c r="Z373" s="49" t="s">
        <v>214</v>
      </c>
      <c r="AA373" s="55" t="s">
        <v>214</v>
      </c>
      <c r="AB373" s="48" t="s">
        <v>5682</v>
      </c>
      <c r="AC373" s="62" t="s">
        <v>5680</v>
      </c>
      <c r="AD373" s="53" t="str">
        <f t="shared" ref="AD373:AD375" si="281">HYPERLINK("https://wayne.edu/programs/","Link")</f>
        <v>Link</v>
      </c>
      <c r="AE373" s="54">
        <v>2837</v>
      </c>
      <c r="AF373" s="54">
        <v>223</v>
      </c>
      <c r="AG373" s="7"/>
      <c r="AH373" s="56">
        <v>172644</v>
      </c>
      <c r="AI373" s="7"/>
      <c r="AJ373" s="7"/>
      <c r="AK373" s="7"/>
      <c r="AL373" s="7"/>
    </row>
    <row r="374" spans="1:38" ht="13" x14ac:dyDescent="0.15">
      <c r="A374" s="36" t="s">
        <v>4592</v>
      </c>
      <c r="B374" s="110" t="s">
        <v>4553</v>
      </c>
      <c r="C374" s="7" t="s">
        <v>41</v>
      </c>
      <c r="D374" s="7" t="s">
        <v>5686</v>
      </c>
      <c r="E374" s="44">
        <v>5</v>
      </c>
      <c r="F374" s="7"/>
      <c r="G374" s="7"/>
      <c r="H374" s="2" t="s">
        <v>5671</v>
      </c>
      <c r="I374" s="7" t="s">
        <v>1052</v>
      </c>
      <c r="J374" s="7" t="s">
        <v>5687</v>
      </c>
      <c r="K374" s="7" t="s">
        <v>55</v>
      </c>
      <c r="L374" s="7" t="s">
        <v>5688</v>
      </c>
      <c r="M374" s="6" t="s">
        <v>5674</v>
      </c>
      <c r="N374" s="45" t="str">
        <f t="shared" si="279"/>
        <v>@wscwildcatsb</v>
      </c>
      <c r="O374" s="45" t="str">
        <f t="shared" si="280"/>
        <v>Questionnaire</v>
      </c>
      <c r="P374" s="48" t="s">
        <v>5680</v>
      </c>
      <c r="Q374" s="47" t="s">
        <v>4538</v>
      </c>
      <c r="R374" s="48" t="s">
        <v>5681</v>
      </c>
      <c r="S374" s="48" t="s">
        <v>354</v>
      </c>
      <c r="T374" s="49" t="s">
        <v>74</v>
      </c>
      <c r="U374" s="7" t="s">
        <v>75</v>
      </c>
      <c r="V374" s="7"/>
      <c r="W374" s="44">
        <v>3.37</v>
      </c>
      <c r="X374" s="49" t="s">
        <v>214</v>
      </c>
      <c r="Y374" s="49" t="s">
        <v>214</v>
      </c>
      <c r="Z374" s="49" t="s">
        <v>214</v>
      </c>
      <c r="AA374" s="55" t="s">
        <v>214</v>
      </c>
      <c r="AB374" s="48" t="s">
        <v>5682</v>
      </c>
      <c r="AC374" s="62" t="s">
        <v>5680</v>
      </c>
      <c r="AD374" s="53" t="str">
        <f t="shared" si="281"/>
        <v>Link</v>
      </c>
      <c r="AE374" s="54">
        <v>2837</v>
      </c>
      <c r="AF374" s="54">
        <v>223</v>
      </c>
      <c r="AG374" s="7"/>
      <c r="AH374" s="56">
        <v>172644</v>
      </c>
      <c r="AI374" s="7"/>
      <c r="AJ374" s="7"/>
      <c r="AK374" s="7"/>
      <c r="AL374" s="7"/>
    </row>
    <row r="375" spans="1:38" ht="13" x14ac:dyDescent="0.15">
      <c r="A375" s="36" t="s">
        <v>4592</v>
      </c>
      <c r="B375" s="110" t="s">
        <v>4553</v>
      </c>
      <c r="C375" s="7" t="s">
        <v>41</v>
      </c>
      <c r="D375" s="7" t="s">
        <v>5694</v>
      </c>
      <c r="E375" s="44">
        <v>5</v>
      </c>
      <c r="F375" s="7"/>
      <c r="G375" s="7"/>
      <c r="H375" s="2" t="s">
        <v>5671</v>
      </c>
      <c r="I375" s="7" t="s">
        <v>811</v>
      </c>
      <c r="J375" s="7" t="s">
        <v>5696</v>
      </c>
      <c r="K375" s="7" t="s">
        <v>48</v>
      </c>
      <c r="L375" s="7" t="s">
        <v>5698</v>
      </c>
      <c r="M375" s="6" t="s">
        <v>5674</v>
      </c>
      <c r="N375" s="45" t="str">
        <f t="shared" si="279"/>
        <v>@wscwildcatsb</v>
      </c>
      <c r="O375" s="45" t="str">
        <f t="shared" si="280"/>
        <v>Questionnaire</v>
      </c>
      <c r="P375" s="48" t="s">
        <v>5680</v>
      </c>
      <c r="Q375" s="47" t="s">
        <v>4538</v>
      </c>
      <c r="R375" s="48" t="s">
        <v>5681</v>
      </c>
      <c r="S375" s="48" t="s">
        <v>354</v>
      </c>
      <c r="T375" s="49" t="s">
        <v>74</v>
      </c>
      <c r="U375" s="7" t="s">
        <v>75</v>
      </c>
      <c r="V375" s="7"/>
      <c r="W375" s="44">
        <v>3.37</v>
      </c>
      <c r="X375" s="49" t="s">
        <v>214</v>
      </c>
      <c r="Y375" s="49" t="s">
        <v>214</v>
      </c>
      <c r="Z375" s="49" t="s">
        <v>214</v>
      </c>
      <c r="AA375" s="55" t="s">
        <v>214</v>
      </c>
      <c r="AB375" s="48" t="s">
        <v>5682</v>
      </c>
      <c r="AC375" s="62" t="s">
        <v>5680</v>
      </c>
      <c r="AD375" s="53" t="str">
        <f t="shared" si="281"/>
        <v>Link</v>
      </c>
      <c r="AE375" s="54">
        <v>2837</v>
      </c>
      <c r="AF375" s="54">
        <v>223</v>
      </c>
      <c r="AG375" s="7"/>
      <c r="AH375" s="56">
        <v>172644</v>
      </c>
      <c r="AI375" s="7"/>
      <c r="AJ375" s="7"/>
      <c r="AK375" s="7"/>
      <c r="AL375" s="7"/>
    </row>
    <row r="376" spans="1:38" ht="15" x14ac:dyDescent="0.2">
      <c r="A376" s="7"/>
      <c r="B376" s="31" t="s">
        <v>4669</v>
      </c>
      <c r="C376" s="33" t="s">
        <v>41</v>
      </c>
      <c r="D376" s="7"/>
      <c r="E376" s="112">
        <v>5</v>
      </c>
      <c r="F376" s="7"/>
      <c r="G376" s="7"/>
      <c r="H376" s="2" t="s">
        <v>5703</v>
      </c>
      <c r="I376" s="7" t="s">
        <v>1075</v>
      </c>
      <c r="J376" s="7" t="s">
        <v>5350</v>
      </c>
      <c r="K376" s="7" t="s">
        <v>48</v>
      </c>
      <c r="L376" s="7" t="s">
        <v>5705</v>
      </c>
      <c r="M376" s="6" t="s">
        <v>5706</v>
      </c>
      <c r="N376" s="45" t="str">
        <f t="shared" ref="N376:N378" si="282">HYPERLINK("twitter.com/bsubeaverssb","@bsubeaverssb")</f>
        <v>@bsubeaverssb</v>
      </c>
      <c r="O376" s="48" t="s">
        <v>22</v>
      </c>
      <c r="P376" s="48" t="s">
        <v>5710</v>
      </c>
      <c r="Q376" s="60" t="s">
        <v>4661</v>
      </c>
      <c r="R376" s="48" t="s">
        <v>5711</v>
      </c>
      <c r="S376" s="48" t="s">
        <v>172</v>
      </c>
      <c r="T376" s="49" t="s">
        <v>74</v>
      </c>
      <c r="U376" s="48" t="s">
        <v>75</v>
      </c>
      <c r="V376" s="49"/>
      <c r="W376" s="65">
        <v>3.19</v>
      </c>
      <c r="X376" s="49" t="s">
        <v>214</v>
      </c>
      <c r="Y376" s="49" t="s">
        <v>214</v>
      </c>
      <c r="Z376" s="49" t="s">
        <v>240</v>
      </c>
      <c r="AA376" s="38">
        <v>0.64080000000000004</v>
      </c>
      <c r="AB376" s="39">
        <v>20208</v>
      </c>
      <c r="AC376" s="52" t="s">
        <v>5710</v>
      </c>
      <c r="AD376" s="53" t="str">
        <f t="shared" ref="AD376:AD378" si="283">HYPERLINK("https://www.bemidjistate.edu/academics/undergraduate/majors-minors/","Link")</f>
        <v>Link</v>
      </c>
      <c r="AE376" s="54">
        <v>4808</v>
      </c>
      <c r="AF376" s="55"/>
      <c r="AG376" s="55"/>
      <c r="AH376" s="56">
        <v>173124</v>
      </c>
      <c r="AI376" s="56" t="s">
        <v>2459</v>
      </c>
    </row>
    <row r="377" spans="1:38" ht="15" x14ac:dyDescent="0.2">
      <c r="A377" s="7"/>
      <c r="B377" s="31" t="s">
        <v>4669</v>
      </c>
      <c r="C377" s="33" t="s">
        <v>41</v>
      </c>
      <c r="D377" s="7"/>
      <c r="E377" s="112">
        <v>5</v>
      </c>
      <c r="F377" s="7"/>
      <c r="G377" s="7"/>
      <c r="H377" s="2" t="s">
        <v>5703</v>
      </c>
      <c r="I377" s="2" t="s">
        <v>537</v>
      </c>
      <c r="J377" s="2" t="s">
        <v>5715</v>
      </c>
      <c r="K377" s="2" t="s">
        <v>55</v>
      </c>
      <c r="L377" s="7" t="s">
        <v>5717</v>
      </c>
      <c r="M377" s="6" t="s">
        <v>5718</v>
      </c>
      <c r="N377" s="45" t="str">
        <f t="shared" si="282"/>
        <v>@bsubeaverssb</v>
      </c>
      <c r="O377" s="48" t="s">
        <v>22</v>
      </c>
      <c r="P377" s="48" t="s">
        <v>5710</v>
      </c>
      <c r="Q377" s="60" t="s">
        <v>4661</v>
      </c>
      <c r="R377" s="48" t="s">
        <v>5711</v>
      </c>
      <c r="S377" s="48" t="s">
        <v>172</v>
      </c>
      <c r="T377" s="49" t="s">
        <v>74</v>
      </c>
      <c r="U377" s="48" t="s">
        <v>75</v>
      </c>
      <c r="V377" s="49"/>
      <c r="W377" s="65">
        <v>3.19</v>
      </c>
      <c r="X377" s="49" t="s">
        <v>214</v>
      </c>
      <c r="Y377" s="49" t="s">
        <v>214</v>
      </c>
      <c r="Z377" s="49" t="s">
        <v>240</v>
      </c>
      <c r="AA377" s="38">
        <v>0.64080000000000004</v>
      </c>
      <c r="AB377" s="39">
        <v>20208</v>
      </c>
      <c r="AC377" s="52" t="s">
        <v>5710</v>
      </c>
      <c r="AD377" s="53" t="str">
        <f t="shared" si="283"/>
        <v>Link</v>
      </c>
      <c r="AE377" s="54">
        <v>4808</v>
      </c>
      <c r="AF377" s="55"/>
      <c r="AG377" s="55"/>
      <c r="AH377" s="56">
        <v>173124</v>
      </c>
      <c r="AI377" s="56" t="s">
        <v>2459</v>
      </c>
    </row>
    <row r="378" spans="1:38" ht="15" x14ac:dyDescent="0.2">
      <c r="A378" s="7"/>
      <c r="B378" s="31" t="s">
        <v>4669</v>
      </c>
      <c r="C378" s="33" t="s">
        <v>41</v>
      </c>
      <c r="D378" s="7"/>
      <c r="E378" s="112">
        <v>5</v>
      </c>
      <c r="F378" s="7"/>
      <c r="G378" s="7"/>
      <c r="H378" s="2" t="s">
        <v>5703</v>
      </c>
      <c r="I378" s="2" t="s">
        <v>5727</v>
      </c>
      <c r="J378" s="2" t="s">
        <v>5730</v>
      </c>
      <c r="K378" s="2" t="s">
        <v>139</v>
      </c>
      <c r="L378" s="7"/>
      <c r="M378" s="6"/>
      <c r="N378" s="45" t="str">
        <f t="shared" si="282"/>
        <v>@bsubeaverssb</v>
      </c>
      <c r="O378" s="48" t="s">
        <v>22</v>
      </c>
      <c r="P378" s="48" t="s">
        <v>5710</v>
      </c>
      <c r="Q378" s="60" t="s">
        <v>4661</v>
      </c>
      <c r="R378" s="48" t="s">
        <v>5711</v>
      </c>
      <c r="S378" s="48" t="s">
        <v>172</v>
      </c>
      <c r="T378" s="49" t="s">
        <v>74</v>
      </c>
      <c r="U378" s="48" t="s">
        <v>75</v>
      </c>
      <c r="V378" s="49"/>
      <c r="W378" s="65">
        <v>3.19</v>
      </c>
      <c r="X378" s="49" t="s">
        <v>214</v>
      </c>
      <c r="Y378" s="49" t="s">
        <v>214</v>
      </c>
      <c r="Z378" s="49" t="s">
        <v>240</v>
      </c>
      <c r="AA378" s="38">
        <v>0.64080000000000004</v>
      </c>
      <c r="AB378" s="39">
        <v>20208</v>
      </c>
      <c r="AC378" s="52" t="s">
        <v>5710</v>
      </c>
      <c r="AD378" s="53" t="str">
        <f t="shared" si="283"/>
        <v>Link</v>
      </c>
      <c r="AE378" s="54">
        <v>4808</v>
      </c>
      <c r="AF378" s="55"/>
      <c r="AG378" s="55"/>
      <c r="AH378" s="56">
        <v>173124</v>
      </c>
      <c r="AI378" s="56" t="s">
        <v>2459</v>
      </c>
    </row>
    <row r="379" spans="1:38" ht="13" x14ac:dyDescent="0.15">
      <c r="A379" s="57" t="s">
        <v>4718</v>
      </c>
      <c r="B379" s="110" t="s">
        <v>4669</v>
      </c>
      <c r="C379" s="7" t="s">
        <v>41</v>
      </c>
      <c r="D379" s="7" t="s">
        <v>5736</v>
      </c>
      <c r="E379" s="44">
        <v>5</v>
      </c>
      <c r="F379" s="7"/>
      <c r="G379" s="7"/>
      <c r="H379" s="2" t="s">
        <v>5738</v>
      </c>
      <c r="I379" s="7" t="s">
        <v>930</v>
      </c>
      <c r="J379" s="7" t="s">
        <v>5739</v>
      </c>
      <c r="K379" s="7" t="s">
        <v>55</v>
      </c>
      <c r="L379" s="7" t="s">
        <v>5740</v>
      </c>
      <c r="M379" s="7" t="s">
        <v>5741</v>
      </c>
      <c r="N379" s="45" t="str">
        <f t="shared" ref="N379:N384" si="284">HYPERLINK("twitter.com/cobbersoftball","@cobbersoftball")</f>
        <v>@cobbersoftball</v>
      </c>
      <c r="O379" s="45" t="str">
        <f t="shared" ref="O379:O385" si="285">HYPERLINK("https://cspbears.com/sports/2016/11/15/student-athlete-questionnaires.aspx","Questionnaire")</f>
        <v>Questionnaire</v>
      </c>
      <c r="P379" s="48" t="s">
        <v>5746</v>
      </c>
      <c r="Q379" s="47" t="s">
        <v>4661</v>
      </c>
      <c r="R379" s="48" t="s">
        <v>5747</v>
      </c>
      <c r="S379" s="48" t="s">
        <v>354</v>
      </c>
      <c r="T379" s="49" t="s">
        <v>63</v>
      </c>
      <c r="U379" s="7" t="s">
        <v>1620</v>
      </c>
      <c r="V379" s="7"/>
      <c r="W379" s="44">
        <v>3.17</v>
      </c>
      <c r="X379" s="49" t="s">
        <v>214</v>
      </c>
      <c r="Y379" s="49" t="s">
        <v>214</v>
      </c>
      <c r="Z379" s="49" t="s">
        <v>841</v>
      </c>
      <c r="AA379" s="61">
        <v>0.56999999999999995</v>
      </c>
      <c r="AB379" s="71">
        <v>33750</v>
      </c>
      <c r="AC379" s="62" t="s">
        <v>5746</v>
      </c>
      <c r="AD379" s="53" t="str">
        <f t="shared" ref="AD379:AD385" si="286">HYPERLINK("https://www.csp.edu/academics/","Link")</f>
        <v>Link</v>
      </c>
      <c r="AE379" s="54">
        <v>2740</v>
      </c>
      <c r="AF379" s="55"/>
      <c r="AG379" s="7"/>
      <c r="AH379" s="56">
        <v>173328</v>
      </c>
      <c r="AI379" s="7"/>
      <c r="AJ379" s="7"/>
      <c r="AK379" s="7"/>
      <c r="AL379" s="7"/>
    </row>
    <row r="380" spans="1:38" ht="13" x14ac:dyDescent="0.15">
      <c r="A380" s="57" t="s">
        <v>4718</v>
      </c>
      <c r="B380" s="110" t="s">
        <v>4669</v>
      </c>
      <c r="C380" s="7" t="s">
        <v>41</v>
      </c>
      <c r="D380" s="7" t="s">
        <v>5760</v>
      </c>
      <c r="E380" s="44">
        <v>5</v>
      </c>
      <c r="F380" s="7"/>
      <c r="G380" s="7"/>
      <c r="H380" s="2" t="s">
        <v>5738</v>
      </c>
      <c r="I380" s="7" t="s">
        <v>234</v>
      </c>
      <c r="J380" s="7" t="s">
        <v>1764</v>
      </c>
      <c r="K380" s="7" t="s">
        <v>55</v>
      </c>
      <c r="L380" s="7"/>
      <c r="M380" s="7"/>
      <c r="N380" s="45" t="str">
        <f t="shared" si="284"/>
        <v>@cobbersoftball</v>
      </c>
      <c r="O380" s="45" t="str">
        <f t="shared" si="285"/>
        <v>Questionnaire</v>
      </c>
      <c r="P380" s="48" t="s">
        <v>5746</v>
      </c>
      <c r="Q380" s="47" t="s">
        <v>4661</v>
      </c>
      <c r="R380" s="48" t="s">
        <v>5747</v>
      </c>
      <c r="S380" s="48" t="s">
        <v>354</v>
      </c>
      <c r="T380" s="49" t="s">
        <v>63</v>
      </c>
      <c r="U380" s="7" t="s">
        <v>1620</v>
      </c>
      <c r="V380" s="7"/>
      <c r="W380" s="44">
        <v>3.17</v>
      </c>
      <c r="X380" s="49" t="s">
        <v>214</v>
      </c>
      <c r="Y380" s="49" t="s">
        <v>214</v>
      </c>
      <c r="Z380" s="49" t="s">
        <v>841</v>
      </c>
      <c r="AA380" s="61">
        <v>0.56999999999999995</v>
      </c>
      <c r="AB380" s="71">
        <v>33750</v>
      </c>
      <c r="AC380" s="62" t="s">
        <v>5746</v>
      </c>
      <c r="AD380" s="53" t="str">
        <f t="shared" si="286"/>
        <v>Link</v>
      </c>
      <c r="AE380" s="54">
        <v>2740</v>
      </c>
      <c r="AF380" s="55"/>
      <c r="AG380" s="7"/>
      <c r="AH380" s="56">
        <v>173328</v>
      </c>
      <c r="AI380" s="7"/>
      <c r="AJ380" s="7"/>
      <c r="AK380" s="7"/>
      <c r="AL380" s="7"/>
    </row>
    <row r="381" spans="1:38" ht="13" x14ac:dyDescent="0.15">
      <c r="A381" s="57" t="s">
        <v>4718</v>
      </c>
      <c r="B381" s="110" t="s">
        <v>4669</v>
      </c>
      <c r="C381" s="7" t="s">
        <v>41</v>
      </c>
      <c r="D381" s="7" t="s">
        <v>5771</v>
      </c>
      <c r="E381" s="44">
        <v>5</v>
      </c>
      <c r="F381" s="7"/>
      <c r="G381" s="7"/>
      <c r="H381" s="2" t="s">
        <v>5738</v>
      </c>
      <c r="I381" s="7" t="s">
        <v>1875</v>
      </c>
      <c r="J381" s="7" t="s">
        <v>5774</v>
      </c>
      <c r="K381" s="7" t="s">
        <v>55</v>
      </c>
      <c r="L381" s="7"/>
      <c r="M381" s="7"/>
      <c r="N381" s="45" t="str">
        <f t="shared" si="284"/>
        <v>@cobbersoftball</v>
      </c>
      <c r="O381" s="45" t="str">
        <f t="shared" si="285"/>
        <v>Questionnaire</v>
      </c>
      <c r="P381" s="48" t="s">
        <v>5746</v>
      </c>
      <c r="Q381" s="47" t="s">
        <v>4661</v>
      </c>
      <c r="R381" s="48" t="s">
        <v>5747</v>
      </c>
      <c r="S381" s="48" t="s">
        <v>354</v>
      </c>
      <c r="T381" s="49" t="s">
        <v>63</v>
      </c>
      <c r="U381" s="7" t="s">
        <v>1620</v>
      </c>
      <c r="V381" s="7"/>
      <c r="W381" s="44">
        <v>3.17</v>
      </c>
      <c r="X381" s="49" t="s">
        <v>214</v>
      </c>
      <c r="Y381" s="49" t="s">
        <v>214</v>
      </c>
      <c r="Z381" s="49" t="s">
        <v>841</v>
      </c>
      <c r="AA381" s="61">
        <v>0.56999999999999995</v>
      </c>
      <c r="AB381" s="71">
        <v>33750</v>
      </c>
      <c r="AC381" s="62" t="s">
        <v>5746</v>
      </c>
      <c r="AD381" s="53" t="str">
        <f t="shared" si="286"/>
        <v>Link</v>
      </c>
      <c r="AE381" s="54">
        <v>2740</v>
      </c>
      <c r="AF381" s="55"/>
      <c r="AG381" s="7"/>
      <c r="AH381" s="56">
        <v>173328</v>
      </c>
      <c r="AI381" s="7"/>
      <c r="AJ381" s="7"/>
      <c r="AK381" s="7"/>
      <c r="AL381" s="7"/>
    </row>
    <row r="382" spans="1:38" ht="13" x14ac:dyDescent="0.15">
      <c r="A382" s="57" t="s">
        <v>4718</v>
      </c>
      <c r="B382" s="110" t="s">
        <v>4669</v>
      </c>
      <c r="C382" s="7" t="s">
        <v>41</v>
      </c>
      <c r="D382" s="7" t="s">
        <v>5784</v>
      </c>
      <c r="E382" s="44">
        <v>5</v>
      </c>
      <c r="F382" s="7"/>
      <c r="G382" s="7"/>
      <c r="H382" s="2" t="s">
        <v>5738</v>
      </c>
      <c r="I382" s="7" t="s">
        <v>1052</v>
      </c>
      <c r="J382" s="7" t="s">
        <v>2482</v>
      </c>
      <c r="K382" s="7" t="s">
        <v>55</v>
      </c>
      <c r="L382" s="7"/>
      <c r="M382" s="7"/>
      <c r="N382" s="45" t="str">
        <f t="shared" si="284"/>
        <v>@cobbersoftball</v>
      </c>
      <c r="O382" s="45" t="str">
        <f t="shared" si="285"/>
        <v>Questionnaire</v>
      </c>
      <c r="P382" s="48" t="s">
        <v>5746</v>
      </c>
      <c r="Q382" s="47" t="s">
        <v>4661</v>
      </c>
      <c r="R382" s="48" t="s">
        <v>5747</v>
      </c>
      <c r="S382" s="48" t="s">
        <v>354</v>
      </c>
      <c r="T382" s="49" t="s">
        <v>63</v>
      </c>
      <c r="U382" s="7" t="s">
        <v>1620</v>
      </c>
      <c r="V382" s="7"/>
      <c r="W382" s="44">
        <v>3.17</v>
      </c>
      <c r="X382" s="49" t="s">
        <v>214</v>
      </c>
      <c r="Y382" s="49" t="s">
        <v>214</v>
      </c>
      <c r="Z382" s="49" t="s">
        <v>841</v>
      </c>
      <c r="AA382" s="61">
        <v>0.56999999999999995</v>
      </c>
      <c r="AB382" s="71">
        <v>33750</v>
      </c>
      <c r="AC382" s="62" t="s">
        <v>5746</v>
      </c>
      <c r="AD382" s="53" t="str">
        <f t="shared" si="286"/>
        <v>Link</v>
      </c>
      <c r="AE382" s="54">
        <v>2740</v>
      </c>
      <c r="AF382" s="55"/>
      <c r="AG382" s="7"/>
      <c r="AH382" s="56">
        <v>173328</v>
      </c>
      <c r="AI382" s="7"/>
      <c r="AJ382" s="7"/>
      <c r="AK382" s="7"/>
      <c r="AL382" s="7"/>
    </row>
    <row r="383" spans="1:38" ht="13" x14ac:dyDescent="0.15">
      <c r="A383" s="57" t="s">
        <v>4718</v>
      </c>
      <c r="B383" s="110" t="s">
        <v>4669</v>
      </c>
      <c r="C383" s="7" t="s">
        <v>41</v>
      </c>
      <c r="D383" s="7" t="s">
        <v>5787</v>
      </c>
      <c r="E383" s="44">
        <v>5</v>
      </c>
      <c r="F383" s="7"/>
      <c r="G383" s="7"/>
      <c r="H383" s="2" t="s">
        <v>5738</v>
      </c>
      <c r="I383" s="7" t="s">
        <v>981</v>
      </c>
      <c r="J383" s="7" t="s">
        <v>5794</v>
      </c>
      <c r="K383" s="7" t="s">
        <v>55</v>
      </c>
      <c r="L383" s="7"/>
      <c r="M383" s="7"/>
      <c r="N383" s="45" t="str">
        <f t="shared" si="284"/>
        <v>@cobbersoftball</v>
      </c>
      <c r="O383" s="45" t="str">
        <f t="shared" si="285"/>
        <v>Questionnaire</v>
      </c>
      <c r="P383" s="48" t="s">
        <v>5746</v>
      </c>
      <c r="Q383" s="47" t="s">
        <v>4661</v>
      </c>
      <c r="R383" s="48" t="s">
        <v>5747</v>
      </c>
      <c r="S383" s="48" t="s">
        <v>354</v>
      </c>
      <c r="T383" s="49" t="s">
        <v>63</v>
      </c>
      <c r="U383" s="7" t="s">
        <v>1620</v>
      </c>
      <c r="V383" s="7"/>
      <c r="W383" s="44">
        <v>3.17</v>
      </c>
      <c r="X383" s="49" t="s">
        <v>214</v>
      </c>
      <c r="Y383" s="49" t="s">
        <v>214</v>
      </c>
      <c r="Z383" s="49" t="s">
        <v>841</v>
      </c>
      <c r="AA383" s="61">
        <v>0.56999999999999995</v>
      </c>
      <c r="AB383" s="71">
        <v>33750</v>
      </c>
      <c r="AC383" s="62" t="s">
        <v>5746</v>
      </c>
      <c r="AD383" s="53" t="str">
        <f t="shared" si="286"/>
        <v>Link</v>
      </c>
      <c r="AE383" s="54">
        <v>2740</v>
      </c>
      <c r="AF383" s="55"/>
      <c r="AG383" s="7"/>
      <c r="AH383" s="56">
        <v>173328</v>
      </c>
      <c r="AI383" s="7"/>
      <c r="AJ383" s="7"/>
      <c r="AK383" s="7"/>
      <c r="AL383" s="7"/>
    </row>
    <row r="384" spans="1:38" ht="13" x14ac:dyDescent="0.15">
      <c r="A384" s="57" t="s">
        <v>4718</v>
      </c>
      <c r="B384" s="110" t="s">
        <v>4669</v>
      </c>
      <c r="C384" s="7" t="s">
        <v>41</v>
      </c>
      <c r="D384" s="7" t="s">
        <v>5801</v>
      </c>
      <c r="E384" s="44">
        <v>5</v>
      </c>
      <c r="F384" s="7"/>
      <c r="G384" s="7"/>
      <c r="H384" s="2" t="s">
        <v>5738</v>
      </c>
      <c r="I384" s="7" t="s">
        <v>3899</v>
      </c>
      <c r="J384" s="7" t="s">
        <v>5804</v>
      </c>
      <c r="K384" s="7" t="s">
        <v>55</v>
      </c>
      <c r="L384" s="7"/>
      <c r="M384" s="7"/>
      <c r="N384" s="45" t="str">
        <f t="shared" si="284"/>
        <v>@cobbersoftball</v>
      </c>
      <c r="O384" s="45" t="str">
        <f t="shared" si="285"/>
        <v>Questionnaire</v>
      </c>
      <c r="P384" s="48" t="s">
        <v>5746</v>
      </c>
      <c r="Q384" s="47" t="s">
        <v>4661</v>
      </c>
      <c r="R384" s="48" t="s">
        <v>5747</v>
      </c>
      <c r="S384" s="48" t="s">
        <v>354</v>
      </c>
      <c r="T384" s="49" t="s">
        <v>63</v>
      </c>
      <c r="U384" s="7" t="s">
        <v>1620</v>
      </c>
      <c r="V384" s="7"/>
      <c r="W384" s="44">
        <v>3.17</v>
      </c>
      <c r="X384" s="49" t="s">
        <v>214</v>
      </c>
      <c r="Y384" s="49" t="s">
        <v>214</v>
      </c>
      <c r="Z384" s="49" t="s">
        <v>841</v>
      </c>
      <c r="AA384" s="61">
        <v>0.56999999999999995</v>
      </c>
      <c r="AB384" s="71">
        <v>33750</v>
      </c>
      <c r="AC384" s="62" t="s">
        <v>5746</v>
      </c>
      <c r="AD384" s="53" t="str">
        <f t="shared" si="286"/>
        <v>Link</v>
      </c>
      <c r="AE384" s="54">
        <v>2740</v>
      </c>
      <c r="AF384" s="55"/>
      <c r="AG384" s="7"/>
      <c r="AH384" s="56">
        <v>173328</v>
      </c>
      <c r="AI384" s="7"/>
      <c r="AJ384" s="7"/>
      <c r="AK384" s="7"/>
      <c r="AL384" s="7"/>
    </row>
    <row r="385" spans="1:38" ht="13" x14ac:dyDescent="0.15">
      <c r="A385" s="57" t="s">
        <v>4718</v>
      </c>
      <c r="B385" s="110" t="s">
        <v>4669</v>
      </c>
      <c r="C385" s="7" t="s">
        <v>41</v>
      </c>
      <c r="D385" s="7" t="s">
        <v>5811</v>
      </c>
      <c r="E385" s="44">
        <v>5</v>
      </c>
      <c r="F385" s="7"/>
      <c r="G385" s="7"/>
      <c r="H385" s="2" t="s">
        <v>5738</v>
      </c>
      <c r="I385" s="7" t="s">
        <v>481</v>
      </c>
      <c r="J385" s="7" t="s">
        <v>5812</v>
      </c>
      <c r="K385" s="7" t="s">
        <v>48</v>
      </c>
      <c r="L385" s="7" t="s">
        <v>5813</v>
      </c>
      <c r="M385" s="7" t="s">
        <v>5814</v>
      </c>
      <c r="N385" s="45" t="str">
        <f>HYPERLINK("twitter.com/CSPBearsSB","@CSPBearsSB")</f>
        <v>@CSPBearsSB</v>
      </c>
      <c r="O385" s="45" t="str">
        <f t="shared" si="285"/>
        <v>Questionnaire</v>
      </c>
      <c r="P385" s="48" t="s">
        <v>5746</v>
      </c>
      <c r="Q385" s="47" t="s">
        <v>4661</v>
      </c>
      <c r="R385" s="48" t="s">
        <v>5747</v>
      </c>
      <c r="S385" s="48" t="s">
        <v>354</v>
      </c>
      <c r="T385" s="49" t="s">
        <v>63</v>
      </c>
      <c r="U385" s="7" t="s">
        <v>1620</v>
      </c>
      <c r="V385" s="7"/>
      <c r="W385" s="44">
        <v>3.17</v>
      </c>
      <c r="X385" s="49" t="s">
        <v>214</v>
      </c>
      <c r="Y385" s="49" t="s">
        <v>214</v>
      </c>
      <c r="Z385" s="49" t="s">
        <v>841</v>
      </c>
      <c r="AA385" s="61">
        <v>0.56999999999999995</v>
      </c>
      <c r="AB385" s="71">
        <v>33750</v>
      </c>
      <c r="AC385" s="62" t="s">
        <v>5746</v>
      </c>
      <c r="AD385" s="53" t="str">
        <f t="shared" si="286"/>
        <v>Link</v>
      </c>
      <c r="AE385" s="54">
        <v>2740</v>
      </c>
      <c r="AF385" s="55"/>
      <c r="AG385" s="7"/>
      <c r="AH385" s="56">
        <v>173328</v>
      </c>
      <c r="AI385" s="7"/>
      <c r="AJ385" s="7"/>
      <c r="AK385" s="7"/>
      <c r="AL385" s="7"/>
    </row>
    <row r="386" spans="1:38" ht="13" x14ac:dyDescent="0.15">
      <c r="A386" s="57" t="s">
        <v>4718</v>
      </c>
      <c r="B386" s="110" t="s">
        <v>4669</v>
      </c>
      <c r="C386" s="7" t="s">
        <v>41</v>
      </c>
      <c r="D386" s="7" t="s">
        <v>5826</v>
      </c>
      <c r="E386" s="44">
        <v>5</v>
      </c>
      <c r="F386" s="7"/>
      <c r="G386" s="7"/>
      <c r="H386" s="2" t="s">
        <v>5827</v>
      </c>
      <c r="I386" s="7" t="s">
        <v>5828</v>
      </c>
      <c r="J386" s="7" t="s">
        <v>5829</v>
      </c>
      <c r="K386" s="7" t="s">
        <v>55</v>
      </c>
      <c r="L386" s="7" t="s">
        <v>5830</v>
      </c>
      <c r="M386" s="7" t="s">
        <v>5831</v>
      </c>
      <c r="N386" s="45" t="str">
        <f>HYPERLINK("twitter.com/minnstsoftball","@minnstsoftball")</f>
        <v>@minnstsoftball</v>
      </c>
      <c r="O386" s="48" t="s">
        <v>22</v>
      </c>
      <c r="P386" s="48" t="s">
        <v>5837</v>
      </c>
      <c r="Q386" s="47" t="s">
        <v>4661</v>
      </c>
      <c r="R386" s="48" t="s">
        <v>5838</v>
      </c>
      <c r="S386" s="48" t="s">
        <v>468</v>
      </c>
      <c r="T386" s="49" t="s">
        <v>74</v>
      </c>
      <c r="U386" s="7" t="s">
        <v>75</v>
      </c>
      <c r="V386" s="7"/>
      <c r="W386" s="44">
        <v>3.21</v>
      </c>
      <c r="X386" s="49" t="s">
        <v>5840</v>
      </c>
      <c r="Y386" s="49" t="s">
        <v>5841</v>
      </c>
      <c r="Z386" s="49" t="s">
        <v>240</v>
      </c>
      <c r="AA386" s="61">
        <v>0.62</v>
      </c>
      <c r="AB386" s="48" t="s">
        <v>5844</v>
      </c>
      <c r="AC386" s="62" t="s">
        <v>5837</v>
      </c>
      <c r="AD386" s="53" t="str">
        <f t="shared" ref="AD386:AD388" si="287">HYPERLINK("https://mankato.mnsu.edu/academics/degree-programs-and-certificates/","Link")</f>
        <v>Link</v>
      </c>
      <c r="AE386" s="54">
        <v>13192</v>
      </c>
      <c r="AF386" s="55"/>
      <c r="AG386" s="7"/>
      <c r="AH386" s="56">
        <v>173920</v>
      </c>
      <c r="AI386" s="7"/>
      <c r="AJ386" s="7"/>
      <c r="AK386" s="7"/>
      <c r="AL386" s="7"/>
    </row>
    <row r="387" spans="1:38" ht="13" x14ac:dyDescent="0.15">
      <c r="A387" s="57" t="s">
        <v>4718</v>
      </c>
      <c r="B387" s="110" t="s">
        <v>4669</v>
      </c>
      <c r="C387" s="7" t="s">
        <v>41</v>
      </c>
      <c r="D387" s="7" t="s">
        <v>5848</v>
      </c>
      <c r="E387" s="44">
        <v>5</v>
      </c>
      <c r="F387" s="7"/>
      <c r="G387" s="7"/>
      <c r="H387" s="2" t="s">
        <v>5827</v>
      </c>
      <c r="I387" s="7" t="s">
        <v>5851</v>
      </c>
      <c r="J387" s="7" t="s">
        <v>3954</v>
      </c>
      <c r="K387" s="7" t="s">
        <v>120</v>
      </c>
      <c r="L387" s="7" t="s">
        <v>5853</v>
      </c>
      <c r="M387" s="7" t="s">
        <v>5854</v>
      </c>
      <c r="N387" s="45" t="str">
        <f>HYPERLINK("twitter.com/msum_softball","@msum_softball")</f>
        <v>@msum_softball</v>
      </c>
      <c r="O387" s="45" t="str">
        <f>HYPERLINK("https://www.msumdragons.com/sb_output.aspx?form=24","Questionnaire")</f>
        <v>Questionnaire</v>
      </c>
      <c r="P387" s="48" t="s">
        <v>5837</v>
      </c>
      <c r="Q387" s="47" t="s">
        <v>4661</v>
      </c>
      <c r="R387" s="48" t="s">
        <v>5838</v>
      </c>
      <c r="S387" s="48" t="s">
        <v>468</v>
      </c>
      <c r="T387" s="49" t="s">
        <v>74</v>
      </c>
      <c r="U387" s="7" t="s">
        <v>75</v>
      </c>
      <c r="V387" s="7"/>
      <c r="W387" s="44">
        <v>3.21</v>
      </c>
      <c r="X387" s="49" t="s">
        <v>5840</v>
      </c>
      <c r="Y387" s="49" t="s">
        <v>5841</v>
      </c>
      <c r="Z387" s="49" t="s">
        <v>240</v>
      </c>
      <c r="AA387" s="61">
        <v>0.62</v>
      </c>
      <c r="AB387" s="48" t="s">
        <v>5844</v>
      </c>
      <c r="AC387" s="62" t="s">
        <v>5837</v>
      </c>
      <c r="AD387" s="53" t="str">
        <f t="shared" si="287"/>
        <v>Link</v>
      </c>
      <c r="AE387" s="54">
        <v>13192</v>
      </c>
      <c r="AF387" s="55"/>
      <c r="AG387" s="7"/>
      <c r="AH387" s="56">
        <v>173920</v>
      </c>
      <c r="AI387" s="7"/>
      <c r="AJ387" s="7"/>
      <c r="AK387" s="7"/>
      <c r="AL387" s="7"/>
    </row>
    <row r="388" spans="1:38" ht="13" x14ac:dyDescent="0.15">
      <c r="A388" s="57" t="s">
        <v>4718</v>
      </c>
      <c r="B388" s="110" t="s">
        <v>4669</v>
      </c>
      <c r="C388" s="7" t="s">
        <v>41</v>
      </c>
      <c r="D388" s="7" t="s">
        <v>5865</v>
      </c>
      <c r="E388" s="44">
        <v>5</v>
      </c>
      <c r="F388" s="7"/>
      <c r="G388" s="7"/>
      <c r="H388" s="2" t="s">
        <v>5827</v>
      </c>
      <c r="I388" s="7" t="s">
        <v>4746</v>
      </c>
      <c r="J388" s="7" t="s">
        <v>3054</v>
      </c>
      <c r="K388" s="7" t="s">
        <v>48</v>
      </c>
      <c r="L388" s="7" t="s">
        <v>5866</v>
      </c>
      <c r="M388" s="7" t="s">
        <v>5867</v>
      </c>
      <c r="N388" s="45" t="str">
        <f>HYPERLINK("twitter.com/minnstsoftball","@minnstsoftball")</f>
        <v>@minnstsoftball</v>
      </c>
      <c r="O388" s="48" t="s">
        <v>22</v>
      </c>
      <c r="P388" s="48" t="s">
        <v>5837</v>
      </c>
      <c r="Q388" s="47" t="s">
        <v>4661</v>
      </c>
      <c r="R388" s="48" t="s">
        <v>5838</v>
      </c>
      <c r="S388" s="48" t="s">
        <v>468</v>
      </c>
      <c r="T388" s="49" t="s">
        <v>74</v>
      </c>
      <c r="U388" s="7" t="s">
        <v>75</v>
      </c>
      <c r="V388" s="7"/>
      <c r="W388" s="44">
        <v>3.21</v>
      </c>
      <c r="X388" s="49" t="s">
        <v>5840</v>
      </c>
      <c r="Y388" s="49" t="s">
        <v>5841</v>
      </c>
      <c r="Z388" s="49" t="s">
        <v>240</v>
      </c>
      <c r="AA388" s="61">
        <v>0.62</v>
      </c>
      <c r="AB388" s="48" t="s">
        <v>5844</v>
      </c>
      <c r="AC388" s="62" t="s">
        <v>5837</v>
      </c>
      <c r="AD388" s="53" t="str">
        <f t="shared" si="287"/>
        <v>Link</v>
      </c>
      <c r="AE388" s="54">
        <v>13192</v>
      </c>
      <c r="AF388" s="55"/>
      <c r="AG388" s="7"/>
      <c r="AH388" s="56">
        <v>173920</v>
      </c>
      <c r="AI388" s="7"/>
      <c r="AJ388" s="7"/>
      <c r="AK388" s="7"/>
      <c r="AL388" s="7"/>
    </row>
    <row r="389" spans="1:38" ht="13" x14ac:dyDescent="0.15">
      <c r="A389" s="57" t="s">
        <v>4718</v>
      </c>
      <c r="B389" s="110" t="s">
        <v>4669</v>
      </c>
      <c r="C389" s="7" t="s">
        <v>41</v>
      </c>
      <c r="D389" s="7" t="s">
        <v>5877</v>
      </c>
      <c r="E389" s="44">
        <v>5</v>
      </c>
      <c r="F389" s="7"/>
      <c r="G389" s="7"/>
      <c r="H389" s="2" t="s">
        <v>5880</v>
      </c>
      <c r="I389" s="7" t="s">
        <v>93</v>
      </c>
      <c r="J389" s="7" t="s">
        <v>5883</v>
      </c>
      <c r="K389" s="7" t="s">
        <v>55</v>
      </c>
      <c r="L389" s="7"/>
      <c r="M389" s="7"/>
      <c r="N389" s="45" t="str">
        <f t="shared" ref="N389:N390" si="288">HYPERLINK("twitter.com/msum_softball","@msum_softball")</f>
        <v>@msum_softball</v>
      </c>
      <c r="O389" s="45" t="str">
        <f t="shared" ref="O389:O390" si="289">HYPERLINK("https://www.msumdragons.com/sb_output.aspx?form=24","Questionnaire")</f>
        <v>Questionnaire</v>
      </c>
      <c r="P389" s="48" t="s">
        <v>5889</v>
      </c>
      <c r="Q389" s="60" t="s">
        <v>4661</v>
      </c>
      <c r="R389" s="48" t="s">
        <v>5891</v>
      </c>
      <c r="S389" s="48" t="s">
        <v>468</v>
      </c>
      <c r="T389" s="4" t="s">
        <v>74</v>
      </c>
      <c r="U389" s="7" t="s">
        <v>75</v>
      </c>
      <c r="V389" s="7"/>
      <c r="W389" s="37">
        <v>3.17</v>
      </c>
      <c r="X389" s="49" t="s">
        <v>3485</v>
      </c>
      <c r="Y389" s="49" t="s">
        <v>1509</v>
      </c>
      <c r="Z389" s="49" t="s">
        <v>1994</v>
      </c>
      <c r="AA389" s="65">
        <v>0.6</v>
      </c>
      <c r="AB389" s="48" t="s">
        <v>5893</v>
      </c>
      <c r="AC389" s="62" t="s">
        <v>5889</v>
      </c>
      <c r="AD389" s="53" t="str">
        <f t="shared" ref="AD389:AD390" si="290">HYPERLINK("https://www.mnstate.edu/cshe/majorsandminors.aspx","Link")</f>
        <v>Link</v>
      </c>
      <c r="AE389" s="42">
        <v>5205</v>
      </c>
      <c r="AF389" s="55"/>
      <c r="AG389" s="7"/>
      <c r="AH389" s="56">
        <v>174358</v>
      </c>
      <c r="AI389" s="7"/>
      <c r="AJ389" s="7"/>
      <c r="AK389" s="7"/>
      <c r="AL389" s="7"/>
    </row>
    <row r="390" spans="1:38" ht="13" x14ac:dyDescent="0.15">
      <c r="A390" s="57" t="s">
        <v>4718</v>
      </c>
      <c r="B390" s="110" t="s">
        <v>4669</v>
      </c>
      <c r="C390" s="7" t="s">
        <v>41</v>
      </c>
      <c r="D390" s="7" t="s">
        <v>5898</v>
      </c>
      <c r="E390" s="44">
        <v>5</v>
      </c>
      <c r="F390" s="7"/>
      <c r="G390" s="7"/>
      <c r="H390" s="2" t="s">
        <v>5880</v>
      </c>
      <c r="I390" s="7" t="s">
        <v>1875</v>
      </c>
      <c r="J390" s="7" t="s">
        <v>5899</v>
      </c>
      <c r="K390" s="7" t="s">
        <v>48</v>
      </c>
      <c r="L390" s="7" t="s">
        <v>5900</v>
      </c>
      <c r="M390" s="7" t="s">
        <v>5901</v>
      </c>
      <c r="N390" s="45" t="str">
        <f t="shared" si="288"/>
        <v>@msum_softball</v>
      </c>
      <c r="O390" s="45" t="str">
        <f t="shared" si="289"/>
        <v>Questionnaire</v>
      </c>
      <c r="P390" s="48" t="s">
        <v>5889</v>
      </c>
      <c r="Q390" s="60" t="s">
        <v>4661</v>
      </c>
      <c r="R390" s="48" t="s">
        <v>5891</v>
      </c>
      <c r="S390" s="48" t="s">
        <v>468</v>
      </c>
      <c r="T390" s="4" t="s">
        <v>74</v>
      </c>
      <c r="U390" s="7" t="s">
        <v>75</v>
      </c>
      <c r="V390" s="7"/>
      <c r="W390" s="37">
        <v>3.17</v>
      </c>
      <c r="X390" s="49" t="s">
        <v>3485</v>
      </c>
      <c r="Y390" s="49" t="s">
        <v>1509</v>
      </c>
      <c r="Z390" s="49" t="s">
        <v>1994</v>
      </c>
      <c r="AA390" s="65">
        <v>0.6</v>
      </c>
      <c r="AB390" s="48" t="s">
        <v>5893</v>
      </c>
      <c r="AC390" s="62" t="s">
        <v>5889</v>
      </c>
      <c r="AD390" s="53" t="str">
        <f t="shared" si="290"/>
        <v>Link</v>
      </c>
      <c r="AE390" s="42">
        <v>5205</v>
      </c>
      <c r="AF390" s="55"/>
      <c r="AG390" s="7"/>
      <c r="AH390" s="56">
        <v>174358</v>
      </c>
      <c r="AI390" s="7"/>
      <c r="AJ390" s="7"/>
      <c r="AK390" s="7"/>
      <c r="AL390" s="7"/>
    </row>
    <row r="391" spans="1:38" ht="13" x14ac:dyDescent="0.15">
      <c r="A391" s="57" t="s">
        <v>4718</v>
      </c>
      <c r="B391" s="110" t="s">
        <v>4669</v>
      </c>
      <c r="C391" s="7" t="s">
        <v>41</v>
      </c>
      <c r="D391" s="7" t="s">
        <v>5909</v>
      </c>
      <c r="E391" s="44">
        <v>5</v>
      </c>
      <c r="F391" s="7"/>
      <c r="G391" s="7"/>
      <c r="H391" s="2" t="s">
        <v>5910</v>
      </c>
      <c r="I391" s="7" t="s">
        <v>2135</v>
      </c>
      <c r="J391" s="7" t="s">
        <v>614</v>
      </c>
      <c r="K391" s="7" t="s">
        <v>55</v>
      </c>
      <c r="L391" s="7"/>
      <c r="M391" s="7"/>
      <c r="N391" s="45" t="str">
        <f t="shared" ref="N391:N393" si="291">HYPERLINK("twitter.com/umcrookstonsb","@umcrookstonsb")</f>
        <v>@umcrookstonsb</v>
      </c>
      <c r="O391" s="48" t="s">
        <v>22</v>
      </c>
      <c r="P391" s="48" t="s">
        <v>5916</v>
      </c>
      <c r="Q391" s="47" t="s">
        <v>4661</v>
      </c>
      <c r="R391" s="48" t="s">
        <v>5917</v>
      </c>
      <c r="S391" s="60" t="s">
        <v>205</v>
      </c>
      <c r="T391" s="49" t="s">
        <v>74</v>
      </c>
      <c r="U391" s="7" t="s">
        <v>75</v>
      </c>
      <c r="V391" s="7"/>
      <c r="W391" s="44">
        <v>3.21</v>
      </c>
      <c r="X391" s="49" t="s">
        <v>5921</v>
      </c>
      <c r="Y391" s="49" t="s">
        <v>5922</v>
      </c>
      <c r="Z391" s="49" t="s">
        <v>240</v>
      </c>
      <c r="AA391" s="61">
        <v>0.68</v>
      </c>
      <c r="AB391" s="71">
        <v>22850</v>
      </c>
      <c r="AC391" s="62" t="s">
        <v>5916</v>
      </c>
      <c r="AD391" s="53" t="str">
        <f t="shared" ref="AD391:AD393" si="292">HYPERLINK("https://www.crk.umn.edu/academics","Link")</f>
        <v>Link</v>
      </c>
      <c r="AE391" s="54">
        <v>2676</v>
      </c>
      <c r="AF391" s="55"/>
      <c r="AG391" s="7"/>
      <c r="AH391" s="56">
        <v>174075</v>
      </c>
      <c r="AI391" s="7"/>
      <c r="AJ391" s="7"/>
      <c r="AK391" s="7"/>
      <c r="AL391" s="7"/>
    </row>
    <row r="392" spans="1:38" ht="13" x14ac:dyDescent="0.15">
      <c r="A392" s="57" t="s">
        <v>4718</v>
      </c>
      <c r="B392" s="110" t="s">
        <v>4669</v>
      </c>
      <c r="C392" s="7" t="s">
        <v>41</v>
      </c>
      <c r="D392" s="7" t="s">
        <v>5925</v>
      </c>
      <c r="E392" s="44">
        <v>5</v>
      </c>
      <c r="F392" s="7"/>
      <c r="G392" s="7"/>
      <c r="H392" s="2" t="s">
        <v>5910</v>
      </c>
      <c r="I392" s="7" t="s">
        <v>844</v>
      </c>
      <c r="J392" s="7" t="s">
        <v>918</v>
      </c>
      <c r="K392" s="7" t="s">
        <v>48</v>
      </c>
      <c r="L392" s="7" t="s">
        <v>5928</v>
      </c>
      <c r="M392" s="7" t="s">
        <v>5929</v>
      </c>
      <c r="N392" s="45" t="str">
        <f t="shared" si="291"/>
        <v>@umcrookstonsb</v>
      </c>
      <c r="O392" s="48" t="s">
        <v>22</v>
      </c>
      <c r="P392" s="48" t="s">
        <v>5916</v>
      </c>
      <c r="Q392" s="47" t="s">
        <v>4661</v>
      </c>
      <c r="R392" s="48" t="s">
        <v>5917</v>
      </c>
      <c r="S392" s="60" t="s">
        <v>205</v>
      </c>
      <c r="T392" s="49" t="s">
        <v>74</v>
      </c>
      <c r="U392" s="7" t="s">
        <v>75</v>
      </c>
      <c r="V392" s="7"/>
      <c r="W392" s="44">
        <v>3.21</v>
      </c>
      <c r="X392" s="49" t="s">
        <v>5921</v>
      </c>
      <c r="Y392" s="49" t="s">
        <v>5922</v>
      </c>
      <c r="Z392" s="49" t="s">
        <v>240</v>
      </c>
      <c r="AA392" s="61">
        <v>0.68</v>
      </c>
      <c r="AB392" s="71">
        <v>22850</v>
      </c>
      <c r="AC392" s="62" t="s">
        <v>5916</v>
      </c>
      <c r="AD392" s="53" t="str">
        <f t="shared" si="292"/>
        <v>Link</v>
      </c>
      <c r="AE392" s="54">
        <v>2676</v>
      </c>
      <c r="AF392" s="55"/>
      <c r="AG392" s="7"/>
      <c r="AH392" s="56">
        <v>174075</v>
      </c>
      <c r="AI392" s="7"/>
      <c r="AJ392" s="7"/>
      <c r="AK392" s="7"/>
      <c r="AL392" s="7"/>
    </row>
    <row r="393" spans="1:38" ht="13" x14ac:dyDescent="0.15">
      <c r="A393" s="57" t="s">
        <v>4718</v>
      </c>
      <c r="B393" s="110" t="s">
        <v>4669</v>
      </c>
      <c r="C393" s="7" t="s">
        <v>41</v>
      </c>
      <c r="D393" s="7" t="s">
        <v>5930</v>
      </c>
      <c r="E393" s="44">
        <v>5</v>
      </c>
      <c r="F393" s="7"/>
      <c r="G393" s="7"/>
      <c r="H393" s="2" t="s">
        <v>5910</v>
      </c>
      <c r="I393" s="7" t="s">
        <v>1954</v>
      </c>
      <c r="J393" s="7" t="s">
        <v>263</v>
      </c>
      <c r="K393" s="7" t="s">
        <v>139</v>
      </c>
      <c r="L393" s="7" t="s">
        <v>5936</v>
      </c>
      <c r="M393" s="7" t="s">
        <v>5937</v>
      </c>
      <c r="N393" s="45" t="str">
        <f t="shared" si="291"/>
        <v>@umcrookstonsb</v>
      </c>
      <c r="O393" s="48" t="s">
        <v>22</v>
      </c>
      <c r="P393" s="48" t="s">
        <v>5916</v>
      </c>
      <c r="Q393" s="47" t="s">
        <v>4661</v>
      </c>
      <c r="R393" s="48" t="s">
        <v>5917</v>
      </c>
      <c r="S393" s="60" t="s">
        <v>205</v>
      </c>
      <c r="T393" s="49" t="s">
        <v>74</v>
      </c>
      <c r="U393" s="7" t="s">
        <v>75</v>
      </c>
      <c r="V393" s="7"/>
      <c r="W393" s="44">
        <v>3.21</v>
      </c>
      <c r="X393" s="49" t="s">
        <v>5921</v>
      </c>
      <c r="Y393" s="49" t="s">
        <v>5922</v>
      </c>
      <c r="Z393" s="49" t="s">
        <v>240</v>
      </c>
      <c r="AA393" s="61">
        <v>0.68</v>
      </c>
      <c r="AB393" s="71">
        <v>22850</v>
      </c>
      <c r="AC393" s="62" t="s">
        <v>5916</v>
      </c>
      <c r="AD393" s="53" t="str">
        <f t="shared" si="292"/>
        <v>Link</v>
      </c>
      <c r="AE393" s="54">
        <v>2676</v>
      </c>
      <c r="AF393" s="55"/>
      <c r="AG393" s="7"/>
      <c r="AH393" s="56">
        <v>174075</v>
      </c>
      <c r="AI393" s="7"/>
      <c r="AJ393" s="7"/>
      <c r="AK393" s="7"/>
      <c r="AL393" s="7"/>
    </row>
    <row r="394" spans="1:38" ht="13" x14ac:dyDescent="0.15">
      <c r="A394" s="57" t="s">
        <v>4718</v>
      </c>
      <c r="B394" s="110" t="s">
        <v>4669</v>
      </c>
      <c r="C394" s="7" t="s">
        <v>41</v>
      </c>
      <c r="D394" s="7" t="s">
        <v>5940</v>
      </c>
      <c r="E394" s="44">
        <v>5</v>
      </c>
      <c r="F394" s="7"/>
      <c r="G394" s="7"/>
      <c r="H394" s="2" t="s">
        <v>5943</v>
      </c>
      <c r="I394" s="7" t="s">
        <v>5944</v>
      </c>
      <c r="J394" s="7" t="s">
        <v>5946</v>
      </c>
      <c r="K394" s="7" t="s">
        <v>55</v>
      </c>
      <c r="L394" s="7" t="s">
        <v>5949</v>
      </c>
      <c r="M394" s="7"/>
      <c r="N394" s="45" t="str">
        <f t="shared" ref="N394:N395" si="293">HYPERLINK("twitter.com/UMD_Softball","@UMD_Softball")</f>
        <v>@UMD_Softball</v>
      </c>
      <c r="O394" s="48" t="s">
        <v>22</v>
      </c>
      <c r="P394" s="48" t="s">
        <v>5953</v>
      </c>
      <c r="Q394" s="47" t="s">
        <v>4661</v>
      </c>
      <c r="R394" s="48" t="s">
        <v>5954</v>
      </c>
      <c r="S394" s="48" t="s">
        <v>238</v>
      </c>
      <c r="T394" s="49" t="s">
        <v>74</v>
      </c>
      <c r="U394" s="7" t="s">
        <v>75</v>
      </c>
      <c r="V394" s="7"/>
      <c r="W394" s="44">
        <v>3.48</v>
      </c>
      <c r="X394" s="49" t="s">
        <v>4408</v>
      </c>
      <c r="Y394" s="49" t="s">
        <v>291</v>
      </c>
      <c r="Z394" s="49" t="s">
        <v>1510</v>
      </c>
      <c r="AA394" s="61">
        <v>0.77</v>
      </c>
      <c r="AB394" s="48" t="s">
        <v>5958</v>
      </c>
      <c r="AC394" s="62" t="s">
        <v>5953</v>
      </c>
      <c r="AD394" s="53" t="str">
        <f t="shared" ref="AD394:AD397" si="294">HYPERLINK("http://d.umn.edu/majors-minors/","Link")</f>
        <v>Link</v>
      </c>
      <c r="AE394" s="54">
        <v>9967</v>
      </c>
      <c r="AF394" s="55"/>
      <c r="AG394" s="7"/>
      <c r="AH394" s="56">
        <v>174233</v>
      </c>
      <c r="AI394" s="7"/>
      <c r="AJ394" s="7"/>
      <c r="AK394" s="7"/>
      <c r="AL394" s="7"/>
    </row>
    <row r="395" spans="1:38" ht="13" x14ac:dyDescent="0.15">
      <c r="A395" s="57" t="s">
        <v>4718</v>
      </c>
      <c r="B395" s="110" t="s">
        <v>4669</v>
      </c>
      <c r="C395" s="7" t="s">
        <v>41</v>
      </c>
      <c r="D395" s="7" t="s">
        <v>5961</v>
      </c>
      <c r="E395" s="44">
        <v>5</v>
      </c>
      <c r="F395" s="7"/>
      <c r="G395" s="7"/>
      <c r="H395" s="2" t="s">
        <v>5943</v>
      </c>
      <c r="I395" s="7" t="s">
        <v>5624</v>
      </c>
      <c r="J395" s="7" t="s">
        <v>5964</v>
      </c>
      <c r="K395" s="7" t="s">
        <v>55</v>
      </c>
      <c r="L395" s="7" t="s">
        <v>5966</v>
      </c>
      <c r="M395" s="7" t="s">
        <v>5968</v>
      </c>
      <c r="N395" s="45" t="str">
        <f t="shared" si="293"/>
        <v>@UMD_Softball</v>
      </c>
      <c r="O395" s="48" t="s">
        <v>22</v>
      </c>
      <c r="P395" s="48" t="s">
        <v>5953</v>
      </c>
      <c r="Q395" s="47" t="s">
        <v>4661</v>
      </c>
      <c r="R395" s="48" t="s">
        <v>5954</v>
      </c>
      <c r="S395" s="48" t="s">
        <v>238</v>
      </c>
      <c r="T395" s="49" t="s">
        <v>74</v>
      </c>
      <c r="U395" s="7" t="s">
        <v>75</v>
      </c>
      <c r="V395" s="7"/>
      <c r="W395" s="44">
        <v>3.48</v>
      </c>
      <c r="X395" s="49" t="s">
        <v>4408</v>
      </c>
      <c r="Y395" s="49" t="s">
        <v>291</v>
      </c>
      <c r="Z395" s="49" t="s">
        <v>1510</v>
      </c>
      <c r="AA395" s="61">
        <v>0.77</v>
      </c>
      <c r="AB395" s="48" t="s">
        <v>5958</v>
      </c>
      <c r="AC395" s="62" t="s">
        <v>5953</v>
      </c>
      <c r="AD395" s="53" t="str">
        <f t="shared" si="294"/>
        <v>Link</v>
      </c>
      <c r="AE395" s="54">
        <v>9967</v>
      </c>
      <c r="AF395" s="55"/>
      <c r="AG395" s="7"/>
      <c r="AH395" s="56">
        <v>174233</v>
      </c>
      <c r="AI395" s="7"/>
      <c r="AJ395" s="7"/>
      <c r="AK395" s="7"/>
      <c r="AL395" s="7"/>
    </row>
    <row r="396" spans="1:38" ht="13" x14ac:dyDescent="0.15">
      <c r="A396" s="57" t="s">
        <v>4718</v>
      </c>
      <c r="B396" s="110" t="s">
        <v>4669</v>
      </c>
      <c r="C396" s="7" t="s">
        <v>41</v>
      </c>
      <c r="D396" s="7" t="s">
        <v>5972</v>
      </c>
      <c r="E396" s="44">
        <v>5</v>
      </c>
      <c r="F396" s="7"/>
      <c r="G396" s="7"/>
      <c r="H396" s="2" t="s">
        <v>5943</v>
      </c>
      <c r="I396" s="7" t="s">
        <v>1092</v>
      </c>
      <c r="J396" s="7" t="s">
        <v>5973</v>
      </c>
      <c r="K396" s="7" t="s">
        <v>48</v>
      </c>
      <c r="L396" s="7" t="s">
        <v>5974</v>
      </c>
      <c r="M396" s="7" t="s">
        <v>5975</v>
      </c>
      <c r="N396" s="45" t="s">
        <v>5977</v>
      </c>
      <c r="O396" s="48" t="s">
        <v>22</v>
      </c>
      <c r="P396" s="48" t="s">
        <v>5953</v>
      </c>
      <c r="Q396" s="47" t="s">
        <v>4661</v>
      </c>
      <c r="R396" s="48" t="s">
        <v>5954</v>
      </c>
      <c r="S396" s="48" t="s">
        <v>238</v>
      </c>
      <c r="T396" s="49" t="s">
        <v>74</v>
      </c>
      <c r="U396" s="7" t="s">
        <v>75</v>
      </c>
      <c r="V396" s="7"/>
      <c r="W396" s="44">
        <v>3.48</v>
      </c>
      <c r="X396" s="49" t="s">
        <v>4408</v>
      </c>
      <c r="Y396" s="49" t="s">
        <v>291</v>
      </c>
      <c r="Z396" s="49" t="s">
        <v>1510</v>
      </c>
      <c r="AA396" s="61">
        <v>0.77</v>
      </c>
      <c r="AB396" s="48" t="s">
        <v>5958</v>
      </c>
      <c r="AC396" s="62" t="s">
        <v>5953</v>
      </c>
      <c r="AD396" s="53" t="str">
        <f t="shared" si="294"/>
        <v>Link</v>
      </c>
      <c r="AE396" s="54">
        <v>9967</v>
      </c>
      <c r="AF396" s="55"/>
      <c r="AG396" s="7"/>
      <c r="AH396" s="56">
        <v>174233</v>
      </c>
      <c r="AI396" s="7"/>
      <c r="AJ396" s="7"/>
      <c r="AK396" s="7"/>
      <c r="AL396" s="7"/>
    </row>
    <row r="397" spans="1:38" ht="13" x14ac:dyDescent="0.15">
      <c r="A397" s="57" t="s">
        <v>4718</v>
      </c>
      <c r="B397" s="110" t="s">
        <v>4669</v>
      </c>
      <c r="C397" s="7" t="s">
        <v>41</v>
      </c>
      <c r="D397" s="7" t="s">
        <v>5985</v>
      </c>
      <c r="E397" s="44">
        <v>5</v>
      </c>
      <c r="F397" s="7"/>
      <c r="G397" s="7"/>
      <c r="H397" s="2" t="s">
        <v>5943</v>
      </c>
      <c r="I397" s="7" t="s">
        <v>3019</v>
      </c>
      <c r="J397" s="7" t="s">
        <v>5988</v>
      </c>
      <c r="K397" s="7" t="s">
        <v>55</v>
      </c>
      <c r="L397" s="7" t="s">
        <v>5989</v>
      </c>
      <c r="M397" s="7" t="s">
        <v>5968</v>
      </c>
      <c r="N397" s="45" t="str">
        <f>HYPERLINK("twitter.com/UMD_Softball","@UMD_Softball")</f>
        <v>@UMD_Softball</v>
      </c>
      <c r="O397" s="48" t="s">
        <v>22</v>
      </c>
      <c r="P397" s="48" t="s">
        <v>5953</v>
      </c>
      <c r="Q397" s="47" t="s">
        <v>4661</v>
      </c>
      <c r="R397" s="48" t="s">
        <v>5954</v>
      </c>
      <c r="S397" s="48" t="s">
        <v>238</v>
      </c>
      <c r="T397" s="49" t="s">
        <v>74</v>
      </c>
      <c r="U397" s="7" t="s">
        <v>75</v>
      </c>
      <c r="V397" s="7"/>
      <c r="W397" s="44">
        <v>3.48</v>
      </c>
      <c r="X397" s="49" t="s">
        <v>4408</v>
      </c>
      <c r="Y397" s="49" t="s">
        <v>291</v>
      </c>
      <c r="Z397" s="49" t="s">
        <v>1510</v>
      </c>
      <c r="AA397" s="61">
        <v>0.77</v>
      </c>
      <c r="AB397" s="48" t="s">
        <v>5958</v>
      </c>
      <c r="AC397" s="62" t="s">
        <v>5953</v>
      </c>
      <c r="AD397" s="53" t="str">
        <f t="shared" si="294"/>
        <v>Link</v>
      </c>
      <c r="AE397" s="54">
        <v>9967</v>
      </c>
      <c r="AF397" s="55"/>
      <c r="AG397" s="7"/>
      <c r="AH397" s="56">
        <v>174233</v>
      </c>
      <c r="AI397" s="7"/>
      <c r="AJ397" s="7"/>
      <c r="AK397" s="7"/>
      <c r="AL397" s="7"/>
    </row>
    <row r="398" spans="1:38" ht="15" x14ac:dyDescent="0.2">
      <c r="A398" s="57" t="s">
        <v>4718</v>
      </c>
      <c r="B398" s="110" t="s">
        <v>4669</v>
      </c>
      <c r="C398" s="7" t="s">
        <v>41</v>
      </c>
      <c r="D398" s="7" t="s">
        <v>5996</v>
      </c>
      <c r="E398" s="44">
        <v>5</v>
      </c>
      <c r="F398" s="7"/>
      <c r="G398" s="7"/>
      <c r="H398" s="2" t="s">
        <v>5997</v>
      </c>
      <c r="I398" s="7" t="s">
        <v>5998</v>
      </c>
      <c r="J398" s="7" t="s">
        <v>5980</v>
      </c>
      <c r="K398" s="7" t="s">
        <v>55</v>
      </c>
      <c r="L398" s="7" t="s">
        <v>5999</v>
      </c>
      <c r="M398" s="7" t="s">
        <v>6000</v>
      </c>
      <c r="N398" s="45" t="str">
        <f t="shared" ref="N398:N400" si="295">HYPERLINK("twitter.com/smsusoftball","@smsusoftball")</f>
        <v>@smsusoftball</v>
      </c>
      <c r="O398" s="45" t="str">
        <f t="shared" ref="O398:O400" si="296">HYPERLINK("https://smsumustangs.com/sports/2009/5/28/GEN_0528095325.aspx","Questionnaire")</f>
        <v>Questionnaire</v>
      </c>
      <c r="P398" s="48" t="s">
        <v>6012</v>
      </c>
      <c r="Q398" s="47" t="s">
        <v>4661</v>
      </c>
      <c r="R398" s="48" t="s">
        <v>2428</v>
      </c>
      <c r="S398" s="48" t="s">
        <v>172</v>
      </c>
      <c r="T398" s="49" t="s">
        <v>74</v>
      </c>
      <c r="U398" s="7" t="s">
        <v>75</v>
      </c>
      <c r="V398" s="7"/>
      <c r="W398" s="44">
        <v>3.07</v>
      </c>
      <c r="X398" s="49" t="s">
        <v>6016</v>
      </c>
      <c r="Y398" s="49" t="s">
        <v>6017</v>
      </c>
      <c r="Z398" s="49" t="s">
        <v>449</v>
      </c>
      <c r="AA398" s="61">
        <v>0.54</v>
      </c>
      <c r="AB398" s="71">
        <v>20389</v>
      </c>
      <c r="AC398" s="52" t="s">
        <v>6012</v>
      </c>
      <c r="AD398" s="53" t="str">
        <f t="shared" ref="AD398:AD400" si="297">HYPERLINK("http://www.smsu.edu/academics/index.html","Link")</f>
        <v>Link</v>
      </c>
      <c r="AE398" s="54">
        <v>7007</v>
      </c>
      <c r="AF398" s="55"/>
      <c r="AG398" s="7"/>
      <c r="AH398" s="56">
        <v>175078</v>
      </c>
      <c r="AI398" s="7"/>
      <c r="AJ398" s="7"/>
      <c r="AK398" s="7"/>
      <c r="AL398" s="7"/>
    </row>
    <row r="399" spans="1:38" ht="15" x14ac:dyDescent="0.2">
      <c r="A399" s="57" t="s">
        <v>4718</v>
      </c>
      <c r="B399" s="110" t="s">
        <v>4669</v>
      </c>
      <c r="C399" s="7" t="s">
        <v>41</v>
      </c>
      <c r="D399" s="7" t="s">
        <v>6022</v>
      </c>
      <c r="E399" s="44">
        <v>5</v>
      </c>
      <c r="F399" s="7"/>
      <c r="G399" s="7"/>
      <c r="H399" s="2" t="s">
        <v>5997</v>
      </c>
      <c r="I399" s="7" t="s">
        <v>531</v>
      </c>
      <c r="J399" s="7" t="s">
        <v>6023</v>
      </c>
      <c r="K399" s="7" t="s">
        <v>55</v>
      </c>
      <c r="L399" s="7" t="s">
        <v>6024</v>
      </c>
      <c r="M399" s="7"/>
      <c r="N399" s="45" t="str">
        <f t="shared" si="295"/>
        <v>@smsusoftball</v>
      </c>
      <c r="O399" s="45" t="str">
        <f t="shared" si="296"/>
        <v>Questionnaire</v>
      </c>
      <c r="P399" s="48" t="s">
        <v>6012</v>
      </c>
      <c r="Q399" s="47" t="s">
        <v>4661</v>
      </c>
      <c r="R399" s="48" t="s">
        <v>2428</v>
      </c>
      <c r="S399" s="48" t="s">
        <v>172</v>
      </c>
      <c r="T399" s="49" t="s">
        <v>74</v>
      </c>
      <c r="U399" s="7" t="s">
        <v>75</v>
      </c>
      <c r="V399" s="7"/>
      <c r="W399" s="44">
        <v>3.07</v>
      </c>
      <c r="X399" s="49" t="s">
        <v>6016</v>
      </c>
      <c r="Y399" s="49" t="s">
        <v>6017</v>
      </c>
      <c r="Z399" s="49" t="s">
        <v>449</v>
      </c>
      <c r="AA399" s="61">
        <v>0.54</v>
      </c>
      <c r="AB399" s="71">
        <v>20389</v>
      </c>
      <c r="AC399" s="52" t="s">
        <v>6012</v>
      </c>
      <c r="AD399" s="53" t="str">
        <f t="shared" si="297"/>
        <v>Link</v>
      </c>
      <c r="AE399" s="54">
        <v>7007</v>
      </c>
      <c r="AF399" s="55"/>
      <c r="AG399" s="7"/>
      <c r="AH399" s="56">
        <v>175078</v>
      </c>
      <c r="AI399" s="7"/>
      <c r="AJ399" s="7"/>
      <c r="AK399" s="7"/>
      <c r="AL399" s="7"/>
    </row>
    <row r="400" spans="1:38" ht="15" x14ac:dyDescent="0.2">
      <c r="A400" s="57" t="s">
        <v>4718</v>
      </c>
      <c r="B400" s="110" t="s">
        <v>4669</v>
      </c>
      <c r="C400" s="7" t="s">
        <v>41</v>
      </c>
      <c r="D400" s="7" t="s">
        <v>6031</v>
      </c>
      <c r="E400" s="44">
        <v>5</v>
      </c>
      <c r="F400" s="7"/>
      <c r="G400" s="7"/>
      <c r="H400" s="2" t="s">
        <v>5997</v>
      </c>
      <c r="I400" s="7" t="s">
        <v>852</v>
      </c>
      <c r="J400" s="7" t="s">
        <v>6032</v>
      </c>
      <c r="K400" s="7" t="s">
        <v>48</v>
      </c>
      <c r="L400" s="7" t="s">
        <v>6033</v>
      </c>
      <c r="M400" s="7" t="s">
        <v>6034</v>
      </c>
      <c r="N400" s="45" t="str">
        <f t="shared" si="295"/>
        <v>@smsusoftball</v>
      </c>
      <c r="O400" s="45" t="str">
        <f t="shared" si="296"/>
        <v>Questionnaire</v>
      </c>
      <c r="P400" s="48" t="s">
        <v>6012</v>
      </c>
      <c r="Q400" s="47" t="s">
        <v>4661</v>
      </c>
      <c r="R400" s="48" t="s">
        <v>2428</v>
      </c>
      <c r="S400" s="48" t="s">
        <v>172</v>
      </c>
      <c r="T400" s="49" t="s">
        <v>74</v>
      </c>
      <c r="U400" s="7" t="s">
        <v>75</v>
      </c>
      <c r="V400" s="7"/>
      <c r="W400" s="44">
        <v>3.07</v>
      </c>
      <c r="X400" s="49" t="s">
        <v>6016</v>
      </c>
      <c r="Y400" s="49" t="s">
        <v>6017</v>
      </c>
      <c r="Z400" s="49" t="s">
        <v>449</v>
      </c>
      <c r="AA400" s="61">
        <v>0.54</v>
      </c>
      <c r="AB400" s="71">
        <v>20389</v>
      </c>
      <c r="AC400" s="52" t="s">
        <v>6012</v>
      </c>
      <c r="AD400" s="53" t="str">
        <f t="shared" si="297"/>
        <v>Link</v>
      </c>
      <c r="AE400" s="54">
        <v>7007</v>
      </c>
      <c r="AF400" s="55"/>
      <c r="AG400" s="7"/>
      <c r="AH400" s="56">
        <v>175078</v>
      </c>
      <c r="AI400" s="7"/>
      <c r="AJ400" s="7"/>
      <c r="AK400" s="7"/>
      <c r="AL400" s="7"/>
    </row>
    <row r="401" spans="1:38" ht="13" x14ac:dyDescent="0.15">
      <c r="A401" s="57" t="s">
        <v>4718</v>
      </c>
      <c r="B401" s="110" t="s">
        <v>4669</v>
      </c>
      <c r="C401" s="7" t="s">
        <v>41</v>
      </c>
      <c r="D401" s="7" t="s">
        <v>6045</v>
      </c>
      <c r="E401" s="44">
        <v>5</v>
      </c>
      <c r="F401" s="7"/>
      <c r="G401" s="7"/>
      <c r="H401" s="2" t="s">
        <v>6047</v>
      </c>
      <c r="I401" s="7" t="s">
        <v>694</v>
      </c>
      <c r="J401" s="7" t="s">
        <v>6048</v>
      </c>
      <c r="K401" s="7" t="s">
        <v>55</v>
      </c>
      <c r="L401" s="7" t="s">
        <v>6049</v>
      </c>
      <c r="M401" s="7" t="s">
        <v>6050</v>
      </c>
      <c r="N401" s="45" t="str">
        <f t="shared" ref="N401:N403" si="298">HYPERLINK("twitter.com/SCSUHUSKIES_SB","@SCSUHUSKIES_SB")</f>
        <v>@SCSUHUSKIES_SB</v>
      </c>
      <c r="O401" s="45" t="str">
        <f t="shared" ref="O401:O403" si="299">HYPERLINK("https://scsuhuskies.com/sb_output.aspx?form=3","Questionnaire")</f>
        <v>Questionnaire</v>
      </c>
      <c r="P401" s="48" t="s">
        <v>6057</v>
      </c>
      <c r="Q401" s="47" t="s">
        <v>4661</v>
      </c>
      <c r="R401" s="48" t="s">
        <v>6058</v>
      </c>
      <c r="S401" s="48" t="s">
        <v>186</v>
      </c>
      <c r="T401" s="49" t="s">
        <v>74</v>
      </c>
      <c r="U401" s="7" t="s">
        <v>75</v>
      </c>
      <c r="V401" s="7"/>
      <c r="W401" s="44">
        <v>3.23</v>
      </c>
      <c r="X401" s="49" t="s">
        <v>2257</v>
      </c>
      <c r="Y401" s="49" t="s">
        <v>2528</v>
      </c>
      <c r="Z401" s="49" t="s">
        <v>841</v>
      </c>
      <c r="AA401" s="81">
        <v>0.85</v>
      </c>
      <c r="AB401" s="48" t="s">
        <v>6063</v>
      </c>
      <c r="AC401" s="62" t="s">
        <v>6057</v>
      </c>
      <c r="AD401" s="53" t="str">
        <f t="shared" ref="AD401:AD403" si="300">HYPERLINK("https://www.stcloudstate.edu/academics/undergraduate-programs.aspx","Link")</f>
        <v>Link</v>
      </c>
      <c r="AE401" s="54">
        <v>13878</v>
      </c>
      <c r="AF401" s="55"/>
      <c r="AG401" s="7"/>
      <c r="AH401" s="56">
        <v>174783</v>
      </c>
      <c r="AI401" s="7"/>
      <c r="AJ401" s="7"/>
      <c r="AK401" s="7"/>
      <c r="AL401" s="7"/>
    </row>
    <row r="402" spans="1:38" ht="13" x14ac:dyDescent="0.15">
      <c r="A402" s="57" t="s">
        <v>4718</v>
      </c>
      <c r="B402" s="110" t="s">
        <v>4669</v>
      </c>
      <c r="C402" s="7" t="s">
        <v>41</v>
      </c>
      <c r="D402" s="7" t="s">
        <v>6071</v>
      </c>
      <c r="E402" s="44">
        <v>5</v>
      </c>
      <c r="F402" s="7"/>
      <c r="G402" s="7"/>
      <c r="H402" s="2" t="s">
        <v>6047</v>
      </c>
      <c r="I402" s="7" t="s">
        <v>6072</v>
      </c>
      <c r="J402" s="7" t="s">
        <v>6073</v>
      </c>
      <c r="K402" s="7" t="s">
        <v>48</v>
      </c>
      <c r="L402" s="7" t="s">
        <v>6074</v>
      </c>
      <c r="M402" s="7" t="s">
        <v>6075</v>
      </c>
      <c r="N402" s="45" t="str">
        <f t="shared" si="298"/>
        <v>@SCSUHUSKIES_SB</v>
      </c>
      <c r="O402" s="45" t="str">
        <f t="shared" si="299"/>
        <v>Questionnaire</v>
      </c>
      <c r="P402" s="48" t="s">
        <v>6057</v>
      </c>
      <c r="Q402" s="47" t="s">
        <v>4661</v>
      </c>
      <c r="R402" s="48" t="s">
        <v>6058</v>
      </c>
      <c r="S402" s="48" t="s">
        <v>186</v>
      </c>
      <c r="T402" s="49" t="s">
        <v>74</v>
      </c>
      <c r="U402" s="7" t="s">
        <v>75</v>
      </c>
      <c r="V402" s="7"/>
      <c r="W402" s="44">
        <v>3.23</v>
      </c>
      <c r="X402" s="49" t="s">
        <v>2257</v>
      </c>
      <c r="Y402" s="49" t="s">
        <v>2528</v>
      </c>
      <c r="Z402" s="49" t="s">
        <v>841</v>
      </c>
      <c r="AA402" s="81">
        <v>0.85</v>
      </c>
      <c r="AB402" s="48" t="s">
        <v>6063</v>
      </c>
      <c r="AC402" s="62" t="s">
        <v>6057</v>
      </c>
      <c r="AD402" s="53" t="str">
        <f t="shared" si="300"/>
        <v>Link</v>
      </c>
      <c r="AE402" s="54">
        <v>13878</v>
      </c>
      <c r="AF402" s="55"/>
      <c r="AG402" s="7"/>
      <c r="AH402" s="56">
        <v>174783</v>
      </c>
      <c r="AI402" s="7"/>
      <c r="AJ402" s="7"/>
      <c r="AK402" s="7"/>
      <c r="AL402" s="7"/>
    </row>
    <row r="403" spans="1:38" ht="13" x14ac:dyDescent="0.15">
      <c r="A403" s="57" t="s">
        <v>4718</v>
      </c>
      <c r="B403" s="110" t="s">
        <v>4669</v>
      </c>
      <c r="C403" s="7" t="s">
        <v>41</v>
      </c>
      <c r="D403" s="7" t="s">
        <v>6081</v>
      </c>
      <c r="E403" s="44">
        <v>5</v>
      </c>
      <c r="F403" s="7"/>
      <c r="G403" s="7"/>
      <c r="H403" s="2" t="s">
        <v>6047</v>
      </c>
      <c r="I403" s="7" t="s">
        <v>6082</v>
      </c>
      <c r="J403" s="7" t="s">
        <v>263</v>
      </c>
      <c r="K403" s="7" t="s">
        <v>919</v>
      </c>
      <c r="L403" s="7"/>
      <c r="M403" s="7"/>
      <c r="N403" s="45" t="str">
        <f t="shared" si="298"/>
        <v>@SCSUHUSKIES_SB</v>
      </c>
      <c r="O403" s="45" t="str">
        <f t="shared" si="299"/>
        <v>Questionnaire</v>
      </c>
      <c r="P403" s="48" t="s">
        <v>6057</v>
      </c>
      <c r="Q403" s="47" t="s">
        <v>4661</v>
      </c>
      <c r="R403" s="48" t="s">
        <v>6058</v>
      </c>
      <c r="S403" s="48" t="s">
        <v>186</v>
      </c>
      <c r="T403" s="49" t="s">
        <v>74</v>
      </c>
      <c r="U403" s="7" t="s">
        <v>75</v>
      </c>
      <c r="V403" s="7"/>
      <c r="W403" s="44">
        <v>3.23</v>
      </c>
      <c r="X403" s="49" t="s">
        <v>2257</v>
      </c>
      <c r="Y403" s="49" t="s">
        <v>2528</v>
      </c>
      <c r="Z403" s="49" t="s">
        <v>841</v>
      </c>
      <c r="AA403" s="81">
        <v>0.85</v>
      </c>
      <c r="AB403" s="48" t="s">
        <v>6063</v>
      </c>
      <c r="AC403" s="62" t="s">
        <v>6057</v>
      </c>
      <c r="AD403" s="53" t="str">
        <f t="shared" si="300"/>
        <v>Link</v>
      </c>
      <c r="AE403" s="54">
        <v>13878</v>
      </c>
      <c r="AF403" s="55"/>
      <c r="AG403" s="7"/>
      <c r="AH403" s="56">
        <v>174783</v>
      </c>
      <c r="AI403" s="7"/>
      <c r="AJ403" s="7"/>
      <c r="AK403" s="7"/>
      <c r="AL403" s="7"/>
    </row>
    <row r="404" spans="1:38" ht="15" x14ac:dyDescent="0.2">
      <c r="A404" s="57" t="s">
        <v>4718</v>
      </c>
      <c r="B404" s="110" t="s">
        <v>4669</v>
      </c>
      <c r="C404" s="7" t="s">
        <v>41</v>
      </c>
      <c r="D404" s="7" t="s">
        <v>6089</v>
      </c>
      <c r="E404" s="44">
        <v>5</v>
      </c>
      <c r="F404" s="7"/>
      <c r="G404" s="7"/>
      <c r="H404" s="2" t="s">
        <v>6090</v>
      </c>
      <c r="I404" s="7" t="s">
        <v>6091</v>
      </c>
      <c r="J404" s="7" t="s">
        <v>6092</v>
      </c>
      <c r="K404" s="7" t="s">
        <v>55</v>
      </c>
      <c r="L404" s="7" t="s">
        <v>6093</v>
      </c>
      <c r="M404" s="7" t="s">
        <v>6094</v>
      </c>
      <c r="N404" s="45" t="str">
        <f t="shared" ref="N404:N407" si="301">HYPERLINK("twitter.com/WinonaStateSB","@WinonaStateSB")</f>
        <v>@WinonaStateSB</v>
      </c>
      <c r="O404" s="45" t="str">
        <f t="shared" ref="O404:O407" si="302">HYPERLINK("https://winonastatewarriors.com/sb_output.aspx?form=3","Questionnaire")</f>
        <v>Questionnaire</v>
      </c>
      <c r="P404" s="48" t="s">
        <v>6096</v>
      </c>
      <c r="Q404" s="47" t="s">
        <v>4661</v>
      </c>
      <c r="R404" s="48" t="s">
        <v>6098</v>
      </c>
      <c r="S404" s="48" t="s">
        <v>468</v>
      </c>
      <c r="T404" s="49" t="s">
        <v>74</v>
      </c>
      <c r="U404" s="7" t="s">
        <v>75</v>
      </c>
      <c r="V404" s="7"/>
      <c r="W404" s="44">
        <v>2.86</v>
      </c>
      <c r="X404" s="49" t="s">
        <v>6099</v>
      </c>
      <c r="Y404" s="49" t="s">
        <v>1947</v>
      </c>
      <c r="Z404" s="49" t="s">
        <v>1994</v>
      </c>
      <c r="AA404" s="61">
        <v>0.6</v>
      </c>
      <c r="AB404" s="48" t="s">
        <v>6102</v>
      </c>
      <c r="AC404" s="52" t="s">
        <v>6096</v>
      </c>
      <c r="AD404" s="53" t="str">
        <f t="shared" ref="AD404:AD407" si="303">HYPERLINK("https://www.winona.edu/admissions/programs.asp","Link")</f>
        <v>Link</v>
      </c>
      <c r="AE404" s="54">
        <v>7661</v>
      </c>
      <c r="AF404" s="55"/>
      <c r="AG404" s="7"/>
      <c r="AH404" s="56">
        <v>175272</v>
      </c>
      <c r="AI404" s="7"/>
      <c r="AJ404" s="7"/>
      <c r="AK404" s="7"/>
      <c r="AL404" s="7"/>
    </row>
    <row r="405" spans="1:38" ht="15" x14ac:dyDescent="0.2">
      <c r="A405" s="57" t="s">
        <v>4718</v>
      </c>
      <c r="B405" s="110" t="s">
        <v>4669</v>
      </c>
      <c r="C405" s="7" t="s">
        <v>41</v>
      </c>
      <c r="D405" s="7" t="s">
        <v>6105</v>
      </c>
      <c r="E405" s="44">
        <v>5</v>
      </c>
      <c r="F405" s="7"/>
      <c r="G405" s="7"/>
      <c r="H405" s="2" t="s">
        <v>6090</v>
      </c>
      <c r="I405" s="7" t="s">
        <v>6106</v>
      </c>
      <c r="J405" s="7" t="s">
        <v>812</v>
      </c>
      <c r="K405" s="7" t="s">
        <v>55</v>
      </c>
      <c r="L405" s="7" t="s">
        <v>6107</v>
      </c>
      <c r="M405" s="7" t="s">
        <v>6108</v>
      </c>
      <c r="N405" s="45" t="str">
        <f t="shared" si="301"/>
        <v>@WinonaStateSB</v>
      </c>
      <c r="O405" s="45" t="str">
        <f t="shared" si="302"/>
        <v>Questionnaire</v>
      </c>
      <c r="P405" s="48" t="s">
        <v>6096</v>
      </c>
      <c r="Q405" s="47" t="s">
        <v>4661</v>
      </c>
      <c r="R405" s="48" t="s">
        <v>6098</v>
      </c>
      <c r="S405" s="48" t="s">
        <v>468</v>
      </c>
      <c r="T405" s="49" t="s">
        <v>74</v>
      </c>
      <c r="U405" s="7" t="s">
        <v>75</v>
      </c>
      <c r="V405" s="7"/>
      <c r="W405" s="44">
        <v>2.86</v>
      </c>
      <c r="X405" s="49" t="s">
        <v>6099</v>
      </c>
      <c r="Y405" s="49" t="s">
        <v>1947</v>
      </c>
      <c r="Z405" s="49" t="s">
        <v>1994</v>
      </c>
      <c r="AA405" s="61">
        <v>0.6</v>
      </c>
      <c r="AB405" s="48" t="s">
        <v>6102</v>
      </c>
      <c r="AC405" s="52" t="s">
        <v>6096</v>
      </c>
      <c r="AD405" s="53" t="str">
        <f t="shared" si="303"/>
        <v>Link</v>
      </c>
      <c r="AE405" s="54">
        <v>7661</v>
      </c>
      <c r="AF405" s="55"/>
      <c r="AG405" s="7"/>
      <c r="AH405" s="56">
        <v>175272</v>
      </c>
      <c r="AI405" s="7"/>
      <c r="AJ405" s="7"/>
      <c r="AK405" s="7"/>
      <c r="AL405" s="7"/>
    </row>
    <row r="406" spans="1:38" ht="15" x14ac:dyDescent="0.2">
      <c r="A406" s="57" t="s">
        <v>4718</v>
      </c>
      <c r="B406" s="110" t="s">
        <v>4669</v>
      </c>
      <c r="C406" s="7" t="s">
        <v>41</v>
      </c>
      <c r="D406" s="7" t="s">
        <v>6117</v>
      </c>
      <c r="E406" s="44">
        <v>5</v>
      </c>
      <c r="F406" s="7"/>
      <c r="G406" s="7"/>
      <c r="H406" s="2" t="s">
        <v>6090</v>
      </c>
      <c r="I406" s="7" t="s">
        <v>6118</v>
      </c>
      <c r="J406" s="7" t="s">
        <v>6119</v>
      </c>
      <c r="K406" s="7" t="s">
        <v>120</v>
      </c>
      <c r="L406" s="7" t="s">
        <v>6120</v>
      </c>
      <c r="M406" s="7"/>
      <c r="N406" s="45" t="str">
        <f t="shared" si="301"/>
        <v>@WinonaStateSB</v>
      </c>
      <c r="O406" s="45" t="str">
        <f t="shared" si="302"/>
        <v>Questionnaire</v>
      </c>
      <c r="P406" s="48" t="s">
        <v>6096</v>
      </c>
      <c r="Q406" s="47" t="s">
        <v>4661</v>
      </c>
      <c r="R406" s="48" t="s">
        <v>6098</v>
      </c>
      <c r="S406" s="48" t="s">
        <v>468</v>
      </c>
      <c r="T406" s="49" t="s">
        <v>74</v>
      </c>
      <c r="U406" s="7" t="s">
        <v>75</v>
      </c>
      <c r="V406" s="7"/>
      <c r="W406" s="44">
        <v>2.86</v>
      </c>
      <c r="X406" s="49" t="s">
        <v>6099</v>
      </c>
      <c r="Y406" s="49" t="s">
        <v>1947</v>
      </c>
      <c r="Z406" s="49" t="s">
        <v>1994</v>
      </c>
      <c r="AA406" s="61">
        <v>0.6</v>
      </c>
      <c r="AB406" s="48" t="s">
        <v>6102</v>
      </c>
      <c r="AC406" s="52" t="s">
        <v>6096</v>
      </c>
      <c r="AD406" s="53" t="str">
        <f t="shared" si="303"/>
        <v>Link</v>
      </c>
      <c r="AE406" s="54">
        <v>7661</v>
      </c>
      <c r="AF406" s="55"/>
      <c r="AG406" s="7"/>
      <c r="AH406" s="56">
        <v>175272</v>
      </c>
      <c r="AI406" s="7"/>
      <c r="AJ406" s="7"/>
      <c r="AK406" s="7"/>
      <c r="AL406" s="7"/>
    </row>
    <row r="407" spans="1:38" ht="15" x14ac:dyDescent="0.2">
      <c r="A407" s="57" t="s">
        <v>4718</v>
      </c>
      <c r="B407" s="110" t="s">
        <v>4669</v>
      </c>
      <c r="C407" s="7" t="s">
        <v>41</v>
      </c>
      <c r="D407" s="7" t="s">
        <v>6127</v>
      </c>
      <c r="E407" s="44">
        <v>5</v>
      </c>
      <c r="F407" s="7"/>
      <c r="G407" s="7"/>
      <c r="H407" s="2" t="s">
        <v>6090</v>
      </c>
      <c r="I407" s="7" t="s">
        <v>439</v>
      </c>
      <c r="J407" s="7" t="s">
        <v>812</v>
      </c>
      <c r="K407" s="7" t="s">
        <v>48</v>
      </c>
      <c r="L407" s="7" t="s">
        <v>6128</v>
      </c>
      <c r="M407" s="7" t="s">
        <v>6129</v>
      </c>
      <c r="N407" s="45" t="str">
        <f t="shared" si="301"/>
        <v>@WinonaStateSB</v>
      </c>
      <c r="O407" s="45" t="str">
        <f t="shared" si="302"/>
        <v>Questionnaire</v>
      </c>
      <c r="P407" s="48" t="s">
        <v>6096</v>
      </c>
      <c r="Q407" s="47" t="s">
        <v>4661</v>
      </c>
      <c r="R407" s="48" t="s">
        <v>6098</v>
      </c>
      <c r="S407" s="48" t="s">
        <v>468</v>
      </c>
      <c r="T407" s="49" t="s">
        <v>74</v>
      </c>
      <c r="U407" s="7" t="s">
        <v>75</v>
      </c>
      <c r="V407" s="7"/>
      <c r="W407" s="44">
        <v>2.86</v>
      </c>
      <c r="X407" s="49" t="s">
        <v>6099</v>
      </c>
      <c r="Y407" s="49" t="s">
        <v>1947</v>
      </c>
      <c r="Z407" s="49" t="s">
        <v>1994</v>
      </c>
      <c r="AA407" s="61">
        <v>0.6</v>
      </c>
      <c r="AB407" s="48" t="s">
        <v>6102</v>
      </c>
      <c r="AC407" s="52" t="s">
        <v>6096</v>
      </c>
      <c r="AD407" s="53" t="str">
        <f t="shared" si="303"/>
        <v>Link</v>
      </c>
      <c r="AE407" s="54">
        <v>7661</v>
      </c>
      <c r="AF407" s="55"/>
      <c r="AG407" s="7"/>
      <c r="AH407" s="56">
        <v>175272</v>
      </c>
      <c r="AI407" s="7"/>
      <c r="AJ407" s="7"/>
      <c r="AK407" s="7"/>
      <c r="AL407" s="7"/>
    </row>
    <row r="408" spans="1:38" ht="13" x14ac:dyDescent="0.15">
      <c r="A408" s="57" t="s">
        <v>39</v>
      </c>
      <c r="B408" s="110" t="s">
        <v>6135</v>
      </c>
      <c r="C408" s="7" t="s">
        <v>41</v>
      </c>
      <c r="D408" s="7" t="s">
        <v>6140</v>
      </c>
      <c r="E408" s="44">
        <v>5</v>
      </c>
      <c r="F408" s="7"/>
      <c r="G408" s="7"/>
      <c r="H408" s="2" t="s">
        <v>6141</v>
      </c>
      <c r="I408" s="7" t="s">
        <v>539</v>
      </c>
      <c r="J408" s="7" t="s">
        <v>6142</v>
      </c>
      <c r="K408" s="7" t="s">
        <v>55</v>
      </c>
      <c r="L408" s="7" t="s">
        <v>6143</v>
      </c>
      <c r="M408" s="7" t="s">
        <v>6144</v>
      </c>
      <c r="N408" s="45" t="str">
        <f t="shared" ref="N408:N411" si="304">HYPERLINK("twitter.com/DeltaStateSB","@DeltaStateSB")</f>
        <v>@DeltaStateSB</v>
      </c>
      <c r="O408" s="45" t="str">
        <f t="shared" ref="O408:O411" si="305">HYPERLINK("https://gostatesmen.com/sb_output.aspx?form=3","Questionnaire")</f>
        <v>Questionnaire</v>
      </c>
      <c r="P408" s="48" t="s">
        <v>6148</v>
      </c>
      <c r="Q408" s="47" t="s">
        <v>6149</v>
      </c>
      <c r="R408" s="48" t="s">
        <v>6150</v>
      </c>
      <c r="S408" s="48" t="s">
        <v>172</v>
      </c>
      <c r="T408" s="49" t="s">
        <v>74</v>
      </c>
      <c r="U408" s="7" t="s">
        <v>75</v>
      </c>
      <c r="V408" s="7"/>
      <c r="W408" s="44">
        <v>3.1</v>
      </c>
      <c r="X408" s="49" t="s">
        <v>447</v>
      </c>
      <c r="Y408" s="49" t="s">
        <v>3013</v>
      </c>
      <c r="Z408" s="49" t="s">
        <v>746</v>
      </c>
      <c r="AA408" s="61">
        <v>0.89</v>
      </c>
      <c r="AB408" s="71">
        <v>18992</v>
      </c>
      <c r="AC408" s="62" t="s">
        <v>6148</v>
      </c>
      <c r="AD408" s="53" t="str">
        <f t="shared" ref="AD408:AD411" si="306">HYPERLINK("http://www.deltastate.edu/admissions/academics/","Link")</f>
        <v>Link</v>
      </c>
      <c r="AE408" s="54">
        <v>2763</v>
      </c>
      <c r="AF408" s="55"/>
      <c r="AG408" s="7"/>
      <c r="AH408" s="56">
        <v>175616</v>
      </c>
      <c r="AI408" s="7"/>
      <c r="AJ408" s="7"/>
      <c r="AK408" s="7"/>
      <c r="AL408" s="7"/>
    </row>
    <row r="409" spans="1:38" ht="13" x14ac:dyDescent="0.15">
      <c r="A409" s="57" t="s">
        <v>39</v>
      </c>
      <c r="B409" s="110" t="s">
        <v>6135</v>
      </c>
      <c r="C409" s="7" t="s">
        <v>41</v>
      </c>
      <c r="D409" s="7" t="s">
        <v>6156</v>
      </c>
      <c r="E409" s="44">
        <v>5</v>
      </c>
      <c r="F409" s="7"/>
      <c r="G409" s="7"/>
      <c r="H409" s="2" t="s">
        <v>6141</v>
      </c>
      <c r="I409" s="7" t="s">
        <v>1124</v>
      </c>
      <c r="J409" s="7" t="s">
        <v>263</v>
      </c>
      <c r="K409" s="7" t="s">
        <v>120</v>
      </c>
      <c r="L409" s="7" t="s">
        <v>6157</v>
      </c>
      <c r="M409" s="7" t="s">
        <v>6158</v>
      </c>
      <c r="N409" s="45" t="str">
        <f t="shared" si="304"/>
        <v>@DeltaStateSB</v>
      </c>
      <c r="O409" s="45" t="str">
        <f t="shared" si="305"/>
        <v>Questionnaire</v>
      </c>
      <c r="P409" s="48" t="s">
        <v>6148</v>
      </c>
      <c r="Q409" s="47" t="s">
        <v>6149</v>
      </c>
      <c r="R409" s="48" t="s">
        <v>6150</v>
      </c>
      <c r="S409" s="48" t="s">
        <v>172</v>
      </c>
      <c r="T409" s="49" t="s">
        <v>74</v>
      </c>
      <c r="U409" s="7" t="s">
        <v>75</v>
      </c>
      <c r="V409" s="7"/>
      <c r="W409" s="44">
        <v>3.1</v>
      </c>
      <c r="X409" s="49" t="s">
        <v>447</v>
      </c>
      <c r="Y409" s="49" t="s">
        <v>3013</v>
      </c>
      <c r="Z409" s="49" t="s">
        <v>746</v>
      </c>
      <c r="AA409" s="61">
        <v>0.89</v>
      </c>
      <c r="AB409" s="71">
        <v>18992</v>
      </c>
      <c r="AC409" s="62" t="s">
        <v>6148</v>
      </c>
      <c r="AD409" s="53" t="str">
        <f t="shared" si="306"/>
        <v>Link</v>
      </c>
      <c r="AE409" s="54">
        <v>2763</v>
      </c>
      <c r="AF409" s="55"/>
      <c r="AG409" s="7"/>
      <c r="AH409" s="56">
        <v>175616</v>
      </c>
      <c r="AI409" s="7"/>
      <c r="AJ409" s="7"/>
      <c r="AK409" s="7"/>
      <c r="AL409" s="7"/>
    </row>
    <row r="410" spans="1:38" ht="13" x14ac:dyDescent="0.15">
      <c r="A410" s="57" t="s">
        <v>39</v>
      </c>
      <c r="B410" s="110" t="s">
        <v>6135</v>
      </c>
      <c r="C410" s="7" t="s">
        <v>41</v>
      </c>
      <c r="D410" s="7" t="s">
        <v>6164</v>
      </c>
      <c r="E410" s="44">
        <v>5</v>
      </c>
      <c r="F410" s="7"/>
      <c r="G410" s="7"/>
      <c r="H410" s="2" t="s">
        <v>6141</v>
      </c>
      <c r="I410" s="7" t="s">
        <v>6166</v>
      </c>
      <c r="J410" s="7" t="s">
        <v>6167</v>
      </c>
      <c r="K410" s="7" t="s">
        <v>120</v>
      </c>
      <c r="L410" s="7" t="s">
        <v>6168</v>
      </c>
      <c r="M410" s="7" t="s">
        <v>6158</v>
      </c>
      <c r="N410" s="45" t="str">
        <f t="shared" si="304"/>
        <v>@DeltaStateSB</v>
      </c>
      <c r="O410" s="45" t="str">
        <f t="shared" si="305"/>
        <v>Questionnaire</v>
      </c>
      <c r="P410" s="48" t="s">
        <v>6148</v>
      </c>
      <c r="Q410" s="47" t="s">
        <v>6149</v>
      </c>
      <c r="R410" s="48" t="s">
        <v>6150</v>
      </c>
      <c r="S410" s="48" t="s">
        <v>172</v>
      </c>
      <c r="T410" s="49" t="s">
        <v>74</v>
      </c>
      <c r="U410" s="7" t="s">
        <v>75</v>
      </c>
      <c r="V410" s="7"/>
      <c r="W410" s="44">
        <v>3.1</v>
      </c>
      <c r="X410" s="49" t="s">
        <v>447</v>
      </c>
      <c r="Y410" s="49" t="s">
        <v>3013</v>
      </c>
      <c r="Z410" s="49" t="s">
        <v>746</v>
      </c>
      <c r="AA410" s="61">
        <v>0.89</v>
      </c>
      <c r="AB410" s="71">
        <v>18992</v>
      </c>
      <c r="AC410" s="62" t="s">
        <v>6148</v>
      </c>
      <c r="AD410" s="53" t="str">
        <f t="shared" si="306"/>
        <v>Link</v>
      </c>
      <c r="AE410" s="54">
        <v>2763</v>
      </c>
      <c r="AF410" s="55"/>
      <c r="AG410" s="7"/>
      <c r="AH410" s="56">
        <v>175616</v>
      </c>
      <c r="AI410" s="7"/>
      <c r="AJ410" s="7"/>
      <c r="AK410" s="7"/>
      <c r="AL410" s="7"/>
    </row>
    <row r="411" spans="1:38" ht="13" x14ac:dyDescent="0.15">
      <c r="A411" s="57" t="s">
        <v>39</v>
      </c>
      <c r="B411" s="110" t="s">
        <v>6135</v>
      </c>
      <c r="C411" s="7" t="s">
        <v>41</v>
      </c>
      <c r="D411" s="7" t="s">
        <v>6174</v>
      </c>
      <c r="E411" s="44">
        <v>5</v>
      </c>
      <c r="F411" s="7"/>
      <c r="G411" s="7"/>
      <c r="H411" s="2" t="s">
        <v>6141</v>
      </c>
      <c r="I411" s="7" t="s">
        <v>111</v>
      </c>
      <c r="J411" s="7" t="s">
        <v>6175</v>
      </c>
      <c r="K411" s="7" t="s">
        <v>48</v>
      </c>
      <c r="L411" s="7" t="s">
        <v>6176</v>
      </c>
      <c r="M411" s="7" t="s">
        <v>6177</v>
      </c>
      <c r="N411" s="45" t="str">
        <f t="shared" si="304"/>
        <v>@DeltaStateSB</v>
      </c>
      <c r="O411" s="45" t="str">
        <f t="shared" si="305"/>
        <v>Questionnaire</v>
      </c>
      <c r="P411" s="48" t="s">
        <v>6148</v>
      </c>
      <c r="Q411" s="47" t="s">
        <v>6149</v>
      </c>
      <c r="R411" s="48" t="s">
        <v>6150</v>
      </c>
      <c r="S411" s="48" t="s">
        <v>172</v>
      </c>
      <c r="T411" s="49" t="s">
        <v>74</v>
      </c>
      <c r="U411" s="7" t="s">
        <v>75</v>
      </c>
      <c r="V411" s="7"/>
      <c r="W411" s="44">
        <v>3.1</v>
      </c>
      <c r="X411" s="49" t="s">
        <v>447</v>
      </c>
      <c r="Y411" s="49" t="s">
        <v>3013</v>
      </c>
      <c r="Z411" s="49" t="s">
        <v>746</v>
      </c>
      <c r="AA411" s="61">
        <v>0.89</v>
      </c>
      <c r="AB411" s="71">
        <v>18992</v>
      </c>
      <c r="AC411" s="62" t="s">
        <v>6148</v>
      </c>
      <c r="AD411" s="53" t="str">
        <f t="shared" si="306"/>
        <v>Link</v>
      </c>
      <c r="AE411" s="54">
        <v>2763</v>
      </c>
      <c r="AF411" s="55"/>
      <c r="AG411" s="7"/>
      <c r="AH411" s="56">
        <v>175616</v>
      </c>
      <c r="AI411" s="7"/>
      <c r="AJ411" s="7"/>
      <c r="AK411" s="7"/>
      <c r="AL411" s="7"/>
    </row>
    <row r="412" spans="1:38" ht="13" x14ac:dyDescent="0.15">
      <c r="A412" s="57" t="s">
        <v>39</v>
      </c>
      <c r="B412" s="110" t="s">
        <v>6135</v>
      </c>
      <c r="C412" s="7" t="s">
        <v>41</v>
      </c>
      <c r="D412" s="7" t="s">
        <v>6183</v>
      </c>
      <c r="E412" s="44">
        <v>5</v>
      </c>
      <c r="F412" s="7"/>
      <c r="G412" s="7"/>
      <c r="H412" s="2" t="s">
        <v>6184</v>
      </c>
      <c r="I412" s="7" t="s">
        <v>4258</v>
      </c>
      <c r="J412" s="7" t="s">
        <v>6185</v>
      </c>
      <c r="K412" s="7" t="s">
        <v>55</v>
      </c>
      <c r="L412" s="7" t="s">
        <v>6186</v>
      </c>
      <c r="M412" s="7" t="s">
        <v>6187</v>
      </c>
      <c r="N412" s="45" t="str">
        <f t="shared" ref="N412:N415" si="307">HYPERLINK("twitter.com/gochoctawssb","@gochoctawssb")</f>
        <v>@gochoctawssb</v>
      </c>
      <c r="O412" s="45" t="str">
        <f t="shared" ref="O412:O415" si="308">HYPERLINK("https://www.gochoctaws.com/sports/2010/9/21/ADMIN_0921104540.aspx?path=admin","Questionnaire")</f>
        <v>Questionnaire</v>
      </c>
      <c r="P412" s="48" t="s">
        <v>6184</v>
      </c>
      <c r="Q412" s="47" t="s">
        <v>6149</v>
      </c>
      <c r="R412" s="48" t="s">
        <v>4064</v>
      </c>
      <c r="S412" s="48" t="s">
        <v>468</v>
      </c>
      <c r="T412" s="73" t="s">
        <v>63</v>
      </c>
      <c r="U412" s="7" t="s">
        <v>800</v>
      </c>
      <c r="V412" s="7"/>
      <c r="W412" s="44">
        <v>3.56</v>
      </c>
      <c r="X412" s="49" t="s">
        <v>4412</v>
      </c>
      <c r="Y412" s="49" t="s">
        <v>6196</v>
      </c>
      <c r="Z412" s="49" t="s">
        <v>803</v>
      </c>
      <c r="AA412" s="61">
        <v>0.49</v>
      </c>
      <c r="AB412" s="71">
        <v>30963</v>
      </c>
      <c r="AC412" s="62" t="s">
        <v>6184</v>
      </c>
      <c r="AD412" s="53" t="str">
        <f t="shared" ref="AD412:AD415" si="309">HYPERLINK("https://www.mc.edu/academics/majors/undergraduate","Link")</f>
        <v>Link</v>
      </c>
      <c r="AE412" s="54">
        <v>3145</v>
      </c>
      <c r="AF412" s="55"/>
      <c r="AG412" s="7"/>
      <c r="AH412" s="56">
        <v>176053</v>
      </c>
      <c r="AI412" s="7"/>
      <c r="AJ412" s="7"/>
      <c r="AK412" s="7"/>
      <c r="AL412" s="7"/>
    </row>
    <row r="413" spans="1:38" ht="13" x14ac:dyDescent="0.15">
      <c r="A413" s="57" t="s">
        <v>39</v>
      </c>
      <c r="B413" s="110" t="s">
        <v>6135</v>
      </c>
      <c r="C413" s="7" t="s">
        <v>41</v>
      </c>
      <c r="D413" s="7" t="s">
        <v>6202</v>
      </c>
      <c r="E413" s="44">
        <v>5</v>
      </c>
      <c r="F413" s="7"/>
      <c r="G413" s="7"/>
      <c r="H413" s="2" t="s">
        <v>6184</v>
      </c>
      <c r="I413" s="7" t="s">
        <v>6203</v>
      </c>
      <c r="J413" s="7" t="s">
        <v>1934</v>
      </c>
      <c r="K413" s="7" t="s">
        <v>55</v>
      </c>
      <c r="L413" s="7" t="s">
        <v>6211</v>
      </c>
      <c r="M413" s="7" t="s">
        <v>6212</v>
      </c>
      <c r="N413" s="45" t="str">
        <f t="shared" si="307"/>
        <v>@gochoctawssb</v>
      </c>
      <c r="O413" s="45" t="str">
        <f t="shared" si="308"/>
        <v>Questionnaire</v>
      </c>
      <c r="P413" s="48" t="s">
        <v>6184</v>
      </c>
      <c r="Q413" s="47" t="s">
        <v>6149</v>
      </c>
      <c r="R413" s="48" t="s">
        <v>4064</v>
      </c>
      <c r="S413" s="48" t="s">
        <v>468</v>
      </c>
      <c r="T413" s="73" t="s">
        <v>63</v>
      </c>
      <c r="U413" s="7" t="s">
        <v>800</v>
      </c>
      <c r="V413" s="7"/>
      <c r="W413" s="44">
        <v>3.56</v>
      </c>
      <c r="X413" s="49" t="s">
        <v>4412</v>
      </c>
      <c r="Y413" s="49" t="s">
        <v>6196</v>
      </c>
      <c r="Z413" s="49" t="s">
        <v>803</v>
      </c>
      <c r="AA413" s="61">
        <v>0.49</v>
      </c>
      <c r="AB413" s="71">
        <v>30963</v>
      </c>
      <c r="AC413" s="62" t="s">
        <v>6184</v>
      </c>
      <c r="AD413" s="53" t="str">
        <f t="shared" si="309"/>
        <v>Link</v>
      </c>
      <c r="AE413" s="54">
        <v>3145</v>
      </c>
      <c r="AF413" s="55"/>
      <c r="AG413" s="7"/>
      <c r="AH413" s="56">
        <v>176053</v>
      </c>
      <c r="AI413" s="7"/>
      <c r="AJ413" s="7"/>
      <c r="AK413" s="7"/>
      <c r="AL413" s="7"/>
    </row>
    <row r="414" spans="1:38" ht="13" x14ac:dyDescent="0.15">
      <c r="A414" s="57" t="s">
        <v>39</v>
      </c>
      <c r="B414" s="110" t="s">
        <v>6135</v>
      </c>
      <c r="C414" s="7" t="s">
        <v>41</v>
      </c>
      <c r="D414" s="7" t="s">
        <v>6215</v>
      </c>
      <c r="E414" s="44">
        <v>5</v>
      </c>
      <c r="F414" s="7"/>
      <c r="G414" s="7"/>
      <c r="H414" s="2" t="s">
        <v>6184</v>
      </c>
      <c r="I414" s="7" t="s">
        <v>4000</v>
      </c>
      <c r="J414" s="7" t="s">
        <v>6218</v>
      </c>
      <c r="K414" s="7" t="s">
        <v>120</v>
      </c>
      <c r="L414" s="7" t="s">
        <v>6220</v>
      </c>
      <c r="M414" s="7" t="s">
        <v>6212</v>
      </c>
      <c r="N414" s="45" t="str">
        <f t="shared" si="307"/>
        <v>@gochoctawssb</v>
      </c>
      <c r="O414" s="45" t="str">
        <f t="shared" si="308"/>
        <v>Questionnaire</v>
      </c>
      <c r="P414" s="48" t="s">
        <v>6184</v>
      </c>
      <c r="Q414" s="47" t="s">
        <v>6149</v>
      </c>
      <c r="R414" s="48" t="s">
        <v>4064</v>
      </c>
      <c r="S414" s="48" t="s">
        <v>468</v>
      </c>
      <c r="T414" s="73" t="s">
        <v>63</v>
      </c>
      <c r="U414" s="7" t="s">
        <v>800</v>
      </c>
      <c r="V414" s="7"/>
      <c r="W414" s="44">
        <v>3.56</v>
      </c>
      <c r="X414" s="49" t="s">
        <v>4412</v>
      </c>
      <c r="Y414" s="49" t="s">
        <v>6196</v>
      </c>
      <c r="Z414" s="49" t="s">
        <v>803</v>
      </c>
      <c r="AA414" s="61">
        <v>0.49</v>
      </c>
      <c r="AB414" s="71">
        <v>30963</v>
      </c>
      <c r="AC414" s="62" t="s">
        <v>6184</v>
      </c>
      <c r="AD414" s="53" t="str">
        <f t="shared" si="309"/>
        <v>Link</v>
      </c>
      <c r="AE414" s="54">
        <v>3145</v>
      </c>
      <c r="AF414" s="55"/>
      <c r="AG414" s="7"/>
      <c r="AH414" s="56">
        <v>176053</v>
      </c>
      <c r="AI414" s="7"/>
      <c r="AJ414" s="7"/>
      <c r="AK414" s="7"/>
      <c r="AL414" s="7"/>
    </row>
    <row r="415" spans="1:38" ht="13" x14ac:dyDescent="0.15">
      <c r="A415" s="57" t="s">
        <v>39</v>
      </c>
      <c r="B415" s="110" t="s">
        <v>6135</v>
      </c>
      <c r="C415" s="7" t="s">
        <v>41</v>
      </c>
      <c r="D415" s="7" t="s">
        <v>6228</v>
      </c>
      <c r="E415" s="44">
        <v>5</v>
      </c>
      <c r="F415" s="7"/>
      <c r="G415" s="7"/>
      <c r="H415" s="2" t="s">
        <v>6184</v>
      </c>
      <c r="I415" s="7" t="s">
        <v>878</v>
      </c>
      <c r="J415" s="7" t="s">
        <v>6232</v>
      </c>
      <c r="K415" s="7" t="s">
        <v>48</v>
      </c>
      <c r="L415" s="7" t="s">
        <v>6233</v>
      </c>
      <c r="M415" s="7" t="s">
        <v>6234</v>
      </c>
      <c r="N415" s="45" t="str">
        <f t="shared" si="307"/>
        <v>@gochoctawssb</v>
      </c>
      <c r="O415" s="45" t="str">
        <f t="shared" si="308"/>
        <v>Questionnaire</v>
      </c>
      <c r="P415" s="48" t="s">
        <v>6184</v>
      </c>
      <c r="Q415" s="47" t="s">
        <v>6149</v>
      </c>
      <c r="R415" s="48" t="s">
        <v>4064</v>
      </c>
      <c r="S415" s="48" t="s">
        <v>468</v>
      </c>
      <c r="T415" s="73" t="s">
        <v>63</v>
      </c>
      <c r="U415" s="7" t="s">
        <v>800</v>
      </c>
      <c r="V415" s="7"/>
      <c r="W415" s="44">
        <v>3.56</v>
      </c>
      <c r="X415" s="49" t="s">
        <v>4412</v>
      </c>
      <c r="Y415" s="49" t="s">
        <v>6196</v>
      </c>
      <c r="Z415" s="49" t="s">
        <v>803</v>
      </c>
      <c r="AA415" s="61">
        <v>0.49</v>
      </c>
      <c r="AB415" s="71">
        <v>30963</v>
      </c>
      <c r="AC415" s="62" t="s">
        <v>6184</v>
      </c>
      <c r="AD415" s="53" t="str">
        <f t="shared" si="309"/>
        <v>Link</v>
      </c>
      <c r="AE415" s="54">
        <v>3145</v>
      </c>
      <c r="AF415" s="55"/>
      <c r="AG415" s="7"/>
      <c r="AH415" s="56">
        <v>176053</v>
      </c>
      <c r="AI415" s="7"/>
      <c r="AJ415" s="7"/>
      <c r="AK415" s="7"/>
      <c r="AL415" s="7"/>
    </row>
    <row r="416" spans="1:38" ht="15" x14ac:dyDescent="0.2">
      <c r="A416" s="57" t="s">
        <v>4757</v>
      </c>
      <c r="B416" s="110" t="s">
        <v>6237</v>
      </c>
      <c r="C416" s="7" t="s">
        <v>41</v>
      </c>
      <c r="D416" s="7" t="s">
        <v>6238</v>
      </c>
      <c r="E416" s="44">
        <v>5</v>
      </c>
      <c r="F416" s="7"/>
      <c r="G416" s="7"/>
      <c r="H416" s="2" t="s">
        <v>6241</v>
      </c>
      <c r="I416" s="7" t="s">
        <v>3315</v>
      </c>
      <c r="J416" s="7" t="s">
        <v>6242</v>
      </c>
      <c r="K416" s="7" t="s">
        <v>55</v>
      </c>
      <c r="L416" s="7" t="s">
        <v>6243</v>
      </c>
      <c r="M416" s="7" t="s">
        <v>6244</v>
      </c>
      <c r="N416" s="45" t="str">
        <f t="shared" ref="N416:N418" si="310">HYPERLINK("twitter.com/ucmjenssoftball","@ucmjenssoftball")</f>
        <v>@ucmjenssoftball</v>
      </c>
      <c r="O416" s="48" t="s">
        <v>22</v>
      </c>
      <c r="P416" s="48" t="s">
        <v>6245</v>
      </c>
      <c r="Q416" s="47" t="s">
        <v>2246</v>
      </c>
      <c r="R416" s="48" t="s">
        <v>6246</v>
      </c>
      <c r="S416" s="48" t="s">
        <v>172</v>
      </c>
      <c r="T416" s="49" t="s">
        <v>74</v>
      </c>
      <c r="U416" s="7" t="s">
        <v>75</v>
      </c>
      <c r="V416" s="7"/>
      <c r="W416" s="44">
        <v>3.39</v>
      </c>
      <c r="X416" s="49" t="s">
        <v>214</v>
      </c>
      <c r="Y416" s="49" t="s">
        <v>214</v>
      </c>
      <c r="Z416" s="49" t="s">
        <v>1994</v>
      </c>
      <c r="AA416" s="51">
        <v>0.74619999999999997</v>
      </c>
      <c r="AB416" s="48" t="s">
        <v>6251</v>
      </c>
      <c r="AC416" s="52" t="s">
        <v>6245</v>
      </c>
      <c r="AD416" s="53" t="str">
        <f t="shared" ref="AD416:AD418" si="311">HYPERLINK("https://www.ucmo.edu/majors/","Link")</f>
        <v>Link</v>
      </c>
      <c r="AE416" s="54">
        <v>9786</v>
      </c>
      <c r="AF416" s="55"/>
      <c r="AG416" s="7"/>
      <c r="AH416" s="56">
        <v>176965</v>
      </c>
      <c r="AI416" s="7"/>
      <c r="AJ416" s="7"/>
      <c r="AK416" s="7"/>
      <c r="AL416" s="7"/>
    </row>
    <row r="417" spans="1:38" ht="15" x14ac:dyDescent="0.2">
      <c r="A417" s="57" t="s">
        <v>4757</v>
      </c>
      <c r="B417" s="110" t="s">
        <v>6237</v>
      </c>
      <c r="C417" s="7" t="s">
        <v>41</v>
      </c>
      <c r="D417" s="7" t="s">
        <v>6259</v>
      </c>
      <c r="E417" s="44">
        <v>5</v>
      </c>
      <c r="F417" s="7"/>
      <c r="G417" s="7"/>
      <c r="H417" s="2" t="s">
        <v>6241</v>
      </c>
      <c r="I417" s="7" t="s">
        <v>1307</v>
      </c>
      <c r="J417" s="7" t="s">
        <v>5957</v>
      </c>
      <c r="K417" s="7" t="s">
        <v>120</v>
      </c>
      <c r="L417" s="7" t="s">
        <v>6260</v>
      </c>
      <c r="M417" s="7" t="s">
        <v>6244</v>
      </c>
      <c r="N417" s="45" t="str">
        <f t="shared" si="310"/>
        <v>@ucmjenssoftball</v>
      </c>
      <c r="O417" s="48" t="s">
        <v>22</v>
      </c>
      <c r="P417" s="48" t="s">
        <v>6245</v>
      </c>
      <c r="Q417" s="47" t="s">
        <v>2246</v>
      </c>
      <c r="R417" s="48" t="s">
        <v>6246</v>
      </c>
      <c r="S417" s="48" t="s">
        <v>172</v>
      </c>
      <c r="T417" s="49" t="s">
        <v>74</v>
      </c>
      <c r="U417" s="7" t="s">
        <v>75</v>
      </c>
      <c r="V417" s="7"/>
      <c r="W417" s="44">
        <v>3.39</v>
      </c>
      <c r="X417" s="49" t="s">
        <v>214</v>
      </c>
      <c r="Y417" s="49" t="s">
        <v>214</v>
      </c>
      <c r="Z417" s="49" t="s">
        <v>1994</v>
      </c>
      <c r="AA417" s="51">
        <v>0.74619999999999997</v>
      </c>
      <c r="AB417" s="48" t="s">
        <v>6251</v>
      </c>
      <c r="AC417" s="52" t="s">
        <v>6245</v>
      </c>
      <c r="AD417" s="53" t="str">
        <f t="shared" si="311"/>
        <v>Link</v>
      </c>
      <c r="AE417" s="54">
        <v>9786</v>
      </c>
      <c r="AF417" s="55"/>
      <c r="AG417" s="7"/>
      <c r="AH417" s="56">
        <v>176965</v>
      </c>
      <c r="AI417" s="7"/>
      <c r="AJ417" s="7"/>
      <c r="AK417" s="7"/>
      <c r="AL417" s="7"/>
    </row>
    <row r="418" spans="1:38" ht="15" x14ac:dyDescent="0.2">
      <c r="A418" s="57" t="s">
        <v>4757</v>
      </c>
      <c r="B418" s="110" t="s">
        <v>6237</v>
      </c>
      <c r="C418" s="7" t="s">
        <v>41</v>
      </c>
      <c r="D418" s="7" t="s">
        <v>6262</v>
      </c>
      <c r="E418" s="44">
        <v>5</v>
      </c>
      <c r="F418" s="7"/>
      <c r="G418" s="7"/>
      <c r="H418" s="2" t="s">
        <v>6241</v>
      </c>
      <c r="I418" s="7" t="s">
        <v>6266</v>
      </c>
      <c r="J418" s="7" t="s">
        <v>894</v>
      </c>
      <c r="K418" s="7" t="s">
        <v>48</v>
      </c>
      <c r="L418" s="7" t="s">
        <v>6268</v>
      </c>
      <c r="M418" s="7" t="s">
        <v>6269</v>
      </c>
      <c r="N418" s="45" t="str">
        <f t="shared" si="310"/>
        <v>@ucmjenssoftball</v>
      </c>
      <c r="O418" s="48" t="s">
        <v>22</v>
      </c>
      <c r="P418" s="48" t="s">
        <v>6245</v>
      </c>
      <c r="Q418" s="47" t="s">
        <v>2246</v>
      </c>
      <c r="R418" s="48" t="s">
        <v>6246</v>
      </c>
      <c r="S418" s="48" t="s">
        <v>172</v>
      </c>
      <c r="T418" s="49" t="s">
        <v>74</v>
      </c>
      <c r="U418" s="7" t="s">
        <v>75</v>
      </c>
      <c r="V418" s="7"/>
      <c r="W418" s="44">
        <v>3.39</v>
      </c>
      <c r="X418" s="49" t="s">
        <v>214</v>
      </c>
      <c r="Y418" s="49" t="s">
        <v>214</v>
      </c>
      <c r="Z418" s="49" t="s">
        <v>1994</v>
      </c>
      <c r="AA418" s="51">
        <v>0.74619999999999997</v>
      </c>
      <c r="AB418" s="48" t="s">
        <v>6251</v>
      </c>
      <c r="AC418" s="52" t="s">
        <v>6245</v>
      </c>
      <c r="AD418" s="53" t="str">
        <f t="shared" si="311"/>
        <v>Link</v>
      </c>
      <c r="AE418" s="54">
        <v>9786</v>
      </c>
      <c r="AF418" s="55"/>
      <c r="AG418" s="7"/>
      <c r="AH418" s="56">
        <v>176965</v>
      </c>
      <c r="AI418" s="7"/>
      <c r="AJ418" s="7"/>
      <c r="AK418" s="7"/>
      <c r="AL418" s="7"/>
    </row>
    <row r="419" spans="1:38" ht="13" x14ac:dyDescent="0.15">
      <c r="A419" s="57" t="s">
        <v>4757</v>
      </c>
      <c r="B419" s="110" t="s">
        <v>6237</v>
      </c>
      <c r="C419" s="7" t="s">
        <v>41</v>
      </c>
      <c r="D419" s="7" t="s">
        <v>6274</v>
      </c>
      <c r="E419" s="44">
        <v>5</v>
      </c>
      <c r="F419" s="7"/>
      <c r="G419" s="7"/>
      <c r="H419" s="2" t="s">
        <v>6277</v>
      </c>
      <c r="I419" s="7" t="s">
        <v>3279</v>
      </c>
      <c r="J419" s="7" t="s">
        <v>6278</v>
      </c>
      <c r="K419" s="7" t="s">
        <v>55</v>
      </c>
      <c r="L419" s="7" t="s">
        <v>6279</v>
      </c>
      <c r="M419" s="7" t="s">
        <v>6280</v>
      </c>
      <c r="N419" s="45" t="str">
        <f t="shared" ref="N419:N422" si="312">HYPERLINK("twitter.com/dusoftball","@dusoftball")</f>
        <v>@dusoftball</v>
      </c>
      <c r="O419" s="45" t="str">
        <f t="shared" ref="O419:O422" si="313">HYPERLINK("https://www.drury.edu/admission/Athletic-Coaches-Info","Questionnaire")</f>
        <v>Questionnaire</v>
      </c>
      <c r="P419" s="48" t="s">
        <v>6285</v>
      </c>
      <c r="Q419" s="60" t="s">
        <v>2246</v>
      </c>
      <c r="R419" s="48" t="s">
        <v>4357</v>
      </c>
      <c r="S419" s="48" t="s">
        <v>62</v>
      </c>
      <c r="T419" s="49" t="s">
        <v>63</v>
      </c>
      <c r="U419" s="7" t="s">
        <v>75</v>
      </c>
      <c r="V419" s="7"/>
      <c r="W419" s="44">
        <v>3.66</v>
      </c>
      <c r="X419" s="49" t="s">
        <v>344</v>
      </c>
      <c r="Y419" s="49" t="s">
        <v>1723</v>
      </c>
      <c r="Z419" s="49" t="s">
        <v>689</v>
      </c>
      <c r="AA419" s="61">
        <v>0.7</v>
      </c>
      <c r="AB419" s="71">
        <v>38341</v>
      </c>
      <c r="AC419" s="62" t="s">
        <v>6285</v>
      </c>
      <c r="AD419" s="53" t="str">
        <f t="shared" ref="AD419:AD422" si="314">HYPERLINK("http://www.drury.edu/academics/areas-of-study","Link")</f>
        <v>Link</v>
      </c>
      <c r="AE419" s="54">
        <v>3330</v>
      </c>
      <c r="AF419" s="55"/>
      <c r="AG419" s="7"/>
      <c r="AH419" s="56">
        <v>177214</v>
      </c>
      <c r="AI419" s="7"/>
      <c r="AJ419" s="7"/>
      <c r="AK419" s="7"/>
      <c r="AL419" s="7"/>
    </row>
    <row r="420" spans="1:38" ht="13" x14ac:dyDescent="0.15">
      <c r="A420" s="57" t="s">
        <v>4757</v>
      </c>
      <c r="B420" s="110" t="s">
        <v>6237</v>
      </c>
      <c r="C420" s="7" t="s">
        <v>41</v>
      </c>
      <c r="D420" s="7" t="s">
        <v>6292</v>
      </c>
      <c r="E420" s="44">
        <v>5</v>
      </c>
      <c r="F420" s="7"/>
      <c r="G420" s="7"/>
      <c r="H420" s="2" t="s">
        <v>6277</v>
      </c>
      <c r="I420" s="7" t="s">
        <v>6294</v>
      </c>
      <c r="J420" s="7" t="s">
        <v>6296</v>
      </c>
      <c r="K420" s="7" t="s">
        <v>55</v>
      </c>
      <c r="L420" s="7"/>
      <c r="M420" s="7"/>
      <c r="N420" s="45" t="str">
        <f t="shared" si="312"/>
        <v>@dusoftball</v>
      </c>
      <c r="O420" s="45" t="str">
        <f t="shared" si="313"/>
        <v>Questionnaire</v>
      </c>
      <c r="P420" s="48" t="s">
        <v>6285</v>
      </c>
      <c r="Q420" s="60" t="s">
        <v>2246</v>
      </c>
      <c r="R420" s="48" t="s">
        <v>4357</v>
      </c>
      <c r="S420" s="48" t="s">
        <v>62</v>
      </c>
      <c r="T420" s="49" t="s">
        <v>63</v>
      </c>
      <c r="U420" s="7" t="s">
        <v>75</v>
      </c>
      <c r="V420" s="7"/>
      <c r="W420" s="44">
        <v>3.66</v>
      </c>
      <c r="X420" s="49" t="s">
        <v>344</v>
      </c>
      <c r="Y420" s="49" t="s">
        <v>1723</v>
      </c>
      <c r="Z420" s="49" t="s">
        <v>689</v>
      </c>
      <c r="AA420" s="61">
        <v>0.7</v>
      </c>
      <c r="AB420" s="71">
        <v>38341</v>
      </c>
      <c r="AC420" s="62" t="s">
        <v>6285</v>
      </c>
      <c r="AD420" s="53" t="str">
        <f t="shared" si="314"/>
        <v>Link</v>
      </c>
      <c r="AE420" s="54">
        <v>3330</v>
      </c>
      <c r="AF420" s="55"/>
      <c r="AG420" s="7"/>
      <c r="AH420" s="56">
        <v>177214</v>
      </c>
      <c r="AI420" s="7"/>
      <c r="AJ420" s="7"/>
      <c r="AK420" s="7"/>
      <c r="AL420" s="7"/>
    </row>
    <row r="421" spans="1:38" ht="13" x14ac:dyDescent="0.15">
      <c r="A421" s="57" t="s">
        <v>4757</v>
      </c>
      <c r="B421" s="110" t="s">
        <v>6237</v>
      </c>
      <c r="C421" s="7" t="s">
        <v>41</v>
      </c>
      <c r="D421" s="7" t="s">
        <v>6304</v>
      </c>
      <c r="E421" s="44">
        <v>5</v>
      </c>
      <c r="F421" s="7"/>
      <c r="G421" s="7"/>
      <c r="H421" s="2" t="s">
        <v>6277</v>
      </c>
      <c r="I421" s="7" t="s">
        <v>6305</v>
      </c>
      <c r="J421" s="7" t="s">
        <v>6306</v>
      </c>
      <c r="K421" s="7" t="s">
        <v>48</v>
      </c>
      <c r="L421" s="7" t="s">
        <v>6307</v>
      </c>
      <c r="M421" s="7" t="s">
        <v>6308</v>
      </c>
      <c r="N421" s="45" t="str">
        <f t="shared" si="312"/>
        <v>@dusoftball</v>
      </c>
      <c r="O421" s="45" t="str">
        <f t="shared" si="313"/>
        <v>Questionnaire</v>
      </c>
      <c r="P421" s="48" t="s">
        <v>6285</v>
      </c>
      <c r="Q421" s="60" t="s">
        <v>2246</v>
      </c>
      <c r="R421" s="48" t="s">
        <v>4357</v>
      </c>
      <c r="S421" s="48" t="s">
        <v>62</v>
      </c>
      <c r="T421" s="49" t="s">
        <v>63</v>
      </c>
      <c r="U421" s="7" t="s">
        <v>75</v>
      </c>
      <c r="V421" s="7"/>
      <c r="W421" s="44">
        <v>3.66</v>
      </c>
      <c r="X421" s="49" t="s">
        <v>344</v>
      </c>
      <c r="Y421" s="49" t="s">
        <v>1723</v>
      </c>
      <c r="Z421" s="49" t="s">
        <v>689</v>
      </c>
      <c r="AA421" s="61">
        <v>0.7</v>
      </c>
      <c r="AB421" s="71">
        <v>38341</v>
      </c>
      <c r="AC421" s="62" t="s">
        <v>6285</v>
      </c>
      <c r="AD421" s="53" t="str">
        <f t="shared" si="314"/>
        <v>Link</v>
      </c>
      <c r="AE421" s="54">
        <v>3330</v>
      </c>
      <c r="AF421" s="55"/>
      <c r="AG421" s="7"/>
      <c r="AH421" s="56">
        <v>177214</v>
      </c>
      <c r="AI421" s="7"/>
      <c r="AJ421" s="7"/>
      <c r="AK421" s="7"/>
      <c r="AL421" s="7"/>
    </row>
    <row r="422" spans="1:38" ht="13" x14ac:dyDescent="0.15">
      <c r="A422" s="57" t="s">
        <v>4757</v>
      </c>
      <c r="B422" s="110" t="s">
        <v>6237</v>
      </c>
      <c r="C422" s="7" t="s">
        <v>41</v>
      </c>
      <c r="D422" s="7" t="s">
        <v>6316</v>
      </c>
      <c r="E422" s="44">
        <v>5</v>
      </c>
      <c r="F422" s="7"/>
      <c r="G422" s="7"/>
      <c r="H422" s="2" t="s">
        <v>6277</v>
      </c>
      <c r="I422" s="7" t="s">
        <v>6318</v>
      </c>
      <c r="J422" s="7" t="s">
        <v>6319</v>
      </c>
      <c r="K422" s="7" t="s">
        <v>919</v>
      </c>
      <c r="L422" s="7"/>
      <c r="M422" s="7"/>
      <c r="N422" s="45" t="str">
        <f t="shared" si="312"/>
        <v>@dusoftball</v>
      </c>
      <c r="O422" s="45" t="str">
        <f t="shared" si="313"/>
        <v>Questionnaire</v>
      </c>
      <c r="P422" s="48" t="s">
        <v>6285</v>
      </c>
      <c r="Q422" s="60" t="s">
        <v>2246</v>
      </c>
      <c r="R422" s="48" t="s">
        <v>4357</v>
      </c>
      <c r="S422" s="48" t="s">
        <v>62</v>
      </c>
      <c r="T422" s="49" t="s">
        <v>63</v>
      </c>
      <c r="U422" s="7" t="s">
        <v>75</v>
      </c>
      <c r="V422" s="7"/>
      <c r="W422" s="44">
        <v>3.66</v>
      </c>
      <c r="X422" s="49" t="s">
        <v>344</v>
      </c>
      <c r="Y422" s="49" t="s">
        <v>1723</v>
      </c>
      <c r="Z422" s="49" t="s">
        <v>689</v>
      </c>
      <c r="AA422" s="61">
        <v>0.7</v>
      </c>
      <c r="AB422" s="71">
        <v>38341</v>
      </c>
      <c r="AC422" s="62" t="s">
        <v>6285</v>
      </c>
      <c r="AD422" s="53" t="str">
        <f t="shared" si="314"/>
        <v>Link</v>
      </c>
      <c r="AE422" s="54">
        <v>3330</v>
      </c>
      <c r="AF422" s="55"/>
      <c r="AG422" s="7"/>
      <c r="AH422" s="56">
        <v>177214</v>
      </c>
      <c r="AI422" s="7"/>
      <c r="AJ422" s="7"/>
      <c r="AK422" s="7"/>
      <c r="AL422" s="7"/>
    </row>
    <row r="423" spans="1:38" ht="13" x14ac:dyDescent="0.15">
      <c r="A423" s="36" t="s">
        <v>4332</v>
      </c>
      <c r="B423" s="110" t="s">
        <v>6237</v>
      </c>
      <c r="C423" s="7" t="s">
        <v>41</v>
      </c>
      <c r="D423" s="7" t="s">
        <v>6325</v>
      </c>
      <c r="E423" s="44">
        <v>5</v>
      </c>
      <c r="F423" s="7"/>
      <c r="G423" s="7"/>
      <c r="H423" s="2" t="s">
        <v>6326</v>
      </c>
      <c r="I423" s="7" t="s">
        <v>6327</v>
      </c>
      <c r="J423" s="7" t="s">
        <v>3054</v>
      </c>
      <c r="K423" s="7" t="s">
        <v>120</v>
      </c>
      <c r="L423" s="7"/>
      <c r="M423" s="7"/>
      <c r="N423" s="7"/>
      <c r="O423" s="48" t="s">
        <v>22</v>
      </c>
      <c r="P423" s="48" t="s">
        <v>6328</v>
      </c>
      <c r="Q423" s="60" t="s">
        <v>2246</v>
      </c>
      <c r="R423" s="48" t="s">
        <v>6329</v>
      </c>
      <c r="S423" s="48" t="s">
        <v>468</v>
      </c>
      <c r="T423" s="4" t="s">
        <v>74</v>
      </c>
      <c r="U423" s="7" t="s">
        <v>75</v>
      </c>
      <c r="V423" s="7" t="s">
        <v>212</v>
      </c>
      <c r="W423" s="37">
        <v>2.79</v>
      </c>
      <c r="X423" s="49" t="s">
        <v>5140</v>
      </c>
      <c r="Y423" s="49" t="s">
        <v>6332</v>
      </c>
      <c r="Z423" s="49" t="s">
        <v>3784</v>
      </c>
      <c r="AA423" s="65">
        <v>0.87</v>
      </c>
      <c r="AB423" s="48" t="s">
        <v>6335</v>
      </c>
      <c r="AC423" s="90" t="s">
        <v>6328</v>
      </c>
      <c r="AD423" s="53" t="str">
        <f t="shared" ref="AD423:AD424" si="315">HYPERLINK("https://www.lincolnu.edu/web/academics/programs-of-study","Link")</f>
        <v>Link</v>
      </c>
      <c r="AE423" s="42">
        <v>1823</v>
      </c>
      <c r="AF423" s="55"/>
      <c r="AG423" s="7"/>
      <c r="AH423" s="56">
        <v>177940</v>
      </c>
      <c r="AI423" s="7"/>
      <c r="AJ423" s="7"/>
      <c r="AK423" s="7"/>
      <c r="AL423" s="7"/>
    </row>
    <row r="424" spans="1:38" ht="13" x14ac:dyDescent="0.15">
      <c r="A424" s="36" t="s">
        <v>4332</v>
      </c>
      <c r="B424" s="110" t="s">
        <v>6237</v>
      </c>
      <c r="C424" s="7" t="s">
        <v>41</v>
      </c>
      <c r="D424" s="7" t="s">
        <v>6340</v>
      </c>
      <c r="E424" s="44">
        <v>5</v>
      </c>
      <c r="F424" s="7"/>
      <c r="G424" s="7"/>
      <c r="H424" s="2" t="s">
        <v>6326</v>
      </c>
      <c r="I424" s="7" t="s">
        <v>1137</v>
      </c>
      <c r="J424" s="7" t="s">
        <v>6342</v>
      </c>
      <c r="K424" s="7" t="s">
        <v>48</v>
      </c>
      <c r="L424" s="7" t="s">
        <v>6344</v>
      </c>
      <c r="M424" s="7" t="s">
        <v>6346</v>
      </c>
      <c r="N424" s="48"/>
      <c r="O424" s="48" t="s">
        <v>22</v>
      </c>
      <c r="P424" s="48" t="s">
        <v>6328</v>
      </c>
      <c r="Q424" s="60" t="s">
        <v>2246</v>
      </c>
      <c r="R424" s="48" t="s">
        <v>6329</v>
      </c>
      <c r="S424" s="48" t="s">
        <v>468</v>
      </c>
      <c r="T424" s="4" t="s">
        <v>74</v>
      </c>
      <c r="U424" s="7" t="s">
        <v>75</v>
      </c>
      <c r="V424" s="7" t="s">
        <v>212</v>
      </c>
      <c r="W424" s="37">
        <v>2.79</v>
      </c>
      <c r="X424" s="49" t="s">
        <v>5140</v>
      </c>
      <c r="Y424" s="49" t="s">
        <v>6332</v>
      </c>
      <c r="Z424" s="49" t="s">
        <v>3784</v>
      </c>
      <c r="AA424" s="65">
        <v>0.87</v>
      </c>
      <c r="AB424" s="48" t="s">
        <v>6335</v>
      </c>
      <c r="AC424" s="90" t="s">
        <v>6328</v>
      </c>
      <c r="AD424" s="53" t="str">
        <f t="shared" si="315"/>
        <v>Link</v>
      </c>
      <c r="AE424" s="42">
        <v>1823</v>
      </c>
      <c r="AF424" s="55"/>
      <c r="AG424" s="7"/>
      <c r="AH424" s="56">
        <v>177940</v>
      </c>
      <c r="AI424" s="7"/>
      <c r="AJ424" s="7"/>
      <c r="AK424" s="7"/>
      <c r="AL424" s="7"/>
    </row>
    <row r="425" spans="1:38" ht="13" x14ac:dyDescent="0.15">
      <c r="A425" s="36" t="s">
        <v>4332</v>
      </c>
      <c r="B425" s="110" t="s">
        <v>6237</v>
      </c>
      <c r="C425" s="7" t="s">
        <v>41</v>
      </c>
      <c r="D425" s="7" t="s">
        <v>6356</v>
      </c>
      <c r="E425" s="44">
        <v>5</v>
      </c>
      <c r="F425" s="7"/>
      <c r="G425" s="7"/>
      <c r="H425" s="2" t="s">
        <v>6357</v>
      </c>
      <c r="I425" s="7" t="s">
        <v>6358</v>
      </c>
      <c r="J425" s="7" t="s">
        <v>968</v>
      </c>
      <c r="K425" s="7" t="s">
        <v>55</v>
      </c>
      <c r="L425" s="7" t="s">
        <v>6359</v>
      </c>
      <c r="M425" s="7" t="s">
        <v>6361</v>
      </c>
      <c r="N425" s="45" t="str">
        <f t="shared" ref="N425:N428" si="316">HYPERLINK("twitter.com/lionssoftballlu","@lionssoftballlu")</f>
        <v>@lionssoftballlu</v>
      </c>
      <c r="O425" s="45" t="str">
        <f t="shared" ref="O425:O428" si="317">HYPERLINK("https://lindenwoodlions.com/sb_output.aspx?form=3","Questionnaire")</f>
        <v>Questionnaire</v>
      </c>
      <c r="P425" s="48" t="s">
        <v>6366</v>
      </c>
      <c r="Q425" s="47" t="s">
        <v>2246</v>
      </c>
      <c r="R425" s="48" t="s">
        <v>6369</v>
      </c>
      <c r="S425" s="48" t="s">
        <v>186</v>
      </c>
      <c r="T425" s="49" t="s">
        <v>63</v>
      </c>
      <c r="U425" s="7" t="s">
        <v>75</v>
      </c>
      <c r="V425" s="7"/>
      <c r="W425" s="44">
        <v>3.31</v>
      </c>
      <c r="X425" s="49" t="s">
        <v>397</v>
      </c>
      <c r="Y425" s="49" t="s">
        <v>2341</v>
      </c>
      <c r="Z425" s="49" t="s">
        <v>1994</v>
      </c>
      <c r="AA425" s="61">
        <v>0.55000000000000004</v>
      </c>
      <c r="AB425" s="71">
        <v>29932</v>
      </c>
      <c r="AC425" s="62" t="s">
        <v>6366</v>
      </c>
      <c r="AD425" s="53" t="str">
        <f t="shared" ref="AD425:AD428" si="318">HYPERLINK("http://www.lindenwood.edu/academics/undergraduate/","Link")</f>
        <v>Link</v>
      </c>
      <c r="AE425" s="54">
        <v>7549</v>
      </c>
      <c r="AF425" s="55"/>
      <c r="AG425" s="7"/>
      <c r="AH425" s="56">
        <v>177968</v>
      </c>
      <c r="AI425" s="7"/>
      <c r="AJ425" s="7"/>
      <c r="AK425" s="7"/>
      <c r="AL425" s="7"/>
    </row>
    <row r="426" spans="1:38" ht="13" x14ac:dyDescent="0.15">
      <c r="A426" s="36" t="s">
        <v>4332</v>
      </c>
      <c r="B426" s="110" t="s">
        <v>6237</v>
      </c>
      <c r="C426" s="7" t="s">
        <v>41</v>
      </c>
      <c r="D426" s="7" t="s">
        <v>6376</v>
      </c>
      <c r="E426" s="44">
        <v>5</v>
      </c>
      <c r="F426" s="7"/>
      <c r="G426" s="7"/>
      <c r="H426" s="2" t="s">
        <v>6357</v>
      </c>
      <c r="I426" s="7" t="s">
        <v>6379</v>
      </c>
      <c r="J426" s="7" t="s">
        <v>701</v>
      </c>
      <c r="K426" s="7" t="s">
        <v>55</v>
      </c>
      <c r="L426" s="7"/>
      <c r="M426" s="7"/>
      <c r="N426" s="45" t="str">
        <f t="shared" si="316"/>
        <v>@lionssoftballlu</v>
      </c>
      <c r="O426" s="45" t="str">
        <f t="shared" si="317"/>
        <v>Questionnaire</v>
      </c>
      <c r="P426" s="48" t="s">
        <v>6366</v>
      </c>
      <c r="Q426" s="47" t="s">
        <v>2246</v>
      </c>
      <c r="R426" s="48" t="s">
        <v>6369</v>
      </c>
      <c r="S426" s="48" t="s">
        <v>186</v>
      </c>
      <c r="T426" s="49" t="s">
        <v>63</v>
      </c>
      <c r="U426" s="7" t="s">
        <v>75</v>
      </c>
      <c r="V426" s="7"/>
      <c r="W426" s="44">
        <v>3.31</v>
      </c>
      <c r="X426" s="49" t="s">
        <v>397</v>
      </c>
      <c r="Y426" s="49" t="s">
        <v>2341</v>
      </c>
      <c r="Z426" s="49" t="s">
        <v>1994</v>
      </c>
      <c r="AA426" s="61">
        <v>0.55000000000000004</v>
      </c>
      <c r="AB426" s="71">
        <v>29932</v>
      </c>
      <c r="AC426" s="62" t="s">
        <v>6366</v>
      </c>
      <c r="AD426" s="53" t="str">
        <f t="shared" si="318"/>
        <v>Link</v>
      </c>
      <c r="AE426" s="54">
        <v>7549</v>
      </c>
      <c r="AF426" s="55"/>
      <c r="AG426" s="7"/>
      <c r="AH426" s="56">
        <v>177968</v>
      </c>
      <c r="AI426" s="7"/>
      <c r="AJ426" s="7"/>
      <c r="AK426" s="7"/>
      <c r="AL426" s="7"/>
    </row>
    <row r="427" spans="1:38" ht="13" x14ac:dyDescent="0.15">
      <c r="A427" s="36" t="s">
        <v>4332</v>
      </c>
      <c r="B427" s="110" t="s">
        <v>6237</v>
      </c>
      <c r="C427" s="7" t="s">
        <v>41</v>
      </c>
      <c r="D427" s="7" t="s">
        <v>6386</v>
      </c>
      <c r="E427" s="44">
        <v>5</v>
      </c>
      <c r="F427" s="7"/>
      <c r="G427" s="7"/>
      <c r="H427" s="2" t="s">
        <v>6357</v>
      </c>
      <c r="I427" s="7" t="s">
        <v>1286</v>
      </c>
      <c r="J427" s="7" t="s">
        <v>790</v>
      </c>
      <c r="K427" s="7" t="s">
        <v>55</v>
      </c>
      <c r="L427" s="7" t="s">
        <v>6387</v>
      </c>
      <c r="M427" s="7"/>
      <c r="N427" s="45" t="str">
        <f t="shared" si="316"/>
        <v>@lionssoftballlu</v>
      </c>
      <c r="O427" s="45" t="str">
        <f t="shared" si="317"/>
        <v>Questionnaire</v>
      </c>
      <c r="P427" s="48" t="s">
        <v>6366</v>
      </c>
      <c r="Q427" s="47" t="s">
        <v>2246</v>
      </c>
      <c r="R427" s="48" t="s">
        <v>6369</v>
      </c>
      <c r="S427" s="48" t="s">
        <v>186</v>
      </c>
      <c r="T427" s="49" t="s">
        <v>63</v>
      </c>
      <c r="U427" s="7" t="s">
        <v>75</v>
      </c>
      <c r="V427" s="7"/>
      <c r="W427" s="44">
        <v>3.31</v>
      </c>
      <c r="X427" s="49" t="s">
        <v>397</v>
      </c>
      <c r="Y427" s="49" t="s">
        <v>2341</v>
      </c>
      <c r="Z427" s="49" t="s">
        <v>1994</v>
      </c>
      <c r="AA427" s="61">
        <v>0.55000000000000004</v>
      </c>
      <c r="AB427" s="71">
        <v>29932</v>
      </c>
      <c r="AC427" s="62" t="s">
        <v>6366</v>
      </c>
      <c r="AD427" s="53" t="str">
        <f t="shared" si="318"/>
        <v>Link</v>
      </c>
      <c r="AE427" s="54">
        <v>7549</v>
      </c>
      <c r="AF427" s="55"/>
      <c r="AG427" s="7"/>
      <c r="AH427" s="56">
        <v>177968</v>
      </c>
      <c r="AI427" s="7"/>
      <c r="AJ427" s="7"/>
      <c r="AK427" s="7"/>
      <c r="AL427" s="7"/>
    </row>
    <row r="428" spans="1:38" ht="13" x14ac:dyDescent="0.15">
      <c r="A428" s="36" t="s">
        <v>4332</v>
      </c>
      <c r="B428" s="110" t="s">
        <v>6237</v>
      </c>
      <c r="C428" s="7" t="s">
        <v>41</v>
      </c>
      <c r="D428" s="7" t="s">
        <v>6393</v>
      </c>
      <c r="E428" s="44">
        <v>5</v>
      </c>
      <c r="F428" s="7"/>
      <c r="G428" s="7"/>
      <c r="H428" s="2" t="s">
        <v>6357</v>
      </c>
      <c r="I428" s="7" t="s">
        <v>5963</v>
      </c>
      <c r="J428" s="7" t="s">
        <v>484</v>
      </c>
      <c r="K428" s="7" t="s">
        <v>48</v>
      </c>
      <c r="L428" s="7" t="s">
        <v>6398</v>
      </c>
      <c r="M428" s="7" t="s">
        <v>6400</v>
      </c>
      <c r="N428" s="45" t="str">
        <f t="shared" si="316"/>
        <v>@lionssoftballlu</v>
      </c>
      <c r="O428" s="45" t="str">
        <f t="shared" si="317"/>
        <v>Questionnaire</v>
      </c>
      <c r="P428" s="48" t="s">
        <v>6366</v>
      </c>
      <c r="Q428" s="47" t="s">
        <v>2246</v>
      </c>
      <c r="R428" s="48" t="s">
        <v>6369</v>
      </c>
      <c r="S428" s="48" t="s">
        <v>186</v>
      </c>
      <c r="T428" s="49" t="s">
        <v>63</v>
      </c>
      <c r="U428" s="7" t="s">
        <v>75</v>
      </c>
      <c r="V428" s="7"/>
      <c r="W428" s="44">
        <v>3.31</v>
      </c>
      <c r="X428" s="49" t="s">
        <v>397</v>
      </c>
      <c r="Y428" s="49" t="s">
        <v>2341</v>
      </c>
      <c r="Z428" s="49" t="s">
        <v>1994</v>
      </c>
      <c r="AA428" s="61">
        <v>0.55000000000000004</v>
      </c>
      <c r="AB428" s="71">
        <v>29932</v>
      </c>
      <c r="AC428" s="62" t="s">
        <v>6366</v>
      </c>
      <c r="AD428" s="53" t="str">
        <f t="shared" si="318"/>
        <v>Link</v>
      </c>
      <c r="AE428" s="54">
        <v>7549</v>
      </c>
      <c r="AF428" s="55"/>
      <c r="AG428" s="7"/>
      <c r="AH428" s="56">
        <v>177968</v>
      </c>
      <c r="AI428" s="7"/>
      <c r="AJ428" s="7"/>
      <c r="AK428" s="7"/>
      <c r="AL428" s="7"/>
    </row>
    <row r="429" spans="1:38" ht="13" x14ac:dyDescent="0.15">
      <c r="A429" s="36" t="s">
        <v>4332</v>
      </c>
      <c r="B429" s="110" t="s">
        <v>6237</v>
      </c>
      <c r="C429" s="7" t="s">
        <v>41</v>
      </c>
      <c r="D429" s="7" t="s">
        <v>6406</v>
      </c>
      <c r="E429" s="44">
        <v>5</v>
      </c>
      <c r="F429" s="7"/>
      <c r="G429" s="7"/>
      <c r="H429" s="2" t="s">
        <v>6409</v>
      </c>
      <c r="I429" s="7" t="s">
        <v>143</v>
      </c>
      <c r="J429" s="7" t="s">
        <v>6410</v>
      </c>
      <c r="K429" s="7" t="s">
        <v>55</v>
      </c>
      <c r="L429" s="7" t="s">
        <v>6411</v>
      </c>
      <c r="M429" s="7"/>
      <c r="N429" s="45" t="str">
        <f t="shared" ref="N429:N430" si="319">HYPERLINK("twitter.com/maryvillesb","@maryvillesb")</f>
        <v>@maryvillesb</v>
      </c>
      <c r="O429" s="48" t="s">
        <v>22</v>
      </c>
      <c r="P429" s="48" t="s">
        <v>6418</v>
      </c>
      <c r="Q429" s="60" t="s">
        <v>2246</v>
      </c>
      <c r="R429" s="48" t="s">
        <v>2259</v>
      </c>
      <c r="S429" s="48" t="s">
        <v>354</v>
      </c>
      <c r="T429" s="73" t="s">
        <v>63</v>
      </c>
      <c r="U429" s="7" t="s">
        <v>75</v>
      </c>
      <c r="V429" s="7"/>
      <c r="W429" s="44">
        <v>3.6</v>
      </c>
      <c r="X429" s="49" t="s">
        <v>1144</v>
      </c>
      <c r="Y429" s="49" t="s">
        <v>4408</v>
      </c>
      <c r="Z429" s="49" t="s">
        <v>320</v>
      </c>
      <c r="AA429" s="61">
        <v>0.93</v>
      </c>
      <c r="AB429" s="71">
        <v>45794</v>
      </c>
      <c r="AC429" s="62" t="s">
        <v>6418</v>
      </c>
      <c r="AD429" s="53" t="str">
        <f t="shared" ref="AD429:AD430" si="320">HYPERLINK("https://www.maryville.edu/academics/","Link")</f>
        <v>Link</v>
      </c>
      <c r="AE429" s="54">
        <v>2967</v>
      </c>
      <c r="AF429" s="54">
        <v>165</v>
      </c>
      <c r="AG429" s="7"/>
      <c r="AH429" s="56">
        <v>220710</v>
      </c>
      <c r="AI429" s="7"/>
      <c r="AJ429" s="7"/>
      <c r="AK429" s="7"/>
      <c r="AL429" s="7"/>
    </row>
    <row r="430" spans="1:38" ht="13" x14ac:dyDescent="0.15">
      <c r="A430" s="36" t="s">
        <v>4332</v>
      </c>
      <c r="B430" s="110" t="s">
        <v>6237</v>
      </c>
      <c r="C430" s="7" t="s">
        <v>41</v>
      </c>
      <c r="D430" s="7" t="s">
        <v>6423</v>
      </c>
      <c r="E430" s="44">
        <v>5</v>
      </c>
      <c r="F430" s="7"/>
      <c r="G430" s="7"/>
      <c r="H430" s="2" t="s">
        <v>6409</v>
      </c>
      <c r="I430" s="7" t="s">
        <v>222</v>
      </c>
      <c r="J430" s="7" t="s">
        <v>6426</v>
      </c>
      <c r="K430" s="7" t="s">
        <v>48</v>
      </c>
      <c r="L430" s="7" t="s">
        <v>6428</v>
      </c>
      <c r="M430" s="7" t="s">
        <v>6429</v>
      </c>
      <c r="N430" s="45" t="str">
        <f t="shared" si="319"/>
        <v>@maryvillesb</v>
      </c>
      <c r="O430" s="48" t="s">
        <v>22</v>
      </c>
      <c r="P430" s="48" t="s">
        <v>6418</v>
      </c>
      <c r="Q430" s="60" t="s">
        <v>2246</v>
      </c>
      <c r="R430" s="48" t="s">
        <v>2259</v>
      </c>
      <c r="S430" s="48" t="s">
        <v>354</v>
      </c>
      <c r="T430" s="73" t="s">
        <v>63</v>
      </c>
      <c r="U430" s="7" t="s">
        <v>75</v>
      </c>
      <c r="V430" s="7"/>
      <c r="W430" s="44">
        <v>3.6</v>
      </c>
      <c r="X430" s="49" t="s">
        <v>1144</v>
      </c>
      <c r="Y430" s="49" t="s">
        <v>4408</v>
      </c>
      <c r="Z430" s="49" t="s">
        <v>320</v>
      </c>
      <c r="AA430" s="61">
        <v>0.93</v>
      </c>
      <c r="AB430" s="71">
        <v>45794</v>
      </c>
      <c r="AC430" s="62" t="s">
        <v>6418</v>
      </c>
      <c r="AD430" s="53" t="str">
        <f t="shared" si="320"/>
        <v>Link</v>
      </c>
      <c r="AE430" s="54">
        <v>2967</v>
      </c>
      <c r="AF430" s="54">
        <v>165</v>
      </c>
      <c r="AG430" s="7"/>
      <c r="AH430" s="56">
        <v>220710</v>
      </c>
      <c r="AI430" s="7"/>
      <c r="AJ430" s="7"/>
      <c r="AK430" s="7"/>
      <c r="AL430" s="7"/>
    </row>
    <row r="431" spans="1:38" ht="15" x14ac:dyDescent="0.2">
      <c r="A431" s="36" t="s">
        <v>4332</v>
      </c>
      <c r="B431" s="110" t="s">
        <v>6237</v>
      </c>
      <c r="C431" s="7" t="s">
        <v>41</v>
      </c>
      <c r="D431" s="7" t="s">
        <v>6434</v>
      </c>
      <c r="E431" s="44">
        <v>5</v>
      </c>
      <c r="F431" s="7"/>
      <c r="G431" s="7"/>
      <c r="H431" s="2" t="s">
        <v>6437</v>
      </c>
      <c r="I431" s="7" t="s">
        <v>6438</v>
      </c>
      <c r="J431" s="7" t="s">
        <v>6439</v>
      </c>
      <c r="K431" s="7" t="s">
        <v>48</v>
      </c>
      <c r="L431" s="7" t="s">
        <v>6440</v>
      </c>
      <c r="M431" s="7" t="s">
        <v>6441</v>
      </c>
      <c r="N431" s="45" t="str">
        <f>HYPERLINK("twitter.com/sandtsoftball","@sandtsoftball")</f>
        <v>@sandtsoftball</v>
      </c>
      <c r="O431" s="45" t="str">
        <f>HYPERLINK("https://minerathletics.com/sb_output.aspx?form=3","Questionnaire")</f>
        <v>Questionnaire</v>
      </c>
      <c r="P431" s="48" t="s">
        <v>6448</v>
      </c>
      <c r="Q431" s="47" t="s">
        <v>2246</v>
      </c>
      <c r="R431" s="48" t="s">
        <v>6449</v>
      </c>
      <c r="S431" s="48" t="s">
        <v>172</v>
      </c>
      <c r="T431" s="49" t="s">
        <v>74</v>
      </c>
      <c r="U431" s="7" t="s">
        <v>75</v>
      </c>
      <c r="V431" s="7"/>
      <c r="W431" s="44">
        <v>3.61</v>
      </c>
      <c r="X431" s="49" t="s">
        <v>6450</v>
      </c>
      <c r="Y431" s="49" t="s">
        <v>6451</v>
      </c>
      <c r="Z431" s="49" t="s">
        <v>81</v>
      </c>
      <c r="AA431" s="61">
        <v>0.79</v>
      </c>
      <c r="AB431" s="48" t="s">
        <v>6452</v>
      </c>
      <c r="AC431" s="52" t="s">
        <v>6448</v>
      </c>
      <c r="AD431" s="53" t="str">
        <f>HYPERLINK("https://futurestudents.mst.edu/academic-programs/undergraduate-programs/","Link")</f>
        <v>Link</v>
      </c>
      <c r="AE431" s="54">
        <v>6906</v>
      </c>
      <c r="AF431" s="54">
        <v>165</v>
      </c>
      <c r="AG431" s="7"/>
      <c r="AH431" s="56">
        <v>178411</v>
      </c>
      <c r="AI431" s="7"/>
      <c r="AJ431" s="7"/>
      <c r="AK431" s="7"/>
      <c r="AL431" s="7"/>
    </row>
    <row r="432" spans="1:38" ht="13" x14ac:dyDescent="0.15">
      <c r="A432" s="36" t="s">
        <v>4757</v>
      </c>
      <c r="B432" s="110" t="s">
        <v>6237</v>
      </c>
      <c r="C432" s="7" t="s">
        <v>41</v>
      </c>
      <c r="D432" s="7" t="s">
        <v>6459</v>
      </c>
      <c r="E432" s="44">
        <v>5</v>
      </c>
      <c r="F432" s="7"/>
      <c r="G432" s="7"/>
      <c r="H432" s="2" t="s">
        <v>6462</v>
      </c>
      <c r="I432" s="7" t="s">
        <v>6463</v>
      </c>
      <c r="J432" s="7" t="s">
        <v>6291</v>
      </c>
      <c r="K432" s="7" t="s">
        <v>55</v>
      </c>
      <c r="L432" s="7" t="s">
        <v>6464</v>
      </c>
      <c r="M432" s="7"/>
      <c r="N432" s="45" t="str">
        <f t="shared" ref="N432:N433" si="321">HYPERLINK("twitter.com/mososoftball","@mososoftball")</f>
        <v>@mososoftball</v>
      </c>
      <c r="O432" s="45" t="str">
        <f t="shared" ref="O432:O433" si="322">HYPERLINK("https://mssulions.com/sb_output.aspx?form=3","Questionnaire")</f>
        <v>Questionnaire</v>
      </c>
      <c r="P432" s="48" t="s">
        <v>6471</v>
      </c>
      <c r="Q432" s="47" t="s">
        <v>2246</v>
      </c>
      <c r="R432" s="48" t="s">
        <v>6472</v>
      </c>
      <c r="S432" s="48" t="s">
        <v>186</v>
      </c>
      <c r="T432" s="49" t="s">
        <v>74</v>
      </c>
      <c r="U432" s="7" t="s">
        <v>75</v>
      </c>
      <c r="V432" s="7"/>
      <c r="W432" s="44">
        <v>3.3</v>
      </c>
      <c r="X432" s="49" t="s">
        <v>214</v>
      </c>
      <c r="Y432" s="49" t="s">
        <v>214</v>
      </c>
      <c r="Z432" s="49" t="s">
        <v>841</v>
      </c>
      <c r="AA432" s="61">
        <v>0.94</v>
      </c>
      <c r="AB432" s="48" t="s">
        <v>6473</v>
      </c>
      <c r="AC432" s="62" t="s">
        <v>6471</v>
      </c>
      <c r="AD432" s="53" t="str">
        <f t="shared" ref="AD432:AD433" si="323">HYPERLINK("https://www.mssu.edu/academics/","Link")</f>
        <v>Link</v>
      </c>
      <c r="AE432" s="54">
        <v>6117</v>
      </c>
      <c r="AF432" s="55"/>
      <c r="AG432" s="7"/>
      <c r="AH432" s="56">
        <v>178341</v>
      </c>
      <c r="AI432" s="7"/>
      <c r="AJ432" s="7"/>
      <c r="AK432" s="7"/>
      <c r="AL432" s="7"/>
    </row>
    <row r="433" spans="1:38" ht="13" x14ac:dyDescent="0.15">
      <c r="A433" s="36" t="s">
        <v>4757</v>
      </c>
      <c r="B433" s="110" t="s">
        <v>6237</v>
      </c>
      <c r="C433" s="7" t="s">
        <v>41</v>
      </c>
      <c r="D433" s="7" t="s">
        <v>6481</v>
      </c>
      <c r="E433" s="44">
        <v>5</v>
      </c>
      <c r="F433" s="7"/>
      <c r="G433" s="7"/>
      <c r="H433" s="2" t="s">
        <v>6462</v>
      </c>
      <c r="I433" s="7" t="s">
        <v>4305</v>
      </c>
      <c r="J433" s="7" t="s">
        <v>6484</v>
      </c>
      <c r="K433" s="7" t="s">
        <v>48</v>
      </c>
      <c r="L433" s="7" t="s">
        <v>6486</v>
      </c>
      <c r="M433" s="7" t="s">
        <v>6487</v>
      </c>
      <c r="N433" s="45" t="str">
        <f t="shared" si="321"/>
        <v>@mososoftball</v>
      </c>
      <c r="O433" s="45" t="str">
        <f t="shared" si="322"/>
        <v>Questionnaire</v>
      </c>
      <c r="P433" s="48" t="s">
        <v>6471</v>
      </c>
      <c r="Q433" s="47" t="s">
        <v>2246</v>
      </c>
      <c r="R433" s="48" t="s">
        <v>6472</v>
      </c>
      <c r="S433" s="48" t="s">
        <v>186</v>
      </c>
      <c r="T433" s="49" t="s">
        <v>74</v>
      </c>
      <c r="U433" s="7" t="s">
        <v>75</v>
      </c>
      <c r="V433" s="7"/>
      <c r="W433" s="44">
        <v>3.3</v>
      </c>
      <c r="X433" s="49" t="s">
        <v>214</v>
      </c>
      <c r="Y433" s="49" t="s">
        <v>214</v>
      </c>
      <c r="Z433" s="49" t="s">
        <v>841</v>
      </c>
      <c r="AA433" s="61">
        <v>0.94</v>
      </c>
      <c r="AB433" s="48" t="s">
        <v>6473</v>
      </c>
      <c r="AC433" s="62" t="s">
        <v>6471</v>
      </c>
      <c r="AD433" s="53" t="str">
        <f t="shared" si="323"/>
        <v>Link</v>
      </c>
      <c r="AE433" s="54">
        <v>6117</v>
      </c>
      <c r="AF433" s="55"/>
      <c r="AG433" s="7"/>
      <c r="AH433" s="56">
        <v>178341</v>
      </c>
      <c r="AI433" s="7"/>
      <c r="AJ433" s="7"/>
      <c r="AK433" s="7"/>
      <c r="AL433" s="7"/>
    </row>
    <row r="434" spans="1:38" ht="13" x14ac:dyDescent="0.15">
      <c r="A434" s="36" t="s">
        <v>4757</v>
      </c>
      <c r="B434" s="110" t="s">
        <v>6237</v>
      </c>
      <c r="C434" s="7" t="s">
        <v>41</v>
      </c>
      <c r="D434" s="7" t="s">
        <v>6491</v>
      </c>
      <c r="E434" s="44">
        <v>5</v>
      </c>
      <c r="F434" s="7"/>
      <c r="G434" s="7"/>
      <c r="H434" s="2" t="s">
        <v>6492</v>
      </c>
      <c r="I434" s="7" t="s">
        <v>981</v>
      </c>
      <c r="J434" s="7" t="s">
        <v>6494</v>
      </c>
      <c r="K434" s="7" t="s">
        <v>120</v>
      </c>
      <c r="L434" s="7" t="s">
        <v>6495</v>
      </c>
      <c r="M434" s="7"/>
      <c r="N434" s="7"/>
      <c r="O434" s="45" t="str">
        <f t="shared" ref="O434:O435" si="324">HYPERLINK("https://gogriffons.com/sb_output.aspx?form=3","Questionnaire")</f>
        <v>Questionnaire</v>
      </c>
      <c r="P434" s="48" t="s">
        <v>6501</v>
      </c>
      <c r="Q434" s="47" t="s">
        <v>2246</v>
      </c>
      <c r="R434" s="48" t="s">
        <v>6503</v>
      </c>
      <c r="S434" s="48" t="s">
        <v>238</v>
      </c>
      <c r="T434" s="49" t="s">
        <v>74</v>
      </c>
      <c r="U434" s="7" t="s">
        <v>75</v>
      </c>
      <c r="V434" s="7"/>
      <c r="W434" s="44">
        <v>3.31</v>
      </c>
      <c r="X434" s="49" t="s">
        <v>214</v>
      </c>
      <c r="Y434" s="49" t="s">
        <v>214</v>
      </c>
      <c r="Z434" s="49" t="s">
        <v>449</v>
      </c>
      <c r="AA434" s="61">
        <v>0.75</v>
      </c>
      <c r="AB434" s="48" t="s">
        <v>6507</v>
      </c>
      <c r="AC434" s="62" t="s">
        <v>6501</v>
      </c>
      <c r="AD434" s="53" t="str">
        <f t="shared" ref="AD434:AD435" si="325">HYPERLINK("https://www.missouriwestern.edu/academics/","Link")</f>
        <v>Link</v>
      </c>
      <c r="AE434" s="54">
        <v>5120</v>
      </c>
      <c r="AF434" s="55"/>
      <c r="AG434" s="7"/>
      <c r="AH434" s="56">
        <v>178387</v>
      </c>
      <c r="AI434" s="7"/>
      <c r="AJ434" s="7"/>
      <c r="AK434" s="7"/>
      <c r="AL434" s="7"/>
    </row>
    <row r="435" spans="1:38" ht="13" x14ac:dyDescent="0.15">
      <c r="A435" s="36" t="s">
        <v>4757</v>
      </c>
      <c r="B435" s="110" t="s">
        <v>6237</v>
      </c>
      <c r="C435" s="7" t="s">
        <v>41</v>
      </c>
      <c r="D435" s="7" t="s">
        <v>6508</v>
      </c>
      <c r="E435" s="44">
        <v>5</v>
      </c>
      <c r="F435" s="7"/>
      <c r="G435" s="7"/>
      <c r="H435" s="2" t="s">
        <v>6492</v>
      </c>
      <c r="I435" s="7" t="s">
        <v>1092</v>
      </c>
      <c r="J435" s="7" t="s">
        <v>6509</v>
      </c>
      <c r="K435" s="7" t="s">
        <v>48</v>
      </c>
      <c r="L435" s="7" t="s">
        <v>6511</v>
      </c>
      <c r="M435" s="7" t="s">
        <v>6512</v>
      </c>
      <c r="N435" s="45" t="str">
        <f>HYPERLINK("twitter.com/CoachBagz","@CoachBagz")</f>
        <v>@CoachBagz</v>
      </c>
      <c r="O435" s="45" t="str">
        <f t="shared" si="324"/>
        <v>Questionnaire</v>
      </c>
      <c r="P435" s="48" t="s">
        <v>6501</v>
      </c>
      <c r="Q435" s="47" t="s">
        <v>2246</v>
      </c>
      <c r="R435" s="48" t="s">
        <v>6503</v>
      </c>
      <c r="S435" s="48" t="s">
        <v>238</v>
      </c>
      <c r="T435" s="49" t="s">
        <v>74</v>
      </c>
      <c r="U435" s="7" t="s">
        <v>75</v>
      </c>
      <c r="V435" s="7"/>
      <c r="W435" s="44">
        <v>3.31</v>
      </c>
      <c r="X435" s="49" t="s">
        <v>214</v>
      </c>
      <c r="Y435" s="49" t="s">
        <v>214</v>
      </c>
      <c r="Z435" s="49" t="s">
        <v>449</v>
      </c>
      <c r="AA435" s="61">
        <v>0.75</v>
      </c>
      <c r="AB435" s="48" t="s">
        <v>6507</v>
      </c>
      <c r="AC435" s="62" t="s">
        <v>6501</v>
      </c>
      <c r="AD435" s="53" t="str">
        <f t="shared" si="325"/>
        <v>Link</v>
      </c>
      <c r="AE435" s="54">
        <v>5120</v>
      </c>
      <c r="AF435" s="55"/>
      <c r="AG435" s="7"/>
      <c r="AH435" s="56">
        <v>178387</v>
      </c>
      <c r="AI435" s="7"/>
      <c r="AJ435" s="7"/>
      <c r="AK435" s="7"/>
      <c r="AL435" s="7"/>
    </row>
    <row r="436" spans="1:38" ht="15" x14ac:dyDescent="0.2">
      <c r="A436" s="57" t="s">
        <v>4332</v>
      </c>
      <c r="B436" s="110" t="s">
        <v>6237</v>
      </c>
      <c r="C436" s="7" t="s">
        <v>41</v>
      </c>
      <c r="D436" s="7" t="s">
        <v>6520</v>
      </c>
      <c r="E436" s="44">
        <v>5</v>
      </c>
      <c r="F436" s="7"/>
      <c r="G436" s="7"/>
      <c r="H436" s="2" t="s">
        <v>6521</v>
      </c>
      <c r="I436" s="7" t="s">
        <v>3315</v>
      </c>
      <c r="J436" s="7" t="s">
        <v>6522</v>
      </c>
      <c r="K436" s="7" t="s">
        <v>55</v>
      </c>
      <c r="L436" s="7" t="s">
        <v>6523</v>
      </c>
      <c r="M436" s="7" t="s">
        <v>6524</v>
      </c>
      <c r="N436" s="45" t="str">
        <f t="shared" ref="N436:N437" si="326">HYPERLINK("twitter.com/umslsoftball","@umslsoftball")</f>
        <v>@umslsoftball</v>
      </c>
      <c r="O436" s="45" t="str">
        <f t="shared" ref="O436:O437" si="327">HYPERLINK("https://www.umsltritons.com/sb_output.aspx?form=3","Questionnaire")</f>
        <v>Questionnaire</v>
      </c>
      <c r="P436" s="48" t="s">
        <v>6531</v>
      </c>
      <c r="Q436" s="47" t="s">
        <v>2246</v>
      </c>
      <c r="R436" s="48" t="s">
        <v>2259</v>
      </c>
      <c r="S436" s="48" t="s">
        <v>354</v>
      </c>
      <c r="T436" s="49" t="s">
        <v>74</v>
      </c>
      <c r="U436" s="7" t="s">
        <v>75</v>
      </c>
      <c r="V436" s="7"/>
      <c r="W436" s="44">
        <v>3.46</v>
      </c>
      <c r="X436" s="49" t="s">
        <v>6532</v>
      </c>
      <c r="Y436" s="49" t="s">
        <v>3013</v>
      </c>
      <c r="Z436" s="49" t="s">
        <v>545</v>
      </c>
      <c r="AA436" s="61">
        <v>0.71</v>
      </c>
      <c r="AB436" s="48" t="s">
        <v>6533</v>
      </c>
      <c r="AC436" s="52" t="s">
        <v>6531</v>
      </c>
      <c r="AD436" s="53" t="str">
        <f t="shared" ref="AD436:AD437" si="328">HYPERLINK("http://www.umsl.edu/degrees/","Link")</f>
        <v>Link</v>
      </c>
      <c r="AE436" s="54">
        <v>13898</v>
      </c>
      <c r="AF436" s="55"/>
      <c r="AG436" s="7"/>
      <c r="AH436" s="56">
        <v>178420</v>
      </c>
      <c r="AI436" s="7"/>
      <c r="AJ436" s="7"/>
      <c r="AK436" s="7"/>
      <c r="AL436" s="7"/>
    </row>
    <row r="437" spans="1:38" ht="15" x14ac:dyDescent="0.2">
      <c r="A437" s="57" t="s">
        <v>4332</v>
      </c>
      <c r="B437" s="110" t="s">
        <v>6237</v>
      </c>
      <c r="C437" s="7" t="s">
        <v>41</v>
      </c>
      <c r="D437" s="7" t="s">
        <v>6541</v>
      </c>
      <c r="E437" s="44">
        <v>5</v>
      </c>
      <c r="F437" s="7"/>
      <c r="G437" s="7"/>
      <c r="H437" s="2" t="s">
        <v>6521</v>
      </c>
      <c r="I437" s="7" t="s">
        <v>1875</v>
      </c>
      <c r="J437" s="7" t="s">
        <v>2031</v>
      </c>
      <c r="K437" s="7" t="s">
        <v>48</v>
      </c>
      <c r="L437" s="7" t="s">
        <v>6544</v>
      </c>
      <c r="M437" s="7" t="s">
        <v>6545</v>
      </c>
      <c r="N437" s="45" t="str">
        <f t="shared" si="326"/>
        <v>@umslsoftball</v>
      </c>
      <c r="O437" s="45" t="str">
        <f t="shared" si="327"/>
        <v>Questionnaire</v>
      </c>
      <c r="P437" s="48" t="s">
        <v>6531</v>
      </c>
      <c r="Q437" s="47" t="s">
        <v>2246</v>
      </c>
      <c r="R437" s="48" t="s">
        <v>2259</v>
      </c>
      <c r="S437" s="48" t="s">
        <v>354</v>
      </c>
      <c r="T437" s="49" t="s">
        <v>74</v>
      </c>
      <c r="U437" s="7" t="s">
        <v>75</v>
      </c>
      <c r="V437" s="7"/>
      <c r="W437" s="44">
        <v>3.46</v>
      </c>
      <c r="X437" s="49" t="s">
        <v>6532</v>
      </c>
      <c r="Y437" s="49" t="s">
        <v>3013</v>
      </c>
      <c r="Z437" s="49" t="s">
        <v>545</v>
      </c>
      <c r="AA437" s="61">
        <v>0.71</v>
      </c>
      <c r="AB437" s="48" t="s">
        <v>6533</v>
      </c>
      <c r="AC437" s="52" t="s">
        <v>6531</v>
      </c>
      <c r="AD437" s="53" t="str">
        <f t="shared" si="328"/>
        <v>Link</v>
      </c>
      <c r="AE437" s="54">
        <v>13898</v>
      </c>
      <c r="AF437" s="55"/>
      <c r="AG437" s="7"/>
      <c r="AH437" s="56">
        <v>178420</v>
      </c>
      <c r="AI437" s="7"/>
      <c r="AJ437" s="7"/>
      <c r="AK437" s="7"/>
      <c r="AL437" s="7"/>
    </row>
    <row r="438" spans="1:38" ht="13" x14ac:dyDescent="0.15">
      <c r="A438" s="57" t="s">
        <v>4757</v>
      </c>
      <c r="B438" s="110" t="s">
        <v>6237</v>
      </c>
      <c r="C438" s="7" t="s">
        <v>41</v>
      </c>
      <c r="D438" s="7" t="s">
        <v>6549</v>
      </c>
      <c r="E438" s="44">
        <v>5</v>
      </c>
      <c r="F438" s="7"/>
      <c r="G438" s="7"/>
      <c r="H438" s="2" t="s">
        <v>6551</v>
      </c>
      <c r="I438" s="7" t="s">
        <v>1481</v>
      </c>
      <c r="J438" s="7" t="s">
        <v>1906</v>
      </c>
      <c r="K438" s="7" t="s">
        <v>55</v>
      </c>
      <c r="L438" s="7"/>
      <c r="M438" s="7"/>
      <c r="N438" s="45" t="str">
        <f>HYPERLINK("twitter.com/nwbearcatsb","@nwbearcatsb")</f>
        <v>@nwbearcatsb</v>
      </c>
      <c r="O438" s="45" t="str">
        <f>HYPERLINK("https://bearcatsports.com/sb_output.aspx?form=4","Questionnaire")</f>
        <v>Questionnaire</v>
      </c>
      <c r="P438" s="48" t="s">
        <v>6555</v>
      </c>
      <c r="Q438" s="47" t="s">
        <v>2246</v>
      </c>
      <c r="R438" s="48" t="s">
        <v>6556</v>
      </c>
      <c r="S438" s="48" t="s">
        <v>172</v>
      </c>
      <c r="T438" s="49" t="s">
        <v>74</v>
      </c>
      <c r="U438" s="7" t="s">
        <v>75</v>
      </c>
      <c r="V438" s="7"/>
      <c r="W438" s="44">
        <v>3.38</v>
      </c>
      <c r="X438" s="49" t="s">
        <v>252</v>
      </c>
      <c r="Y438" s="49" t="s">
        <v>2853</v>
      </c>
      <c r="Z438" s="49" t="s">
        <v>1994</v>
      </c>
      <c r="AA438" s="61">
        <v>0.74</v>
      </c>
      <c r="AB438" s="48" t="s">
        <v>6557</v>
      </c>
      <c r="AC438" s="62" t="s">
        <v>6555</v>
      </c>
      <c r="AD438" s="53" t="str">
        <f t="shared" ref="AD438:AD440" si="329">HYPERLINK("https://www.nwmissouri.edu/academics/majors.htm","Link")</f>
        <v>Link</v>
      </c>
      <c r="AE438" s="54">
        <v>5628</v>
      </c>
      <c r="AF438" s="55"/>
      <c r="AG438" s="7"/>
      <c r="AH438" s="56">
        <v>178624</v>
      </c>
      <c r="AI438" s="7"/>
      <c r="AJ438" s="7"/>
      <c r="AK438" s="7"/>
      <c r="AL438" s="7"/>
    </row>
    <row r="439" spans="1:38" ht="13" x14ac:dyDescent="0.15">
      <c r="A439" s="57" t="s">
        <v>4757</v>
      </c>
      <c r="B439" s="110" t="s">
        <v>6237</v>
      </c>
      <c r="C439" s="7" t="s">
        <v>41</v>
      </c>
      <c r="D439" s="7" t="s">
        <v>6564</v>
      </c>
      <c r="E439" s="44">
        <v>5</v>
      </c>
      <c r="F439" s="7"/>
      <c r="G439" s="7"/>
      <c r="H439" s="2" t="s">
        <v>6551</v>
      </c>
      <c r="I439" s="7" t="s">
        <v>3722</v>
      </c>
      <c r="J439" s="7" t="s">
        <v>6565</v>
      </c>
      <c r="K439" s="7" t="s">
        <v>120</v>
      </c>
      <c r="L439" s="7"/>
      <c r="M439" s="7"/>
      <c r="N439" s="45" t="str">
        <f>HYPERLINK("twitter.com/RockUSoftball","@RockUSoftball")</f>
        <v>@RockUSoftball</v>
      </c>
      <c r="O439" s="45" t="str">
        <f>HYPERLINK("https://rockhursthawks.com/sb_output.aspx?form=3","Questionnaire")</f>
        <v>Questionnaire</v>
      </c>
      <c r="P439" s="48" t="s">
        <v>6555</v>
      </c>
      <c r="Q439" s="47" t="s">
        <v>2246</v>
      </c>
      <c r="R439" s="48" t="s">
        <v>6556</v>
      </c>
      <c r="S439" s="48" t="s">
        <v>172</v>
      </c>
      <c r="T439" s="49" t="s">
        <v>74</v>
      </c>
      <c r="U439" s="7" t="s">
        <v>75</v>
      </c>
      <c r="V439" s="7"/>
      <c r="W439" s="44">
        <v>3.38</v>
      </c>
      <c r="X439" s="49" t="s">
        <v>252</v>
      </c>
      <c r="Y439" s="49" t="s">
        <v>2853</v>
      </c>
      <c r="Z439" s="49" t="s">
        <v>1994</v>
      </c>
      <c r="AA439" s="61">
        <v>0.74</v>
      </c>
      <c r="AB439" s="48" t="s">
        <v>6557</v>
      </c>
      <c r="AC439" s="62" t="s">
        <v>6555</v>
      </c>
      <c r="AD439" s="53" t="str">
        <f t="shared" si="329"/>
        <v>Link</v>
      </c>
      <c r="AE439" s="54">
        <v>5628</v>
      </c>
      <c r="AF439" s="55"/>
      <c r="AG439" s="7"/>
      <c r="AH439" s="56">
        <v>178624</v>
      </c>
      <c r="AI439" s="7"/>
      <c r="AJ439" s="7"/>
      <c r="AK439" s="7"/>
      <c r="AL439" s="7"/>
    </row>
    <row r="440" spans="1:38" ht="13" x14ac:dyDescent="0.15">
      <c r="A440" s="57" t="s">
        <v>4757</v>
      </c>
      <c r="B440" s="110" t="s">
        <v>6237</v>
      </c>
      <c r="C440" s="7" t="s">
        <v>41</v>
      </c>
      <c r="D440" s="7" t="s">
        <v>6570</v>
      </c>
      <c r="E440" s="44">
        <v>5</v>
      </c>
      <c r="F440" s="7"/>
      <c r="G440" s="7"/>
      <c r="H440" s="2" t="s">
        <v>6551</v>
      </c>
      <c r="I440" s="7" t="s">
        <v>2316</v>
      </c>
      <c r="J440" s="7" t="s">
        <v>894</v>
      </c>
      <c r="K440" s="7" t="s">
        <v>48</v>
      </c>
      <c r="L440" s="7" t="s">
        <v>6573</v>
      </c>
      <c r="M440" s="7" t="s">
        <v>6575</v>
      </c>
      <c r="N440" s="45" t="str">
        <f>HYPERLINK("twitter.com/nwbearcatsb","@nwbearcatsb")</f>
        <v>@nwbearcatsb</v>
      </c>
      <c r="O440" s="45" t="str">
        <f>HYPERLINK("https://bearcatsports.com/sb_output.aspx?form=4","Questionnaire")</f>
        <v>Questionnaire</v>
      </c>
      <c r="P440" s="48" t="s">
        <v>6555</v>
      </c>
      <c r="Q440" s="47" t="s">
        <v>2246</v>
      </c>
      <c r="R440" s="48" t="s">
        <v>6556</v>
      </c>
      <c r="S440" s="48" t="s">
        <v>172</v>
      </c>
      <c r="T440" s="49" t="s">
        <v>74</v>
      </c>
      <c r="U440" s="7" t="s">
        <v>75</v>
      </c>
      <c r="V440" s="7"/>
      <c r="W440" s="44">
        <v>3.38</v>
      </c>
      <c r="X440" s="49" t="s">
        <v>252</v>
      </c>
      <c r="Y440" s="49" t="s">
        <v>2853</v>
      </c>
      <c r="Z440" s="49" t="s">
        <v>1994</v>
      </c>
      <c r="AA440" s="61">
        <v>0.74</v>
      </c>
      <c r="AB440" s="48" t="s">
        <v>6557</v>
      </c>
      <c r="AC440" s="62" t="s">
        <v>6555</v>
      </c>
      <c r="AD440" s="53" t="str">
        <f t="shared" si="329"/>
        <v>Link</v>
      </c>
      <c r="AE440" s="54">
        <v>5628</v>
      </c>
      <c r="AF440" s="55"/>
      <c r="AG440" s="7"/>
      <c r="AH440" s="56">
        <v>178624</v>
      </c>
      <c r="AI440" s="7"/>
      <c r="AJ440" s="7"/>
      <c r="AK440" s="7"/>
      <c r="AL440" s="7"/>
    </row>
    <row r="441" spans="1:38" ht="15" x14ac:dyDescent="0.2">
      <c r="A441" s="57" t="s">
        <v>4332</v>
      </c>
      <c r="B441" s="110" t="s">
        <v>6237</v>
      </c>
      <c r="C441" s="7" t="s">
        <v>41</v>
      </c>
      <c r="D441" s="7" t="s">
        <v>6587</v>
      </c>
      <c r="E441" s="44">
        <v>5</v>
      </c>
      <c r="F441" s="7"/>
      <c r="G441" s="7"/>
      <c r="H441" s="2" t="s">
        <v>6588</v>
      </c>
      <c r="I441" s="7" t="s">
        <v>130</v>
      </c>
      <c r="J441" s="7" t="s">
        <v>6589</v>
      </c>
      <c r="K441" s="7" t="s">
        <v>120</v>
      </c>
      <c r="L441" s="7" t="s">
        <v>6590</v>
      </c>
      <c r="M441" s="7"/>
      <c r="N441" s="45" t="str">
        <f t="shared" ref="N441:N442" si="330">HYPERLINK("twitter.com/RockUSoftball","@RockUSoftball")</f>
        <v>@RockUSoftball</v>
      </c>
      <c r="O441" s="45" t="str">
        <f t="shared" ref="O441:O442" si="331">HYPERLINK("https://rockhursthawks.com/sb_output.aspx?form=3","Questionnaire")</f>
        <v>Questionnaire</v>
      </c>
      <c r="P441" s="48" t="s">
        <v>6592</v>
      </c>
      <c r="Q441" s="47" t="s">
        <v>2246</v>
      </c>
      <c r="R441" s="48" t="s">
        <v>6594</v>
      </c>
      <c r="S441" s="48" t="s">
        <v>354</v>
      </c>
      <c r="T441" s="49" t="s">
        <v>63</v>
      </c>
      <c r="U441" s="7" t="s">
        <v>343</v>
      </c>
      <c r="V441" s="7"/>
      <c r="W441" s="44">
        <v>3.68</v>
      </c>
      <c r="X441" s="49" t="s">
        <v>6597</v>
      </c>
      <c r="Y441" s="49" t="s">
        <v>6598</v>
      </c>
      <c r="Z441" s="49" t="s">
        <v>78</v>
      </c>
      <c r="AA441" s="61">
        <v>0.74</v>
      </c>
      <c r="AB441" s="71">
        <v>50451</v>
      </c>
      <c r="AC441" s="52" t="s">
        <v>6592</v>
      </c>
      <c r="AD441" s="53" t="str">
        <f t="shared" ref="AD441:AD442" si="332">HYPERLINK("https://ww2.rockhurst.edu/academics/undergraduate","Link")</f>
        <v>Link</v>
      </c>
      <c r="AE441" s="54">
        <v>2042</v>
      </c>
      <c r="AF441" s="55"/>
      <c r="AG441" s="7"/>
      <c r="AH441" s="56">
        <v>179043</v>
      </c>
      <c r="AI441" s="7"/>
      <c r="AJ441" s="7"/>
      <c r="AK441" s="7"/>
      <c r="AL441" s="7"/>
    </row>
    <row r="442" spans="1:38" ht="15" x14ac:dyDescent="0.2">
      <c r="A442" s="57" t="s">
        <v>4332</v>
      </c>
      <c r="B442" s="110" t="s">
        <v>6237</v>
      </c>
      <c r="C442" s="7" t="s">
        <v>41</v>
      </c>
      <c r="D442" s="7" t="s">
        <v>6599</v>
      </c>
      <c r="E442" s="44">
        <v>5</v>
      </c>
      <c r="F442" s="7"/>
      <c r="G442" s="7"/>
      <c r="H442" s="2" t="s">
        <v>6588</v>
      </c>
      <c r="I442" s="7" t="s">
        <v>852</v>
      </c>
      <c r="J442" s="7" t="s">
        <v>6602</v>
      </c>
      <c r="K442" s="7" t="s">
        <v>48</v>
      </c>
      <c r="L442" s="7" t="s">
        <v>6606</v>
      </c>
      <c r="M442" s="7" t="s">
        <v>6611</v>
      </c>
      <c r="N442" s="45" t="str">
        <f t="shared" si="330"/>
        <v>@RockUSoftball</v>
      </c>
      <c r="O442" s="45" t="str">
        <f t="shared" si="331"/>
        <v>Questionnaire</v>
      </c>
      <c r="P442" s="48" t="s">
        <v>6592</v>
      </c>
      <c r="Q442" s="47" t="s">
        <v>2246</v>
      </c>
      <c r="R442" s="48" t="s">
        <v>6594</v>
      </c>
      <c r="S442" s="48" t="s">
        <v>354</v>
      </c>
      <c r="T442" s="49" t="s">
        <v>63</v>
      </c>
      <c r="U442" s="7" t="s">
        <v>343</v>
      </c>
      <c r="V442" s="7"/>
      <c r="W442" s="44">
        <v>3.68</v>
      </c>
      <c r="X442" s="49" t="s">
        <v>6597</v>
      </c>
      <c r="Y442" s="49" t="s">
        <v>6598</v>
      </c>
      <c r="Z442" s="49" t="s">
        <v>78</v>
      </c>
      <c r="AA442" s="61">
        <v>0.74</v>
      </c>
      <c r="AB442" s="71">
        <v>50451</v>
      </c>
      <c r="AC442" s="52" t="s">
        <v>6592</v>
      </c>
      <c r="AD442" s="53" t="str">
        <f t="shared" si="332"/>
        <v>Link</v>
      </c>
      <c r="AE442" s="54">
        <v>2042</v>
      </c>
      <c r="AF442" s="55"/>
      <c r="AG442" s="7"/>
      <c r="AH442" s="56">
        <v>179043</v>
      </c>
      <c r="AI442" s="7"/>
      <c r="AJ442" s="7"/>
      <c r="AK442" s="7"/>
      <c r="AL442" s="7"/>
    </row>
    <row r="443" spans="1:38" ht="13" x14ac:dyDescent="0.15">
      <c r="A443" s="57" t="s">
        <v>4332</v>
      </c>
      <c r="B443" s="110" t="s">
        <v>6237</v>
      </c>
      <c r="C443" s="7" t="s">
        <v>41</v>
      </c>
      <c r="D443" s="7" t="s">
        <v>6615</v>
      </c>
      <c r="E443" s="44">
        <v>5</v>
      </c>
      <c r="F443" s="7"/>
      <c r="G443" s="7"/>
      <c r="H443" s="2" t="s">
        <v>6617</v>
      </c>
      <c r="I443" s="7" t="s">
        <v>6619</v>
      </c>
      <c r="J443" s="7" t="s">
        <v>6620</v>
      </c>
      <c r="K443" s="7" t="s">
        <v>120</v>
      </c>
      <c r="L443" s="7"/>
      <c r="M443" s="7"/>
      <c r="N443" s="7"/>
      <c r="O443" s="48" t="s">
        <v>22</v>
      </c>
      <c r="P443" s="48" t="s">
        <v>6621</v>
      </c>
      <c r="Q443" s="47" t="s">
        <v>2246</v>
      </c>
      <c r="R443" s="48" t="s">
        <v>6622</v>
      </c>
      <c r="S443" s="48" t="s">
        <v>172</v>
      </c>
      <c r="T443" s="49" t="s">
        <v>63</v>
      </c>
      <c r="U443" s="7" t="s">
        <v>800</v>
      </c>
      <c r="V443" s="7"/>
      <c r="W443" s="44">
        <v>3.57</v>
      </c>
      <c r="X443" s="49" t="s">
        <v>1628</v>
      </c>
      <c r="Y443" s="49" t="s">
        <v>1628</v>
      </c>
      <c r="Z443" s="49" t="s">
        <v>746</v>
      </c>
      <c r="AA443" s="61">
        <v>0.9</v>
      </c>
      <c r="AB443" s="71">
        <v>33468</v>
      </c>
      <c r="AC443" s="92" t="s">
        <v>6621</v>
      </c>
      <c r="AD443" s="53" t="str">
        <f t="shared" ref="AD443:AD444" si="333">HYPERLINK("https://www.sbuniv.edu/academics/programs/","Link")</f>
        <v>Link</v>
      </c>
      <c r="AE443" s="54">
        <v>2973</v>
      </c>
      <c r="AF443" s="55"/>
      <c r="AG443" s="7"/>
      <c r="AH443" s="56">
        <v>179326</v>
      </c>
      <c r="AI443" s="7"/>
      <c r="AJ443" s="7"/>
      <c r="AK443" s="7"/>
      <c r="AL443" s="7"/>
    </row>
    <row r="444" spans="1:38" ht="13" x14ac:dyDescent="0.15">
      <c r="A444" s="57" t="s">
        <v>4332</v>
      </c>
      <c r="B444" s="110" t="s">
        <v>6237</v>
      </c>
      <c r="C444" s="7" t="s">
        <v>41</v>
      </c>
      <c r="D444" s="7" t="s">
        <v>6632</v>
      </c>
      <c r="E444" s="44">
        <v>5</v>
      </c>
      <c r="F444" s="7"/>
      <c r="G444" s="7"/>
      <c r="H444" s="2" t="s">
        <v>6617</v>
      </c>
      <c r="I444" s="7" t="s">
        <v>6633</v>
      </c>
      <c r="J444" s="7" t="s">
        <v>6634</v>
      </c>
      <c r="K444" s="7" t="s">
        <v>48</v>
      </c>
      <c r="L444" s="7" t="s">
        <v>6635</v>
      </c>
      <c r="M444" s="7" t="s">
        <v>6636</v>
      </c>
      <c r="N444" s="45" t="str">
        <f>HYPERLINK("twitter.com/sbusoftball18","@sbusoftball18")</f>
        <v>@sbusoftball18</v>
      </c>
      <c r="O444" s="48" t="s">
        <v>22</v>
      </c>
      <c r="P444" s="48" t="s">
        <v>6621</v>
      </c>
      <c r="Q444" s="47" t="s">
        <v>2246</v>
      </c>
      <c r="R444" s="48" t="s">
        <v>6622</v>
      </c>
      <c r="S444" s="48" t="s">
        <v>172</v>
      </c>
      <c r="T444" s="49" t="s">
        <v>63</v>
      </c>
      <c r="U444" s="7" t="s">
        <v>800</v>
      </c>
      <c r="V444" s="7"/>
      <c r="W444" s="44">
        <v>3.57</v>
      </c>
      <c r="X444" s="49" t="s">
        <v>1628</v>
      </c>
      <c r="Y444" s="49" t="s">
        <v>1628</v>
      </c>
      <c r="Z444" s="49" t="s">
        <v>746</v>
      </c>
      <c r="AA444" s="61">
        <v>0.9</v>
      </c>
      <c r="AB444" s="71">
        <v>33468</v>
      </c>
      <c r="AC444" s="92" t="s">
        <v>6621</v>
      </c>
      <c r="AD444" s="53" t="str">
        <f t="shared" si="333"/>
        <v>Link</v>
      </c>
      <c r="AE444" s="54">
        <v>2973</v>
      </c>
      <c r="AF444" s="55"/>
      <c r="AG444" s="7"/>
      <c r="AH444" s="56">
        <v>179326</v>
      </c>
      <c r="AI444" s="7"/>
      <c r="AJ444" s="7"/>
      <c r="AK444" s="7"/>
      <c r="AL444" s="7"/>
    </row>
    <row r="445" spans="1:38" ht="15" x14ac:dyDescent="0.2">
      <c r="A445" s="57" t="s">
        <v>4332</v>
      </c>
      <c r="B445" s="110" t="s">
        <v>6237</v>
      </c>
      <c r="C445" s="7" t="s">
        <v>41</v>
      </c>
      <c r="D445" s="7" t="s">
        <v>6641</v>
      </c>
      <c r="E445" s="44">
        <v>5</v>
      </c>
      <c r="F445" s="7"/>
      <c r="G445" s="7"/>
      <c r="H445" s="2" t="s">
        <v>6643</v>
      </c>
      <c r="I445" s="7" t="s">
        <v>4049</v>
      </c>
      <c r="J445" s="7" t="s">
        <v>6645</v>
      </c>
      <c r="K445" s="7" t="s">
        <v>6646</v>
      </c>
      <c r="L445" s="7" t="s">
        <v>6648</v>
      </c>
      <c r="M445" s="7" t="s">
        <v>6650</v>
      </c>
      <c r="N445" s="45" t="str">
        <f t="shared" ref="N445:N447" si="334">HYPERLINK("twitter.com/TrumanSoftball","@TrumanSoftball")</f>
        <v>@TrumanSoftball</v>
      </c>
      <c r="O445" s="45" t="str">
        <f t="shared" ref="O445:O447" si="335">HYPERLINK("https://trumanbulldogs.com/sports/2014/12/17/BecomeABulldog.aspx","Questionnaire")</f>
        <v>Questionnaire</v>
      </c>
      <c r="P445" s="48" t="s">
        <v>6654</v>
      </c>
      <c r="Q445" s="47" t="s">
        <v>2246</v>
      </c>
      <c r="R445" s="48" t="s">
        <v>6656</v>
      </c>
      <c r="S445" s="48" t="s">
        <v>172</v>
      </c>
      <c r="T445" s="49" t="s">
        <v>74</v>
      </c>
      <c r="U445" s="7" t="s">
        <v>75</v>
      </c>
      <c r="V445" s="7"/>
      <c r="W445" s="44">
        <v>3.79</v>
      </c>
      <c r="X445" s="49" t="s">
        <v>6659</v>
      </c>
      <c r="Y445" s="49" t="s">
        <v>3454</v>
      </c>
      <c r="Z445" s="49" t="s">
        <v>1373</v>
      </c>
      <c r="AA445" s="61">
        <v>0.68</v>
      </c>
      <c r="AB445" s="48" t="s">
        <v>6662</v>
      </c>
      <c r="AC445" s="52" t="s">
        <v>6654</v>
      </c>
      <c r="AD445" s="53" t="str">
        <f t="shared" ref="AD445:AD447" si="336">HYPERLINK("http://www.truman.edu/majors-programs/","Link")</f>
        <v>Link</v>
      </c>
      <c r="AE445" s="54">
        <v>6039</v>
      </c>
      <c r="AF445" s="55"/>
      <c r="AG445" s="7"/>
      <c r="AH445" s="56">
        <v>178615</v>
      </c>
      <c r="AI445" s="7"/>
      <c r="AJ445" s="7"/>
      <c r="AK445" s="7"/>
      <c r="AL445" s="7"/>
    </row>
    <row r="446" spans="1:38" ht="15" x14ac:dyDescent="0.2">
      <c r="A446" s="57" t="s">
        <v>4332</v>
      </c>
      <c r="B446" s="110" t="s">
        <v>6237</v>
      </c>
      <c r="C446" s="7" t="s">
        <v>41</v>
      </c>
      <c r="D446" s="7" t="s">
        <v>6641</v>
      </c>
      <c r="E446" s="44">
        <v>5</v>
      </c>
      <c r="F446" s="7"/>
      <c r="G446" s="7"/>
      <c r="H446" s="2" t="s">
        <v>6643</v>
      </c>
      <c r="I446" s="7" t="s">
        <v>4049</v>
      </c>
      <c r="J446" s="7" t="s">
        <v>6645</v>
      </c>
      <c r="K446" s="7" t="s">
        <v>55</v>
      </c>
      <c r="L446" s="7" t="s">
        <v>6665</v>
      </c>
      <c r="M446" s="7" t="s">
        <v>6650</v>
      </c>
      <c r="N446" s="45" t="str">
        <f t="shared" si="334"/>
        <v>@TrumanSoftball</v>
      </c>
      <c r="O446" s="45" t="str">
        <f t="shared" si="335"/>
        <v>Questionnaire</v>
      </c>
      <c r="P446" s="48" t="s">
        <v>6654</v>
      </c>
      <c r="Q446" s="47" t="s">
        <v>2246</v>
      </c>
      <c r="R446" s="48" t="s">
        <v>6656</v>
      </c>
      <c r="S446" s="48" t="s">
        <v>172</v>
      </c>
      <c r="T446" s="49" t="s">
        <v>74</v>
      </c>
      <c r="U446" s="7" t="s">
        <v>75</v>
      </c>
      <c r="V446" s="7"/>
      <c r="W446" s="44">
        <v>3.79</v>
      </c>
      <c r="X446" s="49" t="s">
        <v>6659</v>
      </c>
      <c r="Y446" s="49" t="s">
        <v>3454</v>
      </c>
      <c r="Z446" s="49" t="s">
        <v>1373</v>
      </c>
      <c r="AA446" s="61">
        <v>0.68</v>
      </c>
      <c r="AB446" s="48" t="s">
        <v>6662</v>
      </c>
      <c r="AC446" s="52" t="s">
        <v>6654</v>
      </c>
      <c r="AD446" s="53" t="str">
        <f t="shared" si="336"/>
        <v>Link</v>
      </c>
      <c r="AE446" s="54">
        <v>6039</v>
      </c>
      <c r="AF446" s="55"/>
      <c r="AG446" s="7"/>
      <c r="AH446" s="56">
        <v>178615</v>
      </c>
      <c r="AI446" s="7"/>
      <c r="AJ446" s="7"/>
      <c r="AK446" s="7"/>
      <c r="AL446" s="7"/>
    </row>
    <row r="447" spans="1:38" ht="15" x14ac:dyDescent="0.2">
      <c r="A447" s="57" t="s">
        <v>4332</v>
      </c>
      <c r="B447" s="110" t="s">
        <v>6237</v>
      </c>
      <c r="C447" s="7" t="s">
        <v>41</v>
      </c>
      <c r="D447" s="7" t="s">
        <v>6670</v>
      </c>
      <c r="E447" s="44">
        <v>5</v>
      </c>
      <c r="F447" s="7"/>
      <c r="G447" s="7"/>
      <c r="H447" s="2" t="s">
        <v>6643</v>
      </c>
      <c r="I447" s="7" t="s">
        <v>1875</v>
      </c>
      <c r="J447" s="7" t="s">
        <v>6672</v>
      </c>
      <c r="K447" s="7" t="s">
        <v>48</v>
      </c>
      <c r="L447" s="7" t="s">
        <v>6674</v>
      </c>
      <c r="M447" s="7" t="s">
        <v>6650</v>
      </c>
      <c r="N447" s="45" t="str">
        <f t="shared" si="334"/>
        <v>@TrumanSoftball</v>
      </c>
      <c r="O447" s="45" t="str">
        <f t="shared" si="335"/>
        <v>Questionnaire</v>
      </c>
      <c r="P447" s="48" t="s">
        <v>6654</v>
      </c>
      <c r="Q447" s="47" t="s">
        <v>2246</v>
      </c>
      <c r="R447" s="48" t="s">
        <v>6656</v>
      </c>
      <c r="S447" s="48" t="s">
        <v>172</v>
      </c>
      <c r="T447" s="49" t="s">
        <v>74</v>
      </c>
      <c r="U447" s="7" t="s">
        <v>75</v>
      </c>
      <c r="V447" s="7"/>
      <c r="W447" s="44">
        <v>3.79</v>
      </c>
      <c r="X447" s="49" t="s">
        <v>6659</v>
      </c>
      <c r="Y447" s="49" t="s">
        <v>3454</v>
      </c>
      <c r="Z447" s="49" t="s">
        <v>1373</v>
      </c>
      <c r="AA447" s="61">
        <v>0.68</v>
      </c>
      <c r="AB447" s="48" t="s">
        <v>6662</v>
      </c>
      <c r="AC447" s="52" t="s">
        <v>6654</v>
      </c>
      <c r="AD447" s="53" t="str">
        <f t="shared" si="336"/>
        <v>Link</v>
      </c>
      <c r="AE447" s="54">
        <v>6039</v>
      </c>
      <c r="AF447" s="55"/>
      <c r="AG447" s="7"/>
      <c r="AH447" s="56">
        <v>178615</v>
      </c>
      <c r="AI447" s="7"/>
      <c r="AJ447" s="7"/>
      <c r="AK447" s="7"/>
      <c r="AL447" s="7"/>
    </row>
    <row r="448" spans="1:38" ht="15" x14ac:dyDescent="0.2">
      <c r="A448" s="57" t="s">
        <v>4332</v>
      </c>
      <c r="B448" s="110" t="s">
        <v>6237</v>
      </c>
      <c r="C448" s="7" t="s">
        <v>41</v>
      </c>
      <c r="D448" s="7" t="s">
        <v>6681</v>
      </c>
      <c r="E448" s="44">
        <v>5</v>
      </c>
      <c r="F448" s="7"/>
      <c r="G448" s="7"/>
      <c r="H448" s="2" t="s">
        <v>6682</v>
      </c>
      <c r="I448" s="7" t="s">
        <v>644</v>
      </c>
      <c r="J448" s="7" t="s">
        <v>773</v>
      </c>
      <c r="K448" s="7" t="s">
        <v>55</v>
      </c>
      <c r="L448" s="7" t="s">
        <v>6686</v>
      </c>
      <c r="M448" s="7" t="s">
        <v>6688</v>
      </c>
      <c r="N448" s="45" t="str">
        <f t="shared" ref="N448:N449" si="337">HYPERLINK("twitter.com/wjcsoftballaz","@wjcsoftballaz")</f>
        <v>@wjcsoftballaz</v>
      </c>
      <c r="O448" s="48" t="s">
        <v>22</v>
      </c>
      <c r="P448" s="48" t="s">
        <v>6694</v>
      </c>
      <c r="Q448" s="47" t="s">
        <v>2246</v>
      </c>
      <c r="R448" s="48" t="s">
        <v>3979</v>
      </c>
      <c r="S448" s="48" t="s">
        <v>468</v>
      </c>
      <c r="T448" s="49" t="s">
        <v>63</v>
      </c>
      <c r="U448" s="7" t="s">
        <v>75</v>
      </c>
      <c r="V448" s="7"/>
      <c r="W448" s="44">
        <v>3.73</v>
      </c>
      <c r="X448" s="49" t="s">
        <v>6698</v>
      </c>
      <c r="Y448" s="49" t="s">
        <v>956</v>
      </c>
      <c r="Z448" s="49" t="s">
        <v>689</v>
      </c>
      <c r="AA448" s="61">
        <v>0.51</v>
      </c>
      <c r="AB448" s="71">
        <v>46610</v>
      </c>
      <c r="AC448" s="52" t="s">
        <v>6694</v>
      </c>
      <c r="AD448" s="53" t="str">
        <f t="shared" ref="AD448:AD449" si="338">HYPERLINK("https://www.jewell.edu/programs","Link")</f>
        <v>Link</v>
      </c>
      <c r="AE448" s="54">
        <v>992</v>
      </c>
      <c r="AF448" s="55"/>
      <c r="AG448" s="44">
        <v>147</v>
      </c>
      <c r="AH448" s="56">
        <v>179955</v>
      </c>
      <c r="AI448" s="7"/>
      <c r="AJ448" s="7"/>
      <c r="AK448" s="7"/>
      <c r="AL448" s="7"/>
    </row>
    <row r="449" spans="1:38" ht="15" x14ac:dyDescent="0.2">
      <c r="A449" s="57" t="s">
        <v>4332</v>
      </c>
      <c r="B449" s="110" t="s">
        <v>6237</v>
      </c>
      <c r="C449" s="7" t="s">
        <v>41</v>
      </c>
      <c r="D449" s="7" t="s">
        <v>6706</v>
      </c>
      <c r="E449" s="44">
        <v>5</v>
      </c>
      <c r="F449" s="7"/>
      <c r="G449" s="7"/>
      <c r="H449" s="2" t="s">
        <v>6682</v>
      </c>
      <c r="I449" s="7" t="s">
        <v>6708</v>
      </c>
      <c r="J449" s="7" t="s">
        <v>737</v>
      </c>
      <c r="K449" s="7" t="s">
        <v>48</v>
      </c>
      <c r="L449" s="7" t="s">
        <v>6709</v>
      </c>
      <c r="M449" s="7" t="s">
        <v>6688</v>
      </c>
      <c r="N449" s="45" t="str">
        <f t="shared" si="337"/>
        <v>@wjcsoftballaz</v>
      </c>
      <c r="O449" s="48" t="s">
        <v>22</v>
      </c>
      <c r="P449" s="48" t="s">
        <v>6694</v>
      </c>
      <c r="Q449" s="47" t="s">
        <v>2246</v>
      </c>
      <c r="R449" s="48" t="s">
        <v>3979</v>
      </c>
      <c r="S449" s="48" t="s">
        <v>468</v>
      </c>
      <c r="T449" s="49" t="s">
        <v>63</v>
      </c>
      <c r="U449" s="7" t="s">
        <v>75</v>
      </c>
      <c r="V449" s="7"/>
      <c r="W449" s="44">
        <v>3.73</v>
      </c>
      <c r="X449" s="49" t="s">
        <v>6698</v>
      </c>
      <c r="Y449" s="49" t="s">
        <v>956</v>
      </c>
      <c r="Z449" s="49" t="s">
        <v>689</v>
      </c>
      <c r="AA449" s="61">
        <v>0.51</v>
      </c>
      <c r="AB449" s="71">
        <v>46610</v>
      </c>
      <c r="AC449" s="52" t="s">
        <v>6694</v>
      </c>
      <c r="AD449" s="53" t="str">
        <f t="shared" si="338"/>
        <v>Link</v>
      </c>
      <c r="AE449" s="54">
        <v>992</v>
      </c>
      <c r="AF449" s="55"/>
      <c r="AG449" s="44">
        <v>147</v>
      </c>
      <c r="AH449" s="56">
        <v>179955</v>
      </c>
      <c r="AI449" s="7"/>
      <c r="AJ449" s="7"/>
      <c r="AK449" s="7"/>
      <c r="AL449" s="7"/>
    </row>
    <row r="450" spans="1:38" ht="15" x14ac:dyDescent="0.2">
      <c r="A450" s="57" t="s">
        <v>906</v>
      </c>
      <c r="B450" s="110" t="s">
        <v>3523</v>
      </c>
      <c r="C450" s="7" t="s">
        <v>41</v>
      </c>
      <c r="D450" s="7" t="s">
        <v>6715</v>
      </c>
      <c r="E450" s="44">
        <v>5</v>
      </c>
      <c r="F450" s="7"/>
      <c r="G450" s="7"/>
      <c r="H450" s="2" t="s">
        <v>6716</v>
      </c>
      <c r="I450" s="7" t="s">
        <v>1124</v>
      </c>
      <c r="J450" s="7" t="s">
        <v>6717</v>
      </c>
      <c r="K450" s="7" t="s">
        <v>55</v>
      </c>
      <c r="L450" s="7" t="s">
        <v>6718</v>
      </c>
      <c r="M450" s="7" t="s">
        <v>6719</v>
      </c>
      <c r="N450" s="45" t="str">
        <f t="shared" ref="N450:N453" si="339">HYPERLINK("twitter.com/msubsoftball","@msubsoftball")</f>
        <v>@msubsoftball</v>
      </c>
      <c r="O450" s="48" t="s">
        <v>22</v>
      </c>
      <c r="P450" s="48" t="s">
        <v>6723</v>
      </c>
      <c r="Q450" s="47" t="s">
        <v>3515</v>
      </c>
      <c r="R450" s="48" t="s">
        <v>6725</v>
      </c>
      <c r="S450" s="48" t="s">
        <v>238</v>
      </c>
      <c r="T450" s="49" t="s">
        <v>74</v>
      </c>
      <c r="U450" s="7" t="s">
        <v>75</v>
      </c>
      <c r="V450" s="7"/>
      <c r="W450" s="44">
        <v>3.13</v>
      </c>
      <c r="X450" s="49" t="s">
        <v>1452</v>
      </c>
      <c r="Y450" s="49" t="s">
        <v>448</v>
      </c>
      <c r="Z450" s="49" t="s">
        <v>2307</v>
      </c>
      <c r="AA450" s="61">
        <v>1</v>
      </c>
      <c r="AB450" s="48" t="s">
        <v>6726</v>
      </c>
      <c r="AC450" s="52" t="s">
        <v>6723</v>
      </c>
      <c r="AD450" s="53" t="str">
        <f t="shared" ref="AD450:AD453" si="340">HYPERLINK("http://www.msubillings.edu/future/degrees.htm","Link")</f>
        <v>Link</v>
      </c>
      <c r="AE450" s="54">
        <v>3968</v>
      </c>
      <c r="AF450" s="55"/>
      <c r="AG450" s="7"/>
      <c r="AH450" s="56">
        <v>180179</v>
      </c>
      <c r="AI450" s="7"/>
      <c r="AJ450" s="7"/>
      <c r="AK450" s="7"/>
      <c r="AL450" s="7"/>
    </row>
    <row r="451" spans="1:38" ht="15" x14ac:dyDescent="0.2">
      <c r="A451" s="57" t="s">
        <v>906</v>
      </c>
      <c r="B451" s="110" t="s">
        <v>3523</v>
      </c>
      <c r="C451" s="7" t="s">
        <v>41</v>
      </c>
      <c r="D451" s="7" t="s">
        <v>6728</v>
      </c>
      <c r="E451" s="44">
        <v>5</v>
      </c>
      <c r="F451" s="7"/>
      <c r="G451" s="7"/>
      <c r="H451" s="2" t="s">
        <v>6716</v>
      </c>
      <c r="I451" s="7" t="s">
        <v>6729</v>
      </c>
      <c r="J451" s="7" t="s">
        <v>4233</v>
      </c>
      <c r="K451" s="7" t="s">
        <v>120</v>
      </c>
      <c r="L451" s="7" t="s">
        <v>6730</v>
      </c>
      <c r="M451" s="7" t="s">
        <v>6719</v>
      </c>
      <c r="N451" s="45" t="str">
        <f t="shared" si="339"/>
        <v>@msubsoftball</v>
      </c>
      <c r="O451" s="48" t="s">
        <v>22</v>
      </c>
      <c r="P451" s="48" t="s">
        <v>6723</v>
      </c>
      <c r="Q451" s="47" t="s">
        <v>3515</v>
      </c>
      <c r="R451" s="48" t="s">
        <v>6725</v>
      </c>
      <c r="S451" s="48" t="s">
        <v>238</v>
      </c>
      <c r="T451" s="49" t="s">
        <v>74</v>
      </c>
      <c r="U451" s="7" t="s">
        <v>75</v>
      </c>
      <c r="V451" s="7"/>
      <c r="W451" s="44">
        <v>3.13</v>
      </c>
      <c r="X451" s="49" t="s">
        <v>1452</v>
      </c>
      <c r="Y451" s="49" t="s">
        <v>448</v>
      </c>
      <c r="Z451" s="49" t="s">
        <v>2307</v>
      </c>
      <c r="AA451" s="61">
        <v>1</v>
      </c>
      <c r="AB451" s="48" t="s">
        <v>6726</v>
      </c>
      <c r="AC451" s="52" t="s">
        <v>6723</v>
      </c>
      <c r="AD451" s="53" t="str">
        <f t="shared" si="340"/>
        <v>Link</v>
      </c>
      <c r="AE451" s="54">
        <v>3968</v>
      </c>
      <c r="AF451" s="55"/>
      <c r="AG451" s="7"/>
      <c r="AH451" s="56">
        <v>180179</v>
      </c>
      <c r="AI451" s="7"/>
      <c r="AJ451" s="7"/>
      <c r="AK451" s="7"/>
      <c r="AL451" s="7"/>
    </row>
    <row r="452" spans="1:38" ht="15" x14ac:dyDescent="0.2">
      <c r="A452" s="57" t="s">
        <v>906</v>
      </c>
      <c r="B452" s="110" t="s">
        <v>3523</v>
      </c>
      <c r="C452" s="7" t="s">
        <v>41</v>
      </c>
      <c r="D452" s="7" t="s">
        <v>6738</v>
      </c>
      <c r="E452" s="44">
        <v>5</v>
      </c>
      <c r="F452" s="7"/>
      <c r="G452" s="7"/>
      <c r="H452" s="2" t="s">
        <v>6716</v>
      </c>
      <c r="I452" s="7" t="s">
        <v>1822</v>
      </c>
      <c r="J452" s="7" t="s">
        <v>6119</v>
      </c>
      <c r="K452" s="7" t="s">
        <v>1048</v>
      </c>
      <c r="L452" s="7" t="s">
        <v>6739</v>
      </c>
      <c r="M452" s="7" t="s">
        <v>6719</v>
      </c>
      <c r="N452" s="45" t="str">
        <f t="shared" si="339"/>
        <v>@msubsoftball</v>
      </c>
      <c r="O452" s="48" t="s">
        <v>22</v>
      </c>
      <c r="P452" s="48" t="s">
        <v>6723</v>
      </c>
      <c r="Q452" s="47" t="s">
        <v>3515</v>
      </c>
      <c r="R452" s="48" t="s">
        <v>6725</v>
      </c>
      <c r="S452" s="48" t="s">
        <v>238</v>
      </c>
      <c r="T452" s="49" t="s">
        <v>74</v>
      </c>
      <c r="U452" s="7" t="s">
        <v>75</v>
      </c>
      <c r="V452" s="7"/>
      <c r="W452" s="44">
        <v>3.13</v>
      </c>
      <c r="X452" s="49" t="s">
        <v>1452</v>
      </c>
      <c r="Y452" s="49" t="s">
        <v>448</v>
      </c>
      <c r="Z452" s="49" t="s">
        <v>2307</v>
      </c>
      <c r="AA452" s="61">
        <v>1</v>
      </c>
      <c r="AB452" s="48" t="s">
        <v>6726</v>
      </c>
      <c r="AC452" s="52" t="s">
        <v>6723</v>
      </c>
      <c r="AD452" s="53" t="str">
        <f t="shared" si="340"/>
        <v>Link</v>
      </c>
      <c r="AE452" s="54">
        <v>3968</v>
      </c>
      <c r="AF452" s="55"/>
      <c r="AG452" s="7"/>
      <c r="AH452" s="56">
        <v>180179</v>
      </c>
      <c r="AI452" s="7"/>
      <c r="AJ452" s="7"/>
      <c r="AK452" s="7"/>
      <c r="AL452" s="7"/>
    </row>
    <row r="453" spans="1:38" ht="15" x14ac:dyDescent="0.2">
      <c r="A453" s="57" t="s">
        <v>906</v>
      </c>
      <c r="B453" s="110" t="s">
        <v>3523</v>
      </c>
      <c r="C453" s="7" t="s">
        <v>41</v>
      </c>
      <c r="D453" s="7" t="s">
        <v>6738</v>
      </c>
      <c r="E453" s="44">
        <v>5</v>
      </c>
      <c r="F453" s="7"/>
      <c r="G453" s="7"/>
      <c r="H453" s="2" t="s">
        <v>6716</v>
      </c>
      <c r="I453" s="7" t="s">
        <v>1822</v>
      </c>
      <c r="J453" s="7" t="s">
        <v>6119</v>
      </c>
      <c r="K453" s="7" t="s">
        <v>48</v>
      </c>
      <c r="L453" s="7" t="s">
        <v>6743</v>
      </c>
      <c r="M453" s="7" t="s">
        <v>6719</v>
      </c>
      <c r="N453" s="45" t="str">
        <f t="shared" si="339"/>
        <v>@msubsoftball</v>
      </c>
      <c r="O453" s="48" t="s">
        <v>22</v>
      </c>
      <c r="P453" s="48" t="s">
        <v>6723</v>
      </c>
      <c r="Q453" s="47" t="s">
        <v>3515</v>
      </c>
      <c r="R453" s="48" t="s">
        <v>6725</v>
      </c>
      <c r="S453" s="48" t="s">
        <v>238</v>
      </c>
      <c r="T453" s="49" t="s">
        <v>74</v>
      </c>
      <c r="U453" s="7" t="s">
        <v>75</v>
      </c>
      <c r="V453" s="7"/>
      <c r="W453" s="44">
        <v>3.13</v>
      </c>
      <c r="X453" s="49" t="s">
        <v>1452</v>
      </c>
      <c r="Y453" s="49" t="s">
        <v>448</v>
      </c>
      <c r="Z453" s="49" t="s">
        <v>2307</v>
      </c>
      <c r="AA453" s="61">
        <v>1</v>
      </c>
      <c r="AB453" s="48" t="s">
        <v>6726</v>
      </c>
      <c r="AC453" s="52" t="s">
        <v>6723</v>
      </c>
      <c r="AD453" s="53" t="str">
        <f t="shared" si="340"/>
        <v>Link</v>
      </c>
      <c r="AE453" s="54">
        <v>3968</v>
      </c>
      <c r="AF453" s="55"/>
      <c r="AG453" s="7"/>
      <c r="AH453" s="56">
        <v>180179</v>
      </c>
      <c r="AI453" s="7"/>
      <c r="AJ453" s="7"/>
      <c r="AK453" s="7"/>
      <c r="AL453" s="7"/>
    </row>
    <row r="454" spans="1:38" ht="13" x14ac:dyDescent="0.15">
      <c r="A454" s="57" t="s">
        <v>2071</v>
      </c>
      <c r="B454" s="31" t="s">
        <v>4734</v>
      </c>
      <c r="C454" s="7" t="s">
        <v>41</v>
      </c>
      <c r="D454" s="7" t="s">
        <v>6748</v>
      </c>
      <c r="E454" s="44">
        <v>5</v>
      </c>
      <c r="F454" s="7"/>
      <c r="G454" s="7"/>
      <c r="H454" s="7" t="s">
        <v>6750</v>
      </c>
      <c r="I454" s="7" t="s">
        <v>3654</v>
      </c>
      <c r="J454" s="7" t="s">
        <v>6753</v>
      </c>
      <c r="K454" s="7" t="s">
        <v>48</v>
      </c>
      <c r="L454" s="7" t="s">
        <v>6755</v>
      </c>
      <c r="M454" s="7" t="s">
        <v>6756</v>
      </c>
      <c r="N454" s="45" t="str">
        <f t="shared" ref="N454:N456" si="341">HYPERLINK("twitter.com/ChadronState_SB","@ChadronState_SB")</f>
        <v>@ChadronState_SB</v>
      </c>
      <c r="O454" s="74" t="str">
        <f t="shared" ref="O454:O456" si="342">HYPERLINK("https://chadroneagles.com/sports/2012/7/17/GEN_0717122811.aspx","Questionnaire")</f>
        <v>Questionnaire</v>
      </c>
      <c r="P454" s="48" t="s">
        <v>6764</v>
      </c>
      <c r="Q454" s="60" t="s">
        <v>3105</v>
      </c>
      <c r="R454" s="6" t="s">
        <v>6767</v>
      </c>
      <c r="S454" s="94" t="s">
        <v>205</v>
      </c>
      <c r="T454" s="4" t="s">
        <v>74</v>
      </c>
      <c r="U454" s="4" t="s">
        <v>75</v>
      </c>
      <c r="V454" s="48"/>
      <c r="W454" s="48" t="s">
        <v>214</v>
      </c>
      <c r="X454" s="48" t="s">
        <v>214</v>
      </c>
      <c r="Y454" s="48" t="s">
        <v>214</v>
      </c>
      <c r="Z454" s="4" t="s">
        <v>214</v>
      </c>
      <c r="AA454" s="55" t="s">
        <v>214</v>
      </c>
      <c r="AB454" s="39">
        <v>20098</v>
      </c>
      <c r="AC454" s="66" t="s">
        <v>6764</v>
      </c>
      <c r="AD454" s="67" t="str">
        <f t="shared" ref="AD454:AD456" si="343">HYPERLINK("https://csc.edu/academics/","Link")</f>
        <v>Link</v>
      </c>
      <c r="AE454" s="42">
        <v>2334</v>
      </c>
      <c r="AF454" s="55"/>
      <c r="AG454" s="48"/>
      <c r="AH454" s="56">
        <v>180948</v>
      </c>
    </row>
    <row r="455" spans="1:38" ht="13" x14ac:dyDescent="0.15">
      <c r="A455" s="57" t="s">
        <v>2071</v>
      </c>
      <c r="B455" s="31" t="s">
        <v>4734</v>
      </c>
      <c r="C455" s="7" t="s">
        <v>41</v>
      </c>
      <c r="D455" s="7" t="s">
        <v>6772</v>
      </c>
      <c r="E455" s="44">
        <v>5</v>
      </c>
      <c r="F455" s="7"/>
      <c r="G455" s="7"/>
      <c r="H455" s="7" t="s">
        <v>6750</v>
      </c>
      <c r="I455" s="7" t="s">
        <v>860</v>
      </c>
      <c r="J455" s="7" t="s">
        <v>6775</v>
      </c>
      <c r="K455" s="7" t="s">
        <v>55</v>
      </c>
      <c r="L455" s="7" t="s">
        <v>6777</v>
      </c>
      <c r="M455" s="7"/>
      <c r="N455" s="45" t="str">
        <f t="shared" si="341"/>
        <v>@ChadronState_SB</v>
      </c>
      <c r="O455" s="74" t="str">
        <f t="shared" si="342"/>
        <v>Questionnaire</v>
      </c>
      <c r="P455" s="48" t="s">
        <v>6764</v>
      </c>
      <c r="Q455" s="60" t="s">
        <v>3105</v>
      </c>
      <c r="R455" s="6" t="s">
        <v>6767</v>
      </c>
      <c r="S455" s="94" t="s">
        <v>205</v>
      </c>
      <c r="T455" s="4" t="s">
        <v>74</v>
      </c>
      <c r="U455" s="4" t="s">
        <v>75</v>
      </c>
      <c r="V455" s="48"/>
      <c r="W455" s="48" t="s">
        <v>214</v>
      </c>
      <c r="X455" s="48" t="s">
        <v>214</v>
      </c>
      <c r="Y455" s="48" t="s">
        <v>214</v>
      </c>
      <c r="Z455" s="4" t="s">
        <v>214</v>
      </c>
      <c r="AA455" s="55" t="s">
        <v>214</v>
      </c>
      <c r="AB455" s="39">
        <v>20098</v>
      </c>
      <c r="AC455" s="66" t="s">
        <v>6764</v>
      </c>
      <c r="AD455" s="67" t="str">
        <f t="shared" si="343"/>
        <v>Link</v>
      </c>
      <c r="AE455" s="42">
        <v>2334</v>
      </c>
      <c r="AF455" s="55"/>
      <c r="AG455" s="48"/>
      <c r="AH455" s="56">
        <v>180948</v>
      </c>
    </row>
    <row r="456" spans="1:38" ht="13" x14ac:dyDescent="0.15">
      <c r="A456" s="57" t="s">
        <v>2071</v>
      </c>
      <c r="B456" s="31" t="s">
        <v>4734</v>
      </c>
      <c r="C456" s="7" t="s">
        <v>41</v>
      </c>
      <c r="D456" s="7" t="s">
        <v>6782</v>
      </c>
      <c r="E456" s="44">
        <v>5</v>
      </c>
      <c r="F456" s="7"/>
      <c r="G456" s="7"/>
      <c r="H456" s="7" t="s">
        <v>6750</v>
      </c>
      <c r="I456" s="7" t="s">
        <v>222</v>
      </c>
      <c r="J456" s="7" t="s">
        <v>6784</v>
      </c>
      <c r="K456" s="7" t="s">
        <v>55</v>
      </c>
      <c r="L456" s="7" t="s">
        <v>6785</v>
      </c>
      <c r="M456" s="7"/>
      <c r="N456" s="45" t="str">
        <f t="shared" si="341"/>
        <v>@ChadronState_SB</v>
      </c>
      <c r="O456" s="74" t="str">
        <f t="shared" si="342"/>
        <v>Questionnaire</v>
      </c>
      <c r="P456" s="48" t="s">
        <v>6764</v>
      </c>
      <c r="Q456" s="60" t="s">
        <v>3105</v>
      </c>
      <c r="R456" s="6" t="s">
        <v>6767</v>
      </c>
      <c r="S456" s="94" t="s">
        <v>205</v>
      </c>
      <c r="T456" s="4" t="s">
        <v>74</v>
      </c>
      <c r="U456" s="4" t="s">
        <v>75</v>
      </c>
      <c r="V456" s="48"/>
      <c r="W456" s="48" t="s">
        <v>214</v>
      </c>
      <c r="X456" s="48" t="s">
        <v>214</v>
      </c>
      <c r="Y456" s="48" t="s">
        <v>214</v>
      </c>
      <c r="Z456" s="4" t="s">
        <v>214</v>
      </c>
      <c r="AA456" s="55" t="s">
        <v>214</v>
      </c>
      <c r="AB456" s="39">
        <v>20098</v>
      </c>
      <c r="AC456" s="66" t="s">
        <v>6764</v>
      </c>
      <c r="AD456" s="67" t="str">
        <f t="shared" si="343"/>
        <v>Link</v>
      </c>
      <c r="AE456" s="42">
        <v>2334</v>
      </c>
      <c r="AF456" s="55"/>
      <c r="AG456" s="48"/>
      <c r="AH456" s="56">
        <v>180948</v>
      </c>
    </row>
    <row r="457" spans="1:38" ht="15" x14ac:dyDescent="0.2">
      <c r="A457" s="57" t="s">
        <v>4757</v>
      </c>
      <c r="B457" s="31" t="s">
        <v>4734</v>
      </c>
      <c r="C457" s="7" t="s">
        <v>41</v>
      </c>
      <c r="D457" s="7" t="s">
        <v>6791</v>
      </c>
      <c r="E457" s="44">
        <v>5</v>
      </c>
      <c r="F457" s="7"/>
      <c r="G457" s="7"/>
      <c r="H457" s="7" t="s">
        <v>6794</v>
      </c>
      <c r="I457" s="7" t="s">
        <v>234</v>
      </c>
      <c r="J457" s="7" t="s">
        <v>6796</v>
      </c>
      <c r="K457" s="7" t="s">
        <v>48</v>
      </c>
      <c r="L457" s="7" t="s">
        <v>6798</v>
      </c>
      <c r="M457" s="7" t="s">
        <v>6799</v>
      </c>
      <c r="N457" s="45" t="str">
        <f t="shared" ref="N457:N458" si="344">HYPERLINK("twitter.com/UNKSoftball","@UNKSoftball")</f>
        <v>@UNKSoftball</v>
      </c>
      <c r="O457" s="114" t="str">
        <f t="shared" ref="O457:O458" si="345">HYPERLINK("https://lopers.com/sb_output.aspx?form=4","Questionnaire")</f>
        <v>Questionnaire</v>
      </c>
      <c r="P457" s="48" t="s">
        <v>6810</v>
      </c>
      <c r="Q457" s="60" t="s">
        <v>3105</v>
      </c>
      <c r="R457" s="48" t="s">
        <v>6812</v>
      </c>
      <c r="S457" s="48" t="s">
        <v>468</v>
      </c>
      <c r="T457" s="49" t="s">
        <v>74</v>
      </c>
      <c r="U457" s="48" t="s">
        <v>75</v>
      </c>
      <c r="V457" s="49"/>
      <c r="W457" s="65">
        <v>3.42</v>
      </c>
      <c r="X457" s="49" t="s">
        <v>6814</v>
      </c>
      <c r="Y457" s="49" t="s">
        <v>253</v>
      </c>
      <c r="Z457" s="49" t="s">
        <v>746</v>
      </c>
      <c r="AA457" s="65">
        <v>0.85</v>
      </c>
      <c r="AB457" s="48" t="s">
        <v>6817</v>
      </c>
      <c r="AC457" s="52" t="s">
        <v>6810</v>
      </c>
      <c r="AD457" s="53" t="str">
        <f t="shared" ref="AD457:AD458" si="346">HYPERLINK("http://www.unk.edu/academics/list-of-majors.php","Link")</f>
        <v>Link</v>
      </c>
      <c r="AE457" s="54">
        <v>5056</v>
      </c>
      <c r="AF457" s="55"/>
      <c r="AG457" s="55"/>
      <c r="AH457" s="56">
        <v>181215</v>
      </c>
    </row>
    <row r="458" spans="1:38" ht="15" x14ac:dyDescent="0.2">
      <c r="A458" s="57" t="s">
        <v>4757</v>
      </c>
      <c r="B458" s="110" t="s">
        <v>4734</v>
      </c>
      <c r="C458" s="7" t="s">
        <v>41</v>
      </c>
      <c r="D458" s="7" t="s">
        <v>6821</v>
      </c>
      <c r="E458" s="44">
        <v>5</v>
      </c>
      <c r="F458" s="7" t="s">
        <v>116</v>
      </c>
      <c r="G458" s="7"/>
      <c r="H458" s="7" t="s">
        <v>6794</v>
      </c>
      <c r="I458" s="7" t="s">
        <v>150</v>
      </c>
      <c r="J458" s="7" t="s">
        <v>6825</v>
      </c>
      <c r="K458" s="7" t="s">
        <v>55</v>
      </c>
      <c r="L458" s="7"/>
      <c r="M458" s="7"/>
      <c r="N458" s="45" t="str">
        <f t="shared" si="344"/>
        <v>@UNKSoftball</v>
      </c>
      <c r="O458" s="114" t="str">
        <f t="shared" si="345"/>
        <v>Questionnaire</v>
      </c>
      <c r="P458" s="48" t="s">
        <v>6810</v>
      </c>
      <c r="Q458" s="60" t="s">
        <v>3105</v>
      </c>
      <c r="R458" s="48" t="s">
        <v>6812</v>
      </c>
      <c r="S458" s="48" t="s">
        <v>468</v>
      </c>
      <c r="T458" s="49" t="s">
        <v>74</v>
      </c>
      <c r="U458" s="48" t="s">
        <v>75</v>
      </c>
      <c r="V458" s="49"/>
      <c r="W458" s="65">
        <v>3.42</v>
      </c>
      <c r="X458" s="49" t="s">
        <v>6814</v>
      </c>
      <c r="Y458" s="49" t="s">
        <v>253</v>
      </c>
      <c r="Z458" s="49" t="s">
        <v>746</v>
      </c>
      <c r="AA458" s="65">
        <v>0.85</v>
      </c>
      <c r="AB458" s="48" t="s">
        <v>6817</v>
      </c>
      <c r="AC458" s="52" t="s">
        <v>6810</v>
      </c>
      <c r="AD458" s="53" t="str">
        <f t="shared" si="346"/>
        <v>Link</v>
      </c>
      <c r="AE458" s="54">
        <v>5056</v>
      </c>
      <c r="AF458" s="55"/>
      <c r="AG458" s="55"/>
      <c r="AH458" s="56">
        <v>181215</v>
      </c>
    </row>
    <row r="459" spans="1:38" ht="13" x14ac:dyDescent="0.15">
      <c r="A459" s="57" t="s">
        <v>4718</v>
      </c>
      <c r="B459" s="31" t="s">
        <v>4734</v>
      </c>
      <c r="C459" s="7" t="s">
        <v>41</v>
      </c>
      <c r="D459" s="7" t="s">
        <v>6829</v>
      </c>
      <c r="E459" s="44">
        <v>5</v>
      </c>
      <c r="F459" s="7"/>
      <c r="G459" s="7"/>
      <c r="H459" s="7" t="s">
        <v>6830</v>
      </c>
      <c r="I459" s="7" t="s">
        <v>1918</v>
      </c>
      <c r="J459" s="7" t="s">
        <v>943</v>
      </c>
      <c r="K459" s="7" t="s">
        <v>48</v>
      </c>
      <c r="L459" s="7" t="s">
        <v>6832</v>
      </c>
      <c r="M459" s="7" t="s">
        <v>6833</v>
      </c>
      <c r="N459" s="45" t="str">
        <f t="shared" ref="N459:N461" si="347">HYPERLINK("twitter.com/wscwildcatsb","@wscwildcatsb")</f>
        <v>@wscwildcatsb</v>
      </c>
      <c r="O459" s="45" t="str">
        <f t="shared" ref="O459:O461" si="348">HYPERLINK("https://www.wsc.edu/forms/form/185/en/athletic_prospect_questionnaire_softball","Questionnaire")</f>
        <v>Questionnaire</v>
      </c>
      <c r="P459" s="48" t="s">
        <v>6839</v>
      </c>
      <c r="Q459" s="47" t="s">
        <v>3105</v>
      </c>
      <c r="R459" s="48" t="s">
        <v>6840</v>
      </c>
      <c r="S459" s="60" t="s">
        <v>205</v>
      </c>
      <c r="T459" s="49" t="s">
        <v>74</v>
      </c>
      <c r="U459" s="49" t="s">
        <v>75</v>
      </c>
      <c r="V459" s="48"/>
      <c r="W459" s="71">
        <v>3.22</v>
      </c>
      <c r="X459" s="49" t="s">
        <v>2511</v>
      </c>
      <c r="Y459" s="49" t="s">
        <v>6844</v>
      </c>
      <c r="Z459" s="49" t="s">
        <v>2190</v>
      </c>
      <c r="AA459" s="61">
        <v>0.81</v>
      </c>
      <c r="AB459" s="48" t="s">
        <v>6848</v>
      </c>
      <c r="AC459" s="62" t="s">
        <v>6839</v>
      </c>
      <c r="AD459" s="53" t="str">
        <f t="shared" ref="AD459:AD461" si="349">HYPERLINK("https://www.wsc.edu/programs","Link")</f>
        <v>Link</v>
      </c>
      <c r="AE459" s="54">
        <v>17220</v>
      </c>
      <c r="AF459" s="55"/>
      <c r="AG459" s="48"/>
      <c r="AH459" s="56">
        <v>181783</v>
      </c>
    </row>
    <row r="460" spans="1:38" ht="13" x14ac:dyDescent="0.15">
      <c r="A460" s="57" t="s">
        <v>4718</v>
      </c>
      <c r="B460" s="31" t="s">
        <v>4734</v>
      </c>
      <c r="C460" s="7" t="s">
        <v>41</v>
      </c>
      <c r="D460" s="7" t="s">
        <v>6851</v>
      </c>
      <c r="E460" s="44">
        <v>5</v>
      </c>
      <c r="F460" s="7"/>
      <c r="G460" s="7"/>
      <c r="H460" s="7" t="s">
        <v>6830</v>
      </c>
      <c r="I460" s="7" t="s">
        <v>6852</v>
      </c>
      <c r="J460" s="7" t="s">
        <v>223</v>
      </c>
      <c r="K460" s="7" t="s">
        <v>55</v>
      </c>
      <c r="L460" s="7" t="s">
        <v>6853</v>
      </c>
      <c r="M460" s="7" t="s">
        <v>6854</v>
      </c>
      <c r="N460" s="45" t="str">
        <f t="shared" si="347"/>
        <v>@wscwildcatsb</v>
      </c>
      <c r="O460" s="45" t="str">
        <f t="shared" si="348"/>
        <v>Questionnaire</v>
      </c>
      <c r="P460" s="48" t="s">
        <v>6839</v>
      </c>
      <c r="Q460" s="47" t="s">
        <v>3105</v>
      </c>
      <c r="R460" s="48" t="s">
        <v>6840</v>
      </c>
      <c r="S460" s="60" t="s">
        <v>205</v>
      </c>
      <c r="T460" s="49" t="s">
        <v>74</v>
      </c>
      <c r="U460" s="49" t="s">
        <v>75</v>
      </c>
      <c r="V460" s="48"/>
      <c r="W460" s="71">
        <v>3.22</v>
      </c>
      <c r="X460" s="49" t="s">
        <v>2511</v>
      </c>
      <c r="Y460" s="49" t="s">
        <v>6844</v>
      </c>
      <c r="Z460" s="49" t="s">
        <v>2190</v>
      </c>
      <c r="AA460" s="61">
        <v>0.81</v>
      </c>
      <c r="AB460" s="48" t="s">
        <v>6848</v>
      </c>
      <c r="AC460" s="62" t="s">
        <v>6839</v>
      </c>
      <c r="AD460" s="53" t="str">
        <f t="shared" si="349"/>
        <v>Link</v>
      </c>
      <c r="AE460" s="54">
        <v>17220</v>
      </c>
      <c r="AF460" s="55"/>
      <c r="AG460" s="48"/>
      <c r="AH460" s="56">
        <v>181783</v>
      </c>
    </row>
    <row r="461" spans="1:38" ht="13" x14ac:dyDescent="0.15">
      <c r="A461" s="57" t="s">
        <v>4718</v>
      </c>
      <c r="B461" s="31" t="s">
        <v>4734</v>
      </c>
      <c r="C461" s="7" t="s">
        <v>41</v>
      </c>
      <c r="D461" s="7" t="s">
        <v>6863</v>
      </c>
      <c r="E461" s="44">
        <v>5</v>
      </c>
      <c r="F461" s="7"/>
      <c r="G461" s="7"/>
      <c r="H461" s="7" t="s">
        <v>6830</v>
      </c>
      <c r="I461" s="7" t="s">
        <v>1726</v>
      </c>
      <c r="J461" s="7" t="s">
        <v>323</v>
      </c>
      <c r="K461" s="7" t="s">
        <v>120</v>
      </c>
      <c r="L461" s="7" t="s">
        <v>6870</v>
      </c>
      <c r="M461" s="7"/>
      <c r="N461" s="45" t="str">
        <f t="shared" si="347"/>
        <v>@wscwildcatsb</v>
      </c>
      <c r="O461" s="45" t="str">
        <f t="shared" si="348"/>
        <v>Questionnaire</v>
      </c>
      <c r="P461" s="48" t="s">
        <v>6839</v>
      </c>
      <c r="Q461" s="47" t="s">
        <v>3105</v>
      </c>
      <c r="R461" s="48" t="s">
        <v>6840</v>
      </c>
      <c r="S461" s="60" t="s">
        <v>205</v>
      </c>
      <c r="T461" s="49" t="s">
        <v>74</v>
      </c>
      <c r="U461" s="49" t="s">
        <v>75</v>
      </c>
      <c r="V461" s="48"/>
      <c r="W461" s="71">
        <v>3.22</v>
      </c>
      <c r="X461" s="49" t="s">
        <v>2511</v>
      </c>
      <c r="Y461" s="49" t="s">
        <v>6844</v>
      </c>
      <c r="Z461" s="49" t="s">
        <v>2190</v>
      </c>
      <c r="AA461" s="61">
        <v>0.81</v>
      </c>
      <c r="AB461" s="48" t="s">
        <v>6848</v>
      </c>
      <c r="AC461" s="62" t="s">
        <v>6839</v>
      </c>
      <c r="AD461" s="53" t="str">
        <f t="shared" si="349"/>
        <v>Link</v>
      </c>
      <c r="AE461" s="54">
        <v>17220</v>
      </c>
      <c r="AF461" s="55"/>
      <c r="AG461" s="48"/>
      <c r="AH461" s="56">
        <v>181783</v>
      </c>
    </row>
    <row r="462" spans="1:38" ht="13" x14ac:dyDescent="0.15">
      <c r="A462" s="57" t="s">
        <v>2694</v>
      </c>
      <c r="B462" s="31" t="s">
        <v>6873</v>
      </c>
      <c r="C462" s="7" t="s">
        <v>41</v>
      </c>
      <c r="D462" s="7" t="s">
        <v>6876</v>
      </c>
      <c r="E462" s="44">
        <v>5</v>
      </c>
      <c r="F462" s="7"/>
      <c r="G462" s="7"/>
      <c r="H462" s="7" t="s">
        <v>6879</v>
      </c>
      <c r="I462" s="7" t="s">
        <v>1471</v>
      </c>
      <c r="J462" s="7" t="s">
        <v>6881</v>
      </c>
      <c r="K462" s="7" t="s">
        <v>48</v>
      </c>
      <c r="L462" s="7" t="s">
        <v>6882</v>
      </c>
      <c r="M462" s="7" t="s">
        <v>6884</v>
      </c>
      <c r="N462" s="45" t="str">
        <f t="shared" ref="N462:N463" si="350">HYPERLINK("twitter.com/fpusoftball_","@fpusoftball_")</f>
        <v>@fpusoftball_</v>
      </c>
      <c r="O462" s="45" t="str">
        <f t="shared" ref="O462:O463" si="351">HYPERLINK("https://www.fpuravens.com/sports/sball/sa_questionnaire","Questionnaire")</f>
        <v>Questionnaire</v>
      </c>
      <c r="P462" s="48" t="s">
        <v>6889</v>
      </c>
      <c r="Q462" s="47" t="s">
        <v>6890</v>
      </c>
      <c r="R462" s="48" t="s">
        <v>6891</v>
      </c>
      <c r="S462" s="60" t="s">
        <v>205</v>
      </c>
      <c r="T462" s="73" t="s">
        <v>63</v>
      </c>
      <c r="U462" s="49" t="s">
        <v>75</v>
      </c>
      <c r="V462" s="48"/>
      <c r="W462" s="71">
        <v>2.77</v>
      </c>
      <c r="X462" s="49" t="s">
        <v>253</v>
      </c>
      <c r="Y462" s="49" t="s">
        <v>1145</v>
      </c>
      <c r="Z462" s="115" t="s">
        <v>3544</v>
      </c>
      <c r="AA462" s="61">
        <v>0.81</v>
      </c>
      <c r="AB462" s="71">
        <v>50050</v>
      </c>
      <c r="AC462" s="62" t="s">
        <v>6889</v>
      </c>
      <c r="AD462" s="53" t="str">
        <f t="shared" ref="AD462:AD463" si="352">HYPERLINK("https://www.franklinpierce.edu/academics/ugrad/index.htm","Link")</f>
        <v>Link</v>
      </c>
      <c r="AE462" s="54">
        <v>1763</v>
      </c>
      <c r="AF462" s="55"/>
      <c r="AG462" s="48"/>
      <c r="AH462" s="56">
        <v>182795</v>
      </c>
    </row>
    <row r="463" spans="1:38" ht="13" x14ac:dyDescent="0.15">
      <c r="A463" s="57" t="s">
        <v>2694</v>
      </c>
      <c r="B463" s="110" t="s">
        <v>6873</v>
      </c>
      <c r="C463" s="7" t="s">
        <v>41</v>
      </c>
      <c r="D463" s="7" t="s">
        <v>6897</v>
      </c>
      <c r="E463" s="44">
        <v>5</v>
      </c>
      <c r="F463" s="7" t="s">
        <v>116</v>
      </c>
      <c r="G463" s="7"/>
      <c r="H463" s="7" t="s">
        <v>6879</v>
      </c>
      <c r="I463" s="7" t="s">
        <v>3503</v>
      </c>
      <c r="J463" s="7" t="s">
        <v>6898</v>
      </c>
      <c r="K463" s="7" t="s">
        <v>55</v>
      </c>
      <c r="L463" s="7" t="s">
        <v>6899</v>
      </c>
      <c r="M463" s="7"/>
      <c r="N463" s="45" t="str">
        <f t="shared" si="350"/>
        <v>@fpusoftball_</v>
      </c>
      <c r="O463" s="45" t="str">
        <f t="shared" si="351"/>
        <v>Questionnaire</v>
      </c>
      <c r="P463" s="48" t="s">
        <v>6889</v>
      </c>
      <c r="Q463" s="47" t="s">
        <v>6890</v>
      </c>
      <c r="R463" s="48" t="s">
        <v>6891</v>
      </c>
      <c r="S463" s="60" t="s">
        <v>205</v>
      </c>
      <c r="T463" s="73" t="s">
        <v>63</v>
      </c>
      <c r="U463" s="49" t="s">
        <v>75</v>
      </c>
      <c r="V463" s="48"/>
      <c r="W463" s="71">
        <v>2.77</v>
      </c>
      <c r="X463" s="49" t="s">
        <v>253</v>
      </c>
      <c r="Y463" s="49" t="s">
        <v>1145</v>
      </c>
      <c r="Z463" s="115" t="s">
        <v>3544</v>
      </c>
      <c r="AA463" s="61">
        <v>0.81</v>
      </c>
      <c r="AB463" s="71">
        <v>50050</v>
      </c>
      <c r="AC463" s="62" t="s">
        <v>6889</v>
      </c>
      <c r="AD463" s="53" t="str">
        <f t="shared" si="352"/>
        <v>Link</v>
      </c>
      <c r="AE463" s="54">
        <v>1763</v>
      </c>
      <c r="AF463" s="55"/>
      <c r="AG463" s="48"/>
      <c r="AH463" s="56">
        <v>182795</v>
      </c>
    </row>
    <row r="464" spans="1:38" ht="13" x14ac:dyDescent="0.15">
      <c r="A464" s="57" t="s">
        <v>2694</v>
      </c>
      <c r="B464" s="31" t="s">
        <v>6873</v>
      </c>
      <c r="C464" s="7" t="s">
        <v>41</v>
      </c>
      <c r="D464" s="7" t="s">
        <v>6904</v>
      </c>
      <c r="E464" s="44">
        <v>5</v>
      </c>
      <c r="F464" s="7"/>
      <c r="G464" s="7"/>
      <c r="H464" s="7" t="s">
        <v>6905</v>
      </c>
      <c r="I464" s="7" t="s">
        <v>4118</v>
      </c>
      <c r="J464" s="7" t="s">
        <v>6906</v>
      </c>
      <c r="K464" s="7" t="s">
        <v>55</v>
      </c>
      <c r="L464" s="7" t="s">
        <v>6907</v>
      </c>
      <c r="M464" s="7" t="s">
        <v>6909</v>
      </c>
      <c r="N464" s="45" t="str">
        <f t="shared" ref="N464:N467" si="353">HYPERLINK("twitter.com/snhu_softball","@snhu_softball")</f>
        <v>@snhu_softball</v>
      </c>
      <c r="O464" s="45" t="str">
        <f t="shared" ref="O464:O467" si="354">HYPERLINK("https://www.snhupenmen.com/information/PSA/questionnaires/index","Questionnaire")</f>
        <v>Questionnaire</v>
      </c>
      <c r="P464" s="48" t="s">
        <v>6916</v>
      </c>
      <c r="Q464" s="47" t="s">
        <v>6890</v>
      </c>
      <c r="R464" s="48" t="s">
        <v>6917</v>
      </c>
      <c r="S464" s="60" t="s">
        <v>205</v>
      </c>
      <c r="T464" s="73" t="s">
        <v>63</v>
      </c>
      <c r="U464" s="49" t="s">
        <v>75</v>
      </c>
      <c r="V464" s="48"/>
      <c r="W464" s="71">
        <v>3.06</v>
      </c>
      <c r="X464" s="49" t="s">
        <v>1145</v>
      </c>
      <c r="Y464" s="49" t="s">
        <v>396</v>
      </c>
      <c r="Z464" s="49" t="s">
        <v>746</v>
      </c>
      <c r="AA464" s="51">
        <v>0.84199999999999997</v>
      </c>
      <c r="AB464" s="71">
        <v>49982</v>
      </c>
      <c r="AC464" s="62" t="s">
        <v>6916</v>
      </c>
      <c r="AD464" s="53" t="str">
        <f t="shared" ref="AD464:AD467" si="355">HYPERLINK("https://www.snhu.edu/campus-majors/undergraduate","Link")</f>
        <v>Link</v>
      </c>
      <c r="AE464" s="54">
        <v>54150</v>
      </c>
      <c r="AF464" s="55"/>
      <c r="AG464" s="48"/>
      <c r="AH464" s="56">
        <v>183026</v>
      </c>
    </row>
    <row r="465" spans="1:34" ht="13" x14ac:dyDescent="0.15">
      <c r="A465" s="57" t="s">
        <v>2694</v>
      </c>
      <c r="B465" s="31" t="s">
        <v>6873</v>
      </c>
      <c r="C465" s="7" t="s">
        <v>41</v>
      </c>
      <c r="D465" s="7" t="s">
        <v>6923</v>
      </c>
      <c r="E465" s="44">
        <v>5</v>
      </c>
      <c r="F465" s="7"/>
      <c r="G465" s="7"/>
      <c r="H465" s="7" t="s">
        <v>6905</v>
      </c>
      <c r="I465" s="7" t="s">
        <v>234</v>
      </c>
      <c r="J465" s="7" t="s">
        <v>6924</v>
      </c>
      <c r="K465" s="7" t="s">
        <v>55</v>
      </c>
      <c r="L465" s="7" t="s">
        <v>6925</v>
      </c>
      <c r="M465" s="7" t="s">
        <v>6909</v>
      </c>
      <c r="N465" s="45" t="str">
        <f t="shared" si="353"/>
        <v>@snhu_softball</v>
      </c>
      <c r="O465" s="45" t="str">
        <f t="shared" si="354"/>
        <v>Questionnaire</v>
      </c>
      <c r="P465" s="48" t="s">
        <v>6916</v>
      </c>
      <c r="Q465" s="47" t="s">
        <v>6890</v>
      </c>
      <c r="R465" s="48" t="s">
        <v>6917</v>
      </c>
      <c r="S465" s="60" t="s">
        <v>205</v>
      </c>
      <c r="T465" s="73" t="s">
        <v>63</v>
      </c>
      <c r="U465" s="49" t="s">
        <v>75</v>
      </c>
      <c r="V465" s="48"/>
      <c r="W465" s="71">
        <v>3.06</v>
      </c>
      <c r="X465" s="49" t="s">
        <v>1145</v>
      </c>
      <c r="Y465" s="49" t="s">
        <v>396</v>
      </c>
      <c r="Z465" s="49" t="s">
        <v>746</v>
      </c>
      <c r="AA465" s="51">
        <v>0.84199999999999997</v>
      </c>
      <c r="AB465" s="71">
        <v>49982</v>
      </c>
      <c r="AC465" s="62" t="s">
        <v>6916</v>
      </c>
      <c r="AD465" s="53" t="str">
        <f t="shared" si="355"/>
        <v>Link</v>
      </c>
      <c r="AE465" s="54">
        <v>54150</v>
      </c>
      <c r="AF465" s="55"/>
      <c r="AG465" s="48"/>
      <c r="AH465" s="56">
        <v>183026</v>
      </c>
    </row>
    <row r="466" spans="1:34" ht="13" x14ac:dyDescent="0.15">
      <c r="A466" s="57" t="s">
        <v>2694</v>
      </c>
      <c r="B466" s="31" t="s">
        <v>6873</v>
      </c>
      <c r="C466" s="7" t="s">
        <v>41</v>
      </c>
      <c r="D466" s="7" t="s">
        <v>6931</v>
      </c>
      <c r="E466" s="44">
        <v>5</v>
      </c>
      <c r="F466" s="7"/>
      <c r="G466" s="7"/>
      <c r="H466" s="7" t="s">
        <v>6905</v>
      </c>
      <c r="I466" s="7" t="s">
        <v>539</v>
      </c>
      <c r="J466" s="7" t="s">
        <v>6934</v>
      </c>
      <c r="K466" s="7" t="s">
        <v>55</v>
      </c>
      <c r="L466" s="7" t="s">
        <v>6936</v>
      </c>
      <c r="M466" s="7" t="s">
        <v>6909</v>
      </c>
      <c r="N466" s="45" t="str">
        <f t="shared" si="353"/>
        <v>@snhu_softball</v>
      </c>
      <c r="O466" s="45" t="str">
        <f t="shared" si="354"/>
        <v>Questionnaire</v>
      </c>
      <c r="P466" s="48" t="s">
        <v>6916</v>
      </c>
      <c r="Q466" s="47" t="s">
        <v>6890</v>
      </c>
      <c r="R466" s="48" t="s">
        <v>6917</v>
      </c>
      <c r="S466" s="60" t="s">
        <v>205</v>
      </c>
      <c r="T466" s="73" t="s">
        <v>63</v>
      </c>
      <c r="U466" s="49" t="s">
        <v>75</v>
      </c>
      <c r="V466" s="48"/>
      <c r="W466" s="71">
        <v>3.06</v>
      </c>
      <c r="X466" s="49" t="s">
        <v>1145</v>
      </c>
      <c r="Y466" s="49" t="s">
        <v>396</v>
      </c>
      <c r="Z466" s="49" t="s">
        <v>746</v>
      </c>
      <c r="AA466" s="51">
        <v>0.84199999999999997</v>
      </c>
      <c r="AB466" s="71">
        <v>49982</v>
      </c>
      <c r="AC466" s="62" t="s">
        <v>6916</v>
      </c>
      <c r="AD466" s="53" t="str">
        <f t="shared" si="355"/>
        <v>Link</v>
      </c>
      <c r="AE466" s="54">
        <v>54150</v>
      </c>
      <c r="AF466" s="55"/>
      <c r="AG466" s="48"/>
      <c r="AH466" s="56">
        <v>183026</v>
      </c>
    </row>
    <row r="467" spans="1:34" ht="13" x14ac:dyDescent="0.15">
      <c r="A467" s="57" t="s">
        <v>2694</v>
      </c>
      <c r="B467" s="31" t="s">
        <v>6873</v>
      </c>
      <c r="C467" s="7" t="s">
        <v>41</v>
      </c>
      <c r="D467" s="7" t="s">
        <v>6945</v>
      </c>
      <c r="E467" s="44">
        <v>5</v>
      </c>
      <c r="F467" s="7"/>
      <c r="G467" s="7"/>
      <c r="H467" s="7" t="s">
        <v>6905</v>
      </c>
      <c r="I467" s="7" t="s">
        <v>6947</v>
      </c>
      <c r="J467" s="7" t="s">
        <v>6948</v>
      </c>
      <c r="K467" s="7" t="s">
        <v>48</v>
      </c>
      <c r="L467" s="7" t="s">
        <v>6950</v>
      </c>
      <c r="M467" s="7" t="s">
        <v>6909</v>
      </c>
      <c r="N467" s="45" t="str">
        <f t="shared" si="353"/>
        <v>@snhu_softball</v>
      </c>
      <c r="O467" s="45" t="str">
        <f t="shared" si="354"/>
        <v>Questionnaire</v>
      </c>
      <c r="P467" s="48" t="s">
        <v>6916</v>
      </c>
      <c r="Q467" s="47" t="s">
        <v>6890</v>
      </c>
      <c r="R467" s="48" t="s">
        <v>6917</v>
      </c>
      <c r="S467" s="60" t="s">
        <v>205</v>
      </c>
      <c r="T467" s="73" t="s">
        <v>63</v>
      </c>
      <c r="U467" s="49" t="s">
        <v>75</v>
      </c>
      <c r="V467" s="48"/>
      <c r="W467" s="71">
        <v>3.06</v>
      </c>
      <c r="X467" s="49" t="s">
        <v>1145</v>
      </c>
      <c r="Y467" s="49" t="s">
        <v>396</v>
      </c>
      <c r="Z467" s="49" t="s">
        <v>746</v>
      </c>
      <c r="AA467" s="51">
        <v>0.84199999999999997</v>
      </c>
      <c r="AB467" s="71">
        <v>49982</v>
      </c>
      <c r="AC467" s="62" t="s">
        <v>6916</v>
      </c>
      <c r="AD467" s="53" t="str">
        <f t="shared" si="355"/>
        <v>Link</v>
      </c>
      <c r="AE467" s="54">
        <v>54150</v>
      </c>
      <c r="AF467" s="55"/>
      <c r="AG467" s="48"/>
      <c r="AH467" s="56">
        <v>183026</v>
      </c>
    </row>
    <row r="468" spans="1:34" ht="15" x14ac:dyDescent="0.2">
      <c r="A468" s="57" t="s">
        <v>2694</v>
      </c>
      <c r="B468" s="110" t="s">
        <v>6873</v>
      </c>
      <c r="C468" s="7" t="s">
        <v>41</v>
      </c>
      <c r="D468" s="7" t="s">
        <v>6956</v>
      </c>
      <c r="E468" s="44">
        <v>5</v>
      </c>
      <c r="F468" s="7"/>
      <c r="G468" s="7"/>
      <c r="H468" s="7" t="s">
        <v>6957</v>
      </c>
      <c r="I468" s="7" t="s">
        <v>3201</v>
      </c>
      <c r="J468" s="7" t="s">
        <v>6958</v>
      </c>
      <c r="K468" s="7" t="s">
        <v>48</v>
      </c>
      <c r="L468" s="7" t="s">
        <v>6959</v>
      </c>
      <c r="M468" s="7" t="s">
        <v>6960</v>
      </c>
      <c r="N468" s="45" t="str">
        <f t="shared" ref="N468:N471" si="356">HYPERLINK("twitter.com/sacsoftball","@sacsoftball")</f>
        <v>@sacsoftball</v>
      </c>
      <c r="O468" s="45" t="str">
        <f t="shared" ref="O468:O471" si="357">HYPERLINK("https://www.saintanselmhawks.com/sports/sball/recruitForm","Questionnaire")</f>
        <v>Questionnaire</v>
      </c>
      <c r="P468" s="48" t="s">
        <v>6969</v>
      </c>
      <c r="Q468" s="47" t="s">
        <v>6890</v>
      </c>
      <c r="R468" s="48" t="s">
        <v>2768</v>
      </c>
      <c r="S468" s="48" t="s">
        <v>238</v>
      </c>
      <c r="T468" s="49" t="s">
        <v>63</v>
      </c>
      <c r="U468" s="49" t="s">
        <v>343</v>
      </c>
      <c r="V468" s="48"/>
      <c r="W468" s="71">
        <v>3.26</v>
      </c>
      <c r="X468" s="49" t="s">
        <v>2228</v>
      </c>
      <c r="Y468" s="49" t="s">
        <v>1406</v>
      </c>
      <c r="Z468" s="115" t="s">
        <v>78</v>
      </c>
      <c r="AA468" s="80">
        <v>0.76</v>
      </c>
      <c r="AB468" s="71">
        <v>55270</v>
      </c>
      <c r="AC468" s="92" t="s">
        <v>6969</v>
      </c>
      <c r="AD468" s="53" t="str">
        <f t="shared" ref="AD468:AD471" si="358">HYPERLINK("https://www.anselm.edu/majors-minors","Link")</f>
        <v>Link</v>
      </c>
      <c r="AE468" s="54">
        <v>1930</v>
      </c>
      <c r="AF468" s="55"/>
      <c r="AG468" s="71">
        <v>106</v>
      </c>
      <c r="AH468" s="56">
        <v>183239</v>
      </c>
    </row>
    <row r="469" spans="1:34" ht="15" x14ac:dyDescent="0.2">
      <c r="A469" s="57" t="s">
        <v>2694</v>
      </c>
      <c r="B469" s="110" t="s">
        <v>6873</v>
      </c>
      <c r="C469" s="7" t="s">
        <v>41</v>
      </c>
      <c r="D469" s="7" t="s">
        <v>6980</v>
      </c>
      <c r="E469" s="44">
        <v>5</v>
      </c>
      <c r="F469" s="7"/>
      <c r="G469" s="7"/>
      <c r="H469" s="7" t="s">
        <v>6957</v>
      </c>
      <c r="I469" s="7" t="s">
        <v>201</v>
      </c>
      <c r="J469" s="7" t="s">
        <v>6981</v>
      </c>
      <c r="K469" s="7" t="s">
        <v>139</v>
      </c>
      <c r="L469" s="7"/>
      <c r="M469" s="7"/>
      <c r="N469" s="45" t="str">
        <f t="shared" si="356"/>
        <v>@sacsoftball</v>
      </c>
      <c r="O469" s="45" t="str">
        <f t="shared" si="357"/>
        <v>Questionnaire</v>
      </c>
      <c r="P469" s="48" t="s">
        <v>6969</v>
      </c>
      <c r="Q469" s="47" t="s">
        <v>6890</v>
      </c>
      <c r="R469" s="48" t="s">
        <v>2768</v>
      </c>
      <c r="S469" s="48" t="s">
        <v>238</v>
      </c>
      <c r="T469" s="49" t="s">
        <v>63</v>
      </c>
      <c r="U469" s="49" t="s">
        <v>343</v>
      </c>
      <c r="V469" s="48"/>
      <c r="W469" s="71">
        <v>3.26</v>
      </c>
      <c r="X469" s="49" t="s">
        <v>2228</v>
      </c>
      <c r="Y469" s="49" t="s">
        <v>1406</v>
      </c>
      <c r="Z469" s="115" t="s">
        <v>78</v>
      </c>
      <c r="AA469" s="80">
        <v>0.76</v>
      </c>
      <c r="AB469" s="71">
        <v>55270</v>
      </c>
      <c r="AC469" s="92" t="s">
        <v>6969</v>
      </c>
      <c r="AD469" s="53" t="str">
        <f t="shared" si="358"/>
        <v>Link</v>
      </c>
      <c r="AE469" s="54">
        <v>1930</v>
      </c>
      <c r="AF469" s="55"/>
      <c r="AG469" s="71">
        <v>106</v>
      </c>
      <c r="AH469" s="56">
        <v>183239</v>
      </c>
    </row>
    <row r="470" spans="1:34" ht="15" x14ac:dyDescent="0.2">
      <c r="A470" s="57" t="s">
        <v>2694</v>
      </c>
      <c r="B470" s="110" t="s">
        <v>6873</v>
      </c>
      <c r="C470" s="7" t="s">
        <v>41</v>
      </c>
      <c r="D470" s="7" t="s">
        <v>6984</v>
      </c>
      <c r="E470" s="44">
        <v>5</v>
      </c>
      <c r="F470" s="7"/>
      <c r="G470" s="7"/>
      <c r="H470" s="7" t="s">
        <v>6957</v>
      </c>
      <c r="I470" s="7" t="s">
        <v>6985</v>
      </c>
      <c r="J470" s="7" t="s">
        <v>6986</v>
      </c>
      <c r="K470" s="7" t="s">
        <v>139</v>
      </c>
      <c r="L470" s="7"/>
      <c r="M470" s="7"/>
      <c r="N470" s="45" t="str">
        <f t="shared" si="356"/>
        <v>@sacsoftball</v>
      </c>
      <c r="O470" s="45" t="str">
        <f t="shared" si="357"/>
        <v>Questionnaire</v>
      </c>
      <c r="P470" s="48" t="s">
        <v>6969</v>
      </c>
      <c r="Q470" s="47" t="s">
        <v>6890</v>
      </c>
      <c r="R470" s="48" t="s">
        <v>2768</v>
      </c>
      <c r="S470" s="48" t="s">
        <v>238</v>
      </c>
      <c r="T470" s="49" t="s">
        <v>63</v>
      </c>
      <c r="U470" s="49" t="s">
        <v>343</v>
      </c>
      <c r="V470" s="48"/>
      <c r="W470" s="71">
        <v>3.26</v>
      </c>
      <c r="X470" s="49" t="s">
        <v>2228</v>
      </c>
      <c r="Y470" s="49" t="s">
        <v>1406</v>
      </c>
      <c r="Z470" s="115" t="s">
        <v>78</v>
      </c>
      <c r="AA470" s="80">
        <v>0.76</v>
      </c>
      <c r="AB470" s="71">
        <v>55270</v>
      </c>
      <c r="AC470" s="92" t="s">
        <v>6969</v>
      </c>
      <c r="AD470" s="53" t="str">
        <f t="shared" si="358"/>
        <v>Link</v>
      </c>
      <c r="AE470" s="54">
        <v>1930</v>
      </c>
      <c r="AF470" s="55"/>
      <c r="AG470" s="71">
        <v>106</v>
      </c>
      <c r="AH470" s="56">
        <v>183239</v>
      </c>
    </row>
    <row r="471" spans="1:34" ht="15" x14ac:dyDescent="0.2">
      <c r="A471" s="57" t="s">
        <v>2694</v>
      </c>
      <c r="B471" s="110" t="s">
        <v>6873</v>
      </c>
      <c r="C471" s="7" t="s">
        <v>41</v>
      </c>
      <c r="D471" s="7" t="s">
        <v>6989</v>
      </c>
      <c r="E471" s="44">
        <v>5</v>
      </c>
      <c r="F471" s="7"/>
      <c r="G471" s="7"/>
      <c r="H471" s="7" t="s">
        <v>6957</v>
      </c>
      <c r="I471" s="7" t="s">
        <v>6990</v>
      </c>
      <c r="J471" s="7" t="s">
        <v>6991</v>
      </c>
      <c r="K471" s="7" t="s">
        <v>55</v>
      </c>
      <c r="L471" s="7" t="s">
        <v>6992</v>
      </c>
      <c r="M471" s="7" t="s">
        <v>6960</v>
      </c>
      <c r="N471" s="45" t="str">
        <f t="shared" si="356"/>
        <v>@sacsoftball</v>
      </c>
      <c r="O471" s="45" t="str">
        <f t="shared" si="357"/>
        <v>Questionnaire</v>
      </c>
      <c r="P471" s="48" t="s">
        <v>6969</v>
      </c>
      <c r="Q471" s="47" t="s">
        <v>6890</v>
      </c>
      <c r="R471" s="48" t="s">
        <v>2768</v>
      </c>
      <c r="S471" s="48" t="s">
        <v>238</v>
      </c>
      <c r="T471" s="49" t="s">
        <v>63</v>
      </c>
      <c r="U471" s="49" t="s">
        <v>343</v>
      </c>
      <c r="V471" s="48"/>
      <c r="W471" s="71">
        <v>3.26</v>
      </c>
      <c r="X471" s="49" t="s">
        <v>2228</v>
      </c>
      <c r="Y471" s="49" t="s">
        <v>1406</v>
      </c>
      <c r="Z471" s="115" t="s">
        <v>78</v>
      </c>
      <c r="AA471" s="80">
        <v>0.76</v>
      </c>
      <c r="AB471" s="71">
        <v>55270</v>
      </c>
      <c r="AC471" s="92" t="s">
        <v>6969</v>
      </c>
      <c r="AD471" s="53" t="str">
        <f t="shared" si="358"/>
        <v>Link</v>
      </c>
      <c r="AE471" s="54">
        <v>1930</v>
      </c>
      <c r="AF471" s="55"/>
      <c r="AG471" s="71">
        <v>106</v>
      </c>
      <c r="AH471" s="56">
        <v>183239</v>
      </c>
    </row>
    <row r="472" spans="1:34" ht="13" x14ac:dyDescent="0.15">
      <c r="A472" s="57" t="s">
        <v>2641</v>
      </c>
      <c r="B472" s="31" t="s">
        <v>6998</v>
      </c>
      <c r="C472" s="7" t="s">
        <v>41</v>
      </c>
      <c r="D472" s="7" t="s">
        <v>7000</v>
      </c>
      <c r="E472" s="44">
        <v>5</v>
      </c>
      <c r="F472" s="7"/>
      <c r="G472" s="7"/>
      <c r="H472" s="7" t="s">
        <v>7002</v>
      </c>
      <c r="I472" s="7" t="s">
        <v>2967</v>
      </c>
      <c r="J472" s="7" t="s">
        <v>7003</v>
      </c>
      <c r="K472" s="7" t="s">
        <v>55</v>
      </c>
      <c r="L472" s="7"/>
      <c r="M472" s="7"/>
      <c r="N472" s="45" t="str">
        <f t="shared" ref="N472:N476" si="359">HYPERLINK("twitter.com/bc_bears_sb","@bc_bears_sb")</f>
        <v>@bc_bears_sb</v>
      </c>
      <c r="O472" s="45" t="str">
        <f t="shared" ref="O472:O476" si="360">HYPERLINK("https://bcbearsathletics.com/sb_output.aspx?form=6","Questionnaire")</f>
        <v>Questionnaire</v>
      </c>
      <c r="P472" s="48" t="s">
        <v>7004</v>
      </c>
      <c r="Q472" s="60" t="s">
        <v>3272</v>
      </c>
      <c r="R472" s="48" t="s">
        <v>7005</v>
      </c>
      <c r="S472" s="48" t="s">
        <v>468</v>
      </c>
      <c r="T472" s="49" t="s">
        <v>63</v>
      </c>
      <c r="U472" s="49" t="s">
        <v>248</v>
      </c>
      <c r="V472" s="48"/>
      <c r="W472" s="71">
        <v>2.68</v>
      </c>
      <c r="X472" s="49" t="s">
        <v>2305</v>
      </c>
      <c r="Y472" s="49" t="s">
        <v>5178</v>
      </c>
      <c r="Z472" s="49" t="s">
        <v>1400</v>
      </c>
      <c r="AA472" s="51">
        <v>0.61570000000000003</v>
      </c>
      <c r="AB472" s="71">
        <v>44546</v>
      </c>
      <c r="AC472" s="90" t="s">
        <v>7004</v>
      </c>
      <c r="AD472" s="53" t="str">
        <f t="shared" ref="AD472:AD476" si="361">HYPERLINK("http://www.bloomfield.edu/academics/degrees-programs","Link")</f>
        <v>Link</v>
      </c>
      <c r="AE472" s="54">
        <v>1995</v>
      </c>
      <c r="AF472" s="55"/>
      <c r="AG472" s="48"/>
      <c r="AH472" s="56">
        <v>183822</v>
      </c>
    </row>
    <row r="473" spans="1:34" ht="13" x14ac:dyDescent="0.15">
      <c r="A473" s="57" t="s">
        <v>2641</v>
      </c>
      <c r="B473" s="31" t="s">
        <v>6998</v>
      </c>
      <c r="C473" s="7" t="s">
        <v>41</v>
      </c>
      <c r="D473" s="7" t="s">
        <v>7012</v>
      </c>
      <c r="E473" s="44">
        <v>5</v>
      </c>
      <c r="F473" s="7"/>
      <c r="G473" s="7"/>
      <c r="H473" s="7" t="s">
        <v>7002</v>
      </c>
      <c r="I473" s="7" t="s">
        <v>7013</v>
      </c>
      <c r="J473" s="7" t="s">
        <v>4707</v>
      </c>
      <c r="K473" s="7" t="s">
        <v>55</v>
      </c>
      <c r="L473" s="7" t="s">
        <v>7014</v>
      </c>
      <c r="M473" s="7"/>
      <c r="N473" s="45" t="str">
        <f t="shared" si="359"/>
        <v>@bc_bears_sb</v>
      </c>
      <c r="O473" s="45" t="str">
        <f t="shared" si="360"/>
        <v>Questionnaire</v>
      </c>
      <c r="P473" s="48" t="s">
        <v>7004</v>
      </c>
      <c r="Q473" s="60" t="s">
        <v>3272</v>
      </c>
      <c r="R473" s="48" t="s">
        <v>7005</v>
      </c>
      <c r="S473" s="48" t="s">
        <v>468</v>
      </c>
      <c r="T473" s="49" t="s">
        <v>63</v>
      </c>
      <c r="U473" s="49" t="s">
        <v>248</v>
      </c>
      <c r="V473" s="48"/>
      <c r="W473" s="71">
        <v>2.68</v>
      </c>
      <c r="X473" s="49" t="s">
        <v>2305</v>
      </c>
      <c r="Y473" s="49" t="s">
        <v>5178</v>
      </c>
      <c r="Z473" s="49" t="s">
        <v>1400</v>
      </c>
      <c r="AA473" s="51">
        <v>0.61570000000000003</v>
      </c>
      <c r="AB473" s="71">
        <v>44546</v>
      </c>
      <c r="AC473" s="90" t="s">
        <v>7004</v>
      </c>
      <c r="AD473" s="53" t="str">
        <f t="shared" si="361"/>
        <v>Link</v>
      </c>
      <c r="AE473" s="54">
        <v>1995</v>
      </c>
      <c r="AF473" s="55"/>
      <c r="AG473" s="48"/>
      <c r="AH473" s="56">
        <v>183822</v>
      </c>
    </row>
    <row r="474" spans="1:34" ht="13" x14ac:dyDescent="0.15">
      <c r="A474" s="57" t="s">
        <v>2641</v>
      </c>
      <c r="B474" s="31" t="s">
        <v>6998</v>
      </c>
      <c r="C474" s="7" t="s">
        <v>41</v>
      </c>
      <c r="D474" s="7" t="s">
        <v>7020</v>
      </c>
      <c r="E474" s="44">
        <v>5</v>
      </c>
      <c r="F474" s="7"/>
      <c r="G474" s="7"/>
      <c r="H474" s="7" t="s">
        <v>7002</v>
      </c>
      <c r="I474" s="7" t="s">
        <v>7021</v>
      </c>
      <c r="J474" s="7" t="s">
        <v>7022</v>
      </c>
      <c r="K474" s="7" t="s">
        <v>55</v>
      </c>
      <c r="L474" s="7"/>
      <c r="M474" s="7"/>
      <c r="N474" s="45" t="str">
        <f t="shared" si="359"/>
        <v>@bc_bears_sb</v>
      </c>
      <c r="O474" s="45" t="str">
        <f t="shared" si="360"/>
        <v>Questionnaire</v>
      </c>
      <c r="P474" s="48" t="s">
        <v>7004</v>
      </c>
      <c r="Q474" s="60" t="s">
        <v>3272</v>
      </c>
      <c r="R474" s="48" t="s">
        <v>7005</v>
      </c>
      <c r="S474" s="48" t="s">
        <v>468</v>
      </c>
      <c r="T474" s="49" t="s">
        <v>63</v>
      </c>
      <c r="U474" s="49" t="s">
        <v>248</v>
      </c>
      <c r="V474" s="48"/>
      <c r="W474" s="71">
        <v>2.68</v>
      </c>
      <c r="X474" s="49" t="s">
        <v>2305</v>
      </c>
      <c r="Y474" s="49" t="s">
        <v>5178</v>
      </c>
      <c r="Z474" s="49" t="s">
        <v>1400</v>
      </c>
      <c r="AA474" s="51">
        <v>0.61570000000000003</v>
      </c>
      <c r="AB474" s="71">
        <v>44546</v>
      </c>
      <c r="AC474" s="90" t="s">
        <v>7004</v>
      </c>
      <c r="AD474" s="53" t="str">
        <f t="shared" si="361"/>
        <v>Link</v>
      </c>
      <c r="AE474" s="54">
        <v>1995</v>
      </c>
      <c r="AF474" s="55"/>
      <c r="AG474" s="48"/>
      <c r="AH474" s="56">
        <v>183822</v>
      </c>
    </row>
    <row r="475" spans="1:34" ht="13" x14ac:dyDescent="0.15">
      <c r="A475" s="57" t="s">
        <v>2641</v>
      </c>
      <c r="B475" s="31" t="s">
        <v>6998</v>
      </c>
      <c r="C475" s="7" t="s">
        <v>41</v>
      </c>
      <c r="D475" s="7" t="s">
        <v>7028</v>
      </c>
      <c r="E475" s="44">
        <v>5</v>
      </c>
      <c r="F475" s="7"/>
      <c r="G475" s="7" t="s">
        <v>126</v>
      </c>
      <c r="H475" s="7" t="s">
        <v>7002</v>
      </c>
      <c r="I475" s="7" t="s">
        <v>7031</v>
      </c>
      <c r="J475" s="7"/>
      <c r="K475" s="7"/>
      <c r="L475" s="7"/>
      <c r="M475" s="7"/>
      <c r="N475" s="45" t="str">
        <f t="shared" si="359"/>
        <v>@bc_bears_sb</v>
      </c>
      <c r="O475" s="45" t="str">
        <f t="shared" si="360"/>
        <v>Questionnaire</v>
      </c>
      <c r="P475" s="48" t="s">
        <v>7004</v>
      </c>
      <c r="Q475" s="60" t="s">
        <v>3272</v>
      </c>
      <c r="R475" s="48" t="s">
        <v>7005</v>
      </c>
      <c r="S475" s="48" t="s">
        <v>468</v>
      </c>
      <c r="T475" s="49" t="s">
        <v>63</v>
      </c>
      <c r="U475" s="49" t="s">
        <v>248</v>
      </c>
      <c r="V475" s="48"/>
      <c r="W475" s="71">
        <v>2.68</v>
      </c>
      <c r="X475" s="49" t="s">
        <v>2305</v>
      </c>
      <c r="Y475" s="49" t="s">
        <v>5178</v>
      </c>
      <c r="Z475" s="49" t="s">
        <v>1400</v>
      </c>
      <c r="AA475" s="51">
        <v>0.61570000000000003</v>
      </c>
      <c r="AB475" s="71">
        <v>44546</v>
      </c>
      <c r="AC475" s="90" t="s">
        <v>7004</v>
      </c>
      <c r="AD475" s="53" t="str">
        <f t="shared" si="361"/>
        <v>Link</v>
      </c>
      <c r="AE475" s="54">
        <v>1995</v>
      </c>
      <c r="AF475" s="55"/>
      <c r="AG475" s="48"/>
      <c r="AH475" s="56">
        <v>183822</v>
      </c>
    </row>
    <row r="476" spans="1:34" ht="13" x14ac:dyDescent="0.15">
      <c r="A476" s="57" t="s">
        <v>2641</v>
      </c>
      <c r="B476" s="31" t="s">
        <v>6998</v>
      </c>
      <c r="C476" s="7" t="s">
        <v>41</v>
      </c>
      <c r="D476" s="7" t="s">
        <v>7038</v>
      </c>
      <c r="E476" s="44">
        <v>5</v>
      </c>
      <c r="F476" s="7"/>
      <c r="G476" s="7"/>
      <c r="H476" s="7" t="s">
        <v>7002</v>
      </c>
      <c r="I476" s="7" t="s">
        <v>668</v>
      </c>
      <c r="J476" s="7" t="s">
        <v>7039</v>
      </c>
      <c r="K476" s="7" t="s">
        <v>48</v>
      </c>
      <c r="L476" s="7" t="s">
        <v>7040</v>
      </c>
      <c r="M476" s="7" t="s">
        <v>7041</v>
      </c>
      <c r="N476" s="45" t="str">
        <f t="shared" si="359"/>
        <v>@bc_bears_sb</v>
      </c>
      <c r="O476" s="45" t="str">
        <f t="shared" si="360"/>
        <v>Questionnaire</v>
      </c>
      <c r="P476" s="48" t="s">
        <v>7004</v>
      </c>
      <c r="Q476" s="60" t="s">
        <v>3272</v>
      </c>
      <c r="R476" s="48" t="s">
        <v>7005</v>
      </c>
      <c r="S476" s="48" t="s">
        <v>468</v>
      </c>
      <c r="T476" s="49" t="s">
        <v>63</v>
      </c>
      <c r="U476" s="49" t="s">
        <v>248</v>
      </c>
      <c r="V476" s="48"/>
      <c r="W476" s="71">
        <v>2.68</v>
      </c>
      <c r="X476" s="49" t="s">
        <v>2305</v>
      </c>
      <c r="Y476" s="49" t="s">
        <v>5178</v>
      </c>
      <c r="Z476" s="49" t="s">
        <v>1400</v>
      </c>
      <c r="AA476" s="51">
        <v>0.61570000000000003</v>
      </c>
      <c r="AB476" s="71">
        <v>44546</v>
      </c>
      <c r="AC476" s="90" t="s">
        <v>7004</v>
      </c>
      <c r="AD476" s="53" t="str">
        <f t="shared" si="361"/>
        <v>Link</v>
      </c>
      <c r="AE476" s="54">
        <v>1995</v>
      </c>
      <c r="AF476" s="55"/>
      <c r="AG476" s="48"/>
      <c r="AH476" s="56">
        <v>183822</v>
      </c>
    </row>
    <row r="477" spans="1:34" ht="13" x14ac:dyDescent="0.15">
      <c r="A477" s="57" t="s">
        <v>2641</v>
      </c>
      <c r="B477" s="31" t="s">
        <v>6998</v>
      </c>
      <c r="C477" s="7" t="s">
        <v>41</v>
      </c>
      <c r="D477" s="7" t="s">
        <v>7044</v>
      </c>
      <c r="E477" s="44">
        <v>5</v>
      </c>
      <c r="F477" s="7"/>
      <c r="G477" s="7"/>
      <c r="H477" s="7" t="s">
        <v>7045</v>
      </c>
      <c r="I477" s="7" t="s">
        <v>790</v>
      </c>
      <c r="J477" s="7" t="s">
        <v>263</v>
      </c>
      <c r="K477" s="7" t="s">
        <v>48</v>
      </c>
      <c r="L477" s="7" t="s">
        <v>7046</v>
      </c>
      <c r="M477" s="7" t="s">
        <v>7048</v>
      </c>
      <c r="N477" s="48"/>
      <c r="O477" s="74" t="str">
        <f t="shared" ref="O477:O479" si="362">HYPERLINK("https://caldwellathletics.com/sports/2015/9/24/GEN_0924154007.aspx","Questionnaire")</f>
        <v>Questionnaire</v>
      </c>
      <c r="P477" s="48" t="s">
        <v>7051</v>
      </c>
      <c r="Q477" s="60" t="s">
        <v>3272</v>
      </c>
      <c r="R477" s="48" t="s">
        <v>7053</v>
      </c>
      <c r="S477" s="60" t="s">
        <v>205</v>
      </c>
      <c r="T477" s="49" t="s">
        <v>63</v>
      </c>
      <c r="U477" s="49" t="s">
        <v>343</v>
      </c>
      <c r="V477" s="48"/>
      <c r="W477" s="71">
        <v>3.44</v>
      </c>
      <c r="X477" s="49" t="s">
        <v>3428</v>
      </c>
      <c r="Y477" s="49" t="s">
        <v>1144</v>
      </c>
      <c r="Z477" s="49" t="s">
        <v>449</v>
      </c>
      <c r="AA477" s="51">
        <v>0.85409999999999997</v>
      </c>
      <c r="AB477" s="71">
        <v>48690</v>
      </c>
      <c r="AC477" s="90" t="s">
        <v>7051</v>
      </c>
      <c r="AD477" s="53" t="str">
        <f t="shared" ref="AD477:AD479" si="363">HYPERLINK("https://www.caldwell.edu/academics/majors-minors","Link")</f>
        <v>Link</v>
      </c>
      <c r="AE477" s="54">
        <v>1637</v>
      </c>
      <c r="AF477" s="55"/>
      <c r="AG477" s="48"/>
      <c r="AH477" s="56">
        <v>183910</v>
      </c>
    </row>
    <row r="478" spans="1:34" ht="13" x14ac:dyDescent="0.15">
      <c r="A478" s="57" t="s">
        <v>2641</v>
      </c>
      <c r="B478" s="31" t="s">
        <v>6998</v>
      </c>
      <c r="C478" s="7" t="s">
        <v>41</v>
      </c>
      <c r="D478" s="7" t="s">
        <v>7063</v>
      </c>
      <c r="E478" s="44">
        <v>5</v>
      </c>
      <c r="F478" s="7"/>
      <c r="G478" s="7"/>
      <c r="H478" s="7" t="s">
        <v>7045</v>
      </c>
      <c r="I478" s="7" t="s">
        <v>2829</v>
      </c>
      <c r="J478" s="7" t="s">
        <v>7064</v>
      </c>
      <c r="K478" s="7" t="s">
        <v>55</v>
      </c>
      <c r="L478" s="7"/>
      <c r="M478" s="7"/>
      <c r="N478" s="48"/>
      <c r="O478" s="74" t="str">
        <f t="shared" si="362"/>
        <v>Questionnaire</v>
      </c>
      <c r="P478" s="48" t="s">
        <v>7051</v>
      </c>
      <c r="Q478" s="60" t="s">
        <v>3272</v>
      </c>
      <c r="R478" s="48" t="s">
        <v>7053</v>
      </c>
      <c r="S478" s="60" t="s">
        <v>205</v>
      </c>
      <c r="T478" s="49" t="s">
        <v>63</v>
      </c>
      <c r="U478" s="49" t="s">
        <v>343</v>
      </c>
      <c r="V478" s="48"/>
      <c r="W478" s="71">
        <v>3.44</v>
      </c>
      <c r="X478" s="49" t="s">
        <v>3428</v>
      </c>
      <c r="Y478" s="49" t="s">
        <v>1144</v>
      </c>
      <c r="Z478" s="49" t="s">
        <v>449</v>
      </c>
      <c r="AA478" s="51">
        <v>0.85409999999999997</v>
      </c>
      <c r="AB478" s="71">
        <v>48690</v>
      </c>
      <c r="AC478" s="90" t="s">
        <v>7051</v>
      </c>
      <c r="AD478" s="53" t="str">
        <f t="shared" si="363"/>
        <v>Link</v>
      </c>
      <c r="AE478" s="54">
        <v>1637</v>
      </c>
      <c r="AF478" s="55"/>
      <c r="AG478" s="48"/>
      <c r="AH478" s="56">
        <v>183910</v>
      </c>
    </row>
    <row r="479" spans="1:34" ht="13" x14ac:dyDescent="0.15">
      <c r="A479" s="57" t="s">
        <v>2641</v>
      </c>
      <c r="B479" s="31" t="s">
        <v>6998</v>
      </c>
      <c r="C479" s="7" t="s">
        <v>41</v>
      </c>
      <c r="D479" s="7" t="s">
        <v>7069</v>
      </c>
      <c r="E479" s="44">
        <v>5</v>
      </c>
      <c r="F479" s="7"/>
      <c r="G479" s="7"/>
      <c r="H479" s="7" t="s">
        <v>7045</v>
      </c>
      <c r="I479" s="7" t="s">
        <v>201</v>
      </c>
      <c r="J479" s="7" t="s">
        <v>7072</v>
      </c>
      <c r="K479" s="7" t="s">
        <v>55</v>
      </c>
      <c r="L479" s="7"/>
      <c r="M479" s="7"/>
      <c r="N479" s="48"/>
      <c r="O479" s="74" t="str">
        <f t="shared" si="362"/>
        <v>Questionnaire</v>
      </c>
      <c r="P479" s="48" t="s">
        <v>7051</v>
      </c>
      <c r="Q479" s="60" t="s">
        <v>3272</v>
      </c>
      <c r="R479" s="48" t="s">
        <v>7053</v>
      </c>
      <c r="S479" s="60" t="s">
        <v>205</v>
      </c>
      <c r="T479" s="49" t="s">
        <v>63</v>
      </c>
      <c r="U479" s="49" t="s">
        <v>343</v>
      </c>
      <c r="V479" s="48"/>
      <c r="W479" s="71">
        <v>3.44</v>
      </c>
      <c r="X479" s="49" t="s">
        <v>3428</v>
      </c>
      <c r="Y479" s="49" t="s">
        <v>1144</v>
      </c>
      <c r="Z479" s="49" t="s">
        <v>449</v>
      </c>
      <c r="AA479" s="51">
        <v>0.85409999999999997</v>
      </c>
      <c r="AB479" s="71">
        <v>48690</v>
      </c>
      <c r="AC479" s="90" t="s">
        <v>7051</v>
      </c>
      <c r="AD479" s="53" t="str">
        <f t="shared" si="363"/>
        <v>Link</v>
      </c>
      <c r="AE479" s="54">
        <v>1637</v>
      </c>
      <c r="AF479" s="55"/>
      <c r="AG479" s="48"/>
      <c r="AH479" s="56">
        <v>183910</v>
      </c>
    </row>
    <row r="480" spans="1:34" ht="15" x14ac:dyDescent="0.2">
      <c r="A480" s="57" t="s">
        <v>2641</v>
      </c>
      <c r="B480" s="31" t="s">
        <v>6998</v>
      </c>
      <c r="C480" s="7" t="s">
        <v>41</v>
      </c>
      <c r="D480" s="7" t="s">
        <v>7074</v>
      </c>
      <c r="E480" s="44">
        <v>5</v>
      </c>
      <c r="F480" s="7"/>
      <c r="G480" s="7"/>
      <c r="H480" s="7" t="s">
        <v>7077</v>
      </c>
      <c r="I480" s="7" t="s">
        <v>1594</v>
      </c>
      <c r="J480" s="7" t="s">
        <v>7079</v>
      </c>
      <c r="K480" s="7" t="s">
        <v>55</v>
      </c>
      <c r="L480" s="7" t="s">
        <v>7083</v>
      </c>
      <c r="M480" s="7"/>
      <c r="N480" s="48"/>
      <c r="O480" s="48"/>
      <c r="P480" s="48" t="s">
        <v>7084</v>
      </c>
      <c r="Q480" s="47" t="s">
        <v>3272</v>
      </c>
      <c r="R480" s="48" t="s">
        <v>7085</v>
      </c>
      <c r="S480" s="48" t="s">
        <v>172</v>
      </c>
      <c r="T480" s="49" t="s">
        <v>63</v>
      </c>
      <c r="U480" s="49" t="s">
        <v>343</v>
      </c>
      <c r="V480" s="48"/>
      <c r="W480" s="71">
        <v>3</v>
      </c>
      <c r="X480" s="49" t="s">
        <v>252</v>
      </c>
      <c r="Y480" s="49" t="s">
        <v>1947</v>
      </c>
      <c r="Z480" s="49" t="s">
        <v>1302</v>
      </c>
      <c r="AA480" s="61">
        <v>0.79</v>
      </c>
      <c r="AB480" s="71">
        <v>49720</v>
      </c>
      <c r="AC480" s="52" t="s">
        <v>7084</v>
      </c>
      <c r="AD480" s="53" t="str">
        <f t="shared" ref="AD480:AD483" si="364">HYPERLINK("https://www.felician.edu/academics","Link")</f>
        <v>Link</v>
      </c>
      <c r="AE480" s="54">
        <v>1648</v>
      </c>
      <c r="AF480" s="55"/>
      <c r="AG480" s="48"/>
      <c r="AH480" s="56">
        <v>184612</v>
      </c>
    </row>
    <row r="481" spans="1:34" ht="15" x14ac:dyDescent="0.2">
      <c r="A481" s="57" t="s">
        <v>2641</v>
      </c>
      <c r="B481" s="31" t="s">
        <v>6998</v>
      </c>
      <c r="C481" s="7" t="s">
        <v>41</v>
      </c>
      <c r="D481" s="7" t="s">
        <v>7091</v>
      </c>
      <c r="E481" s="44">
        <v>5</v>
      </c>
      <c r="F481" s="7"/>
      <c r="G481" s="7"/>
      <c r="H481" s="7" t="s">
        <v>7077</v>
      </c>
      <c r="I481" s="7" t="s">
        <v>981</v>
      </c>
      <c r="J481" s="7" t="s">
        <v>494</v>
      </c>
      <c r="K481" s="7" t="s">
        <v>139</v>
      </c>
      <c r="L481" s="7" t="s">
        <v>7093</v>
      </c>
      <c r="M481" s="7"/>
      <c r="N481" s="48"/>
      <c r="O481" s="48"/>
      <c r="P481" s="48" t="s">
        <v>7084</v>
      </c>
      <c r="Q481" s="47" t="s">
        <v>3272</v>
      </c>
      <c r="R481" s="48" t="s">
        <v>7085</v>
      </c>
      <c r="S481" s="48" t="s">
        <v>172</v>
      </c>
      <c r="T481" s="49" t="s">
        <v>63</v>
      </c>
      <c r="U481" s="49" t="s">
        <v>343</v>
      </c>
      <c r="V481" s="48"/>
      <c r="W481" s="71">
        <v>3</v>
      </c>
      <c r="X481" s="49" t="s">
        <v>252</v>
      </c>
      <c r="Y481" s="49" t="s">
        <v>1947</v>
      </c>
      <c r="Z481" s="49" t="s">
        <v>1302</v>
      </c>
      <c r="AA481" s="61">
        <v>0.79</v>
      </c>
      <c r="AB481" s="71">
        <v>49720</v>
      </c>
      <c r="AC481" s="52" t="s">
        <v>7084</v>
      </c>
      <c r="AD481" s="53" t="str">
        <f t="shared" si="364"/>
        <v>Link</v>
      </c>
      <c r="AE481" s="54">
        <v>1648</v>
      </c>
      <c r="AF481" s="55"/>
      <c r="AG481" s="48"/>
      <c r="AH481" s="56">
        <v>184612</v>
      </c>
    </row>
    <row r="482" spans="1:34" ht="15" x14ac:dyDescent="0.2">
      <c r="A482" s="57" t="s">
        <v>2641</v>
      </c>
      <c r="B482" s="31" t="s">
        <v>6998</v>
      </c>
      <c r="C482" s="7" t="s">
        <v>41</v>
      </c>
      <c r="D482" s="7" t="s">
        <v>7095</v>
      </c>
      <c r="E482" s="44">
        <v>5</v>
      </c>
      <c r="F482" s="7"/>
      <c r="G482" s="7"/>
      <c r="H482" s="7" t="s">
        <v>7077</v>
      </c>
      <c r="I482" s="7" t="s">
        <v>7097</v>
      </c>
      <c r="J482" s="7" t="s">
        <v>7100</v>
      </c>
      <c r="K482" s="7" t="s">
        <v>48</v>
      </c>
      <c r="L482" s="7" t="s">
        <v>7102</v>
      </c>
      <c r="M482" s="7" t="s">
        <v>7105</v>
      </c>
      <c r="N482" s="74" t="str">
        <f>HYPERLINK("twitter.com/feliciansb","@feliciansb")</f>
        <v>@feliciansb</v>
      </c>
      <c r="O482" s="74" t="str">
        <f t="shared" ref="O482:O483" si="365">HYPERLINK("https://www.felicianathletics.com/sports/bsb/FrontRush_InterestForm","Questionnaire")</f>
        <v>Questionnaire</v>
      </c>
      <c r="P482" s="48" t="s">
        <v>7084</v>
      </c>
      <c r="Q482" s="47" t="s">
        <v>3272</v>
      </c>
      <c r="R482" s="48" t="s">
        <v>7085</v>
      </c>
      <c r="S482" s="48" t="s">
        <v>172</v>
      </c>
      <c r="T482" s="49" t="s">
        <v>63</v>
      </c>
      <c r="U482" s="49" t="s">
        <v>343</v>
      </c>
      <c r="V482" s="48"/>
      <c r="W482" s="71">
        <v>3</v>
      </c>
      <c r="X482" s="49" t="s">
        <v>252</v>
      </c>
      <c r="Y482" s="49" t="s">
        <v>1947</v>
      </c>
      <c r="Z482" s="49" t="s">
        <v>1302</v>
      </c>
      <c r="AA482" s="61">
        <v>0.79</v>
      </c>
      <c r="AB482" s="71">
        <v>49720</v>
      </c>
      <c r="AC482" s="52" t="s">
        <v>7084</v>
      </c>
      <c r="AD482" s="53" t="str">
        <f t="shared" si="364"/>
        <v>Link</v>
      </c>
      <c r="AE482" s="54">
        <v>1648</v>
      </c>
      <c r="AF482" s="55"/>
      <c r="AG482" s="48"/>
      <c r="AH482" s="56">
        <v>184612</v>
      </c>
    </row>
    <row r="483" spans="1:34" ht="15" x14ac:dyDescent="0.2">
      <c r="A483" s="57" t="s">
        <v>2641</v>
      </c>
      <c r="B483" s="31" t="s">
        <v>6998</v>
      </c>
      <c r="C483" s="7" t="s">
        <v>41</v>
      </c>
      <c r="D483" s="7" t="s">
        <v>7111</v>
      </c>
      <c r="E483" s="44">
        <v>5</v>
      </c>
      <c r="F483" s="7"/>
      <c r="G483" s="7"/>
      <c r="H483" s="7" t="s">
        <v>7077</v>
      </c>
      <c r="I483" s="7" t="s">
        <v>1124</v>
      </c>
      <c r="J483" s="7" t="s">
        <v>7113</v>
      </c>
      <c r="K483" s="7" t="s">
        <v>55</v>
      </c>
      <c r="L483" s="7" t="s">
        <v>7114</v>
      </c>
      <c r="M483" s="7" t="s">
        <v>7115</v>
      </c>
      <c r="N483" s="7"/>
      <c r="O483" s="74" t="str">
        <f t="shared" si="365"/>
        <v>Questionnaire</v>
      </c>
      <c r="P483" s="48" t="s">
        <v>7084</v>
      </c>
      <c r="Q483" s="47" t="s">
        <v>3272</v>
      </c>
      <c r="R483" s="48" t="s">
        <v>7085</v>
      </c>
      <c r="S483" s="48" t="s">
        <v>172</v>
      </c>
      <c r="T483" s="49" t="s">
        <v>63</v>
      </c>
      <c r="U483" s="49" t="s">
        <v>343</v>
      </c>
      <c r="V483" s="48"/>
      <c r="W483" s="71">
        <v>3</v>
      </c>
      <c r="X483" s="49" t="s">
        <v>252</v>
      </c>
      <c r="Y483" s="49" t="s">
        <v>1947</v>
      </c>
      <c r="Z483" s="49" t="s">
        <v>1302</v>
      </c>
      <c r="AA483" s="61">
        <v>0.79</v>
      </c>
      <c r="AB483" s="71">
        <v>49720</v>
      </c>
      <c r="AC483" s="52" t="s">
        <v>7084</v>
      </c>
      <c r="AD483" s="53" t="str">
        <f t="shared" si="364"/>
        <v>Link</v>
      </c>
      <c r="AE483" s="54">
        <v>1648</v>
      </c>
      <c r="AF483" s="55"/>
      <c r="AG483" s="48"/>
      <c r="AH483" s="56">
        <v>184612</v>
      </c>
    </row>
    <row r="484" spans="1:34" ht="13" x14ac:dyDescent="0.15">
      <c r="A484" s="57" t="s">
        <v>2641</v>
      </c>
      <c r="B484" s="110" t="s">
        <v>6998</v>
      </c>
      <c r="C484" s="7" t="s">
        <v>41</v>
      </c>
      <c r="D484" s="7" t="s">
        <v>7118</v>
      </c>
      <c r="E484" s="44">
        <v>5</v>
      </c>
      <c r="F484" s="7"/>
      <c r="G484" s="7"/>
      <c r="H484" s="7" t="s">
        <v>7119</v>
      </c>
      <c r="I484" s="7" t="s">
        <v>1052</v>
      </c>
      <c r="J484" s="7" t="s">
        <v>7120</v>
      </c>
      <c r="K484" s="7" t="s">
        <v>48</v>
      </c>
      <c r="L484" s="7" t="s">
        <v>7121</v>
      </c>
      <c r="M484" s="7" t="s">
        <v>7122</v>
      </c>
      <c r="N484" s="45" t="str">
        <f t="shared" ref="N484:N489" si="366">HYPERLINK("twitter.com/gcusb","@gcusb")</f>
        <v>@gcusb</v>
      </c>
      <c r="O484" s="45" t="str">
        <f t="shared" ref="O484:O489" si="367">HYPERLINK("https://gculions.com/sports/2009/8/24/prospectivesainfo.aspx","Questionnaire")</f>
        <v>Questionnaire</v>
      </c>
      <c r="P484" s="48" t="s">
        <v>7128</v>
      </c>
      <c r="Q484" s="60" t="s">
        <v>3272</v>
      </c>
      <c r="R484" s="48" t="s">
        <v>2133</v>
      </c>
      <c r="S484" s="48" t="s">
        <v>186</v>
      </c>
      <c r="T484" s="4" t="s">
        <v>63</v>
      </c>
      <c r="U484" s="6" t="s">
        <v>343</v>
      </c>
      <c r="V484" s="48"/>
      <c r="W484" s="39">
        <v>3.27</v>
      </c>
      <c r="X484" s="49" t="s">
        <v>2522</v>
      </c>
      <c r="Y484" s="49" t="s">
        <v>253</v>
      </c>
      <c r="Z484" s="49" t="s">
        <v>1339</v>
      </c>
      <c r="AA484" s="65">
        <v>0.74</v>
      </c>
      <c r="AB484" s="39">
        <v>50376</v>
      </c>
      <c r="AC484" s="62" t="s">
        <v>7128</v>
      </c>
      <c r="AD484" s="53" t="str">
        <f t="shared" ref="AD484:AD489" si="368">HYPERLINK("https://georgian.edu/academics/undergraduate/","Link")</f>
        <v>Link</v>
      </c>
      <c r="AE484" s="42">
        <v>1591</v>
      </c>
      <c r="AF484" s="55"/>
      <c r="AG484" s="48"/>
      <c r="AH484" s="56">
        <v>184773</v>
      </c>
    </row>
    <row r="485" spans="1:34" ht="13" x14ac:dyDescent="0.15">
      <c r="A485" s="57" t="s">
        <v>2641</v>
      </c>
      <c r="B485" s="110" t="s">
        <v>6998</v>
      </c>
      <c r="C485" s="7" t="s">
        <v>41</v>
      </c>
      <c r="D485" s="7" t="s">
        <v>7145</v>
      </c>
      <c r="E485" s="44">
        <v>5</v>
      </c>
      <c r="F485" s="7"/>
      <c r="G485" s="7"/>
      <c r="H485" s="7" t="s">
        <v>7119</v>
      </c>
      <c r="I485" s="7" t="s">
        <v>1060</v>
      </c>
      <c r="J485" s="7" t="s">
        <v>7147</v>
      </c>
      <c r="K485" s="7" t="s">
        <v>55</v>
      </c>
      <c r="L485" s="7" t="s">
        <v>7148</v>
      </c>
      <c r="M485" s="7" t="s">
        <v>7122</v>
      </c>
      <c r="N485" s="45" t="str">
        <f t="shared" si="366"/>
        <v>@gcusb</v>
      </c>
      <c r="O485" s="45" t="str">
        <f t="shared" si="367"/>
        <v>Questionnaire</v>
      </c>
      <c r="P485" s="48" t="s">
        <v>7128</v>
      </c>
      <c r="Q485" s="60" t="s">
        <v>3272</v>
      </c>
      <c r="R485" s="48" t="s">
        <v>2133</v>
      </c>
      <c r="S485" s="48" t="s">
        <v>186</v>
      </c>
      <c r="T485" s="4" t="s">
        <v>63</v>
      </c>
      <c r="U485" s="6" t="s">
        <v>343</v>
      </c>
      <c r="V485" s="48"/>
      <c r="W485" s="39">
        <v>3.27</v>
      </c>
      <c r="X485" s="49" t="s">
        <v>2522</v>
      </c>
      <c r="Y485" s="49" t="s">
        <v>253</v>
      </c>
      <c r="Z485" s="49" t="s">
        <v>1339</v>
      </c>
      <c r="AA485" s="65">
        <v>0.74</v>
      </c>
      <c r="AB485" s="39">
        <v>50376</v>
      </c>
      <c r="AC485" s="62" t="s">
        <v>7128</v>
      </c>
      <c r="AD485" s="53" t="str">
        <f t="shared" si="368"/>
        <v>Link</v>
      </c>
      <c r="AE485" s="42">
        <v>1591</v>
      </c>
      <c r="AF485" s="55"/>
      <c r="AG485" s="48"/>
      <c r="AH485" s="56">
        <v>184773</v>
      </c>
    </row>
    <row r="486" spans="1:34" ht="13" x14ac:dyDescent="0.15">
      <c r="A486" s="57" t="s">
        <v>2641</v>
      </c>
      <c r="B486" s="110" t="s">
        <v>6998</v>
      </c>
      <c r="C486" s="7" t="s">
        <v>41</v>
      </c>
      <c r="D486" s="7" t="s">
        <v>7153</v>
      </c>
      <c r="E486" s="44">
        <v>5</v>
      </c>
      <c r="F486" s="7" t="s">
        <v>116</v>
      </c>
      <c r="G486" s="7"/>
      <c r="H486" s="7" t="s">
        <v>7119</v>
      </c>
      <c r="I486" s="7" t="s">
        <v>2289</v>
      </c>
      <c r="J486" s="7" t="s">
        <v>7157</v>
      </c>
      <c r="K486" s="7" t="s">
        <v>55</v>
      </c>
      <c r="L486" s="7" t="s">
        <v>7159</v>
      </c>
      <c r="M486" s="7" t="s">
        <v>7122</v>
      </c>
      <c r="N486" s="45" t="str">
        <f t="shared" si="366"/>
        <v>@gcusb</v>
      </c>
      <c r="O486" s="45" t="str">
        <f t="shared" si="367"/>
        <v>Questionnaire</v>
      </c>
      <c r="P486" s="48" t="s">
        <v>7128</v>
      </c>
      <c r="Q486" s="60" t="s">
        <v>3272</v>
      </c>
      <c r="R486" s="48" t="s">
        <v>2133</v>
      </c>
      <c r="S486" s="48" t="s">
        <v>186</v>
      </c>
      <c r="T486" s="4" t="s">
        <v>63</v>
      </c>
      <c r="U486" s="6" t="s">
        <v>343</v>
      </c>
      <c r="V486" s="48"/>
      <c r="W486" s="39">
        <v>3.27</v>
      </c>
      <c r="X486" s="49" t="s">
        <v>2522</v>
      </c>
      <c r="Y486" s="49" t="s">
        <v>253</v>
      </c>
      <c r="Z486" s="49" t="s">
        <v>1339</v>
      </c>
      <c r="AA486" s="65">
        <v>0.74</v>
      </c>
      <c r="AB486" s="39">
        <v>50376</v>
      </c>
      <c r="AC486" s="62" t="s">
        <v>7128</v>
      </c>
      <c r="AD486" s="53" t="str">
        <f t="shared" si="368"/>
        <v>Link</v>
      </c>
      <c r="AE486" s="42">
        <v>1591</v>
      </c>
      <c r="AF486" s="55"/>
      <c r="AG486" s="48"/>
      <c r="AH486" s="56">
        <v>184773</v>
      </c>
    </row>
    <row r="487" spans="1:34" ht="13" x14ac:dyDescent="0.15">
      <c r="A487" s="57" t="s">
        <v>2641</v>
      </c>
      <c r="B487" s="110" t="s">
        <v>6998</v>
      </c>
      <c r="C487" s="7" t="s">
        <v>41</v>
      </c>
      <c r="D487" s="7" t="s">
        <v>7165</v>
      </c>
      <c r="E487" s="44">
        <v>5</v>
      </c>
      <c r="F487" s="7"/>
      <c r="G487" s="7"/>
      <c r="H487" s="7" t="s">
        <v>7119</v>
      </c>
      <c r="I487" s="7" t="s">
        <v>930</v>
      </c>
      <c r="J487" s="7" t="s">
        <v>7167</v>
      </c>
      <c r="K487" s="7" t="s">
        <v>55</v>
      </c>
      <c r="L487" s="7"/>
      <c r="M487" s="7"/>
      <c r="N487" s="45" t="str">
        <f t="shared" si="366"/>
        <v>@gcusb</v>
      </c>
      <c r="O487" s="45" t="str">
        <f t="shared" si="367"/>
        <v>Questionnaire</v>
      </c>
      <c r="P487" s="48" t="s">
        <v>7128</v>
      </c>
      <c r="Q487" s="60" t="s">
        <v>3272</v>
      </c>
      <c r="R487" s="48" t="s">
        <v>2133</v>
      </c>
      <c r="S487" s="48" t="s">
        <v>186</v>
      </c>
      <c r="T487" s="4" t="s">
        <v>63</v>
      </c>
      <c r="U487" s="6" t="s">
        <v>343</v>
      </c>
      <c r="V487" s="48"/>
      <c r="W487" s="39">
        <v>3.27</v>
      </c>
      <c r="X487" s="49" t="s">
        <v>2522</v>
      </c>
      <c r="Y487" s="49" t="s">
        <v>253</v>
      </c>
      <c r="Z487" s="49" t="s">
        <v>1339</v>
      </c>
      <c r="AA487" s="65">
        <v>0.74</v>
      </c>
      <c r="AB487" s="39">
        <v>50376</v>
      </c>
      <c r="AC487" s="62" t="s">
        <v>7128</v>
      </c>
      <c r="AD487" s="53" t="str">
        <f t="shared" si="368"/>
        <v>Link</v>
      </c>
      <c r="AE487" s="42">
        <v>1591</v>
      </c>
      <c r="AF487" s="55"/>
      <c r="AG487" s="48"/>
      <c r="AH487" s="56">
        <v>184773</v>
      </c>
    </row>
    <row r="488" spans="1:34" ht="13" x14ac:dyDescent="0.15">
      <c r="A488" s="57" t="s">
        <v>2641</v>
      </c>
      <c r="B488" s="110" t="s">
        <v>6998</v>
      </c>
      <c r="C488" s="7" t="s">
        <v>41</v>
      </c>
      <c r="D488" s="7" t="s">
        <v>7170</v>
      </c>
      <c r="E488" s="44">
        <v>5</v>
      </c>
      <c r="F488" s="7"/>
      <c r="G488" s="7"/>
      <c r="H488" s="7" t="s">
        <v>7119</v>
      </c>
      <c r="I488" s="7" t="s">
        <v>2829</v>
      </c>
      <c r="J488" s="7" t="s">
        <v>7171</v>
      </c>
      <c r="K488" s="7" t="s">
        <v>919</v>
      </c>
      <c r="L488" s="7"/>
      <c r="M488" s="7" t="s">
        <v>7122</v>
      </c>
      <c r="N488" s="45" t="str">
        <f t="shared" si="366"/>
        <v>@gcusb</v>
      </c>
      <c r="O488" s="45" t="str">
        <f t="shared" si="367"/>
        <v>Questionnaire</v>
      </c>
      <c r="P488" s="48" t="s">
        <v>7128</v>
      </c>
      <c r="Q488" s="60" t="s">
        <v>3272</v>
      </c>
      <c r="R488" s="48" t="s">
        <v>2133</v>
      </c>
      <c r="S488" s="48" t="s">
        <v>186</v>
      </c>
      <c r="T488" s="4" t="s">
        <v>63</v>
      </c>
      <c r="U488" s="6" t="s">
        <v>343</v>
      </c>
      <c r="V488" s="48"/>
      <c r="W488" s="39">
        <v>3.27</v>
      </c>
      <c r="X488" s="49" t="s">
        <v>2522</v>
      </c>
      <c r="Y488" s="49" t="s">
        <v>253</v>
      </c>
      <c r="Z488" s="49" t="s">
        <v>1339</v>
      </c>
      <c r="AA488" s="65">
        <v>0.74</v>
      </c>
      <c r="AB488" s="39">
        <v>50376</v>
      </c>
      <c r="AC488" s="62" t="s">
        <v>7128</v>
      </c>
      <c r="AD488" s="53" t="str">
        <f t="shared" si="368"/>
        <v>Link</v>
      </c>
      <c r="AE488" s="42">
        <v>1591</v>
      </c>
      <c r="AF488" s="55"/>
      <c r="AG488" s="48"/>
      <c r="AH488" s="56">
        <v>184773</v>
      </c>
    </row>
    <row r="489" spans="1:34" ht="13" x14ac:dyDescent="0.15">
      <c r="A489" s="57" t="s">
        <v>2641</v>
      </c>
      <c r="B489" s="110" t="s">
        <v>6998</v>
      </c>
      <c r="C489" s="7" t="s">
        <v>41</v>
      </c>
      <c r="D489" s="7" t="s">
        <v>7176</v>
      </c>
      <c r="E489" s="44">
        <v>5</v>
      </c>
      <c r="F489" s="7"/>
      <c r="G489" s="7"/>
      <c r="H489" s="7" t="s">
        <v>7119</v>
      </c>
      <c r="I489" s="7" t="s">
        <v>135</v>
      </c>
      <c r="J489" s="7" t="s">
        <v>7178</v>
      </c>
      <c r="K489" s="7" t="s">
        <v>55</v>
      </c>
      <c r="L489" s="7"/>
      <c r="M489" s="7"/>
      <c r="N489" s="45" t="str">
        <f t="shared" si="366"/>
        <v>@gcusb</v>
      </c>
      <c r="O489" s="45" t="str">
        <f t="shared" si="367"/>
        <v>Questionnaire</v>
      </c>
      <c r="P489" s="48" t="s">
        <v>7128</v>
      </c>
      <c r="Q489" s="60" t="s">
        <v>3272</v>
      </c>
      <c r="R489" s="48" t="s">
        <v>2133</v>
      </c>
      <c r="S489" s="48" t="s">
        <v>186</v>
      </c>
      <c r="T489" s="4" t="s">
        <v>63</v>
      </c>
      <c r="U489" s="6" t="s">
        <v>343</v>
      </c>
      <c r="V489" s="48"/>
      <c r="W489" s="39">
        <v>3.27</v>
      </c>
      <c r="X489" s="49" t="s">
        <v>2522</v>
      </c>
      <c r="Y489" s="49" t="s">
        <v>253</v>
      </c>
      <c r="Z489" s="49" t="s">
        <v>1339</v>
      </c>
      <c r="AA489" s="65">
        <v>0.74</v>
      </c>
      <c r="AB489" s="39">
        <v>50376</v>
      </c>
      <c r="AC489" s="62" t="s">
        <v>7128</v>
      </c>
      <c r="AD489" s="53" t="str">
        <f t="shared" si="368"/>
        <v>Link</v>
      </c>
      <c r="AE489" s="42">
        <v>1591</v>
      </c>
      <c r="AF489" s="55"/>
      <c r="AG489" s="48"/>
      <c r="AH489" s="56">
        <v>184773</v>
      </c>
    </row>
    <row r="490" spans="1:34" ht="13" x14ac:dyDescent="0.15">
      <c r="A490" s="57" t="s">
        <v>7181</v>
      </c>
      <c r="B490" s="31" t="s">
        <v>7182</v>
      </c>
      <c r="C490" s="7" t="s">
        <v>41</v>
      </c>
      <c r="D490" s="7" t="s">
        <v>7184</v>
      </c>
      <c r="E490" s="44">
        <v>5</v>
      </c>
      <c r="F490" s="7"/>
      <c r="G490" s="7"/>
      <c r="H490" s="7" t="s">
        <v>7186</v>
      </c>
      <c r="I490" s="7" t="s">
        <v>7187</v>
      </c>
      <c r="J490" s="7" t="s">
        <v>7188</v>
      </c>
      <c r="K490" s="7" t="s">
        <v>48</v>
      </c>
      <c r="L490" s="7" t="s">
        <v>7190</v>
      </c>
      <c r="M490" s="7" t="s">
        <v>7192</v>
      </c>
      <c r="N490" s="45" t="str">
        <f t="shared" ref="N490:N493" si="369">HYPERLINK("twitter.com/enmusoftball","@enmusoftball")</f>
        <v>@enmusoftball</v>
      </c>
      <c r="O490" s="45" t="str">
        <f t="shared" ref="O490:O493" si="370">HYPERLINK("https://goeasternathletics.com/sports/2010/6/24/GEN_0624105441.aspx","Questionnaire")</f>
        <v>Questionnaire</v>
      </c>
      <c r="P490" s="48" t="s">
        <v>7196</v>
      </c>
      <c r="Q490" s="47" t="s">
        <v>7198</v>
      </c>
      <c r="R490" s="48" t="s">
        <v>7199</v>
      </c>
      <c r="S490" s="48" t="s">
        <v>172</v>
      </c>
      <c r="T490" s="49" t="s">
        <v>74</v>
      </c>
      <c r="U490" s="49" t="s">
        <v>75</v>
      </c>
      <c r="V490" s="48"/>
      <c r="W490" s="71">
        <v>3.19</v>
      </c>
      <c r="X490" s="49" t="s">
        <v>7200</v>
      </c>
      <c r="Y490" s="49" t="s">
        <v>1144</v>
      </c>
      <c r="Z490" s="49" t="s">
        <v>1948</v>
      </c>
      <c r="AA490" s="61">
        <v>0.63</v>
      </c>
      <c r="AB490" s="48" t="s">
        <v>7202</v>
      </c>
      <c r="AC490" s="62" t="s">
        <v>7196</v>
      </c>
      <c r="AD490" s="53" t="str">
        <f t="shared" ref="AD490:AD493" si="371">HYPERLINK("https://www.enmu.edu/academics/degrees-programs/undergraduate-degree","Link")</f>
        <v>Link</v>
      </c>
      <c r="AE490" s="54">
        <v>2963</v>
      </c>
      <c r="AF490" s="55"/>
      <c r="AG490" s="48"/>
      <c r="AH490" s="56">
        <v>187648</v>
      </c>
    </row>
    <row r="491" spans="1:34" ht="13" x14ac:dyDescent="0.15">
      <c r="A491" s="57" t="s">
        <v>7181</v>
      </c>
      <c r="B491" s="31" t="s">
        <v>7182</v>
      </c>
      <c r="C491" s="7" t="s">
        <v>41</v>
      </c>
      <c r="D491" s="7" t="s">
        <v>7207</v>
      </c>
      <c r="E491" s="44">
        <v>5</v>
      </c>
      <c r="F491" s="7"/>
      <c r="G491" s="7"/>
      <c r="H491" s="7" t="s">
        <v>7186</v>
      </c>
      <c r="I491" s="7" t="s">
        <v>1979</v>
      </c>
      <c r="J491" s="7" t="s">
        <v>7209</v>
      </c>
      <c r="K491" s="7" t="s">
        <v>55</v>
      </c>
      <c r="L491" s="7" t="s">
        <v>7210</v>
      </c>
      <c r="M491" s="7" t="s">
        <v>7212</v>
      </c>
      <c r="N491" s="45" t="str">
        <f t="shared" si="369"/>
        <v>@enmusoftball</v>
      </c>
      <c r="O491" s="45" t="str">
        <f t="shared" si="370"/>
        <v>Questionnaire</v>
      </c>
      <c r="P491" s="48" t="s">
        <v>7196</v>
      </c>
      <c r="Q491" s="47" t="s">
        <v>7198</v>
      </c>
      <c r="R491" s="48" t="s">
        <v>7199</v>
      </c>
      <c r="S491" s="48" t="s">
        <v>172</v>
      </c>
      <c r="T491" s="49" t="s">
        <v>74</v>
      </c>
      <c r="U491" s="49" t="s">
        <v>75</v>
      </c>
      <c r="V491" s="48"/>
      <c r="W491" s="71">
        <v>3.19</v>
      </c>
      <c r="X491" s="49" t="s">
        <v>7200</v>
      </c>
      <c r="Y491" s="49" t="s">
        <v>1144</v>
      </c>
      <c r="Z491" s="49" t="s">
        <v>1948</v>
      </c>
      <c r="AA491" s="61">
        <v>0.63</v>
      </c>
      <c r="AB491" s="48" t="s">
        <v>7202</v>
      </c>
      <c r="AC491" s="62" t="s">
        <v>7196</v>
      </c>
      <c r="AD491" s="53" t="str">
        <f t="shared" si="371"/>
        <v>Link</v>
      </c>
      <c r="AE491" s="54">
        <v>2963</v>
      </c>
      <c r="AF491" s="55"/>
      <c r="AG491" s="48"/>
      <c r="AH491" s="56">
        <v>187648</v>
      </c>
    </row>
    <row r="492" spans="1:34" ht="13" x14ac:dyDescent="0.15">
      <c r="A492" s="57" t="s">
        <v>7181</v>
      </c>
      <c r="B492" s="31" t="s">
        <v>7182</v>
      </c>
      <c r="C492" s="7" t="s">
        <v>41</v>
      </c>
      <c r="D492" s="7" t="s">
        <v>7215</v>
      </c>
      <c r="E492" s="44">
        <v>5</v>
      </c>
      <c r="F492" s="7"/>
      <c r="G492" s="7"/>
      <c r="H492" s="7" t="s">
        <v>7186</v>
      </c>
      <c r="I492" s="7" t="s">
        <v>7217</v>
      </c>
      <c r="J492" s="7" t="s">
        <v>7218</v>
      </c>
      <c r="K492" s="7" t="s">
        <v>120</v>
      </c>
      <c r="L492" s="7"/>
      <c r="M492" s="7" t="s">
        <v>7212</v>
      </c>
      <c r="N492" s="45" t="str">
        <f t="shared" si="369"/>
        <v>@enmusoftball</v>
      </c>
      <c r="O492" s="45" t="str">
        <f t="shared" si="370"/>
        <v>Questionnaire</v>
      </c>
      <c r="P492" s="48" t="s">
        <v>7196</v>
      </c>
      <c r="Q492" s="47" t="s">
        <v>7198</v>
      </c>
      <c r="R492" s="48" t="s">
        <v>7199</v>
      </c>
      <c r="S492" s="48" t="s">
        <v>172</v>
      </c>
      <c r="T492" s="49" t="s">
        <v>74</v>
      </c>
      <c r="U492" s="49" t="s">
        <v>75</v>
      </c>
      <c r="V492" s="48"/>
      <c r="W492" s="71">
        <v>3.19</v>
      </c>
      <c r="X492" s="49" t="s">
        <v>7200</v>
      </c>
      <c r="Y492" s="49" t="s">
        <v>1144</v>
      </c>
      <c r="Z492" s="49" t="s">
        <v>1948</v>
      </c>
      <c r="AA492" s="61">
        <v>0.63</v>
      </c>
      <c r="AB492" s="48" t="s">
        <v>7202</v>
      </c>
      <c r="AC492" s="62" t="s">
        <v>7196</v>
      </c>
      <c r="AD492" s="53" t="str">
        <f t="shared" si="371"/>
        <v>Link</v>
      </c>
      <c r="AE492" s="54">
        <v>2963</v>
      </c>
      <c r="AF492" s="55"/>
      <c r="AG492" s="48"/>
      <c r="AH492" s="56">
        <v>187648</v>
      </c>
    </row>
    <row r="493" spans="1:34" ht="13" x14ac:dyDescent="0.15">
      <c r="A493" s="57" t="s">
        <v>7181</v>
      </c>
      <c r="B493" s="31" t="s">
        <v>7182</v>
      </c>
      <c r="C493" s="7" t="s">
        <v>41</v>
      </c>
      <c r="D493" s="7" t="s">
        <v>7226</v>
      </c>
      <c r="E493" s="44">
        <v>5</v>
      </c>
      <c r="F493" s="7"/>
      <c r="G493" s="7" t="s">
        <v>126</v>
      </c>
      <c r="H493" s="7" t="s">
        <v>7186</v>
      </c>
      <c r="I493" s="7" t="s">
        <v>7228</v>
      </c>
      <c r="J493" s="7"/>
      <c r="K493" s="7"/>
      <c r="L493" s="7"/>
      <c r="M493" s="7"/>
      <c r="N493" s="45" t="str">
        <f t="shared" si="369"/>
        <v>@enmusoftball</v>
      </c>
      <c r="O493" s="45" t="str">
        <f t="shared" si="370"/>
        <v>Questionnaire</v>
      </c>
      <c r="P493" s="48" t="s">
        <v>7196</v>
      </c>
      <c r="Q493" s="47" t="s">
        <v>7198</v>
      </c>
      <c r="R493" s="48" t="s">
        <v>7199</v>
      </c>
      <c r="S493" s="48" t="s">
        <v>172</v>
      </c>
      <c r="T493" s="49" t="s">
        <v>74</v>
      </c>
      <c r="U493" s="49" t="s">
        <v>75</v>
      </c>
      <c r="V493" s="48"/>
      <c r="W493" s="71">
        <v>3.19</v>
      </c>
      <c r="X493" s="49" t="s">
        <v>7200</v>
      </c>
      <c r="Y493" s="49" t="s">
        <v>1144</v>
      </c>
      <c r="Z493" s="49" t="s">
        <v>1948</v>
      </c>
      <c r="AA493" s="61">
        <v>0.63</v>
      </c>
      <c r="AB493" s="48" t="s">
        <v>7202</v>
      </c>
      <c r="AC493" s="62" t="s">
        <v>7196</v>
      </c>
      <c r="AD493" s="53" t="str">
        <f t="shared" si="371"/>
        <v>Link</v>
      </c>
      <c r="AE493" s="54">
        <v>2963</v>
      </c>
      <c r="AF493" s="55"/>
      <c r="AG493" s="48"/>
      <c r="AH493" s="56">
        <v>187648</v>
      </c>
    </row>
    <row r="494" spans="1:34" ht="13" x14ac:dyDescent="0.15">
      <c r="A494" s="57" t="s">
        <v>2071</v>
      </c>
      <c r="B494" s="31" t="s">
        <v>7182</v>
      </c>
      <c r="C494" s="7" t="s">
        <v>41</v>
      </c>
      <c r="D494" s="7" t="s">
        <v>7231</v>
      </c>
      <c r="E494" s="44">
        <v>5</v>
      </c>
      <c r="F494" s="7"/>
      <c r="G494" s="7"/>
      <c r="H494" s="7" t="s">
        <v>7232</v>
      </c>
      <c r="I494" s="7" t="s">
        <v>7233</v>
      </c>
      <c r="J494" s="7" t="s">
        <v>7234</v>
      </c>
      <c r="K494" s="7" t="s">
        <v>48</v>
      </c>
      <c r="L494" s="7" t="s">
        <v>7237</v>
      </c>
      <c r="M494" s="7" t="s">
        <v>7239</v>
      </c>
      <c r="N494" s="48"/>
      <c r="O494" s="45" t="str">
        <f t="shared" ref="O494:O495" si="372">HYPERLINK("https://nmhuathletics.com/sb_output.aspx?form=3","Questionnaire")</f>
        <v>Questionnaire</v>
      </c>
      <c r="P494" s="48" t="s">
        <v>7246</v>
      </c>
      <c r="Q494" s="47" t="s">
        <v>7198</v>
      </c>
      <c r="R494" s="48" t="s">
        <v>7248</v>
      </c>
      <c r="S494" s="48" t="s">
        <v>354</v>
      </c>
      <c r="T494" s="49" t="s">
        <v>74</v>
      </c>
      <c r="U494" s="49" t="s">
        <v>75</v>
      </c>
      <c r="V494" s="48"/>
      <c r="W494" s="71">
        <v>2.99</v>
      </c>
      <c r="X494" s="49" t="s">
        <v>214</v>
      </c>
      <c r="Y494" s="49" t="s">
        <v>214</v>
      </c>
      <c r="Z494" s="49" t="s">
        <v>214</v>
      </c>
      <c r="AA494" s="61">
        <v>1</v>
      </c>
      <c r="AB494" s="48" t="s">
        <v>7249</v>
      </c>
      <c r="AC494" s="62" t="s">
        <v>7246</v>
      </c>
      <c r="AD494" s="53" t="str">
        <f t="shared" ref="AD494:AD495" si="373">HYPERLINK("http://www.nmhu.edu/academics/","Link")</f>
        <v>Link</v>
      </c>
      <c r="AE494" s="54">
        <v>2125</v>
      </c>
      <c r="AF494" s="55"/>
      <c r="AG494" s="48"/>
      <c r="AH494" s="56">
        <v>187897</v>
      </c>
    </row>
    <row r="495" spans="1:34" ht="13" x14ac:dyDescent="0.15">
      <c r="A495" s="57" t="s">
        <v>2071</v>
      </c>
      <c r="B495" s="31" t="s">
        <v>7182</v>
      </c>
      <c r="C495" s="7" t="s">
        <v>41</v>
      </c>
      <c r="D495" s="7" t="s">
        <v>7251</v>
      </c>
      <c r="E495" s="44">
        <v>5</v>
      </c>
      <c r="F495" s="7"/>
      <c r="G495" s="7"/>
      <c r="H495" s="7" t="s">
        <v>7232</v>
      </c>
      <c r="I495" s="7" t="s">
        <v>1481</v>
      </c>
      <c r="J495" s="7" t="s">
        <v>7252</v>
      </c>
      <c r="K495" s="7" t="s">
        <v>120</v>
      </c>
      <c r="L495" s="7"/>
      <c r="M495" s="7"/>
      <c r="N495" s="48"/>
      <c r="O495" s="45" t="str">
        <f t="shared" si="372"/>
        <v>Questionnaire</v>
      </c>
      <c r="P495" s="48" t="s">
        <v>7246</v>
      </c>
      <c r="Q495" s="47" t="s">
        <v>7198</v>
      </c>
      <c r="R495" s="48" t="s">
        <v>7248</v>
      </c>
      <c r="S495" s="48" t="s">
        <v>354</v>
      </c>
      <c r="T495" s="49" t="s">
        <v>74</v>
      </c>
      <c r="U495" s="49" t="s">
        <v>75</v>
      </c>
      <c r="V495" s="48"/>
      <c r="W495" s="71">
        <v>2.99</v>
      </c>
      <c r="X495" s="49" t="s">
        <v>214</v>
      </c>
      <c r="Y495" s="49" t="s">
        <v>214</v>
      </c>
      <c r="Z495" s="49" t="s">
        <v>214</v>
      </c>
      <c r="AA495" s="61">
        <v>1</v>
      </c>
      <c r="AB495" s="48" t="s">
        <v>7249</v>
      </c>
      <c r="AC495" s="62" t="s">
        <v>7246</v>
      </c>
      <c r="AD495" s="53" t="str">
        <f t="shared" si="373"/>
        <v>Link</v>
      </c>
      <c r="AE495" s="54">
        <v>2125</v>
      </c>
      <c r="AF495" s="55"/>
      <c r="AG495" s="48"/>
      <c r="AH495" s="56">
        <v>187897</v>
      </c>
    </row>
    <row r="496" spans="1:34" ht="13" x14ac:dyDescent="0.15">
      <c r="A496" s="57" t="s">
        <v>7181</v>
      </c>
      <c r="B496" s="31" t="s">
        <v>7182</v>
      </c>
      <c r="C496" s="7" t="s">
        <v>41</v>
      </c>
      <c r="D496" s="7" t="s">
        <v>7259</v>
      </c>
      <c r="E496" s="44">
        <v>5</v>
      </c>
      <c r="F496" s="7"/>
      <c r="G496" s="7"/>
      <c r="H496" s="7" t="s">
        <v>7260</v>
      </c>
      <c r="I496" s="7" t="s">
        <v>7261</v>
      </c>
      <c r="J496" s="7" t="s">
        <v>7262</v>
      </c>
      <c r="K496" s="7" t="s">
        <v>48</v>
      </c>
      <c r="L496" s="7" t="s">
        <v>7263</v>
      </c>
      <c r="M496" s="7" t="s">
        <v>7264</v>
      </c>
      <c r="N496" s="45" t="str">
        <f t="shared" ref="N496:N498" si="374">HYPERLINK("twitter.com/wnmu_sb","@wnmu_sb")</f>
        <v>@wnmu_sb</v>
      </c>
      <c r="O496" s="114" t="str">
        <f t="shared" ref="O496:O498" si="375">HYPERLINK("https://wnmumustangs.com/sb_output.aspx?form=12&amp;path=softball","Questionnaire")</f>
        <v>Questionnaire</v>
      </c>
      <c r="P496" s="48" t="s">
        <v>7271</v>
      </c>
      <c r="Q496" s="60" t="s">
        <v>7198</v>
      </c>
      <c r="R496" s="48" t="s">
        <v>7272</v>
      </c>
      <c r="S496" s="60" t="s">
        <v>205</v>
      </c>
      <c r="T496" s="4" t="s">
        <v>74</v>
      </c>
      <c r="U496" s="48" t="s">
        <v>75</v>
      </c>
      <c r="V496" s="48"/>
      <c r="W496" s="39">
        <v>2.5</v>
      </c>
      <c r="X496" s="49" t="s">
        <v>214</v>
      </c>
      <c r="Y496" s="49" t="s">
        <v>214</v>
      </c>
      <c r="Z496" s="49" t="s">
        <v>214</v>
      </c>
      <c r="AA496" s="8" t="s">
        <v>214</v>
      </c>
      <c r="AB496" s="48" t="s">
        <v>7282</v>
      </c>
      <c r="AC496" s="62" t="s">
        <v>7271</v>
      </c>
      <c r="AD496" s="53" t="str">
        <f t="shared" ref="AD496:AD498" si="376">HYPERLINK("https://wnmu.edu/degrees/","Link")</f>
        <v>Link</v>
      </c>
      <c r="AE496" s="42">
        <v>2491</v>
      </c>
      <c r="AF496" s="55"/>
      <c r="AG496" s="48"/>
      <c r="AH496" s="56">
        <v>188304</v>
      </c>
    </row>
    <row r="497" spans="1:34" ht="13" x14ac:dyDescent="0.15">
      <c r="A497" s="57" t="s">
        <v>7181</v>
      </c>
      <c r="B497" s="31" t="s">
        <v>7182</v>
      </c>
      <c r="C497" s="7" t="s">
        <v>41</v>
      </c>
      <c r="D497" s="7" t="s">
        <v>7286</v>
      </c>
      <c r="E497" s="44">
        <v>5</v>
      </c>
      <c r="F497" s="7"/>
      <c r="G497" s="7"/>
      <c r="H497" s="7" t="s">
        <v>7260</v>
      </c>
      <c r="I497" s="7" t="s">
        <v>7289</v>
      </c>
      <c r="J497" s="7" t="s">
        <v>7290</v>
      </c>
      <c r="K497" s="7" t="s">
        <v>55</v>
      </c>
      <c r="L497" s="7" t="s">
        <v>7291</v>
      </c>
      <c r="M497" s="7" t="s">
        <v>7264</v>
      </c>
      <c r="N497" s="45" t="str">
        <f t="shared" si="374"/>
        <v>@wnmu_sb</v>
      </c>
      <c r="O497" s="114" t="str">
        <f t="shared" si="375"/>
        <v>Questionnaire</v>
      </c>
      <c r="P497" s="48" t="s">
        <v>7271</v>
      </c>
      <c r="Q497" s="60" t="s">
        <v>7198</v>
      </c>
      <c r="R497" s="48" t="s">
        <v>7272</v>
      </c>
      <c r="S497" s="60" t="s">
        <v>205</v>
      </c>
      <c r="T497" s="4" t="s">
        <v>74</v>
      </c>
      <c r="U497" s="48" t="s">
        <v>75</v>
      </c>
      <c r="V497" s="48"/>
      <c r="W497" s="39">
        <v>2.5</v>
      </c>
      <c r="X497" s="49" t="s">
        <v>214</v>
      </c>
      <c r="Y497" s="49" t="s">
        <v>214</v>
      </c>
      <c r="Z497" s="49" t="s">
        <v>214</v>
      </c>
      <c r="AA497" s="8" t="s">
        <v>214</v>
      </c>
      <c r="AB497" s="48" t="s">
        <v>7282</v>
      </c>
      <c r="AC497" s="62" t="s">
        <v>7271</v>
      </c>
      <c r="AD497" s="53" t="str">
        <f t="shared" si="376"/>
        <v>Link</v>
      </c>
      <c r="AE497" s="42">
        <v>2491</v>
      </c>
      <c r="AF497" s="55"/>
      <c r="AG497" s="48"/>
      <c r="AH497" s="56">
        <v>188304</v>
      </c>
    </row>
    <row r="498" spans="1:34" ht="13" x14ac:dyDescent="0.15">
      <c r="A498" s="57" t="s">
        <v>7181</v>
      </c>
      <c r="B498" s="31" t="s">
        <v>7182</v>
      </c>
      <c r="C498" s="7" t="s">
        <v>41</v>
      </c>
      <c r="D498" s="7" t="s">
        <v>7295</v>
      </c>
      <c r="E498" s="44">
        <v>5</v>
      </c>
      <c r="F498" s="7"/>
      <c r="G498" s="7"/>
      <c r="H498" s="7" t="s">
        <v>7260</v>
      </c>
      <c r="I498" s="7" t="s">
        <v>7296</v>
      </c>
      <c r="J498" s="7" t="s">
        <v>7297</v>
      </c>
      <c r="K498" s="7" t="s">
        <v>120</v>
      </c>
      <c r="L498" s="7" t="s">
        <v>7299</v>
      </c>
      <c r="M498" s="7"/>
      <c r="N498" s="45" t="str">
        <f t="shared" si="374"/>
        <v>@wnmu_sb</v>
      </c>
      <c r="O498" s="114" t="str">
        <f t="shared" si="375"/>
        <v>Questionnaire</v>
      </c>
      <c r="P498" s="48" t="s">
        <v>7271</v>
      </c>
      <c r="Q498" s="60" t="s">
        <v>7198</v>
      </c>
      <c r="R498" s="48" t="s">
        <v>7272</v>
      </c>
      <c r="S498" s="60" t="s">
        <v>205</v>
      </c>
      <c r="T498" s="4" t="s">
        <v>74</v>
      </c>
      <c r="U498" s="48" t="s">
        <v>75</v>
      </c>
      <c r="V498" s="48"/>
      <c r="W498" s="39">
        <v>2.5</v>
      </c>
      <c r="X498" s="49" t="s">
        <v>214</v>
      </c>
      <c r="Y498" s="49" t="s">
        <v>214</v>
      </c>
      <c r="Z498" s="49" t="s">
        <v>214</v>
      </c>
      <c r="AA498" s="8" t="s">
        <v>214</v>
      </c>
      <c r="AB498" s="48" t="s">
        <v>7282</v>
      </c>
      <c r="AC498" s="62" t="s">
        <v>7271</v>
      </c>
      <c r="AD498" s="53" t="str">
        <f t="shared" si="376"/>
        <v>Link</v>
      </c>
      <c r="AE498" s="42">
        <v>2491</v>
      </c>
      <c r="AF498" s="55"/>
      <c r="AG498" s="48"/>
      <c r="AH498" s="56">
        <v>188304</v>
      </c>
    </row>
    <row r="499" spans="1:34" ht="15" x14ac:dyDescent="0.2">
      <c r="A499" s="57" t="s">
        <v>2694</v>
      </c>
      <c r="B499" s="31" t="s">
        <v>7303</v>
      </c>
      <c r="C499" s="7" t="s">
        <v>41</v>
      </c>
      <c r="D499" s="7" t="s">
        <v>7305</v>
      </c>
      <c r="E499" s="44">
        <v>5</v>
      </c>
      <c r="F499" s="7"/>
      <c r="G499" s="7"/>
      <c r="H499" s="7" t="s">
        <v>7307</v>
      </c>
      <c r="I499" s="7" t="s">
        <v>1701</v>
      </c>
      <c r="J499" s="7" t="s">
        <v>7308</v>
      </c>
      <c r="K499" s="7" t="s">
        <v>48</v>
      </c>
      <c r="L499" s="7" t="s">
        <v>7310</v>
      </c>
      <c r="M499" s="7" t="s">
        <v>7311</v>
      </c>
      <c r="N499" s="45" t="str">
        <f t="shared" ref="N499:N502" si="377">HYPERLINK("twitter.com/adelphisb","@adelphisb")</f>
        <v>@adelphisb</v>
      </c>
      <c r="O499" s="45" t="str">
        <f t="shared" ref="O499:O502" si="378">HYPERLINK("https://aupanthers.com/sb_output.aspx?form=3","Questionnaire")</f>
        <v>Questionnaire</v>
      </c>
      <c r="P499" s="48" t="s">
        <v>7314</v>
      </c>
      <c r="Q499" s="47" t="s">
        <v>1304</v>
      </c>
      <c r="R499" s="48" t="s">
        <v>7316</v>
      </c>
      <c r="S499" s="48" t="s">
        <v>172</v>
      </c>
      <c r="T499" s="49" t="s">
        <v>63</v>
      </c>
      <c r="U499" s="49" t="s">
        <v>75</v>
      </c>
      <c r="V499" s="48"/>
      <c r="W499" s="71">
        <v>3.55</v>
      </c>
      <c r="X499" s="49" t="s">
        <v>344</v>
      </c>
      <c r="Y499" s="49" t="s">
        <v>291</v>
      </c>
      <c r="Z499" s="49" t="s">
        <v>320</v>
      </c>
      <c r="AA499" s="51">
        <v>0.70289999999999997</v>
      </c>
      <c r="AB499" s="54">
        <v>53688</v>
      </c>
      <c r="AC499" s="52" t="s">
        <v>7314</v>
      </c>
      <c r="AD499" s="53" t="str">
        <f t="shared" ref="AD499:AD502" si="379">HYPERLINK("http://catalog.adelphi.edu/content.php?catoid=7&amp;navoid=392#Academic_Programs__Certificates_and_Minors","Link")</f>
        <v>Link</v>
      </c>
      <c r="AE499" s="54">
        <v>5205</v>
      </c>
      <c r="AF499" s="54">
        <v>151</v>
      </c>
      <c r="AG499" s="48"/>
      <c r="AH499" s="56">
        <v>188429</v>
      </c>
    </row>
    <row r="500" spans="1:34" ht="15" x14ac:dyDescent="0.2">
      <c r="A500" s="57" t="s">
        <v>2694</v>
      </c>
      <c r="B500" s="31" t="s">
        <v>7303</v>
      </c>
      <c r="C500" s="7" t="s">
        <v>41</v>
      </c>
      <c r="D500" s="7" t="s">
        <v>7323</v>
      </c>
      <c r="E500" s="44">
        <v>5</v>
      </c>
      <c r="F500" s="7"/>
      <c r="G500" s="7"/>
      <c r="H500" s="7" t="s">
        <v>7307</v>
      </c>
      <c r="I500" s="7" t="s">
        <v>7324</v>
      </c>
      <c r="J500" s="7" t="s">
        <v>7325</v>
      </c>
      <c r="K500" s="7" t="s">
        <v>55</v>
      </c>
      <c r="L500" s="7" t="s">
        <v>7326</v>
      </c>
      <c r="M500" s="7" t="s">
        <v>7327</v>
      </c>
      <c r="N500" s="45" t="str">
        <f t="shared" si="377"/>
        <v>@adelphisb</v>
      </c>
      <c r="O500" s="45" t="str">
        <f t="shared" si="378"/>
        <v>Questionnaire</v>
      </c>
      <c r="P500" s="48" t="s">
        <v>7314</v>
      </c>
      <c r="Q500" s="47" t="s">
        <v>1304</v>
      </c>
      <c r="R500" s="48" t="s">
        <v>7316</v>
      </c>
      <c r="S500" s="48" t="s">
        <v>172</v>
      </c>
      <c r="T500" s="49" t="s">
        <v>63</v>
      </c>
      <c r="U500" s="49" t="s">
        <v>75</v>
      </c>
      <c r="V500" s="48"/>
      <c r="W500" s="71">
        <v>3.55</v>
      </c>
      <c r="X500" s="49" t="s">
        <v>344</v>
      </c>
      <c r="Y500" s="49" t="s">
        <v>291</v>
      </c>
      <c r="Z500" s="49" t="s">
        <v>320</v>
      </c>
      <c r="AA500" s="51">
        <v>0.70289999999999997</v>
      </c>
      <c r="AB500" s="54">
        <v>53688</v>
      </c>
      <c r="AC500" s="52" t="s">
        <v>7314</v>
      </c>
      <c r="AD500" s="53" t="str">
        <f t="shared" si="379"/>
        <v>Link</v>
      </c>
      <c r="AE500" s="54">
        <v>5205</v>
      </c>
      <c r="AF500" s="54">
        <v>151</v>
      </c>
      <c r="AG500" s="48"/>
      <c r="AH500" s="56">
        <v>188429</v>
      </c>
    </row>
    <row r="501" spans="1:34" ht="15" x14ac:dyDescent="0.2">
      <c r="A501" s="57" t="s">
        <v>2694</v>
      </c>
      <c r="B501" s="31" t="s">
        <v>7303</v>
      </c>
      <c r="C501" s="7" t="s">
        <v>41</v>
      </c>
      <c r="D501" s="7" t="s">
        <v>7329</v>
      </c>
      <c r="E501" s="44">
        <v>5</v>
      </c>
      <c r="F501" s="7"/>
      <c r="G501" s="7"/>
      <c r="H501" s="7" t="s">
        <v>7307</v>
      </c>
      <c r="I501" s="7" t="s">
        <v>3393</v>
      </c>
      <c r="J501" s="7" t="s">
        <v>7330</v>
      </c>
      <c r="K501" s="7" t="s">
        <v>55</v>
      </c>
      <c r="L501" s="7"/>
      <c r="M501" s="7" t="s">
        <v>7311</v>
      </c>
      <c r="N501" s="45" t="str">
        <f t="shared" si="377"/>
        <v>@adelphisb</v>
      </c>
      <c r="O501" s="45" t="str">
        <f t="shared" si="378"/>
        <v>Questionnaire</v>
      </c>
      <c r="P501" s="48" t="s">
        <v>7314</v>
      </c>
      <c r="Q501" s="47" t="s">
        <v>1304</v>
      </c>
      <c r="R501" s="48" t="s">
        <v>7316</v>
      </c>
      <c r="S501" s="48" t="s">
        <v>172</v>
      </c>
      <c r="T501" s="49" t="s">
        <v>63</v>
      </c>
      <c r="U501" s="49" t="s">
        <v>75</v>
      </c>
      <c r="V501" s="48"/>
      <c r="W501" s="71">
        <v>3.55</v>
      </c>
      <c r="X501" s="49" t="s">
        <v>344</v>
      </c>
      <c r="Y501" s="49" t="s">
        <v>291</v>
      </c>
      <c r="Z501" s="49" t="s">
        <v>320</v>
      </c>
      <c r="AA501" s="51">
        <v>0.70289999999999997</v>
      </c>
      <c r="AB501" s="54">
        <v>53688</v>
      </c>
      <c r="AC501" s="52" t="s">
        <v>7314</v>
      </c>
      <c r="AD501" s="53" t="str">
        <f t="shared" si="379"/>
        <v>Link</v>
      </c>
      <c r="AE501" s="54">
        <v>5205</v>
      </c>
      <c r="AF501" s="54">
        <v>151</v>
      </c>
      <c r="AG501" s="48"/>
      <c r="AH501" s="56">
        <v>188429</v>
      </c>
    </row>
    <row r="502" spans="1:34" ht="15" x14ac:dyDescent="0.2">
      <c r="A502" s="57" t="s">
        <v>2694</v>
      </c>
      <c r="B502" s="31" t="s">
        <v>7303</v>
      </c>
      <c r="C502" s="7" t="s">
        <v>41</v>
      </c>
      <c r="D502" s="7" t="s">
        <v>7337</v>
      </c>
      <c r="E502" s="44">
        <v>5</v>
      </c>
      <c r="F502" s="7"/>
      <c r="G502" s="7"/>
      <c r="H502" s="7" t="s">
        <v>7307</v>
      </c>
      <c r="I502" s="7" t="s">
        <v>7338</v>
      </c>
      <c r="J502" s="7" t="s">
        <v>7339</v>
      </c>
      <c r="K502" s="7" t="s">
        <v>55</v>
      </c>
      <c r="L502" s="7" t="s">
        <v>7340</v>
      </c>
      <c r="M502" s="7" t="s">
        <v>7311</v>
      </c>
      <c r="N502" s="45" t="str">
        <f t="shared" si="377"/>
        <v>@adelphisb</v>
      </c>
      <c r="O502" s="45" t="str">
        <f t="shared" si="378"/>
        <v>Questionnaire</v>
      </c>
      <c r="P502" s="48" t="s">
        <v>7314</v>
      </c>
      <c r="Q502" s="47" t="s">
        <v>1304</v>
      </c>
      <c r="R502" s="48" t="s">
        <v>7316</v>
      </c>
      <c r="S502" s="48" t="s">
        <v>172</v>
      </c>
      <c r="T502" s="49" t="s">
        <v>63</v>
      </c>
      <c r="U502" s="49" t="s">
        <v>75</v>
      </c>
      <c r="V502" s="48"/>
      <c r="W502" s="71">
        <v>3.55</v>
      </c>
      <c r="X502" s="49" t="s">
        <v>344</v>
      </c>
      <c r="Y502" s="49" t="s">
        <v>291</v>
      </c>
      <c r="Z502" s="49" t="s">
        <v>320</v>
      </c>
      <c r="AA502" s="51">
        <v>0.70289999999999997</v>
      </c>
      <c r="AB502" s="54">
        <v>53688</v>
      </c>
      <c r="AC502" s="52" t="s">
        <v>7314</v>
      </c>
      <c r="AD502" s="53" t="str">
        <f t="shared" si="379"/>
        <v>Link</v>
      </c>
      <c r="AE502" s="54">
        <v>5205</v>
      </c>
      <c r="AF502" s="54">
        <v>151</v>
      </c>
      <c r="AG502" s="48"/>
      <c r="AH502" s="56">
        <v>188429</v>
      </c>
    </row>
    <row r="503" spans="1:34" ht="13" x14ac:dyDescent="0.15">
      <c r="A503" s="57" t="s">
        <v>2641</v>
      </c>
      <c r="B503" s="31" t="s">
        <v>7303</v>
      </c>
      <c r="C503" s="7" t="s">
        <v>41</v>
      </c>
      <c r="D503" s="7" t="s">
        <v>7344</v>
      </c>
      <c r="E503" s="44">
        <v>5</v>
      </c>
      <c r="F503" s="7"/>
      <c r="G503" s="7"/>
      <c r="H503" s="7" t="s">
        <v>7345</v>
      </c>
      <c r="I503" s="7" t="s">
        <v>1735</v>
      </c>
      <c r="J503" s="7" t="s">
        <v>7346</v>
      </c>
      <c r="K503" s="7" t="s">
        <v>48</v>
      </c>
      <c r="L503" s="7" t="s">
        <v>7348</v>
      </c>
      <c r="M503" s="7" t="s">
        <v>7349</v>
      </c>
      <c r="N503" s="48"/>
      <c r="O503" s="45" t="str">
        <f t="shared" ref="O503:O504" si="380">HYPERLINK("https://www.concordiaclippers.com/athletic_questionnaires/index","Questionnaire")</f>
        <v>Questionnaire</v>
      </c>
      <c r="P503" s="48" t="s">
        <v>7352</v>
      </c>
      <c r="Q503" s="47" t="s">
        <v>1304</v>
      </c>
      <c r="R503" s="48" t="s">
        <v>7353</v>
      </c>
      <c r="S503" s="60" t="s">
        <v>205</v>
      </c>
      <c r="T503" s="49" t="s">
        <v>63</v>
      </c>
      <c r="U503" s="49" t="s">
        <v>1620</v>
      </c>
      <c r="V503" s="48"/>
      <c r="W503" s="71">
        <v>3.25</v>
      </c>
      <c r="X503" s="49" t="s">
        <v>3428</v>
      </c>
      <c r="Y503" s="49" t="s">
        <v>3613</v>
      </c>
      <c r="Z503" s="49" t="s">
        <v>7354</v>
      </c>
      <c r="AA503" s="61">
        <v>0.71</v>
      </c>
      <c r="AB503" s="71">
        <v>45177</v>
      </c>
      <c r="AC503" s="62" t="s">
        <v>7352</v>
      </c>
      <c r="AD503" s="53" t="str">
        <f t="shared" ref="AD503:AD504" si="381">HYPERLINK("https://www.concordia-ny.edu/academics/undergraduate","Link")</f>
        <v>Link</v>
      </c>
      <c r="AE503" s="54">
        <v>929</v>
      </c>
      <c r="AF503" s="55"/>
      <c r="AG503" s="48"/>
      <c r="AH503" s="56">
        <v>190248</v>
      </c>
    </row>
    <row r="504" spans="1:34" ht="13" x14ac:dyDescent="0.15">
      <c r="A504" s="57" t="s">
        <v>2641</v>
      </c>
      <c r="B504" s="31" t="s">
        <v>7303</v>
      </c>
      <c r="C504" s="7" t="s">
        <v>41</v>
      </c>
      <c r="D504" s="7" t="s">
        <v>7360</v>
      </c>
      <c r="E504" s="44">
        <v>5</v>
      </c>
      <c r="F504" s="7"/>
      <c r="G504" s="7"/>
      <c r="H504" s="7" t="s">
        <v>7345</v>
      </c>
      <c r="I504" s="7" t="s">
        <v>4044</v>
      </c>
      <c r="J504" s="7" t="s">
        <v>7361</v>
      </c>
      <c r="K504" s="7" t="s">
        <v>55</v>
      </c>
      <c r="L504" s="7" t="s">
        <v>7362</v>
      </c>
      <c r="M504" s="7" t="s">
        <v>7349</v>
      </c>
      <c r="N504" s="48"/>
      <c r="O504" s="45" t="str">
        <f t="shared" si="380"/>
        <v>Questionnaire</v>
      </c>
      <c r="P504" s="48" t="s">
        <v>7352</v>
      </c>
      <c r="Q504" s="47" t="s">
        <v>1304</v>
      </c>
      <c r="R504" s="48" t="s">
        <v>7353</v>
      </c>
      <c r="S504" s="60" t="s">
        <v>205</v>
      </c>
      <c r="T504" s="49" t="s">
        <v>63</v>
      </c>
      <c r="U504" s="49" t="s">
        <v>1620</v>
      </c>
      <c r="V504" s="48"/>
      <c r="W504" s="71">
        <v>3.25</v>
      </c>
      <c r="X504" s="49" t="s">
        <v>3428</v>
      </c>
      <c r="Y504" s="49" t="s">
        <v>3613</v>
      </c>
      <c r="Z504" s="49" t="s">
        <v>7354</v>
      </c>
      <c r="AA504" s="61">
        <v>0.71</v>
      </c>
      <c r="AB504" s="71">
        <v>45177</v>
      </c>
      <c r="AC504" s="62" t="s">
        <v>7352</v>
      </c>
      <c r="AD504" s="53" t="str">
        <f t="shared" si="381"/>
        <v>Link</v>
      </c>
      <c r="AE504" s="54">
        <v>929</v>
      </c>
      <c r="AF504" s="55"/>
      <c r="AG504" s="48"/>
      <c r="AH504" s="56">
        <v>190248</v>
      </c>
    </row>
    <row r="505" spans="1:34" ht="13" x14ac:dyDescent="0.15">
      <c r="A505" s="57" t="s">
        <v>2641</v>
      </c>
      <c r="B505" s="31" t="s">
        <v>7303</v>
      </c>
      <c r="C505" s="7" t="s">
        <v>41</v>
      </c>
      <c r="D505" s="7" t="s">
        <v>7367</v>
      </c>
      <c r="E505" s="44">
        <v>5</v>
      </c>
      <c r="F505" s="7"/>
      <c r="G505" s="7"/>
      <c r="H505" s="7" t="s">
        <v>7368</v>
      </c>
      <c r="I505" s="7" t="s">
        <v>1541</v>
      </c>
      <c r="J505" s="7" t="s">
        <v>7370</v>
      </c>
      <c r="K505" s="7" t="s">
        <v>48</v>
      </c>
      <c r="L505" s="7" t="s">
        <v>7372</v>
      </c>
      <c r="M505" s="7" t="s">
        <v>7373</v>
      </c>
      <c r="N505" s="48"/>
      <c r="O505" s="45" t="str">
        <f t="shared" ref="O505:O507" si="382">HYPERLINK("https://www.chargerathletics.com/information/prospective-students/index","Questionnaire")</f>
        <v>Questionnaire</v>
      </c>
      <c r="P505" s="48" t="s">
        <v>7378</v>
      </c>
      <c r="Q505" s="47" t="s">
        <v>1304</v>
      </c>
      <c r="R505" s="48" t="s">
        <v>7379</v>
      </c>
      <c r="S505" s="60" t="s">
        <v>205</v>
      </c>
      <c r="T505" s="49" t="s">
        <v>63</v>
      </c>
      <c r="U505" s="49" t="s">
        <v>75</v>
      </c>
      <c r="V505" s="48"/>
      <c r="W505" s="71">
        <v>3.03</v>
      </c>
      <c r="X505" s="49" t="s">
        <v>3614</v>
      </c>
      <c r="Y505" s="49" t="s">
        <v>6814</v>
      </c>
      <c r="Z505" s="49" t="s">
        <v>3230</v>
      </c>
      <c r="AA505" s="61">
        <v>0.75</v>
      </c>
      <c r="AB505" s="71">
        <v>44308</v>
      </c>
      <c r="AC505" s="62" t="s">
        <v>7378</v>
      </c>
      <c r="AD505" s="53" t="str">
        <f t="shared" ref="AD505:AD507" si="383">HYPERLINK("https://www.dc.edu/undergraduate/","Link")</f>
        <v>Link</v>
      </c>
      <c r="AE505" s="54">
        <v>1478</v>
      </c>
      <c r="AF505" s="55"/>
      <c r="AG505" s="48"/>
      <c r="AH505" s="56">
        <v>190761</v>
      </c>
    </row>
    <row r="506" spans="1:34" ht="13" x14ac:dyDescent="0.15">
      <c r="A506" s="57" t="s">
        <v>2641</v>
      </c>
      <c r="B506" s="31" t="s">
        <v>7303</v>
      </c>
      <c r="C506" s="7" t="s">
        <v>41</v>
      </c>
      <c r="D506" s="7" t="s">
        <v>7381</v>
      </c>
      <c r="E506" s="44">
        <v>5</v>
      </c>
      <c r="F506" s="7"/>
      <c r="G506" s="7"/>
      <c r="H506" s="7" t="s">
        <v>7368</v>
      </c>
      <c r="I506" s="7" t="s">
        <v>2402</v>
      </c>
      <c r="J506" s="7" t="s">
        <v>7383</v>
      </c>
      <c r="K506" s="7" t="s">
        <v>919</v>
      </c>
      <c r="L506" s="7" t="s">
        <v>7384</v>
      </c>
      <c r="M506" s="7"/>
      <c r="N506" s="48"/>
      <c r="O506" s="45" t="str">
        <f t="shared" si="382"/>
        <v>Questionnaire</v>
      </c>
      <c r="P506" s="48" t="s">
        <v>7378</v>
      </c>
      <c r="Q506" s="47" t="s">
        <v>1304</v>
      </c>
      <c r="R506" s="48" t="s">
        <v>7379</v>
      </c>
      <c r="S506" s="60" t="s">
        <v>205</v>
      </c>
      <c r="T506" s="49" t="s">
        <v>63</v>
      </c>
      <c r="U506" s="49" t="s">
        <v>75</v>
      </c>
      <c r="V506" s="48"/>
      <c r="W506" s="71">
        <v>3.03</v>
      </c>
      <c r="X506" s="49" t="s">
        <v>3614</v>
      </c>
      <c r="Y506" s="49" t="s">
        <v>6814</v>
      </c>
      <c r="Z506" s="49" t="s">
        <v>3230</v>
      </c>
      <c r="AA506" s="61">
        <v>0.75</v>
      </c>
      <c r="AB506" s="71">
        <v>44308</v>
      </c>
      <c r="AC506" s="62" t="s">
        <v>7378</v>
      </c>
      <c r="AD506" s="53" t="str">
        <f t="shared" si="383"/>
        <v>Link</v>
      </c>
      <c r="AE506" s="54">
        <v>1478</v>
      </c>
      <c r="AF506" s="55"/>
      <c r="AG506" s="48"/>
      <c r="AH506" s="56">
        <v>190761</v>
      </c>
    </row>
    <row r="507" spans="1:34" ht="13" x14ac:dyDescent="0.15">
      <c r="A507" s="57" t="s">
        <v>2641</v>
      </c>
      <c r="B507" s="31" t="s">
        <v>7303</v>
      </c>
      <c r="C507" s="7" t="s">
        <v>41</v>
      </c>
      <c r="D507" s="7" t="s">
        <v>7388</v>
      </c>
      <c r="E507" s="44">
        <v>5</v>
      </c>
      <c r="F507" s="7"/>
      <c r="G507" s="7"/>
      <c r="H507" s="7" t="s">
        <v>7368</v>
      </c>
      <c r="I507" s="7" t="s">
        <v>2289</v>
      </c>
      <c r="J507" s="7" t="s">
        <v>3820</v>
      </c>
      <c r="K507" s="7" t="s">
        <v>139</v>
      </c>
      <c r="L507" s="7"/>
      <c r="M507" s="7"/>
      <c r="N507" s="48"/>
      <c r="O507" s="45" t="str">
        <f t="shared" si="382"/>
        <v>Questionnaire</v>
      </c>
      <c r="P507" s="48" t="s">
        <v>7378</v>
      </c>
      <c r="Q507" s="47" t="s">
        <v>1304</v>
      </c>
      <c r="R507" s="48" t="s">
        <v>7379</v>
      </c>
      <c r="S507" s="60" t="s">
        <v>205</v>
      </c>
      <c r="T507" s="49" t="s">
        <v>63</v>
      </c>
      <c r="U507" s="49" t="s">
        <v>75</v>
      </c>
      <c r="V507" s="48"/>
      <c r="W507" s="71">
        <v>3.03</v>
      </c>
      <c r="X507" s="49" t="s">
        <v>3614</v>
      </c>
      <c r="Y507" s="49" t="s">
        <v>6814</v>
      </c>
      <c r="Z507" s="49" t="s">
        <v>3230</v>
      </c>
      <c r="AA507" s="61">
        <v>0.75</v>
      </c>
      <c r="AB507" s="71">
        <v>44308</v>
      </c>
      <c r="AC507" s="62" t="s">
        <v>7378</v>
      </c>
      <c r="AD507" s="53" t="str">
        <f t="shared" si="383"/>
        <v>Link</v>
      </c>
      <c r="AE507" s="54">
        <v>1478</v>
      </c>
      <c r="AF507" s="55"/>
      <c r="AG507" s="48"/>
      <c r="AH507" s="56">
        <v>190761</v>
      </c>
    </row>
    <row r="508" spans="1:34" ht="15" x14ac:dyDescent="0.2">
      <c r="A508" s="57" t="s">
        <v>2694</v>
      </c>
      <c r="B508" s="31" t="s">
        <v>7303</v>
      </c>
      <c r="C508" s="7" t="s">
        <v>41</v>
      </c>
      <c r="D508" s="7" t="s">
        <v>7393</v>
      </c>
      <c r="E508" s="44">
        <v>5</v>
      </c>
      <c r="F508" s="7"/>
      <c r="G508" s="7"/>
      <c r="H508" s="7" t="s">
        <v>7394</v>
      </c>
      <c r="I508" s="7" t="s">
        <v>539</v>
      </c>
      <c r="J508" s="7" t="s">
        <v>7395</v>
      </c>
      <c r="K508" s="7" t="s">
        <v>55</v>
      </c>
      <c r="L508" s="7" t="s">
        <v>7396</v>
      </c>
      <c r="M508" s="7" t="s">
        <v>7397</v>
      </c>
      <c r="N508" s="48"/>
      <c r="O508" s="48"/>
      <c r="P508" s="48" t="s">
        <v>7399</v>
      </c>
      <c r="Q508" s="47" t="s">
        <v>1304</v>
      </c>
      <c r="R508" s="48" t="s">
        <v>1318</v>
      </c>
      <c r="S508" s="48" t="s">
        <v>238</v>
      </c>
      <c r="T508" s="49" t="s">
        <v>63</v>
      </c>
      <c r="U508" s="49" t="s">
        <v>343</v>
      </c>
      <c r="V508" s="48"/>
      <c r="W508" s="71">
        <v>3.45</v>
      </c>
      <c r="X508" s="49" t="s">
        <v>676</v>
      </c>
      <c r="Y508" s="49" t="s">
        <v>291</v>
      </c>
      <c r="Z508" s="49" t="s">
        <v>689</v>
      </c>
      <c r="AA508" s="61">
        <v>0.65</v>
      </c>
      <c r="AB508" s="71">
        <v>48700</v>
      </c>
      <c r="AC508" s="52" t="s">
        <v>7399</v>
      </c>
      <c r="AD508" s="53" t="str">
        <f t="shared" ref="AD508:AD511" si="384">HYPERLINK("http://collegecatalog.lemoyne.edu/programs-majors-az/","Link")</f>
        <v>Link</v>
      </c>
      <c r="AE508" s="54">
        <v>2897</v>
      </c>
      <c r="AF508" s="55"/>
      <c r="AG508" s="48"/>
      <c r="AH508" s="56">
        <v>192323</v>
      </c>
    </row>
    <row r="509" spans="1:34" ht="15" x14ac:dyDescent="0.2">
      <c r="A509" s="57" t="s">
        <v>2694</v>
      </c>
      <c r="B509" s="31" t="s">
        <v>7303</v>
      </c>
      <c r="C509" s="7" t="s">
        <v>41</v>
      </c>
      <c r="D509" s="7" t="s">
        <v>7408</v>
      </c>
      <c r="E509" s="44">
        <v>5</v>
      </c>
      <c r="F509" s="7"/>
      <c r="G509" s="7"/>
      <c r="H509" s="7" t="s">
        <v>7394</v>
      </c>
      <c r="I509" s="7" t="s">
        <v>2684</v>
      </c>
      <c r="J509" s="7" t="s">
        <v>2136</v>
      </c>
      <c r="K509" s="7" t="s">
        <v>48</v>
      </c>
      <c r="L509" s="7" t="s">
        <v>7409</v>
      </c>
      <c r="M509" s="7" t="s">
        <v>7397</v>
      </c>
      <c r="N509" s="45" t="str">
        <f t="shared" ref="N509:N511" si="385">HYPERLINK("twitter.com/lemoynesoftball","@lemoynesoftball")</f>
        <v>@lemoynesoftball</v>
      </c>
      <c r="O509" s="45" t="str">
        <f t="shared" ref="O509:O511" si="386">HYPERLINK("https://lemoynedolphins.com/sports/2014/6/11/GEN_0611142940.aspx","Questionnaire")</f>
        <v>Questionnaire</v>
      </c>
      <c r="P509" s="48" t="s">
        <v>7399</v>
      </c>
      <c r="Q509" s="47" t="s">
        <v>1304</v>
      </c>
      <c r="R509" s="48" t="s">
        <v>1318</v>
      </c>
      <c r="S509" s="48" t="s">
        <v>238</v>
      </c>
      <c r="T509" s="49" t="s">
        <v>63</v>
      </c>
      <c r="U509" s="49" t="s">
        <v>343</v>
      </c>
      <c r="V509" s="48"/>
      <c r="W509" s="71">
        <v>3.45</v>
      </c>
      <c r="X509" s="49" t="s">
        <v>676</v>
      </c>
      <c r="Y509" s="49" t="s">
        <v>291</v>
      </c>
      <c r="Z509" s="49" t="s">
        <v>689</v>
      </c>
      <c r="AA509" s="61">
        <v>0.65</v>
      </c>
      <c r="AB509" s="71">
        <v>48700</v>
      </c>
      <c r="AC509" s="52" t="s">
        <v>7399</v>
      </c>
      <c r="AD509" s="53" t="str">
        <f t="shared" si="384"/>
        <v>Link</v>
      </c>
      <c r="AE509" s="54">
        <v>2897</v>
      </c>
      <c r="AF509" s="55"/>
      <c r="AG509" s="48"/>
      <c r="AH509" s="56">
        <v>192323</v>
      </c>
    </row>
    <row r="510" spans="1:34" ht="15" x14ac:dyDescent="0.2">
      <c r="A510" s="57" t="s">
        <v>2694</v>
      </c>
      <c r="B510" s="31" t="s">
        <v>7303</v>
      </c>
      <c r="C510" s="7" t="s">
        <v>41</v>
      </c>
      <c r="D510" s="7" t="s">
        <v>7414</v>
      </c>
      <c r="E510" s="44">
        <v>5</v>
      </c>
      <c r="F510" s="7"/>
      <c r="G510" s="7"/>
      <c r="H510" s="7" t="s">
        <v>7394</v>
      </c>
      <c r="I510" s="7" t="s">
        <v>421</v>
      </c>
      <c r="J510" s="7"/>
      <c r="K510" s="7" t="s">
        <v>55</v>
      </c>
      <c r="L510" s="7"/>
      <c r="M510" s="7" t="s">
        <v>7397</v>
      </c>
      <c r="N510" s="45" t="str">
        <f t="shared" si="385"/>
        <v>@lemoynesoftball</v>
      </c>
      <c r="O510" s="45" t="str">
        <f t="shared" si="386"/>
        <v>Questionnaire</v>
      </c>
      <c r="P510" s="48" t="s">
        <v>7399</v>
      </c>
      <c r="Q510" s="47" t="s">
        <v>1304</v>
      </c>
      <c r="R510" s="48" t="s">
        <v>1318</v>
      </c>
      <c r="S510" s="48" t="s">
        <v>238</v>
      </c>
      <c r="T510" s="49" t="s">
        <v>63</v>
      </c>
      <c r="U510" s="49" t="s">
        <v>343</v>
      </c>
      <c r="V510" s="48"/>
      <c r="W510" s="71">
        <v>3.45</v>
      </c>
      <c r="X510" s="49" t="s">
        <v>676</v>
      </c>
      <c r="Y510" s="49" t="s">
        <v>291</v>
      </c>
      <c r="Z510" s="49" t="s">
        <v>689</v>
      </c>
      <c r="AA510" s="61">
        <v>0.65</v>
      </c>
      <c r="AB510" s="71">
        <v>48700</v>
      </c>
      <c r="AC510" s="52" t="s">
        <v>7399</v>
      </c>
      <c r="AD510" s="53" t="str">
        <f t="shared" si="384"/>
        <v>Link</v>
      </c>
      <c r="AE510" s="54">
        <v>2897</v>
      </c>
      <c r="AF510" s="55"/>
      <c r="AG510" s="48"/>
      <c r="AH510" s="56">
        <v>192323</v>
      </c>
    </row>
    <row r="511" spans="1:34" ht="15" x14ac:dyDescent="0.2">
      <c r="A511" s="57" t="s">
        <v>2694</v>
      </c>
      <c r="B511" s="31" t="s">
        <v>7303</v>
      </c>
      <c r="C511" s="7" t="s">
        <v>41</v>
      </c>
      <c r="D511" s="7" t="s">
        <v>7419</v>
      </c>
      <c r="E511" s="44">
        <v>5</v>
      </c>
      <c r="F511" s="7"/>
      <c r="G511" s="7"/>
      <c r="H511" s="7" t="s">
        <v>7394</v>
      </c>
      <c r="I511" s="7" t="s">
        <v>7421</v>
      </c>
      <c r="J511" s="7" t="s">
        <v>5594</v>
      </c>
      <c r="K511" s="7" t="s">
        <v>120</v>
      </c>
      <c r="L511" s="7" t="s">
        <v>7422</v>
      </c>
      <c r="M511" s="7" t="s">
        <v>7397</v>
      </c>
      <c r="N511" s="45" t="str">
        <f t="shared" si="385"/>
        <v>@lemoynesoftball</v>
      </c>
      <c r="O511" s="45" t="str">
        <f t="shared" si="386"/>
        <v>Questionnaire</v>
      </c>
      <c r="P511" s="48" t="s">
        <v>7399</v>
      </c>
      <c r="Q511" s="47" t="s">
        <v>1304</v>
      </c>
      <c r="R511" s="48" t="s">
        <v>1318</v>
      </c>
      <c r="S511" s="48" t="s">
        <v>238</v>
      </c>
      <c r="T511" s="49" t="s">
        <v>63</v>
      </c>
      <c r="U511" s="49" t="s">
        <v>343</v>
      </c>
      <c r="V511" s="48"/>
      <c r="W511" s="71">
        <v>3.45</v>
      </c>
      <c r="X511" s="49" t="s">
        <v>676</v>
      </c>
      <c r="Y511" s="49" t="s">
        <v>291</v>
      </c>
      <c r="Z511" s="49" t="s">
        <v>689</v>
      </c>
      <c r="AA511" s="61">
        <v>0.65</v>
      </c>
      <c r="AB511" s="71">
        <v>48700</v>
      </c>
      <c r="AC511" s="52" t="s">
        <v>7399</v>
      </c>
      <c r="AD511" s="53" t="str">
        <f t="shared" si="384"/>
        <v>Link</v>
      </c>
      <c r="AE511" s="54">
        <v>2897</v>
      </c>
      <c r="AF511" s="55"/>
      <c r="AG511" s="48"/>
      <c r="AH511" s="56">
        <v>192323</v>
      </c>
    </row>
    <row r="512" spans="1:34" ht="13" x14ac:dyDescent="0.15">
      <c r="A512" s="57" t="s">
        <v>2502</v>
      </c>
      <c r="B512" s="31" t="s">
        <v>7303</v>
      </c>
      <c r="C512" s="7" t="s">
        <v>41</v>
      </c>
      <c r="D512" s="7" t="s">
        <v>7424</v>
      </c>
      <c r="E512" s="44">
        <v>5</v>
      </c>
      <c r="F512" s="7"/>
      <c r="G512" s="7"/>
      <c r="H512" s="7" t="s">
        <v>7425</v>
      </c>
      <c r="I512" s="7" t="s">
        <v>1217</v>
      </c>
      <c r="J512" s="7" t="s">
        <v>7427</v>
      </c>
      <c r="K512" s="7" t="s">
        <v>48</v>
      </c>
      <c r="L512" s="7" t="s">
        <v>7428</v>
      </c>
      <c r="M512" s="44" t="s">
        <v>7429</v>
      </c>
      <c r="N512" s="45" t="str">
        <f t="shared" ref="N512:N513" si="387">HYPERLINK("twitter.com/liusoftball","@liusoftball")</f>
        <v>@liusoftball</v>
      </c>
      <c r="O512" s="45" t="str">
        <f t="shared" ref="O512:O513" si="388">HYPERLINK("https://liupostpioneers.com/sb_output.aspx?form=4","Questionnaire")</f>
        <v>Questionnaire</v>
      </c>
      <c r="P512" s="48" t="s">
        <v>7432</v>
      </c>
      <c r="Q512" s="47" t="s">
        <v>1304</v>
      </c>
      <c r="R512" s="48" t="s">
        <v>7433</v>
      </c>
      <c r="S512" s="60" t="s">
        <v>205</v>
      </c>
      <c r="T512" s="49" t="s">
        <v>63</v>
      </c>
      <c r="U512" s="49" t="s">
        <v>75</v>
      </c>
      <c r="V512" s="48"/>
      <c r="W512" s="71">
        <v>3.11</v>
      </c>
      <c r="X512" s="49" t="s">
        <v>895</v>
      </c>
      <c r="Y512" s="49" t="s">
        <v>675</v>
      </c>
      <c r="Z512" s="49" t="s">
        <v>1650</v>
      </c>
      <c r="AA512" s="61">
        <v>0.81</v>
      </c>
      <c r="AB512" s="71">
        <v>54182</v>
      </c>
      <c r="AC512" s="62" t="s">
        <v>7432</v>
      </c>
      <c r="AD512" s="53" t="str">
        <f t="shared" ref="AD512:AD513" si="389">HYPERLINK("http://liu.edu/post/academics/programs","Link")</f>
        <v>Link</v>
      </c>
      <c r="AE512" s="54">
        <v>6280</v>
      </c>
      <c r="AF512" s="55"/>
      <c r="AG512" s="48"/>
      <c r="AH512" s="56">
        <v>192448</v>
      </c>
    </row>
    <row r="513" spans="1:34" ht="13" x14ac:dyDescent="0.15">
      <c r="A513" s="57" t="s">
        <v>2502</v>
      </c>
      <c r="B513" s="31" t="s">
        <v>7303</v>
      </c>
      <c r="C513" s="7" t="s">
        <v>41</v>
      </c>
      <c r="D513" s="7" t="s">
        <v>7437</v>
      </c>
      <c r="E513" s="44">
        <v>5</v>
      </c>
      <c r="F513" s="7"/>
      <c r="G513" s="7"/>
      <c r="H513" s="7" t="s">
        <v>7425</v>
      </c>
      <c r="I513" s="7" t="s">
        <v>306</v>
      </c>
      <c r="J513" s="7" t="s">
        <v>7439</v>
      </c>
      <c r="K513" s="7" t="s">
        <v>55</v>
      </c>
      <c r="L513" s="7"/>
      <c r="M513" s="7"/>
      <c r="N513" s="69" t="str">
        <f t="shared" si="387"/>
        <v>@liusoftball</v>
      </c>
      <c r="O513" s="45" t="str">
        <f t="shared" si="388"/>
        <v>Questionnaire</v>
      </c>
      <c r="P513" s="48" t="s">
        <v>7432</v>
      </c>
      <c r="Q513" s="47" t="s">
        <v>1304</v>
      </c>
      <c r="R513" s="48" t="s">
        <v>7433</v>
      </c>
      <c r="S513" s="60" t="s">
        <v>205</v>
      </c>
      <c r="T513" s="49" t="s">
        <v>63</v>
      </c>
      <c r="U513" s="49" t="s">
        <v>75</v>
      </c>
      <c r="V513" s="48"/>
      <c r="W513" s="71">
        <v>3.11</v>
      </c>
      <c r="X513" s="49" t="s">
        <v>895</v>
      </c>
      <c r="Y513" s="49" t="s">
        <v>675</v>
      </c>
      <c r="Z513" s="49" t="s">
        <v>1650</v>
      </c>
      <c r="AA513" s="61">
        <v>0.81</v>
      </c>
      <c r="AB513" s="71">
        <v>54182</v>
      </c>
      <c r="AC513" s="62" t="s">
        <v>7432</v>
      </c>
      <c r="AD513" s="53" t="str">
        <f t="shared" si="389"/>
        <v>Link</v>
      </c>
      <c r="AE513" s="54">
        <v>6280</v>
      </c>
      <c r="AF513" s="55"/>
      <c r="AG513" s="48"/>
      <c r="AH513" s="56">
        <v>192448</v>
      </c>
    </row>
    <row r="514" spans="1:34" ht="13" x14ac:dyDescent="0.15">
      <c r="A514" s="57" t="s">
        <v>2502</v>
      </c>
      <c r="B514" s="31" t="s">
        <v>7303</v>
      </c>
      <c r="C514" s="7" t="s">
        <v>41</v>
      </c>
      <c r="D514" s="7" t="s">
        <v>7449</v>
      </c>
      <c r="E514" s="44">
        <v>5</v>
      </c>
      <c r="F514" s="7"/>
      <c r="G514" s="7"/>
      <c r="H514" s="7" t="s">
        <v>7450</v>
      </c>
      <c r="I514" s="7" t="s">
        <v>754</v>
      </c>
      <c r="J514" s="7" t="s">
        <v>7451</v>
      </c>
      <c r="K514" s="7" t="s">
        <v>48</v>
      </c>
      <c r="L514" s="7" t="s">
        <v>7452</v>
      </c>
      <c r="M514" s="7" t="s">
        <v>7453</v>
      </c>
      <c r="N514" s="48"/>
      <c r="O514" s="45" t="str">
        <f t="shared" ref="O514:O517" si="390">HYPERLINK("https://mercyathletics.com/sb_output.aspx?form=5","Questionnaire")</f>
        <v>Questionnaire</v>
      </c>
      <c r="P514" s="48" t="s">
        <v>7455</v>
      </c>
      <c r="Q514" s="60" t="s">
        <v>1304</v>
      </c>
      <c r="R514" s="48" t="s">
        <v>1897</v>
      </c>
      <c r="S514" s="48" t="s">
        <v>288</v>
      </c>
      <c r="T514" s="49" t="s">
        <v>63</v>
      </c>
      <c r="U514" s="49" t="s">
        <v>75</v>
      </c>
      <c r="V514" s="48"/>
      <c r="W514" s="71">
        <v>3.38</v>
      </c>
      <c r="X514" s="49" t="s">
        <v>214</v>
      </c>
      <c r="Y514" s="49" t="s">
        <v>214</v>
      </c>
      <c r="Z514" s="49" t="s">
        <v>214</v>
      </c>
      <c r="AA514" s="61">
        <v>0.78</v>
      </c>
      <c r="AB514" s="71">
        <v>36448</v>
      </c>
      <c r="AC514" s="62" t="s">
        <v>7455</v>
      </c>
      <c r="AD514" s="53" t="str">
        <f t="shared" ref="AD514:AD517" si="391">HYPERLINK("https://www.mercy.edu/degrees-programs","Link")</f>
        <v>Link</v>
      </c>
      <c r="AE514" s="54">
        <v>7157</v>
      </c>
      <c r="AF514" s="55"/>
      <c r="AG514" s="48"/>
      <c r="AH514" s="56">
        <v>193016</v>
      </c>
    </row>
    <row r="515" spans="1:34" ht="13" x14ac:dyDescent="0.15">
      <c r="A515" s="57" t="s">
        <v>2502</v>
      </c>
      <c r="B515" s="31" t="s">
        <v>7303</v>
      </c>
      <c r="C515" s="7" t="s">
        <v>41</v>
      </c>
      <c r="D515" s="7" t="s">
        <v>7464</v>
      </c>
      <c r="E515" s="44">
        <v>5</v>
      </c>
      <c r="F515" s="7"/>
      <c r="G515" s="7"/>
      <c r="H515" s="7" t="s">
        <v>7450</v>
      </c>
      <c r="I515" s="7" t="s">
        <v>7466</v>
      </c>
      <c r="J515" s="7" t="s">
        <v>7468</v>
      </c>
      <c r="K515" s="7" t="s">
        <v>55</v>
      </c>
      <c r="L515" s="7" t="s">
        <v>7469</v>
      </c>
      <c r="M515" s="7" t="s">
        <v>7453</v>
      </c>
      <c r="N515" s="48"/>
      <c r="O515" s="45" t="str">
        <f t="shared" si="390"/>
        <v>Questionnaire</v>
      </c>
      <c r="P515" s="48" t="s">
        <v>7455</v>
      </c>
      <c r="Q515" s="60" t="s">
        <v>1304</v>
      </c>
      <c r="R515" s="48" t="s">
        <v>1897</v>
      </c>
      <c r="S515" s="48" t="s">
        <v>288</v>
      </c>
      <c r="T515" s="49" t="s">
        <v>63</v>
      </c>
      <c r="U515" s="49" t="s">
        <v>75</v>
      </c>
      <c r="V515" s="48"/>
      <c r="W515" s="71">
        <v>3.38</v>
      </c>
      <c r="X515" s="49" t="s">
        <v>214</v>
      </c>
      <c r="Y515" s="49" t="s">
        <v>214</v>
      </c>
      <c r="Z515" s="49" t="s">
        <v>214</v>
      </c>
      <c r="AA515" s="61">
        <v>0.78</v>
      </c>
      <c r="AB515" s="71">
        <v>36448</v>
      </c>
      <c r="AC515" s="62" t="s">
        <v>7455</v>
      </c>
      <c r="AD515" s="53" t="str">
        <f t="shared" si="391"/>
        <v>Link</v>
      </c>
      <c r="AE515" s="54">
        <v>7157</v>
      </c>
      <c r="AF515" s="55"/>
      <c r="AG515" s="48"/>
      <c r="AH515" s="56">
        <v>193016</v>
      </c>
    </row>
    <row r="516" spans="1:34" ht="13" x14ac:dyDescent="0.15">
      <c r="A516" s="57" t="s">
        <v>2502</v>
      </c>
      <c r="B516" s="31" t="s">
        <v>7303</v>
      </c>
      <c r="C516" s="7" t="s">
        <v>41</v>
      </c>
      <c r="D516" s="7" t="s">
        <v>7474</v>
      </c>
      <c r="E516" s="44">
        <v>5</v>
      </c>
      <c r="F516" s="7"/>
      <c r="G516" s="7"/>
      <c r="H516" s="7" t="s">
        <v>7450</v>
      </c>
      <c r="I516" s="7" t="s">
        <v>7476</v>
      </c>
      <c r="J516" s="7" t="s">
        <v>7477</v>
      </c>
      <c r="K516" s="7" t="s">
        <v>55</v>
      </c>
      <c r="L516" s="7" t="s">
        <v>7479</v>
      </c>
      <c r="M516" s="7" t="s">
        <v>7453</v>
      </c>
      <c r="N516" s="48"/>
      <c r="O516" s="45" t="str">
        <f t="shared" si="390"/>
        <v>Questionnaire</v>
      </c>
      <c r="P516" s="48" t="s">
        <v>7455</v>
      </c>
      <c r="Q516" s="60" t="s">
        <v>1304</v>
      </c>
      <c r="R516" s="48" t="s">
        <v>1897</v>
      </c>
      <c r="S516" s="48" t="s">
        <v>288</v>
      </c>
      <c r="T516" s="49" t="s">
        <v>63</v>
      </c>
      <c r="U516" s="49" t="s">
        <v>75</v>
      </c>
      <c r="V516" s="48"/>
      <c r="W516" s="71">
        <v>3.38</v>
      </c>
      <c r="X516" s="49" t="s">
        <v>214</v>
      </c>
      <c r="Y516" s="49" t="s">
        <v>214</v>
      </c>
      <c r="Z516" s="49" t="s">
        <v>214</v>
      </c>
      <c r="AA516" s="61">
        <v>0.78</v>
      </c>
      <c r="AB516" s="71">
        <v>36448</v>
      </c>
      <c r="AC516" s="62" t="s">
        <v>7455</v>
      </c>
      <c r="AD516" s="53" t="str">
        <f t="shared" si="391"/>
        <v>Link</v>
      </c>
      <c r="AE516" s="54">
        <v>7157</v>
      </c>
      <c r="AF516" s="55"/>
      <c r="AG516" s="48"/>
      <c r="AH516" s="56">
        <v>193016</v>
      </c>
    </row>
    <row r="517" spans="1:34" ht="13" x14ac:dyDescent="0.15">
      <c r="A517" s="57" t="s">
        <v>2502</v>
      </c>
      <c r="B517" s="110" t="s">
        <v>7303</v>
      </c>
      <c r="C517" s="7" t="s">
        <v>41</v>
      </c>
      <c r="D517" s="7" t="s">
        <v>7487</v>
      </c>
      <c r="E517" s="44">
        <v>5</v>
      </c>
      <c r="F517" s="7" t="s">
        <v>116</v>
      </c>
      <c r="G517" s="7"/>
      <c r="H517" s="7" t="s">
        <v>7450</v>
      </c>
      <c r="I517" s="7" t="s">
        <v>7021</v>
      </c>
      <c r="J517" s="7" t="s">
        <v>7491</v>
      </c>
      <c r="K517" s="7" t="s">
        <v>55</v>
      </c>
      <c r="L517" s="7" t="s">
        <v>7492</v>
      </c>
      <c r="M517" s="7" t="s">
        <v>7453</v>
      </c>
      <c r="N517" s="48"/>
      <c r="O517" s="45" t="str">
        <f t="shared" si="390"/>
        <v>Questionnaire</v>
      </c>
      <c r="P517" s="48" t="s">
        <v>7455</v>
      </c>
      <c r="Q517" s="60" t="s">
        <v>1304</v>
      </c>
      <c r="R517" s="48" t="s">
        <v>1897</v>
      </c>
      <c r="S517" s="48" t="s">
        <v>288</v>
      </c>
      <c r="T517" s="49" t="s">
        <v>63</v>
      </c>
      <c r="U517" s="49" t="s">
        <v>75</v>
      </c>
      <c r="V517" s="48"/>
      <c r="W517" s="71">
        <v>3.38</v>
      </c>
      <c r="X517" s="49" t="s">
        <v>214</v>
      </c>
      <c r="Y517" s="49" t="s">
        <v>214</v>
      </c>
      <c r="Z517" s="49" t="s">
        <v>214</v>
      </c>
      <c r="AA517" s="61">
        <v>0.78</v>
      </c>
      <c r="AB517" s="71">
        <v>36448</v>
      </c>
      <c r="AC517" s="62" t="s">
        <v>7455</v>
      </c>
      <c r="AD517" s="53" t="str">
        <f t="shared" si="391"/>
        <v>Link</v>
      </c>
      <c r="AE517" s="54">
        <v>7157</v>
      </c>
      <c r="AF517" s="55"/>
      <c r="AG517" s="48"/>
      <c r="AH517" s="56">
        <v>193016</v>
      </c>
    </row>
    <row r="518" spans="1:34" ht="13" x14ac:dyDescent="0.15">
      <c r="A518" s="57" t="s">
        <v>2502</v>
      </c>
      <c r="B518" s="31" t="s">
        <v>7303</v>
      </c>
      <c r="C518" s="7" t="s">
        <v>41</v>
      </c>
      <c r="D518" s="7" t="s">
        <v>7498</v>
      </c>
      <c r="E518" s="44">
        <v>5</v>
      </c>
      <c r="F518" s="7"/>
      <c r="G518" s="7"/>
      <c r="H518" s="7" t="s">
        <v>7500</v>
      </c>
      <c r="I518" s="7" t="s">
        <v>6266</v>
      </c>
      <c r="J518" s="7" t="s">
        <v>7501</v>
      </c>
      <c r="K518" s="7" t="s">
        <v>48</v>
      </c>
      <c r="L518" s="7" t="s">
        <v>7502</v>
      </c>
      <c r="M518" s="7" t="s">
        <v>7503</v>
      </c>
      <c r="N518" s="45" t="str">
        <f>HYPERLINK("twitter.com/MolloyAD","@MolloyAD")</f>
        <v>@MolloyAD</v>
      </c>
      <c r="O518" s="45" t="str">
        <f t="shared" ref="O518:O521" si="392">HYPERLINK("https://molloylions.com/sports/2013/6/18/WANTTOBELION.aspx?id=3","Questionnaire")</f>
        <v>Questionnaire</v>
      </c>
      <c r="P518" s="48" t="s">
        <v>7510</v>
      </c>
      <c r="Q518" s="47" t="s">
        <v>1304</v>
      </c>
      <c r="R518" s="48" t="s">
        <v>7511</v>
      </c>
      <c r="S518" s="48" t="s">
        <v>172</v>
      </c>
      <c r="T518" s="49" t="s">
        <v>63</v>
      </c>
      <c r="U518" s="49" t="s">
        <v>343</v>
      </c>
      <c r="V518" s="48"/>
      <c r="W518" s="71">
        <v>3</v>
      </c>
      <c r="X518" s="49" t="s">
        <v>1509</v>
      </c>
      <c r="Y518" s="49" t="s">
        <v>675</v>
      </c>
      <c r="Z518" s="49" t="s">
        <v>1650</v>
      </c>
      <c r="AA518" s="61">
        <v>0.77</v>
      </c>
      <c r="AB518" s="71">
        <v>48684</v>
      </c>
      <c r="AC518" s="62" t="s">
        <v>7510</v>
      </c>
      <c r="AD518" s="53" t="str">
        <f t="shared" ref="AD518:AD521" si="393">HYPERLINK("https://www.molloy.edu/academics/undergraduate-programs","Link")</f>
        <v>Link</v>
      </c>
      <c r="AE518" s="54">
        <v>3598</v>
      </c>
      <c r="AF518" s="55"/>
      <c r="AG518" s="48"/>
      <c r="AH518" s="56">
        <v>193292</v>
      </c>
    </row>
    <row r="519" spans="1:34" ht="13" x14ac:dyDescent="0.15">
      <c r="A519" s="57" t="s">
        <v>2502</v>
      </c>
      <c r="B519" s="31" t="s">
        <v>7303</v>
      </c>
      <c r="C519" s="7" t="s">
        <v>41</v>
      </c>
      <c r="D519" s="7" t="s">
        <v>7517</v>
      </c>
      <c r="E519" s="44">
        <v>5</v>
      </c>
      <c r="F519" s="7"/>
      <c r="G519" s="7"/>
      <c r="H519" s="7" t="s">
        <v>7500</v>
      </c>
      <c r="I519" s="7" t="s">
        <v>7520</v>
      </c>
      <c r="J519" s="7" t="s">
        <v>3206</v>
      </c>
      <c r="K519" s="7" t="s">
        <v>55</v>
      </c>
      <c r="L519" s="7"/>
      <c r="M519" s="7"/>
      <c r="N519" s="45" t="str">
        <f t="shared" ref="N519:N521" si="394">HYPERLINK("twitter.com/@molloysoftball","@molloysoftball")</f>
        <v>@molloysoftball</v>
      </c>
      <c r="O519" s="45" t="str">
        <f t="shared" si="392"/>
        <v>Questionnaire</v>
      </c>
      <c r="P519" s="48" t="s">
        <v>7510</v>
      </c>
      <c r="Q519" s="47" t="s">
        <v>1304</v>
      </c>
      <c r="R519" s="48" t="s">
        <v>7511</v>
      </c>
      <c r="S519" s="48" t="s">
        <v>172</v>
      </c>
      <c r="T519" s="49" t="s">
        <v>63</v>
      </c>
      <c r="U519" s="49" t="s">
        <v>343</v>
      </c>
      <c r="V519" s="48"/>
      <c r="W519" s="71">
        <v>3</v>
      </c>
      <c r="X519" s="49" t="s">
        <v>1509</v>
      </c>
      <c r="Y519" s="49" t="s">
        <v>675</v>
      </c>
      <c r="Z519" s="49" t="s">
        <v>1650</v>
      </c>
      <c r="AA519" s="61">
        <v>0.77</v>
      </c>
      <c r="AB519" s="71">
        <v>48684</v>
      </c>
      <c r="AC519" s="62" t="s">
        <v>7510</v>
      </c>
      <c r="AD519" s="53" t="str">
        <f t="shared" si="393"/>
        <v>Link</v>
      </c>
      <c r="AE519" s="54">
        <v>3598</v>
      </c>
      <c r="AF519" s="55"/>
      <c r="AG519" s="48"/>
      <c r="AH519" s="56">
        <v>193292</v>
      </c>
    </row>
    <row r="520" spans="1:34" ht="13" x14ac:dyDescent="0.15">
      <c r="A520" s="57" t="s">
        <v>2502</v>
      </c>
      <c r="B520" s="31" t="s">
        <v>7303</v>
      </c>
      <c r="C520" s="7" t="s">
        <v>41</v>
      </c>
      <c r="D520" s="7" t="s">
        <v>7525</v>
      </c>
      <c r="E520" s="44">
        <v>5</v>
      </c>
      <c r="F520" s="7"/>
      <c r="G520" s="7"/>
      <c r="H520" s="7" t="s">
        <v>7500</v>
      </c>
      <c r="I520" s="7" t="s">
        <v>7526</v>
      </c>
      <c r="J520" s="7" t="s">
        <v>7527</v>
      </c>
      <c r="K520" s="7" t="s">
        <v>919</v>
      </c>
      <c r="L520" s="7"/>
      <c r="M520" s="7"/>
      <c r="N520" s="45" t="str">
        <f t="shared" si="394"/>
        <v>@molloysoftball</v>
      </c>
      <c r="O520" s="45" t="str">
        <f t="shared" si="392"/>
        <v>Questionnaire</v>
      </c>
      <c r="P520" s="48" t="s">
        <v>7510</v>
      </c>
      <c r="Q520" s="47" t="s">
        <v>1304</v>
      </c>
      <c r="R520" s="48" t="s">
        <v>7511</v>
      </c>
      <c r="S520" s="48" t="s">
        <v>172</v>
      </c>
      <c r="T520" s="49" t="s">
        <v>63</v>
      </c>
      <c r="U520" s="49" t="s">
        <v>343</v>
      </c>
      <c r="V520" s="48"/>
      <c r="W520" s="71">
        <v>3</v>
      </c>
      <c r="X520" s="49" t="s">
        <v>1509</v>
      </c>
      <c r="Y520" s="49" t="s">
        <v>675</v>
      </c>
      <c r="Z520" s="49" t="s">
        <v>1650</v>
      </c>
      <c r="AA520" s="61">
        <v>0.77</v>
      </c>
      <c r="AB520" s="71">
        <v>48684</v>
      </c>
      <c r="AC520" s="62" t="s">
        <v>7510</v>
      </c>
      <c r="AD520" s="53" t="str">
        <f t="shared" si="393"/>
        <v>Link</v>
      </c>
      <c r="AE520" s="54">
        <v>3598</v>
      </c>
      <c r="AF520" s="55"/>
      <c r="AG520" s="48"/>
      <c r="AH520" s="56">
        <v>193292</v>
      </c>
    </row>
    <row r="521" spans="1:34" ht="13" x14ac:dyDescent="0.15">
      <c r="A521" s="57" t="s">
        <v>2502</v>
      </c>
      <c r="B521" s="110" t="s">
        <v>7303</v>
      </c>
      <c r="C521" s="7" t="s">
        <v>41</v>
      </c>
      <c r="D521" s="7" t="s">
        <v>7535</v>
      </c>
      <c r="E521" s="44">
        <v>5</v>
      </c>
      <c r="F521" s="7" t="s">
        <v>116</v>
      </c>
      <c r="G521" s="7"/>
      <c r="H521" s="7" t="s">
        <v>7500</v>
      </c>
      <c r="I521" s="7" t="s">
        <v>981</v>
      </c>
      <c r="J521" s="7" t="s">
        <v>7100</v>
      </c>
      <c r="K521" s="7" t="s">
        <v>55</v>
      </c>
      <c r="L521" s="7"/>
      <c r="M521" s="7"/>
      <c r="N521" s="45" t="str">
        <f t="shared" si="394"/>
        <v>@molloysoftball</v>
      </c>
      <c r="O521" s="45" t="str">
        <f t="shared" si="392"/>
        <v>Questionnaire</v>
      </c>
      <c r="P521" s="48" t="s">
        <v>7510</v>
      </c>
      <c r="Q521" s="47" t="s">
        <v>1304</v>
      </c>
      <c r="R521" s="48" t="s">
        <v>7511</v>
      </c>
      <c r="S521" s="48" t="s">
        <v>172</v>
      </c>
      <c r="T521" s="49" t="s">
        <v>63</v>
      </c>
      <c r="U521" s="49" t="s">
        <v>343</v>
      </c>
      <c r="V521" s="48"/>
      <c r="W521" s="71">
        <v>3</v>
      </c>
      <c r="X521" s="49" t="s">
        <v>1509</v>
      </c>
      <c r="Y521" s="49" t="s">
        <v>675</v>
      </c>
      <c r="Z521" s="49" t="s">
        <v>1650</v>
      </c>
      <c r="AA521" s="61">
        <v>0.77</v>
      </c>
      <c r="AB521" s="71">
        <v>48684</v>
      </c>
      <c r="AC521" s="62" t="s">
        <v>7510</v>
      </c>
      <c r="AD521" s="53" t="str">
        <f t="shared" si="393"/>
        <v>Link</v>
      </c>
      <c r="AE521" s="54">
        <v>3598</v>
      </c>
      <c r="AF521" s="55"/>
      <c r="AG521" s="48"/>
      <c r="AH521" s="56">
        <v>193292</v>
      </c>
    </row>
    <row r="522" spans="1:34" ht="13" x14ac:dyDescent="0.15">
      <c r="A522" s="57" t="s">
        <v>2502</v>
      </c>
      <c r="B522" s="31" t="s">
        <v>7303</v>
      </c>
      <c r="C522" s="7" t="s">
        <v>41</v>
      </c>
      <c r="D522" s="7" t="s">
        <v>7540</v>
      </c>
      <c r="E522" s="44">
        <v>5</v>
      </c>
      <c r="F522" s="7"/>
      <c r="G522" s="7"/>
      <c r="H522" s="7" t="s">
        <v>7541</v>
      </c>
      <c r="I522" s="7" t="s">
        <v>7542</v>
      </c>
      <c r="J522" s="7" t="s">
        <v>7543</v>
      </c>
      <c r="K522" s="7" t="s">
        <v>55</v>
      </c>
      <c r="L522" s="7" t="s">
        <v>7545</v>
      </c>
      <c r="M522" s="7"/>
      <c r="N522" s="48"/>
      <c r="O522" s="48"/>
      <c r="P522" s="6" t="s">
        <v>7541</v>
      </c>
      <c r="Q522" s="60" t="s">
        <v>1304</v>
      </c>
      <c r="R522" s="48" t="s">
        <v>1897</v>
      </c>
      <c r="S522" s="48" t="s">
        <v>288</v>
      </c>
      <c r="T522" s="49" t="s">
        <v>63</v>
      </c>
      <c r="U522" s="49" t="s">
        <v>75</v>
      </c>
      <c r="V522" s="48"/>
      <c r="W522" s="71">
        <v>3.4</v>
      </c>
      <c r="X522" s="49" t="s">
        <v>720</v>
      </c>
      <c r="Y522" s="49" t="s">
        <v>2853</v>
      </c>
      <c r="Z522" s="49" t="s">
        <v>320</v>
      </c>
      <c r="AA522" s="61">
        <v>0.73</v>
      </c>
      <c r="AB522" s="71">
        <v>52782</v>
      </c>
      <c r="AC522" s="90" t="s">
        <v>7550</v>
      </c>
      <c r="AD522" s="53" t="str">
        <f t="shared" ref="AD522:AD524" si="395">HYPERLINK("https://www.nyit.edu/programs/undergraduate_degrees_school_of_engineering_computing_sciences","Link")</f>
        <v>Link</v>
      </c>
      <c r="AE522" s="54">
        <v>3575</v>
      </c>
      <c r="AF522" s="55"/>
      <c r="AG522" s="48"/>
      <c r="AH522" s="56">
        <v>194107</v>
      </c>
    </row>
    <row r="523" spans="1:34" ht="13" x14ac:dyDescent="0.15">
      <c r="A523" s="57" t="s">
        <v>2502</v>
      </c>
      <c r="B523" s="31" t="s">
        <v>7303</v>
      </c>
      <c r="C523" s="7" t="s">
        <v>41</v>
      </c>
      <c r="D523" s="7" t="s">
        <v>7557</v>
      </c>
      <c r="E523" s="44">
        <v>5</v>
      </c>
      <c r="F523" s="7"/>
      <c r="G523" s="7"/>
      <c r="H523" s="7" t="s">
        <v>7541</v>
      </c>
      <c r="I523" s="7" t="s">
        <v>234</v>
      </c>
      <c r="J523" s="7" t="s">
        <v>7558</v>
      </c>
      <c r="K523" s="7" t="s">
        <v>48</v>
      </c>
      <c r="L523" s="7" t="s">
        <v>7559</v>
      </c>
      <c r="M523" s="7" t="s">
        <v>7560</v>
      </c>
      <c r="N523" s="45" t="str">
        <f t="shared" ref="N523:N524" si="396">HYPERLINK("twitter.com/nyitsb","@nyitsb")</f>
        <v>@nyitsb</v>
      </c>
      <c r="O523" s="114" t="str">
        <f t="shared" ref="O523:O524" si="397">HYPERLINK("https://nyitbears.com/sports/2018/7/30/recruit-me-info.aspx","Questionnaire")</f>
        <v>Questionnaire</v>
      </c>
      <c r="P523" s="6" t="s">
        <v>7541</v>
      </c>
      <c r="Q523" s="60" t="s">
        <v>1304</v>
      </c>
      <c r="R523" s="48" t="s">
        <v>1897</v>
      </c>
      <c r="S523" s="48" t="s">
        <v>288</v>
      </c>
      <c r="T523" s="49" t="s">
        <v>63</v>
      </c>
      <c r="U523" s="49" t="s">
        <v>75</v>
      </c>
      <c r="V523" s="48"/>
      <c r="W523" s="71">
        <v>3.4</v>
      </c>
      <c r="X523" s="49" t="s">
        <v>720</v>
      </c>
      <c r="Y523" s="49" t="s">
        <v>2853</v>
      </c>
      <c r="Z523" s="49" t="s">
        <v>320</v>
      </c>
      <c r="AA523" s="61">
        <v>0.73</v>
      </c>
      <c r="AB523" s="71">
        <v>52782</v>
      </c>
      <c r="AC523" s="90" t="s">
        <v>7550</v>
      </c>
      <c r="AD523" s="53" t="str">
        <f t="shared" si="395"/>
        <v>Link</v>
      </c>
      <c r="AE523" s="54">
        <v>3575</v>
      </c>
      <c r="AF523" s="55"/>
      <c r="AG523" s="48"/>
      <c r="AH523" s="56">
        <v>194107</v>
      </c>
    </row>
    <row r="524" spans="1:34" ht="13" x14ac:dyDescent="0.15">
      <c r="A524" s="57" t="s">
        <v>2502</v>
      </c>
      <c r="B524" s="31" t="s">
        <v>7303</v>
      </c>
      <c r="C524" s="7" t="s">
        <v>41</v>
      </c>
      <c r="D524" s="7" t="s">
        <v>7566</v>
      </c>
      <c r="E524" s="44">
        <v>5</v>
      </c>
      <c r="F524" s="7"/>
      <c r="G524" s="7"/>
      <c r="H524" s="7" t="s">
        <v>7541</v>
      </c>
      <c r="I524" s="7" t="s">
        <v>7567</v>
      </c>
      <c r="J524" s="7" t="s">
        <v>7569</v>
      </c>
      <c r="K524" s="7" t="s">
        <v>55</v>
      </c>
      <c r="L524" s="7" t="s">
        <v>7570</v>
      </c>
      <c r="M524" s="7"/>
      <c r="N524" s="45" t="str">
        <f t="shared" si="396"/>
        <v>@nyitsb</v>
      </c>
      <c r="O524" s="114" t="str">
        <f t="shared" si="397"/>
        <v>Questionnaire</v>
      </c>
      <c r="P524" s="6" t="s">
        <v>7541</v>
      </c>
      <c r="Q524" s="60" t="s">
        <v>1304</v>
      </c>
      <c r="R524" s="48" t="s">
        <v>1897</v>
      </c>
      <c r="S524" s="48" t="s">
        <v>288</v>
      </c>
      <c r="T524" s="49" t="s">
        <v>63</v>
      </c>
      <c r="U524" s="49" t="s">
        <v>75</v>
      </c>
      <c r="V524" s="48"/>
      <c r="W524" s="71">
        <v>3.4</v>
      </c>
      <c r="X524" s="49" t="s">
        <v>720</v>
      </c>
      <c r="Y524" s="49" t="s">
        <v>2853</v>
      </c>
      <c r="Z524" s="49" t="s">
        <v>320</v>
      </c>
      <c r="AA524" s="61">
        <v>0.73</v>
      </c>
      <c r="AB524" s="71">
        <v>52782</v>
      </c>
      <c r="AC524" s="90" t="s">
        <v>7550</v>
      </c>
      <c r="AD524" s="53" t="str">
        <f t="shared" si="395"/>
        <v>Link</v>
      </c>
      <c r="AE524" s="54">
        <v>3575</v>
      </c>
      <c r="AF524" s="55"/>
      <c r="AG524" s="48"/>
      <c r="AH524" s="56">
        <v>194107</v>
      </c>
    </row>
    <row r="525" spans="1:34" ht="13" x14ac:dyDescent="0.15">
      <c r="A525" s="57" t="s">
        <v>2641</v>
      </c>
      <c r="B525" s="31" t="s">
        <v>7303</v>
      </c>
      <c r="C525" s="7" t="s">
        <v>41</v>
      </c>
      <c r="D525" s="7" t="s">
        <v>7575</v>
      </c>
      <c r="E525" s="44">
        <v>5</v>
      </c>
      <c r="F525" s="7"/>
      <c r="G525" s="7"/>
      <c r="H525" s="7" t="s">
        <v>7577</v>
      </c>
      <c r="I525" s="7" t="s">
        <v>3939</v>
      </c>
      <c r="J525" s="7" t="s">
        <v>7578</v>
      </c>
      <c r="K525" s="7" t="s">
        <v>120</v>
      </c>
      <c r="L525" s="7"/>
      <c r="M525" s="7"/>
      <c r="N525" s="48"/>
      <c r="O525" s="48"/>
      <c r="P525" s="48" t="s">
        <v>7579</v>
      </c>
      <c r="Q525" s="60" t="s">
        <v>1304</v>
      </c>
      <c r="R525" s="48" t="s">
        <v>1897</v>
      </c>
      <c r="S525" s="48" t="s">
        <v>288</v>
      </c>
      <c r="T525" s="49" t="s">
        <v>63</v>
      </c>
      <c r="U525" s="49" t="s">
        <v>686</v>
      </c>
      <c r="V525" s="48"/>
      <c r="W525" s="71">
        <v>2.81</v>
      </c>
      <c r="X525" s="49" t="s">
        <v>7582</v>
      </c>
      <c r="Y525" s="49" t="s">
        <v>7583</v>
      </c>
      <c r="Z525" s="49" t="s">
        <v>357</v>
      </c>
      <c r="AA525" s="61">
        <v>1</v>
      </c>
      <c r="AB525" s="71">
        <v>39580</v>
      </c>
      <c r="AC525" s="62" t="s">
        <v>7579</v>
      </c>
      <c r="AD525" s="53" t="str">
        <f t="shared" ref="AD525:AD527" si="398">HYPERLINK("http://www.nyack.edu/content/FCSMajors","Link")</f>
        <v>Link</v>
      </c>
      <c r="AE525" s="54">
        <v>1451</v>
      </c>
      <c r="AF525" s="55"/>
      <c r="AG525" s="48"/>
      <c r="AH525" s="56">
        <v>194161</v>
      </c>
    </row>
    <row r="526" spans="1:34" ht="13" x14ac:dyDescent="0.15">
      <c r="A526" s="57" t="s">
        <v>2641</v>
      </c>
      <c r="B526" s="31" t="s">
        <v>7303</v>
      </c>
      <c r="C526" s="7" t="s">
        <v>41</v>
      </c>
      <c r="D526" s="7" t="s">
        <v>7585</v>
      </c>
      <c r="E526" s="44">
        <v>5</v>
      </c>
      <c r="F526" s="7"/>
      <c r="G526" s="7"/>
      <c r="H526" s="7" t="s">
        <v>7577</v>
      </c>
      <c r="I526" s="7" t="s">
        <v>94</v>
      </c>
      <c r="J526" s="7" t="s">
        <v>7586</v>
      </c>
      <c r="K526" s="7" t="s">
        <v>48</v>
      </c>
      <c r="L526" s="7" t="s">
        <v>7588</v>
      </c>
      <c r="M526" s="7" t="s">
        <v>7589</v>
      </c>
      <c r="N526" s="45" t="str">
        <f t="shared" ref="N526:N527" si="399">HYPERLINK("twitter.com/nyack_softball","@nyack_softball")</f>
        <v>@nyack_softball</v>
      </c>
      <c r="O526" s="45" t="str">
        <f t="shared" ref="O526:O527" si="400">HYPERLINK("https://athletics.nyack.edu/recruits/questionnaire_directory","Questionnaire")</f>
        <v>Questionnaire</v>
      </c>
      <c r="P526" s="48" t="s">
        <v>7579</v>
      </c>
      <c r="Q526" s="60" t="s">
        <v>1304</v>
      </c>
      <c r="R526" s="48" t="s">
        <v>1897</v>
      </c>
      <c r="S526" s="48" t="s">
        <v>288</v>
      </c>
      <c r="T526" s="49" t="s">
        <v>63</v>
      </c>
      <c r="U526" s="49" t="s">
        <v>686</v>
      </c>
      <c r="V526" s="48"/>
      <c r="W526" s="71">
        <v>2.81</v>
      </c>
      <c r="X526" s="49" t="s">
        <v>7582</v>
      </c>
      <c r="Y526" s="49" t="s">
        <v>7583</v>
      </c>
      <c r="Z526" s="49" t="s">
        <v>357</v>
      </c>
      <c r="AA526" s="61">
        <v>1</v>
      </c>
      <c r="AB526" s="71">
        <v>39580</v>
      </c>
      <c r="AC526" s="62" t="s">
        <v>7579</v>
      </c>
      <c r="AD526" s="53" t="str">
        <f t="shared" si="398"/>
        <v>Link</v>
      </c>
      <c r="AE526" s="54">
        <v>1451</v>
      </c>
      <c r="AF526" s="55"/>
      <c r="AG526" s="48"/>
      <c r="AH526" s="56">
        <v>194161</v>
      </c>
    </row>
    <row r="527" spans="1:34" ht="13" x14ac:dyDescent="0.15">
      <c r="A527" s="57" t="s">
        <v>2641</v>
      </c>
      <c r="B527" s="31" t="s">
        <v>7303</v>
      </c>
      <c r="C527" s="7" t="s">
        <v>41</v>
      </c>
      <c r="D527" s="7" t="s">
        <v>7601</v>
      </c>
      <c r="E527" s="44">
        <v>5</v>
      </c>
      <c r="F527" s="7"/>
      <c r="G527" s="7"/>
      <c r="H527" s="7" t="s">
        <v>7577</v>
      </c>
      <c r="I527" s="7" t="s">
        <v>7603</v>
      </c>
      <c r="J527" s="7" t="s">
        <v>7605</v>
      </c>
      <c r="K527" s="7" t="s">
        <v>55</v>
      </c>
      <c r="L527" s="7"/>
      <c r="M527" s="7"/>
      <c r="N527" s="45" t="str">
        <f t="shared" si="399"/>
        <v>@nyack_softball</v>
      </c>
      <c r="O527" s="45" t="str">
        <f t="shared" si="400"/>
        <v>Questionnaire</v>
      </c>
      <c r="P527" s="48" t="s">
        <v>7579</v>
      </c>
      <c r="Q527" s="60" t="s">
        <v>1304</v>
      </c>
      <c r="R527" s="48" t="s">
        <v>1897</v>
      </c>
      <c r="S527" s="48" t="s">
        <v>288</v>
      </c>
      <c r="T527" s="49" t="s">
        <v>63</v>
      </c>
      <c r="U527" s="49" t="s">
        <v>686</v>
      </c>
      <c r="V527" s="48"/>
      <c r="W527" s="71">
        <v>2.81</v>
      </c>
      <c r="X527" s="49" t="s">
        <v>7582</v>
      </c>
      <c r="Y527" s="49" t="s">
        <v>7583</v>
      </c>
      <c r="Z527" s="49" t="s">
        <v>357</v>
      </c>
      <c r="AA527" s="61">
        <v>1</v>
      </c>
      <c r="AB527" s="71">
        <v>39580</v>
      </c>
      <c r="AC527" s="62" t="s">
        <v>7579</v>
      </c>
      <c r="AD527" s="53" t="str">
        <f t="shared" si="398"/>
        <v>Link</v>
      </c>
      <c r="AE527" s="54">
        <v>1451</v>
      </c>
      <c r="AF527" s="55"/>
      <c r="AG527" s="48"/>
      <c r="AH527" s="56">
        <v>194161</v>
      </c>
    </row>
    <row r="528" spans="1:34" ht="13" x14ac:dyDescent="0.15">
      <c r="A528" s="57" t="s">
        <v>2694</v>
      </c>
      <c r="B528" s="31" t="s">
        <v>7303</v>
      </c>
      <c r="C528" s="7" t="s">
        <v>41</v>
      </c>
      <c r="D528" s="7" t="s">
        <v>7609</v>
      </c>
      <c r="E528" s="44">
        <v>5</v>
      </c>
      <c r="F528" s="7"/>
      <c r="G528" s="7"/>
      <c r="H528" s="7" t="s">
        <v>7610</v>
      </c>
      <c r="I528" s="7" t="s">
        <v>7611</v>
      </c>
      <c r="J528" s="7" t="s">
        <v>7612</v>
      </c>
      <c r="K528" s="7" t="s">
        <v>48</v>
      </c>
      <c r="L528" s="7" t="s">
        <v>7614</v>
      </c>
      <c r="M528" s="7" t="s">
        <v>7615</v>
      </c>
      <c r="N528" s="45" t="str">
        <f t="shared" ref="N528:N529" si="401">HYPERLINK("twitter.com/pace_softball","@pace_softball")</f>
        <v>@pace_softball</v>
      </c>
      <c r="O528" s="45" t="str">
        <f t="shared" ref="O528:O529" si="402">HYPERLINK("https://paceuathletics.com/sb_output.aspx?form=3","Questionnaire")</f>
        <v>Questionnaire</v>
      </c>
      <c r="P528" s="48" t="s">
        <v>7622</v>
      </c>
      <c r="Q528" s="60" t="s">
        <v>1304</v>
      </c>
      <c r="R528" s="48" t="s">
        <v>1897</v>
      </c>
      <c r="S528" s="48" t="s">
        <v>288</v>
      </c>
      <c r="T528" s="73" t="s">
        <v>63</v>
      </c>
      <c r="U528" s="49" t="s">
        <v>75</v>
      </c>
      <c r="V528" s="48"/>
      <c r="W528" s="71">
        <v>3.3</v>
      </c>
      <c r="X528" s="49" t="s">
        <v>2341</v>
      </c>
      <c r="Y528" s="49" t="s">
        <v>2341</v>
      </c>
      <c r="Z528" s="49" t="s">
        <v>545</v>
      </c>
      <c r="AA528" s="61">
        <v>0.84</v>
      </c>
      <c r="AB528" s="71">
        <v>64022</v>
      </c>
      <c r="AC528" s="90" t="s">
        <v>7622</v>
      </c>
      <c r="AD528" s="53" t="str">
        <f t="shared" ref="AD528:AD529" si="403">HYPERLINK("http://www.pace.edu/academics/undergraduate-students/majors","Link")</f>
        <v>Link</v>
      </c>
      <c r="AE528" s="54">
        <v>8914</v>
      </c>
      <c r="AF528" s="54">
        <v>187</v>
      </c>
      <c r="AG528" s="48"/>
      <c r="AH528" s="56">
        <v>194310</v>
      </c>
    </row>
    <row r="529" spans="1:34" ht="13" x14ac:dyDescent="0.15">
      <c r="A529" s="57" t="s">
        <v>2694</v>
      </c>
      <c r="B529" s="31" t="s">
        <v>7303</v>
      </c>
      <c r="C529" s="7" t="s">
        <v>41</v>
      </c>
      <c r="D529" s="7" t="s">
        <v>7630</v>
      </c>
      <c r="E529" s="44">
        <v>5</v>
      </c>
      <c r="F529" s="7"/>
      <c r="G529" s="7"/>
      <c r="H529" s="7" t="s">
        <v>7610</v>
      </c>
      <c r="I529" s="7" t="s">
        <v>7631</v>
      </c>
      <c r="J529" s="7" t="s">
        <v>2335</v>
      </c>
      <c r="K529" s="7" t="s">
        <v>55</v>
      </c>
      <c r="L529" s="7" t="s">
        <v>7633</v>
      </c>
      <c r="M529" s="7" t="s">
        <v>7634</v>
      </c>
      <c r="N529" s="45" t="str">
        <f t="shared" si="401"/>
        <v>@pace_softball</v>
      </c>
      <c r="O529" s="45" t="str">
        <f t="shared" si="402"/>
        <v>Questionnaire</v>
      </c>
      <c r="P529" s="48" t="s">
        <v>7622</v>
      </c>
      <c r="Q529" s="60" t="s">
        <v>1304</v>
      </c>
      <c r="R529" s="48" t="s">
        <v>1897</v>
      </c>
      <c r="S529" s="48" t="s">
        <v>288</v>
      </c>
      <c r="T529" s="73" t="s">
        <v>63</v>
      </c>
      <c r="U529" s="49" t="s">
        <v>75</v>
      </c>
      <c r="V529" s="48"/>
      <c r="W529" s="71">
        <v>3.3</v>
      </c>
      <c r="X529" s="49" t="s">
        <v>2341</v>
      </c>
      <c r="Y529" s="49" t="s">
        <v>2341</v>
      </c>
      <c r="Z529" s="49" t="s">
        <v>545</v>
      </c>
      <c r="AA529" s="61">
        <v>0.84</v>
      </c>
      <c r="AB529" s="71">
        <v>64022</v>
      </c>
      <c r="AC529" s="90" t="s">
        <v>7622</v>
      </c>
      <c r="AD529" s="53" t="str">
        <f t="shared" si="403"/>
        <v>Link</v>
      </c>
      <c r="AE529" s="54">
        <v>8914</v>
      </c>
      <c r="AF529" s="54">
        <v>187</v>
      </c>
      <c r="AG529" s="48"/>
      <c r="AH529" s="56">
        <v>194310</v>
      </c>
    </row>
    <row r="530" spans="1:34" ht="13" x14ac:dyDescent="0.15">
      <c r="A530" s="57" t="s">
        <v>2502</v>
      </c>
      <c r="B530" s="31" t="s">
        <v>7303</v>
      </c>
      <c r="C530" s="7" t="s">
        <v>41</v>
      </c>
      <c r="D530" s="7" t="s">
        <v>7640</v>
      </c>
      <c r="E530" s="44">
        <v>5</v>
      </c>
      <c r="F530" s="7"/>
      <c r="G530" s="7"/>
      <c r="H530" s="7" t="s">
        <v>7641</v>
      </c>
      <c r="I530" s="7" t="s">
        <v>206</v>
      </c>
      <c r="J530" s="7" t="s">
        <v>7643</v>
      </c>
      <c r="K530" s="7" t="s">
        <v>48</v>
      </c>
      <c r="L530" s="7" t="s">
        <v>7644</v>
      </c>
      <c r="M530" s="7" t="s">
        <v>7647</v>
      </c>
      <c r="N530" s="45" t="str">
        <f t="shared" ref="N530:N531" si="404">HYPERLINK("twitter.com/qc_softball","@qc_softball")</f>
        <v>@qc_softball</v>
      </c>
      <c r="O530" s="45" t="str">
        <f t="shared" ref="O530:O531" si="405">HYPERLINK("http://athletics.qc.cuny.edu/sports/information/prospective/recruitme","Questionnaire")</f>
        <v>Questionnaire</v>
      </c>
      <c r="P530" s="48" t="s">
        <v>7651</v>
      </c>
      <c r="Q530" s="60" t="s">
        <v>1304</v>
      </c>
      <c r="R530" s="48" t="s">
        <v>1897</v>
      </c>
      <c r="S530" s="48" t="s">
        <v>288</v>
      </c>
      <c r="T530" s="49" t="s">
        <v>74</v>
      </c>
      <c r="U530" s="49" t="s">
        <v>75</v>
      </c>
      <c r="V530" s="48"/>
      <c r="W530" s="71">
        <v>3.5</v>
      </c>
      <c r="X530" s="49" t="s">
        <v>895</v>
      </c>
      <c r="Y530" s="49" t="s">
        <v>2228</v>
      </c>
      <c r="Z530" s="49" t="s">
        <v>214</v>
      </c>
      <c r="AA530" s="61">
        <v>0.41</v>
      </c>
      <c r="AB530" s="48" t="s">
        <v>7653</v>
      </c>
      <c r="AC530" s="90" t="s">
        <v>7651</v>
      </c>
      <c r="AD530" s="53" t="str">
        <f t="shared" ref="AD530:AD531" si="406">HYPERLINK("http://www.qc.cuny.edu/admissions/undergraduate/undergraduate_degree_programs/Pages/default.aspx","Link")</f>
        <v>Link</v>
      </c>
      <c r="AE530" s="54">
        <v>16326</v>
      </c>
      <c r="AF530" s="55"/>
      <c r="AG530" s="48"/>
      <c r="AH530" s="56">
        <v>190664</v>
      </c>
    </row>
    <row r="531" spans="1:34" ht="13" x14ac:dyDescent="0.15">
      <c r="A531" s="57" t="s">
        <v>2502</v>
      </c>
      <c r="B531" s="31" t="s">
        <v>7303</v>
      </c>
      <c r="C531" s="7" t="s">
        <v>41</v>
      </c>
      <c r="D531" s="7" t="s">
        <v>7657</v>
      </c>
      <c r="E531" s="44">
        <v>5</v>
      </c>
      <c r="F531" s="7"/>
      <c r="G531" s="7"/>
      <c r="H531" s="7" t="s">
        <v>7641</v>
      </c>
      <c r="I531" s="7" t="s">
        <v>7659</v>
      </c>
      <c r="J531" s="7" t="s">
        <v>7661</v>
      </c>
      <c r="K531" s="7" t="s">
        <v>55</v>
      </c>
      <c r="L531" s="7"/>
      <c r="M531" s="7"/>
      <c r="N531" s="45" t="str">
        <f t="shared" si="404"/>
        <v>@qc_softball</v>
      </c>
      <c r="O531" s="45" t="str">
        <f t="shared" si="405"/>
        <v>Questionnaire</v>
      </c>
      <c r="P531" s="48" t="s">
        <v>7651</v>
      </c>
      <c r="Q531" s="60" t="s">
        <v>1304</v>
      </c>
      <c r="R531" s="48" t="s">
        <v>1897</v>
      </c>
      <c r="S531" s="48" t="s">
        <v>288</v>
      </c>
      <c r="T531" s="49" t="s">
        <v>74</v>
      </c>
      <c r="U531" s="49" t="s">
        <v>75</v>
      </c>
      <c r="V531" s="48"/>
      <c r="W531" s="71">
        <v>3.5</v>
      </c>
      <c r="X531" s="49" t="s">
        <v>895</v>
      </c>
      <c r="Y531" s="49" t="s">
        <v>2228</v>
      </c>
      <c r="Z531" s="49" t="s">
        <v>214</v>
      </c>
      <c r="AA531" s="61">
        <v>0.41</v>
      </c>
      <c r="AB531" s="48" t="s">
        <v>7653</v>
      </c>
      <c r="AC531" s="90" t="s">
        <v>7651</v>
      </c>
      <c r="AD531" s="53" t="str">
        <f t="shared" si="406"/>
        <v>Link</v>
      </c>
      <c r="AE531" s="54">
        <v>16326</v>
      </c>
      <c r="AF531" s="55"/>
      <c r="AG531" s="48"/>
      <c r="AH531" s="56">
        <v>190664</v>
      </c>
    </row>
    <row r="532" spans="1:34" ht="13" x14ac:dyDescent="0.15">
      <c r="A532" s="57" t="s">
        <v>2694</v>
      </c>
      <c r="B532" s="31" t="s">
        <v>7303</v>
      </c>
      <c r="C532" s="7" t="s">
        <v>41</v>
      </c>
      <c r="D532" s="7" t="s">
        <v>7672</v>
      </c>
      <c r="E532" s="44">
        <v>5</v>
      </c>
      <c r="F532" s="7"/>
      <c r="G532" s="7"/>
      <c r="H532" s="7" t="s">
        <v>7673</v>
      </c>
      <c r="I532" s="7" t="s">
        <v>7674</v>
      </c>
      <c r="J532" s="7" t="s">
        <v>7675</v>
      </c>
      <c r="K532" s="7" t="s">
        <v>48</v>
      </c>
      <c r="L532" s="7" t="s">
        <v>7676</v>
      </c>
      <c r="M532" s="7" t="s">
        <v>7677</v>
      </c>
      <c r="N532" s="45" t="str">
        <f>HYPERLINK("twitter.com/saintrosesball","@saintrosesball")</f>
        <v>@saintrosesball</v>
      </c>
      <c r="O532" s="45" t="str">
        <f>HYPERLINK("https://gogoldenknights.com/sb_output.aspx?frform=11&amp;path=softball","Questionnaire")</f>
        <v>Questionnaire</v>
      </c>
      <c r="P532" s="48" t="s">
        <v>7682</v>
      </c>
      <c r="Q532" s="60" t="s">
        <v>1304</v>
      </c>
      <c r="R532" s="48" t="s">
        <v>1501</v>
      </c>
      <c r="S532" s="48" t="s">
        <v>238</v>
      </c>
      <c r="T532" s="49" t="s">
        <v>63</v>
      </c>
      <c r="U532" s="49" t="s">
        <v>75</v>
      </c>
      <c r="V532" s="48"/>
      <c r="W532" s="71">
        <v>3.39</v>
      </c>
      <c r="X532" s="49" t="s">
        <v>522</v>
      </c>
      <c r="Y532" s="49" t="s">
        <v>7684</v>
      </c>
      <c r="Z532" s="49" t="s">
        <v>2190</v>
      </c>
      <c r="AA532" s="61">
        <v>0.84</v>
      </c>
      <c r="AB532" s="71">
        <v>46348</v>
      </c>
      <c r="AC532" s="62" t="s">
        <v>7682</v>
      </c>
      <c r="AD532" s="53" t="str">
        <f>HYPERLINK("https://www.strose.edu/academics/undergraduate-programs/","Link")</f>
        <v>Link</v>
      </c>
      <c r="AE532" s="54">
        <v>2587</v>
      </c>
      <c r="AF532" s="55"/>
      <c r="AG532" s="48"/>
      <c r="AH532" s="56">
        <v>195234</v>
      </c>
    </row>
    <row r="533" spans="1:34" ht="13" x14ac:dyDescent="0.15">
      <c r="A533" s="57" t="s">
        <v>2502</v>
      </c>
      <c r="B533" s="31" t="s">
        <v>7303</v>
      </c>
      <c r="C533" s="7" t="s">
        <v>41</v>
      </c>
      <c r="D533" s="7" t="s">
        <v>7689</v>
      </c>
      <c r="E533" s="44">
        <v>5</v>
      </c>
      <c r="F533" s="7"/>
      <c r="G533" s="7"/>
      <c r="H533" s="7" t="s">
        <v>7691</v>
      </c>
      <c r="I533" s="7" t="s">
        <v>435</v>
      </c>
      <c r="J533" s="7" t="s">
        <v>3748</v>
      </c>
      <c r="K533" s="7" t="s">
        <v>48</v>
      </c>
      <c r="L533" s="7" t="s">
        <v>7693</v>
      </c>
      <c r="M533" s="7" t="s">
        <v>7694</v>
      </c>
      <c r="N533" s="45" t="str">
        <f t="shared" ref="N533:N536" si="407">HYPERLINK("twitter.com/stafastpitch","@stafastpitch")</f>
        <v>@stafastpitch</v>
      </c>
      <c r="O533" s="45" t="str">
        <f t="shared" ref="O533:O536" si="408">HYPERLINK("https://www.stacathletics.com/information/prospectives/index","Questionnaire")</f>
        <v>Questionnaire</v>
      </c>
      <c r="P533" s="48" t="s">
        <v>7699</v>
      </c>
      <c r="Q533" s="47" t="s">
        <v>1304</v>
      </c>
      <c r="R533" s="48" t="s">
        <v>7700</v>
      </c>
      <c r="S533" s="60" t="s">
        <v>205</v>
      </c>
      <c r="T533" s="49" t="s">
        <v>63</v>
      </c>
      <c r="U533" s="49" t="s">
        <v>343</v>
      </c>
      <c r="V533" s="48"/>
      <c r="W533" s="71">
        <v>3</v>
      </c>
      <c r="X533" s="49" t="s">
        <v>7701</v>
      </c>
      <c r="Y533" s="49" t="s">
        <v>7703</v>
      </c>
      <c r="Z533" s="49" t="s">
        <v>1948</v>
      </c>
      <c r="AA533" s="61">
        <v>0.79</v>
      </c>
      <c r="AB533" s="71">
        <v>46090</v>
      </c>
      <c r="AC533" s="62" t="s">
        <v>7699</v>
      </c>
      <c r="AD533" s="53" t="str">
        <f t="shared" ref="AD533:AD536" si="409">HYPERLINK("http://www.stac.edu/academics/programs-majors","Link")</f>
        <v>Link</v>
      </c>
      <c r="AE533" s="54">
        <v>1722</v>
      </c>
      <c r="AF533" s="55"/>
      <c r="AG533" s="48"/>
      <c r="AH533" s="56">
        <v>195243</v>
      </c>
    </row>
    <row r="534" spans="1:34" ht="13" x14ac:dyDescent="0.15">
      <c r="A534" s="57" t="s">
        <v>2502</v>
      </c>
      <c r="B534" s="31" t="s">
        <v>7303</v>
      </c>
      <c r="C534" s="7" t="s">
        <v>41</v>
      </c>
      <c r="D534" s="7" t="s">
        <v>7710</v>
      </c>
      <c r="E534" s="44">
        <v>5</v>
      </c>
      <c r="F534" s="7"/>
      <c r="G534" s="7"/>
      <c r="H534" s="7" t="s">
        <v>7691</v>
      </c>
      <c r="I534" s="7" t="s">
        <v>349</v>
      </c>
      <c r="J534" s="7" t="s">
        <v>7712</v>
      </c>
      <c r="K534" s="7" t="s">
        <v>55</v>
      </c>
      <c r="L534" s="7" t="s">
        <v>7713</v>
      </c>
      <c r="M534" s="7" t="s">
        <v>7694</v>
      </c>
      <c r="N534" s="45" t="str">
        <f t="shared" si="407"/>
        <v>@stafastpitch</v>
      </c>
      <c r="O534" s="45" t="str">
        <f t="shared" si="408"/>
        <v>Questionnaire</v>
      </c>
      <c r="P534" s="48" t="s">
        <v>7699</v>
      </c>
      <c r="Q534" s="47" t="s">
        <v>1304</v>
      </c>
      <c r="R534" s="48" t="s">
        <v>7700</v>
      </c>
      <c r="S534" s="60" t="s">
        <v>205</v>
      </c>
      <c r="T534" s="49" t="s">
        <v>63</v>
      </c>
      <c r="U534" s="49" t="s">
        <v>343</v>
      </c>
      <c r="V534" s="48"/>
      <c r="W534" s="71">
        <v>3</v>
      </c>
      <c r="X534" s="49" t="s">
        <v>7701</v>
      </c>
      <c r="Y534" s="49" t="s">
        <v>7703</v>
      </c>
      <c r="Z534" s="49" t="s">
        <v>1948</v>
      </c>
      <c r="AA534" s="61">
        <v>0.79</v>
      </c>
      <c r="AB534" s="71">
        <v>46090</v>
      </c>
      <c r="AC534" s="62" t="s">
        <v>7699</v>
      </c>
      <c r="AD534" s="53" t="str">
        <f t="shared" si="409"/>
        <v>Link</v>
      </c>
      <c r="AE534" s="54">
        <v>1722</v>
      </c>
      <c r="AF534" s="55"/>
      <c r="AG534" s="48"/>
      <c r="AH534" s="56">
        <v>195243</v>
      </c>
    </row>
    <row r="535" spans="1:34" ht="13" x14ac:dyDescent="0.15">
      <c r="A535" s="57" t="s">
        <v>2502</v>
      </c>
      <c r="B535" s="31" t="s">
        <v>7303</v>
      </c>
      <c r="C535" s="7" t="s">
        <v>41</v>
      </c>
      <c r="D535" s="7" t="s">
        <v>7717</v>
      </c>
      <c r="E535" s="44">
        <v>5</v>
      </c>
      <c r="F535" s="7"/>
      <c r="G535" s="7"/>
      <c r="H535" s="7" t="s">
        <v>7691</v>
      </c>
      <c r="I535" s="7" t="s">
        <v>2806</v>
      </c>
      <c r="J535" s="7" t="s">
        <v>7718</v>
      </c>
      <c r="K535" s="7" t="s">
        <v>55</v>
      </c>
      <c r="L535" s="7" t="s">
        <v>7719</v>
      </c>
      <c r="M535" s="7" t="s">
        <v>7694</v>
      </c>
      <c r="N535" s="45" t="str">
        <f t="shared" si="407"/>
        <v>@stafastpitch</v>
      </c>
      <c r="O535" s="45" t="str">
        <f t="shared" si="408"/>
        <v>Questionnaire</v>
      </c>
      <c r="P535" s="48" t="s">
        <v>7699</v>
      </c>
      <c r="Q535" s="47" t="s">
        <v>1304</v>
      </c>
      <c r="R535" s="48" t="s">
        <v>7700</v>
      </c>
      <c r="S535" s="60" t="s">
        <v>205</v>
      </c>
      <c r="T535" s="49" t="s">
        <v>63</v>
      </c>
      <c r="U535" s="49" t="s">
        <v>343</v>
      </c>
      <c r="V535" s="48"/>
      <c r="W535" s="71">
        <v>3</v>
      </c>
      <c r="X535" s="49" t="s">
        <v>7701</v>
      </c>
      <c r="Y535" s="49" t="s">
        <v>7703</v>
      </c>
      <c r="Z535" s="49" t="s">
        <v>1948</v>
      </c>
      <c r="AA535" s="61">
        <v>0.79</v>
      </c>
      <c r="AB535" s="71">
        <v>46090</v>
      </c>
      <c r="AC535" s="62" t="s">
        <v>7699</v>
      </c>
      <c r="AD535" s="53" t="str">
        <f t="shared" si="409"/>
        <v>Link</v>
      </c>
      <c r="AE535" s="54">
        <v>1722</v>
      </c>
      <c r="AF535" s="55"/>
      <c r="AG535" s="48"/>
      <c r="AH535" s="56">
        <v>195243</v>
      </c>
    </row>
    <row r="536" spans="1:34" ht="13" x14ac:dyDescent="0.15">
      <c r="A536" s="57" t="s">
        <v>2502</v>
      </c>
      <c r="B536" s="31" t="s">
        <v>7303</v>
      </c>
      <c r="C536" s="7" t="s">
        <v>41</v>
      </c>
      <c r="D536" s="7" t="s">
        <v>7717</v>
      </c>
      <c r="E536" s="44">
        <v>5</v>
      </c>
      <c r="F536" s="7"/>
      <c r="G536" s="7"/>
      <c r="H536" s="7" t="s">
        <v>7691</v>
      </c>
      <c r="I536" s="7" t="s">
        <v>3235</v>
      </c>
      <c r="J536" s="7" t="s">
        <v>7729</v>
      </c>
      <c r="K536" s="7" t="s">
        <v>55</v>
      </c>
      <c r="L536" s="7" t="s">
        <v>7730</v>
      </c>
      <c r="M536" s="7" t="s">
        <v>7694</v>
      </c>
      <c r="N536" s="45" t="str">
        <f t="shared" si="407"/>
        <v>@stafastpitch</v>
      </c>
      <c r="O536" s="45" t="str">
        <f t="shared" si="408"/>
        <v>Questionnaire</v>
      </c>
      <c r="P536" s="48" t="s">
        <v>7699</v>
      </c>
      <c r="Q536" s="47" t="s">
        <v>1304</v>
      </c>
      <c r="R536" s="48" t="s">
        <v>7700</v>
      </c>
      <c r="S536" s="60" t="s">
        <v>205</v>
      </c>
      <c r="T536" s="49" t="s">
        <v>63</v>
      </c>
      <c r="U536" s="49" t="s">
        <v>343</v>
      </c>
      <c r="V536" s="48"/>
      <c r="W536" s="71">
        <v>3</v>
      </c>
      <c r="X536" s="49" t="s">
        <v>7701</v>
      </c>
      <c r="Y536" s="49" t="s">
        <v>7703</v>
      </c>
      <c r="Z536" s="49" t="s">
        <v>1948</v>
      </c>
      <c r="AA536" s="61">
        <v>0.79</v>
      </c>
      <c r="AB536" s="71">
        <v>46090</v>
      </c>
      <c r="AC536" s="62" t="s">
        <v>7699</v>
      </c>
      <c r="AD536" s="53" t="str">
        <f t="shared" si="409"/>
        <v>Link</v>
      </c>
      <c r="AE536" s="54">
        <v>1722</v>
      </c>
      <c r="AF536" s="55"/>
      <c r="AG536" s="48"/>
      <c r="AH536" s="56">
        <v>195243</v>
      </c>
    </row>
    <row r="537" spans="1:34" ht="13" x14ac:dyDescent="0.15">
      <c r="A537" s="57" t="s">
        <v>3712</v>
      </c>
      <c r="B537" s="31" t="s">
        <v>1019</v>
      </c>
      <c r="C537" s="7" t="s">
        <v>41</v>
      </c>
      <c r="D537" s="7" t="s">
        <v>7734</v>
      </c>
      <c r="E537" s="44">
        <v>5</v>
      </c>
      <c r="F537" s="7"/>
      <c r="G537" s="7"/>
      <c r="H537" s="7" t="s">
        <v>7738</v>
      </c>
      <c r="I537" s="7" t="s">
        <v>7739</v>
      </c>
      <c r="J537" s="7" t="s">
        <v>852</v>
      </c>
      <c r="K537" s="7" t="s">
        <v>48</v>
      </c>
      <c r="L537" s="7" t="s">
        <v>7740</v>
      </c>
      <c r="M537" s="7" t="s">
        <v>7741</v>
      </c>
      <c r="N537" s="48"/>
      <c r="O537" s="45" t="str">
        <f t="shared" ref="O537:O540" si="410">HYPERLINK("https://www.bartonbulldogs.com/recruits/softball","Questionnaire")</f>
        <v>Questionnaire</v>
      </c>
      <c r="P537" s="48" t="s">
        <v>7742</v>
      </c>
      <c r="Q537" s="47" t="s">
        <v>219</v>
      </c>
      <c r="R537" s="48" t="s">
        <v>805</v>
      </c>
      <c r="S537" s="48" t="s">
        <v>468</v>
      </c>
      <c r="T537" s="49" t="s">
        <v>63</v>
      </c>
      <c r="U537" s="49" t="s">
        <v>410</v>
      </c>
      <c r="V537" s="48"/>
      <c r="W537" s="71">
        <v>3.07</v>
      </c>
      <c r="X537" s="49" t="s">
        <v>1785</v>
      </c>
      <c r="Y537" s="49" t="s">
        <v>1452</v>
      </c>
      <c r="Z537" s="49" t="s">
        <v>449</v>
      </c>
      <c r="AA537" s="61">
        <v>0.42</v>
      </c>
      <c r="AB537" s="71">
        <v>42805</v>
      </c>
      <c r="AC537" s="62" t="s">
        <v>7742</v>
      </c>
      <c r="AD537" s="53" t="str">
        <f t="shared" ref="AD537:AD540" si="411">HYPERLINK("https://www.barton.edu/academics/programs/","Link")</f>
        <v>Link</v>
      </c>
      <c r="AE537" s="54">
        <v>988</v>
      </c>
      <c r="AF537" s="55"/>
      <c r="AG537" s="48"/>
      <c r="AH537" s="56">
        <v>197911</v>
      </c>
    </row>
    <row r="538" spans="1:34" ht="13" x14ac:dyDescent="0.15">
      <c r="A538" s="57" t="s">
        <v>3712</v>
      </c>
      <c r="B538" s="31" t="s">
        <v>1019</v>
      </c>
      <c r="C538" s="7" t="s">
        <v>41</v>
      </c>
      <c r="D538" s="7" t="s">
        <v>7748</v>
      </c>
      <c r="E538" s="44">
        <v>5</v>
      </c>
      <c r="F538" s="7"/>
      <c r="G538" s="7"/>
      <c r="H538" s="7" t="s">
        <v>7738</v>
      </c>
      <c r="I538" s="7" t="s">
        <v>754</v>
      </c>
      <c r="J538" s="7" t="s">
        <v>7749</v>
      </c>
      <c r="K538" s="7" t="s">
        <v>55</v>
      </c>
      <c r="L538" s="7" t="s">
        <v>7750</v>
      </c>
      <c r="M538" s="7"/>
      <c r="N538" s="48"/>
      <c r="O538" s="45" t="str">
        <f t="shared" si="410"/>
        <v>Questionnaire</v>
      </c>
      <c r="P538" s="48" t="s">
        <v>7742</v>
      </c>
      <c r="Q538" s="47" t="s">
        <v>219</v>
      </c>
      <c r="R538" s="48" t="s">
        <v>805</v>
      </c>
      <c r="S538" s="48" t="s">
        <v>468</v>
      </c>
      <c r="T538" s="49" t="s">
        <v>63</v>
      </c>
      <c r="U538" s="49" t="s">
        <v>410</v>
      </c>
      <c r="V538" s="48"/>
      <c r="W538" s="71">
        <v>3.07</v>
      </c>
      <c r="X538" s="49" t="s">
        <v>1785</v>
      </c>
      <c r="Y538" s="49" t="s">
        <v>1452</v>
      </c>
      <c r="Z538" s="49" t="s">
        <v>449</v>
      </c>
      <c r="AA538" s="61">
        <v>0.42</v>
      </c>
      <c r="AB538" s="71">
        <v>42805</v>
      </c>
      <c r="AC538" s="62" t="s">
        <v>7742</v>
      </c>
      <c r="AD538" s="53" t="str">
        <f t="shared" si="411"/>
        <v>Link</v>
      </c>
      <c r="AE538" s="54">
        <v>988</v>
      </c>
      <c r="AF538" s="55"/>
      <c r="AG538" s="48"/>
      <c r="AH538" s="56">
        <v>197911</v>
      </c>
    </row>
    <row r="539" spans="1:34" ht="13" x14ac:dyDescent="0.15">
      <c r="A539" s="57" t="s">
        <v>3712</v>
      </c>
      <c r="B539" s="31" t="s">
        <v>1019</v>
      </c>
      <c r="C539" s="7" t="s">
        <v>41</v>
      </c>
      <c r="D539" s="7" t="s">
        <v>7754</v>
      </c>
      <c r="E539" s="44">
        <v>5</v>
      </c>
      <c r="F539" s="7"/>
      <c r="G539" s="7" t="s">
        <v>126</v>
      </c>
      <c r="H539" s="7" t="s">
        <v>7738</v>
      </c>
      <c r="I539" s="7" t="s">
        <v>7758</v>
      </c>
      <c r="J539" s="7"/>
      <c r="K539" s="7"/>
      <c r="L539" s="7"/>
      <c r="M539" s="7"/>
      <c r="N539" s="48"/>
      <c r="O539" s="45" t="str">
        <f t="shared" si="410"/>
        <v>Questionnaire</v>
      </c>
      <c r="P539" s="48" t="s">
        <v>7742</v>
      </c>
      <c r="Q539" s="47" t="s">
        <v>219</v>
      </c>
      <c r="R539" s="48" t="s">
        <v>805</v>
      </c>
      <c r="S539" s="48" t="s">
        <v>468</v>
      </c>
      <c r="T539" s="49" t="s">
        <v>63</v>
      </c>
      <c r="U539" s="49" t="s">
        <v>410</v>
      </c>
      <c r="V539" s="48"/>
      <c r="W539" s="71">
        <v>3.07</v>
      </c>
      <c r="X539" s="49" t="s">
        <v>1785</v>
      </c>
      <c r="Y539" s="49" t="s">
        <v>1452</v>
      </c>
      <c r="Z539" s="49" t="s">
        <v>449</v>
      </c>
      <c r="AA539" s="61">
        <v>0.42</v>
      </c>
      <c r="AB539" s="71">
        <v>42805</v>
      </c>
      <c r="AC539" s="62" t="s">
        <v>7742</v>
      </c>
      <c r="AD539" s="53" t="str">
        <f t="shared" si="411"/>
        <v>Link</v>
      </c>
      <c r="AE539" s="54">
        <v>988</v>
      </c>
      <c r="AF539" s="55"/>
      <c r="AG539" s="48"/>
      <c r="AH539" s="56">
        <v>197911</v>
      </c>
    </row>
    <row r="540" spans="1:34" ht="13" x14ac:dyDescent="0.15">
      <c r="A540" s="57" t="s">
        <v>3712</v>
      </c>
      <c r="B540" s="110" t="s">
        <v>1019</v>
      </c>
      <c r="C540" s="7" t="s">
        <v>41</v>
      </c>
      <c r="D540" s="7" t="s">
        <v>7761</v>
      </c>
      <c r="E540" s="44">
        <v>5</v>
      </c>
      <c r="F540" s="7" t="s">
        <v>116</v>
      </c>
      <c r="G540" s="7"/>
      <c r="H540" s="7" t="s">
        <v>7738</v>
      </c>
      <c r="I540" s="7" t="s">
        <v>1746</v>
      </c>
      <c r="J540" s="7" t="s">
        <v>7763</v>
      </c>
      <c r="K540" s="7" t="s">
        <v>919</v>
      </c>
      <c r="L540" s="7"/>
      <c r="M540" s="7"/>
      <c r="N540" s="48"/>
      <c r="O540" s="45" t="str">
        <f t="shared" si="410"/>
        <v>Questionnaire</v>
      </c>
      <c r="P540" s="48" t="s">
        <v>7742</v>
      </c>
      <c r="Q540" s="47" t="s">
        <v>219</v>
      </c>
      <c r="R540" s="48" t="s">
        <v>805</v>
      </c>
      <c r="S540" s="48" t="s">
        <v>468</v>
      </c>
      <c r="T540" s="49" t="s">
        <v>63</v>
      </c>
      <c r="U540" s="49" t="s">
        <v>410</v>
      </c>
      <c r="V540" s="48"/>
      <c r="W540" s="71">
        <v>3.07</v>
      </c>
      <c r="X540" s="49" t="s">
        <v>1785</v>
      </c>
      <c r="Y540" s="49" t="s">
        <v>1452</v>
      </c>
      <c r="Z540" s="49" t="s">
        <v>449</v>
      </c>
      <c r="AA540" s="61">
        <v>0.42</v>
      </c>
      <c r="AB540" s="71">
        <v>42805</v>
      </c>
      <c r="AC540" s="62" t="s">
        <v>7742</v>
      </c>
      <c r="AD540" s="53" t="str">
        <f t="shared" si="411"/>
        <v>Link</v>
      </c>
      <c r="AE540" s="54">
        <v>988</v>
      </c>
      <c r="AF540" s="55"/>
      <c r="AG540" s="48"/>
      <c r="AH540" s="56">
        <v>197911</v>
      </c>
    </row>
    <row r="541" spans="1:34" ht="15" x14ac:dyDescent="0.2">
      <c r="A541" s="57" t="s">
        <v>3712</v>
      </c>
      <c r="B541" s="31" t="s">
        <v>1019</v>
      </c>
      <c r="C541" s="7" t="s">
        <v>41</v>
      </c>
      <c r="D541" s="7" t="s">
        <v>7766</v>
      </c>
      <c r="E541" s="44">
        <v>5</v>
      </c>
      <c r="F541" s="7"/>
      <c r="G541" s="7"/>
      <c r="H541" s="7" t="s">
        <v>7767</v>
      </c>
      <c r="I541" s="7" t="s">
        <v>7768</v>
      </c>
      <c r="J541" s="7" t="s">
        <v>7769</v>
      </c>
      <c r="K541" s="7" t="s">
        <v>55</v>
      </c>
      <c r="L541" s="7" t="s">
        <v>7770</v>
      </c>
      <c r="M541" s="7" t="s">
        <v>7771</v>
      </c>
      <c r="N541" s="45" t="str">
        <f t="shared" ref="N541:N544" si="412">HYPERLINK("twitter.com/abbeysoftball","@abbeysoftball")</f>
        <v>@abbeysoftball</v>
      </c>
      <c r="O541" s="45" t="str">
        <f t="shared" ref="O541:O544" si="413">HYPERLINK("https://abbeyathletics.prestosports.com/recruits/recruits","Questionnaire")</f>
        <v>Questionnaire</v>
      </c>
      <c r="P541" s="48" t="s">
        <v>7777</v>
      </c>
      <c r="Q541" s="47" t="s">
        <v>219</v>
      </c>
      <c r="R541" s="48" t="s">
        <v>1943</v>
      </c>
      <c r="S541" s="48" t="s">
        <v>172</v>
      </c>
      <c r="T541" s="49" t="s">
        <v>63</v>
      </c>
      <c r="U541" s="49" t="s">
        <v>343</v>
      </c>
      <c r="V541" s="48"/>
      <c r="W541" s="71">
        <v>3.13</v>
      </c>
      <c r="X541" s="49" t="s">
        <v>2257</v>
      </c>
      <c r="Y541" s="49" t="s">
        <v>396</v>
      </c>
      <c r="Z541" s="49" t="s">
        <v>841</v>
      </c>
      <c r="AA541" s="51">
        <v>0.97370000000000001</v>
      </c>
      <c r="AB541" s="71">
        <v>32954</v>
      </c>
      <c r="AC541" s="52" t="s">
        <v>7777</v>
      </c>
      <c r="AD541" s="53" t="str">
        <f t="shared" ref="AD541:AD544" si="414">HYPERLINK("http://belmontabbeycollege.edu/academics/programs/","Link")</f>
        <v>Link</v>
      </c>
      <c r="AE541" s="54">
        <v>1523</v>
      </c>
      <c r="AF541" s="55"/>
      <c r="AG541" s="48"/>
      <c r="AH541" s="56">
        <v>197984</v>
      </c>
    </row>
    <row r="542" spans="1:34" ht="15" x14ac:dyDescent="0.2">
      <c r="A542" s="57" t="s">
        <v>3712</v>
      </c>
      <c r="B542" s="31" t="s">
        <v>1019</v>
      </c>
      <c r="C542" s="7" t="s">
        <v>41</v>
      </c>
      <c r="D542" s="7" t="s">
        <v>7786</v>
      </c>
      <c r="E542" s="44">
        <v>5</v>
      </c>
      <c r="F542" s="7"/>
      <c r="G542" s="7"/>
      <c r="H542" s="7" t="s">
        <v>7767</v>
      </c>
      <c r="I542" s="7" t="s">
        <v>2622</v>
      </c>
      <c r="J542" s="7" t="s">
        <v>7791</v>
      </c>
      <c r="K542" s="7" t="s">
        <v>48</v>
      </c>
      <c r="L542" s="7" t="s">
        <v>7793</v>
      </c>
      <c r="M542" s="7" t="s">
        <v>7795</v>
      </c>
      <c r="N542" s="45" t="str">
        <f t="shared" si="412"/>
        <v>@abbeysoftball</v>
      </c>
      <c r="O542" s="45" t="str">
        <f t="shared" si="413"/>
        <v>Questionnaire</v>
      </c>
      <c r="P542" s="48" t="s">
        <v>7777</v>
      </c>
      <c r="Q542" s="47" t="s">
        <v>219</v>
      </c>
      <c r="R542" s="48" t="s">
        <v>1943</v>
      </c>
      <c r="S542" s="48" t="s">
        <v>172</v>
      </c>
      <c r="T542" s="49" t="s">
        <v>63</v>
      </c>
      <c r="U542" s="49" t="s">
        <v>343</v>
      </c>
      <c r="V542" s="48"/>
      <c r="W542" s="71">
        <v>3.13</v>
      </c>
      <c r="X542" s="49" t="s">
        <v>2257</v>
      </c>
      <c r="Y542" s="49" t="s">
        <v>396</v>
      </c>
      <c r="Z542" s="49" t="s">
        <v>841</v>
      </c>
      <c r="AA542" s="51">
        <v>0.97370000000000001</v>
      </c>
      <c r="AB542" s="71">
        <v>32954</v>
      </c>
      <c r="AC542" s="52" t="s">
        <v>7777</v>
      </c>
      <c r="AD542" s="53" t="str">
        <f t="shared" si="414"/>
        <v>Link</v>
      </c>
      <c r="AE542" s="54">
        <v>1523</v>
      </c>
      <c r="AF542" s="55"/>
      <c r="AG542" s="48"/>
      <c r="AH542" s="56">
        <v>197984</v>
      </c>
    </row>
    <row r="543" spans="1:34" ht="15" x14ac:dyDescent="0.2">
      <c r="A543" s="57" t="s">
        <v>3712</v>
      </c>
      <c r="B543" s="31" t="s">
        <v>1019</v>
      </c>
      <c r="C543" s="7" t="s">
        <v>41</v>
      </c>
      <c r="D543" s="7" t="s">
        <v>7799</v>
      </c>
      <c r="E543" s="44">
        <v>5</v>
      </c>
      <c r="F543" s="7"/>
      <c r="G543" s="7"/>
      <c r="H543" s="7" t="s">
        <v>7767</v>
      </c>
      <c r="I543" s="7" t="s">
        <v>5161</v>
      </c>
      <c r="J543" s="7" t="s">
        <v>7804</v>
      </c>
      <c r="K543" s="7" t="s">
        <v>55</v>
      </c>
      <c r="L543" s="7" t="s">
        <v>7805</v>
      </c>
      <c r="M543" s="7" t="s">
        <v>7806</v>
      </c>
      <c r="N543" s="45" t="str">
        <f t="shared" si="412"/>
        <v>@abbeysoftball</v>
      </c>
      <c r="O543" s="45" t="str">
        <f t="shared" si="413"/>
        <v>Questionnaire</v>
      </c>
      <c r="P543" s="48" t="s">
        <v>7777</v>
      </c>
      <c r="Q543" s="47" t="s">
        <v>219</v>
      </c>
      <c r="R543" s="48" t="s">
        <v>1943</v>
      </c>
      <c r="S543" s="48" t="s">
        <v>172</v>
      </c>
      <c r="T543" s="49" t="s">
        <v>63</v>
      </c>
      <c r="U543" s="49" t="s">
        <v>343</v>
      </c>
      <c r="V543" s="48"/>
      <c r="W543" s="71">
        <v>3.13</v>
      </c>
      <c r="X543" s="49" t="s">
        <v>2257</v>
      </c>
      <c r="Y543" s="49" t="s">
        <v>396</v>
      </c>
      <c r="Z543" s="49" t="s">
        <v>841</v>
      </c>
      <c r="AA543" s="51">
        <v>0.97370000000000001</v>
      </c>
      <c r="AB543" s="71">
        <v>32954</v>
      </c>
      <c r="AC543" s="52" t="s">
        <v>7777</v>
      </c>
      <c r="AD543" s="53" t="str">
        <f t="shared" si="414"/>
        <v>Link</v>
      </c>
      <c r="AE543" s="54">
        <v>1523</v>
      </c>
      <c r="AF543" s="55"/>
      <c r="AG543" s="48"/>
      <c r="AH543" s="56">
        <v>197984</v>
      </c>
    </row>
    <row r="544" spans="1:34" ht="15" x14ac:dyDescent="0.2">
      <c r="A544" s="57" t="s">
        <v>3712</v>
      </c>
      <c r="B544" s="110" t="s">
        <v>1019</v>
      </c>
      <c r="C544" s="7" t="s">
        <v>41</v>
      </c>
      <c r="D544" s="7" t="s">
        <v>7815</v>
      </c>
      <c r="E544" s="44">
        <v>5</v>
      </c>
      <c r="F544" s="7" t="s">
        <v>116</v>
      </c>
      <c r="G544" s="7"/>
      <c r="H544" s="7" t="s">
        <v>7767</v>
      </c>
      <c r="I544" s="7" t="s">
        <v>7816</v>
      </c>
      <c r="J544" s="7" t="s">
        <v>3748</v>
      </c>
      <c r="K544" s="7" t="s">
        <v>55</v>
      </c>
      <c r="L544" s="7" t="s">
        <v>7817</v>
      </c>
      <c r="M544" s="7"/>
      <c r="N544" s="45" t="str">
        <f t="shared" si="412"/>
        <v>@abbeysoftball</v>
      </c>
      <c r="O544" s="45" t="str">
        <f t="shared" si="413"/>
        <v>Questionnaire</v>
      </c>
      <c r="P544" s="48" t="s">
        <v>7777</v>
      </c>
      <c r="Q544" s="47" t="s">
        <v>219</v>
      </c>
      <c r="R544" s="48" t="s">
        <v>1943</v>
      </c>
      <c r="S544" s="48" t="s">
        <v>172</v>
      </c>
      <c r="T544" s="49" t="s">
        <v>63</v>
      </c>
      <c r="U544" s="49" t="s">
        <v>343</v>
      </c>
      <c r="V544" s="48"/>
      <c r="W544" s="71">
        <v>3.13</v>
      </c>
      <c r="X544" s="49" t="s">
        <v>2257</v>
      </c>
      <c r="Y544" s="49" t="s">
        <v>396</v>
      </c>
      <c r="Z544" s="49" t="s">
        <v>841</v>
      </c>
      <c r="AA544" s="51">
        <v>0.97370000000000001</v>
      </c>
      <c r="AB544" s="71">
        <v>32954</v>
      </c>
      <c r="AC544" s="52" t="s">
        <v>7777</v>
      </c>
      <c r="AD544" s="53" t="str">
        <f t="shared" si="414"/>
        <v>Link</v>
      </c>
      <c r="AE544" s="54">
        <v>1523</v>
      </c>
      <c r="AF544" s="55"/>
      <c r="AG544" s="48"/>
      <c r="AH544" s="56">
        <v>197984</v>
      </c>
    </row>
    <row r="545" spans="1:34" ht="13" x14ac:dyDescent="0.15">
      <c r="A545" s="57" t="s">
        <v>7828</v>
      </c>
      <c r="B545" s="31" t="s">
        <v>1019</v>
      </c>
      <c r="C545" s="7" t="s">
        <v>41</v>
      </c>
      <c r="D545" s="7" t="s">
        <v>7829</v>
      </c>
      <c r="E545" s="44">
        <v>5</v>
      </c>
      <c r="F545" s="7"/>
      <c r="G545" s="7"/>
      <c r="H545" s="7" t="s">
        <v>7830</v>
      </c>
      <c r="I545" s="7" t="s">
        <v>7385</v>
      </c>
      <c r="J545" s="7" t="s">
        <v>7831</v>
      </c>
      <c r="K545" s="7" t="s">
        <v>48</v>
      </c>
      <c r="L545" s="7" t="s">
        <v>7832</v>
      </c>
      <c r="M545" s="7" t="s">
        <v>7833</v>
      </c>
      <c r="N545" s="45" t="str">
        <f t="shared" ref="N545:N547" si="415">HYPERLINK("twitter.com/catawbasoftball","@catawbasoftball")</f>
        <v>@catawbasoftball</v>
      </c>
      <c r="O545" s="45" t="str">
        <f t="shared" ref="O545:O547" si="416">HYPERLINK("http://gocatawbaindians.com/recruiting.asp","Questionnaire")</f>
        <v>Questionnaire</v>
      </c>
      <c r="P545" s="48" t="s">
        <v>7840</v>
      </c>
      <c r="Q545" s="47" t="s">
        <v>219</v>
      </c>
      <c r="R545" s="48" t="s">
        <v>4334</v>
      </c>
      <c r="S545" s="48" t="s">
        <v>468</v>
      </c>
      <c r="T545" s="49" t="s">
        <v>63</v>
      </c>
      <c r="U545" s="49" t="s">
        <v>75</v>
      </c>
      <c r="V545" s="48"/>
      <c r="W545" s="71">
        <v>3.66</v>
      </c>
      <c r="X545" s="49" t="s">
        <v>1008</v>
      </c>
      <c r="Y545" s="49" t="s">
        <v>1453</v>
      </c>
      <c r="Z545" s="49" t="s">
        <v>841</v>
      </c>
      <c r="AA545" s="51">
        <v>0.47070000000000001</v>
      </c>
      <c r="AB545" s="71">
        <v>44333</v>
      </c>
      <c r="AC545" s="92" t="s">
        <v>7840</v>
      </c>
      <c r="AD545" s="53" t="str">
        <f t="shared" ref="AD545:AD547" si="417">HYPERLINK("http://catawba.edu/academics/academics/majors/","Link")</f>
        <v>Link</v>
      </c>
      <c r="AE545" s="54">
        <v>1297</v>
      </c>
      <c r="AF545" s="55"/>
      <c r="AG545" s="48"/>
      <c r="AH545" s="56">
        <v>198215</v>
      </c>
    </row>
    <row r="546" spans="1:34" ht="13" x14ac:dyDescent="0.15">
      <c r="A546" s="57" t="s">
        <v>7828</v>
      </c>
      <c r="B546" s="31" t="s">
        <v>1019</v>
      </c>
      <c r="C546" s="7" t="s">
        <v>41</v>
      </c>
      <c r="D546" s="7" t="s">
        <v>7849</v>
      </c>
      <c r="E546" s="44">
        <v>5</v>
      </c>
      <c r="F546" s="7"/>
      <c r="G546" s="7"/>
      <c r="H546" s="7" t="s">
        <v>7830</v>
      </c>
      <c r="I546" s="7" t="s">
        <v>1985</v>
      </c>
      <c r="J546" s="7" t="s">
        <v>7850</v>
      </c>
      <c r="K546" s="7" t="s">
        <v>55</v>
      </c>
      <c r="L546" s="7" t="s">
        <v>7851</v>
      </c>
      <c r="M546" s="7" t="s">
        <v>7833</v>
      </c>
      <c r="N546" s="45" t="str">
        <f t="shared" si="415"/>
        <v>@catawbasoftball</v>
      </c>
      <c r="O546" s="45" t="str">
        <f t="shared" si="416"/>
        <v>Questionnaire</v>
      </c>
      <c r="P546" s="48" t="s">
        <v>7840</v>
      </c>
      <c r="Q546" s="47" t="s">
        <v>219</v>
      </c>
      <c r="R546" s="48" t="s">
        <v>4334</v>
      </c>
      <c r="S546" s="48" t="s">
        <v>468</v>
      </c>
      <c r="T546" s="49" t="s">
        <v>63</v>
      </c>
      <c r="U546" s="49" t="s">
        <v>75</v>
      </c>
      <c r="V546" s="48"/>
      <c r="W546" s="71">
        <v>3.66</v>
      </c>
      <c r="X546" s="49" t="s">
        <v>1008</v>
      </c>
      <c r="Y546" s="49" t="s">
        <v>1453</v>
      </c>
      <c r="Z546" s="49" t="s">
        <v>841</v>
      </c>
      <c r="AA546" s="51">
        <v>0.47070000000000001</v>
      </c>
      <c r="AB546" s="71">
        <v>44333</v>
      </c>
      <c r="AC546" s="92" t="s">
        <v>7840</v>
      </c>
      <c r="AD546" s="53" t="str">
        <f t="shared" si="417"/>
        <v>Link</v>
      </c>
      <c r="AE546" s="54">
        <v>1297</v>
      </c>
      <c r="AF546" s="55"/>
      <c r="AG546" s="48"/>
      <c r="AH546" s="56">
        <v>198215</v>
      </c>
    </row>
    <row r="547" spans="1:34" ht="13" x14ac:dyDescent="0.15">
      <c r="A547" s="57" t="s">
        <v>7828</v>
      </c>
      <c r="B547" s="31" t="s">
        <v>1019</v>
      </c>
      <c r="C547" s="7" t="s">
        <v>41</v>
      </c>
      <c r="D547" s="7" t="s">
        <v>7858</v>
      </c>
      <c r="E547" s="44">
        <v>5</v>
      </c>
      <c r="F547" s="7"/>
      <c r="G547" s="7"/>
      <c r="H547" s="7" t="s">
        <v>7830</v>
      </c>
      <c r="I547" s="7" t="s">
        <v>143</v>
      </c>
      <c r="J547" s="7" t="s">
        <v>2919</v>
      </c>
      <c r="K547" s="7" t="s">
        <v>55</v>
      </c>
      <c r="L547" s="7" t="s">
        <v>7860</v>
      </c>
      <c r="M547" s="7" t="s">
        <v>7861</v>
      </c>
      <c r="N547" s="45" t="str">
        <f t="shared" si="415"/>
        <v>@catawbasoftball</v>
      </c>
      <c r="O547" s="45" t="str">
        <f t="shared" si="416"/>
        <v>Questionnaire</v>
      </c>
      <c r="P547" s="48" t="s">
        <v>7840</v>
      </c>
      <c r="Q547" s="47" t="s">
        <v>219</v>
      </c>
      <c r="R547" s="48" t="s">
        <v>4334</v>
      </c>
      <c r="S547" s="48" t="s">
        <v>468</v>
      </c>
      <c r="T547" s="49" t="s">
        <v>63</v>
      </c>
      <c r="U547" s="49" t="s">
        <v>75</v>
      </c>
      <c r="V547" s="48"/>
      <c r="W547" s="71">
        <v>3.66</v>
      </c>
      <c r="X547" s="49" t="s">
        <v>1008</v>
      </c>
      <c r="Y547" s="49" t="s">
        <v>1453</v>
      </c>
      <c r="Z547" s="49" t="s">
        <v>841</v>
      </c>
      <c r="AA547" s="51">
        <v>0.47070000000000001</v>
      </c>
      <c r="AB547" s="71">
        <v>44333</v>
      </c>
      <c r="AC547" s="92" t="s">
        <v>7840</v>
      </c>
      <c r="AD547" s="53" t="str">
        <f t="shared" si="417"/>
        <v>Link</v>
      </c>
      <c r="AE547" s="54">
        <v>1297</v>
      </c>
      <c r="AF547" s="55"/>
      <c r="AG547" s="48"/>
      <c r="AH547" s="56">
        <v>198215</v>
      </c>
    </row>
    <row r="548" spans="1:34" ht="15" x14ac:dyDescent="0.2">
      <c r="A548" s="57" t="s">
        <v>3712</v>
      </c>
      <c r="B548" s="31" t="s">
        <v>1019</v>
      </c>
      <c r="C548" s="7" t="s">
        <v>41</v>
      </c>
      <c r="D548" s="7" t="s">
        <v>7867</v>
      </c>
      <c r="E548" s="44">
        <v>5</v>
      </c>
      <c r="F548" s="7"/>
      <c r="G548" s="7"/>
      <c r="H548" s="7" t="s">
        <v>7868</v>
      </c>
      <c r="I548" s="7" t="s">
        <v>981</v>
      </c>
      <c r="J548" s="7" t="s">
        <v>4876</v>
      </c>
      <c r="K548" s="7" t="s">
        <v>48</v>
      </c>
      <c r="L548" s="7" t="s">
        <v>7869</v>
      </c>
      <c r="M548" s="7" t="s">
        <v>7870</v>
      </c>
      <c r="N548" s="45" t="str">
        <f t="shared" ref="N548:N549" si="418">HYPERLINK("twitter.com/ChowanSoftball","@ChowanSoftball")</f>
        <v>@ChowanSoftball</v>
      </c>
      <c r="O548" s="45" t="str">
        <f t="shared" ref="O548:O549" si="419">HYPERLINK("https://gocuhawks.com/sb_output.aspx?form=3","Questionnaire")</f>
        <v>Questionnaire</v>
      </c>
      <c r="P548" s="48" t="s">
        <v>7877</v>
      </c>
      <c r="Q548" s="47" t="s">
        <v>219</v>
      </c>
      <c r="R548" s="48" t="s">
        <v>6258</v>
      </c>
      <c r="S548" s="60" t="s">
        <v>205</v>
      </c>
      <c r="T548" s="49" t="s">
        <v>63</v>
      </c>
      <c r="U548" s="49" t="s">
        <v>800</v>
      </c>
      <c r="V548" s="48"/>
      <c r="W548" s="71">
        <v>2.69</v>
      </c>
      <c r="X548" s="49" t="s">
        <v>7879</v>
      </c>
      <c r="Y548" s="49" t="s">
        <v>7880</v>
      </c>
      <c r="Z548" s="49" t="s">
        <v>3929</v>
      </c>
      <c r="AA548" s="51">
        <v>0.5696</v>
      </c>
      <c r="AB548" s="71">
        <v>35544</v>
      </c>
      <c r="AC548" s="52" t="s">
        <v>7877</v>
      </c>
      <c r="AD548" s="53" t="str">
        <f t="shared" ref="AD548:AD549" si="420">HYPERLINK("http://catalog.chowan.edu/content.php?catoid=3&amp;navoid=60","Link")</f>
        <v>Link</v>
      </c>
      <c r="AE548" s="54">
        <v>1525</v>
      </c>
      <c r="AF548" s="55"/>
      <c r="AG548" s="48"/>
      <c r="AH548" s="56">
        <v>198303</v>
      </c>
    </row>
    <row r="549" spans="1:34" ht="15" x14ac:dyDescent="0.2">
      <c r="A549" s="57" t="s">
        <v>3712</v>
      </c>
      <c r="B549" s="31" t="s">
        <v>1019</v>
      </c>
      <c r="C549" s="7" t="s">
        <v>41</v>
      </c>
      <c r="D549" s="7" t="s">
        <v>7881</v>
      </c>
      <c r="E549" s="44">
        <v>5</v>
      </c>
      <c r="F549" s="7"/>
      <c r="G549" s="7"/>
      <c r="H549" s="7" t="s">
        <v>7868</v>
      </c>
      <c r="I549" s="7" t="s">
        <v>981</v>
      </c>
      <c r="J549" s="7" t="s">
        <v>3902</v>
      </c>
      <c r="K549" s="7" t="s">
        <v>55</v>
      </c>
      <c r="L549" s="7" t="s">
        <v>7882</v>
      </c>
      <c r="M549" s="7" t="s">
        <v>7883</v>
      </c>
      <c r="N549" s="45" t="str">
        <f t="shared" si="418"/>
        <v>@ChowanSoftball</v>
      </c>
      <c r="O549" s="45" t="str">
        <f t="shared" si="419"/>
        <v>Questionnaire</v>
      </c>
      <c r="P549" s="48" t="s">
        <v>7877</v>
      </c>
      <c r="Q549" s="47" t="s">
        <v>219</v>
      </c>
      <c r="R549" s="48" t="s">
        <v>6258</v>
      </c>
      <c r="S549" s="60" t="s">
        <v>205</v>
      </c>
      <c r="T549" s="49" t="s">
        <v>63</v>
      </c>
      <c r="U549" s="49" t="s">
        <v>800</v>
      </c>
      <c r="V549" s="48"/>
      <c r="W549" s="71">
        <v>2.69</v>
      </c>
      <c r="X549" s="49" t="s">
        <v>7879</v>
      </c>
      <c r="Y549" s="49" t="s">
        <v>7880</v>
      </c>
      <c r="Z549" s="49" t="s">
        <v>3929</v>
      </c>
      <c r="AA549" s="51">
        <v>0.5696</v>
      </c>
      <c r="AB549" s="71">
        <v>35544</v>
      </c>
      <c r="AC549" s="52" t="s">
        <v>7877</v>
      </c>
      <c r="AD549" s="53" t="str">
        <f t="shared" si="420"/>
        <v>Link</v>
      </c>
      <c r="AE549" s="54">
        <v>1525</v>
      </c>
      <c r="AF549" s="55"/>
      <c r="AG549" s="48"/>
      <c r="AH549" s="56">
        <v>198303</v>
      </c>
    </row>
    <row r="550" spans="1:34" ht="13" x14ac:dyDescent="0.15">
      <c r="A550" s="57" t="s">
        <v>3712</v>
      </c>
      <c r="B550" s="31" t="s">
        <v>1019</v>
      </c>
      <c r="C550" s="7" t="s">
        <v>41</v>
      </c>
      <c r="D550" s="7" t="s">
        <v>7887</v>
      </c>
      <c r="E550" s="44">
        <v>5</v>
      </c>
      <c r="F550" s="7"/>
      <c r="G550" s="7"/>
      <c r="H550" s="7" t="s">
        <v>7888</v>
      </c>
      <c r="I550" s="7" t="s">
        <v>338</v>
      </c>
      <c r="J550" s="7" t="s">
        <v>7889</v>
      </c>
      <c r="K550" s="7" t="s">
        <v>48</v>
      </c>
      <c r="L550" s="7" t="s">
        <v>7890</v>
      </c>
      <c r="M550" s="7" t="s">
        <v>7891</v>
      </c>
      <c r="N550" s="45" t="str">
        <f t="shared" ref="N550:N551" si="421">HYPERLINK("twitter.com/ECSUSB","@ECSUSB")</f>
        <v>@ECSUSB</v>
      </c>
      <c r="O550" s="114" t="str">
        <f t="shared" ref="O550:O551" si="422">HYPERLINK("https://ecsuvikings.com/sports/2018/11/1/student-questionaire-form.aspx?path=general","Questionnaire")</f>
        <v>Questionnaire</v>
      </c>
      <c r="P550" s="48" t="s">
        <v>7895</v>
      </c>
      <c r="Q550" s="60" t="s">
        <v>219</v>
      </c>
      <c r="R550" s="48" t="s">
        <v>7896</v>
      </c>
      <c r="S550" s="48" t="s">
        <v>172</v>
      </c>
      <c r="T550" s="4" t="s">
        <v>74</v>
      </c>
      <c r="U550" s="48" t="s">
        <v>75</v>
      </c>
      <c r="V550" s="48" t="s">
        <v>212</v>
      </c>
      <c r="W550" s="39">
        <v>3.19</v>
      </c>
      <c r="X550" s="49" t="s">
        <v>3782</v>
      </c>
      <c r="Y550" s="49" t="s">
        <v>3614</v>
      </c>
      <c r="Z550" s="49" t="s">
        <v>3230</v>
      </c>
      <c r="AA550" s="65">
        <v>0.56999999999999995</v>
      </c>
      <c r="AB550" s="48" t="s">
        <v>7899</v>
      </c>
      <c r="AC550" s="62" t="s">
        <v>7895</v>
      </c>
      <c r="AD550" s="53" t="str">
        <f t="shared" ref="AD550:AD551" si="423">HYPERLINK("http://www.ecsu.edu/academics/department/index.html","Link")</f>
        <v>Link</v>
      </c>
      <c r="AE550" s="42">
        <v>1310</v>
      </c>
      <c r="AF550" s="55"/>
      <c r="AG550" s="48"/>
      <c r="AH550" s="56">
        <v>198507</v>
      </c>
    </row>
    <row r="551" spans="1:34" ht="13" x14ac:dyDescent="0.15">
      <c r="A551" s="57" t="s">
        <v>3712</v>
      </c>
      <c r="B551" s="31" t="s">
        <v>1019</v>
      </c>
      <c r="C551" s="7" t="s">
        <v>41</v>
      </c>
      <c r="D551" s="7" t="s">
        <v>7910</v>
      </c>
      <c r="E551" s="44">
        <v>5</v>
      </c>
      <c r="F551" s="7"/>
      <c r="G551" s="7" t="s">
        <v>126</v>
      </c>
      <c r="H551" s="7" t="s">
        <v>7888</v>
      </c>
      <c r="I551" s="7" t="s">
        <v>7912</v>
      </c>
      <c r="J551" s="7"/>
      <c r="K551" s="7"/>
      <c r="L551" s="7"/>
      <c r="M551" s="7"/>
      <c r="N551" s="45" t="str">
        <f t="shared" si="421"/>
        <v>@ECSUSB</v>
      </c>
      <c r="O551" s="114" t="str">
        <f t="shared" si="422"/>
        <v>Questionnaire</v>
      </c>
      <c r="P551" s="48" t="s">
        <v>7895</v>
      </c>
      <c r="Q551" s="60" t="s">
        <v>219</v>
      </c>
      <c r="R551" s="48" t="s">
        <v>7896</v>
      </c>
      <c r="S551" s="48" t="s">
        <v>172</v>
      </c>
      <c r="T551" s="4" t="s">
        <v>74</v>
      </c>
      <c r="U551" s="48" t="s">
        <v>75</v>
      </c>
      <c r="V551" s="48" t="s">
        <v>212</v>
      </c>
      <c r="W551" s="39">
        <v>3.19</v>
      </c>
      <c r="X551" s="49" t="s">
        <v>3782</v>
      </c>
      <c r="Y551" s="49" t="s">
        <v>3614</v>
      </c>
      <c r="Z551" s="49" t="s">
        <v>3230</v>
      </c>
      <c r="AA551" s="65">
        <v>0.56999999999999995</v>
      </c>
      <c r="AB551" s="48" t="s">
        <v>7899</v>
      </c>
      <c r="AC551" s="62" t="s">
        <v>7895</v>
      </c>
      <c r="AD551" s="53" t="str">
        <f t="shared" si="423"/>
        <v>Link</v>
      </c>
      <c r="AE551" s="42">
        <v>1310</v>
      </c>
      <c r="AF551" s="55"/>
      <c r="AG551" s="48"/>
      <c r="AH551" s="56">
        <v>198507</v>
      </c>
    </row>
    <row r="552" spans="1:34" ht="13" x14ac:dyDescent="0.15">
      <c r="A552" s="57" t="s">
        <v>5122</v>
      </c>
      <c r="B552" s="31" t="s">
        <v>1019</v>
      </c>
      <c r="C552" s="7" t="s">
        <v>41</v>
      </c>
      <c r="D552" s="7" t="s">
        <v>7915</v>
      </c>
      <c r="E552" s="44">
        <v>5</v>
      </c>
      <c r="F552" s="7"/>
      <c r="G552" s="7"/>
      <c r="H552" s="7" t="s">
        <v>7917</v>
      </c>
      <c r="I552" s="7" t="s">
        <v>5933</v>
      </c>
      <c r="J552" s="7" t="s">
        <v>3657</v>
      </c>
      <c r="K552" s="7" t="s">
        <v>48</v>
      </c>
      <c r="L552" s="2" t="s">
        <v>7918</v>
      </c>
      <c r="M552" s="7" t="s">
        <v>7919</v>
      </c>
      <c r="N552" s="48"/>
      <c r="O552" s="114" t="str">
        <f t="shared" ref="O552:O553" si="424">HYPERLINK("https://fsubroncos.com/sb_output.aspx?form=3","Questionnaire")</f>
        <v>Questionnaire</v>
      </c>
      <c r="P552" s="48" t="s">
        <v>7921</v>
      </c>
      <c r="Q552" s="60" t="s">
        <v>219</v>
      </c>
      <c r="R552" s="48" t="s">
        <v>7923</v>
      </c>
      <c r="S552" s="48" t="s">
        <v>62</v>
      </c>
      <c r="T552" s="4" t="s">
        <v>74</v>
      </c>
      <c r="U552" s="48" t="s">
        <v>75</v>
      </c>
      <c r="V552" s="48" t="s">
        <v>212</v>
      </c>
      <c r="W552" s="39">
        <v>3.29</v>
      </c>
      <c r="X552" s="49" t="s">
        <v>7924</v>
      </c>
      <c r="Y552" s="49" t="s">
        <v>7925</v>
      </c>
      <c r="Z552" s="49" t="s">
        <v>3230</v>
      </c>
      <c r="AA552" s="65">
        <v>0.59</v>
      </c>
      <c r="AB552" s="48" t="s">
        <v>7926</v>
      </c>
      <c r="AC552" s="62" t="s">
        <v>7921</v>
      </c>
      <c r="AD552" s="53" t="str">
        <f t="shared" ref="AD552:AD553" si="425">HYPERLINK("http://catalog.uncfsu.edu/undergraduate/majors-a-z.htm","Link")</f>
        <v>Link</v>
      </c>
      <c r="AE552" s="42">
        <v>5540</v>
      </c>
      <c r="AF552" s="55"/>
      <c r="AG552" s="48"/>
      <c r="AH552" s="56">
        <v>198543</v>
      </c>
    </row>
    <row r="553" spans="1:34" ht="13" x14ac:dyDescent="0.15">
      <c r="A553" s="57" t="s">
        <v>5122</v>
      </c>
      <c r="B553" s="110" t="s">
        <v>1019</v>
      </c>
      <c r="C553" s="7" t="s">
        <v>41</v>
      </c>
      <c r="D553" s="7" t="s">
        <v>7933</v>
      </c>
      <c r="E553" s="44">
        <v>5</v>
      </c>
      <c r="F553" s="7" t="s">
        <v>116</v>
      </c>
      <c r="G553" s="7"/>
      <c r="H553" s="7" t="s">
        <v>7917</v>
      </c>
      <c r="I553" s="7" t="s">
        <v>7934</v>
      </c>
      <c r="J553" s="7" t="s">
        <v>196</v>
      </c>
      <c r="K553" s="7" t="s">
        <v>55</v>
      </c>
      <c r="L553" s="7"/>
      <c r="M553" s="7"/>
      <c r="N553" s="48"/>
      <c r="O553" s="114" t="str">
        <f t="shared" si="424"/>
        <v>Questionnaire</v>
      </c>
      <c r="P553" s="48" t="s">
        <v>7921</v>
      </c>
      <c r="Q553" s="60" t="s">
        <v>219</v>
      </c>
      <c r="R553" s="48" t="s">
        <v>7923</v>
      </c>
      <c r="S553" s="48" t="s">
        <v>62</v>
      </c>
      <c r="T553" s="4" t="s">
        <v>74</v>
      </c>
      <c r="U553" s="48" t="s">
        <v>75</v>
      </c>
      <c r="V553" s="48" t="s">
        <v>212</v>
      </c>
      <c r="W553" s="39">
        <v>3.29</v>
      </c>
      <c r="X553" s="49" t="s">
        <v>7924</v>
      </c>
      <c r="Y553" s="49" t="s">
        <v>7925</v>
      </c>
      <c r="Z553" s="49" t="s">
        <v>3230</v>
      </c>
      <c r="AA553" s="65">
        <v>0.59</v>
      </c>
      <c r="AB553" s="48" t="s">
        <v>7926</v>
      </c>
      <c r="AC553" s="62" t="s">
        <v>7921</v>
      </c>
      <c r="AD553" s="53" t="str">
        <f t="shared" si="425"/>
        <v>Link</v>
      </c>
      <c r="AE553" s="42">
        <v>5540</v>
      </c>
      <c r="AF553" s="55"/>
      <c r="AG553" s="48"/>
      <c r="AH553" s="56">
        <v>198543</v>
      </c>
    </row>
    <row r="554" spans="1:34" ht="13" x14ac:dyDescent="0.15">
      <c r="A554" s="57" t="s">
        <v>5122</v>
      </c>
      <c r="B554" s="31" t="s">
        <v>1019</v>
      </c>
      <c r="C554" s="7" t="s">
        <v>41</v>
      </c>
      <c r="D554" s="7" t="s">
        <v>7940</v>
      </c>
      <c r="E554" s="44">
        <v>5</v>
      </c>
      <c r="F554" s="7"/>
      <c r="G554" s="7"/>
      <c r="H554" s="7" t="s">
        <v>7942</v>
      </c>
      <c r="I554" s="7" t="s">
        <v>904</v>
      </c>
      <c r="J554" s="7" t="s">
        <v>7943</v>
      </c>
      <c r="K554" s="7" t="s">
        <v>48</v>
      </c>
      <c r="L554" s="7" t="s">
        <v>7944</v>
      </c>
      <c r="M554" s="7" t="s">
        <v>7946</v>
      </c>
      <c r="N554" s="48"/>
      <c r="O554" s="114" t="str">
        <f t="shared" ref="O554:O555" si="426">HYPERLINK("https://goldenbullsports.com/sb_output.aspx?form=3&amp;&amp;tab=4","Questionnaire")</f>
        <v>Questionnaire</v>
      </c>
      <c r="P554" s="48" t="s">
        <v>7949</v>
      </c>
      <c r="Q554" s="60" t="s">
        <v>219</v>
      </c>
      <c r="R554" s="48" t="s">
        <v>6295</v>
      </c>
      <c r="S554" s="48" t="s">
        <v>354</v>
      </c>
      <c r="T554" s="4" t="s">
        <v>63</v>
      </c>
      <c r="U554" s="48" t="s">
        <v>75</v>
      </c>
      <c r="V554" s="48" t="s">
        <v>212</v>
      </c>
      <c r="W554" s="39">
        <v>2.84</v>
      </c>
      <c r="X554" s="49" t="s">
        <v>5140</v>
      </c>
      <c r="Y554" s="49" t="s">
        <v>7951</v>
      </c>
      <c r="Z554" s="49" t="s">
        <v>3784</v>
      </c>
      <c r="AA554" s="65">
        <v>0.45</v>
      </c>
      <c r="AB554" s="39">
        <v>32136</v>
      </c>
      <c r="AC554" s="90" t="s">
        <v>7949</v>
      </c>
      <c r="AD554" s="53" t="str">
        <f t="shared" ref="AD554:AD555" si="427">HYPERLINK("https://www.jcsu.edu/admissions/future_students/majors","Link")</f>
        <v>Link</v>
      </c>
      <c r="AE554" s="42">
        <v>1326</v>
      </c>
      <c r="AF554" s="55"/>
      <c r="AG554" s="48"/>
      <c r="AH554" s="56">
        <v>198756</v>
      </c>
    </row>
    <row r="555" spans="1:34" ht="13" x14ac:dyDescent="0.15">
      <c r="A555" s="57" t="s">
        <v>5122</v>
      </c>
      <c r="B555" s="31" t="s">
        <v>1019</v>
      </c>
      <c r="C555" s="7" t="s">
        <v>41</v>
      </c>
      <c r="D555" s="7" t="s">
        <v>7957</v>
      </c>
      <c r="E555" s="44">
        <v>5</v>
      </c>
      <c r="F555" s="7"/>
      <c r="G555" s="7"/>
      <c r="H555" s="7" t="s">
        <v>7942</v>
      </c>
      <c r="I555" s="7" t="s">
        <v>7960</v>
      </c>
      <c r="J555" s="7" t="s">
        <v>378</v>
      </c>
      <c r="K555" s="7" t="s">
        <v>55</v>
      </c>
      <c r="L555" s="7"/>
      <c r="M555" s="7"/>
      <c r="N555" s="48"/>
      <c r="O555" s="114" t="str">
        <f t="shared" si="426"/>
        <v>Questionnaire</v>
      </c>
      <c r="P555" s="48" t="s">
        <v>7949</v>
      </c>
      <c r="Q555" s="60" t="s">
        <v>219</v>
      </c>
      <c r="R555" s="48" t="s">
        <v>6295</v>
      </c>
      <c r="S555" s="48" t="s">
        <v>354</v>
      </c>
      <c r="T555" s="4" t="s">
        <v>63</v>
      </c>
      <c r="U555" s="48" t="s">
        <v>75</v>
      </c>
      <c r="V555" s="48" t="s">
        <v>212</v>
      </c>
      <c r="W555" s="39">
        <v>2.84</v>
      </c>
      <c r="X555" s="49" t="s">
        <v>5140</v>
      </c>
      <c r="Y555" s="49" t="s">
        <v>7951</v>
      </c>
      <c r="Z555" s="49" t="s">
        <v>3784</v>
      </c>
      <c r="AA555" s="65">
        <v>0.45</v>
      </c>
      <c r="AB555" s="39">
        <v>32136</v>
      </c>
      <c r="AC555" s="90" t="s">
        <v>7949</v>
      </c>
      <c r="AD555" s="53" t="str">
        <f t="shared" si="427"/>
        <v>Link</v>
      </c>
      <c r="AE555" s="42">
        <v>1326</v>
      </c>
      <c r="AF555" s="55"/>
      <c r="AG555" s="48"/>
      <c r="AH555" s="56">
        <v>198756</v>
      </c>
    </row>
    <row r="556" spans="1:34" ht="13" x14ac:dyDescent="0.15">
      <c r="A556" s="57" t="s">
        <v>3712</v>
      </c>
      <c r="B556" s="110" t="s">
        <v>1019</v>
      </c>
      <c r="C556" s="7" t="s">
        <v>41</v>
      </c>
      <c r="D556" s="7" t="s">
        <v>7961</v>
      </c>
      <c r="E556" s="44">
        <v>5</v>
      </c>
      <c r="F556" s="7"/>
      <c r="G556" s="7"/>
      <c r="H556" s="7" t="s">
        <v>7963</v>
      </c>
      <c r="I556" s="7" t="s">
        <v>7964</v>
      </c>
      <c r="J556" s="7" t="s">
        <v>350</v>
      </c>
      <c r="K556" s="7" t="s">
        <v>48</v>
      </c>
      <c r="L556" s="7" t="s">
        <v>7966</v>
      </c>
      <c r="M556" s="7" t="s">
        <v>7967</v>
      </c>
      <c r="N556" s="45" t="str">
        <f t="shared" ref="N556:N557" si="428">HYPERLINK("twitter.com/lmc_softball","@lmc_softball")</f>
        <v>@lmc_softball</v>
      </c>
      <c r="O556" s="45" t="str">
        <f t="shared" ref="O556:O557" si="429">HYPERLINK("http://www.lmcbobcats.com/recruiting/index","Questionnaire")</f>
        <v>Questionnaire</v>
      </c>
      <c r="P556" s="48" t="s">
        <v>7970</v>
      </c>
      <c r="Q556" s="60" t="s">
        <v>219</v>
      </c>
      <c r="R556" s="48" t="s">
        <v>7971</v>
      </c>
      <c r="S556" s="60" t="s">
        <v>205</v>
      </c>
      <c r="T556" s="4" t="s">
        <v>63</v>
      </c>
      <c r="U556" s="6" t="s">
        <v>248</v>
      </c>
      <c r="V556" s="48"/>
      <c r="W556" s="39">
        <v>3.48</v>
      </c>
      <c r="X556" s="49" t="s">
        <v>3853</v>
      </c>
      <c r="Y556" s="49" t="s">
        <v>356</v>
      </c>
      <c r="Z556" s="49" t="s">
        <v>449</v>
      </c>
      <c r="AA556" s="65">
        <v>0.63</v>
      </c>
      <c r="AB556" s="39">
        <v>41630</v>
      </c>
      <c r="AC556" s="62" t="s">
        <v>7970</v>
      </c>
      <c r="AD556" s="53" t="str">
        <f t="shared" ref="AD556:AD557" si="430">HYPERLINK("http://www.lmc.edu/academics/programs/index.htm","Link")</f>
        <v>Link</v>
      </c>
      <c r="AE556" s="42">
        <v>991</v>
      </c>
      <c r="AF556" s="55"/>
      <c r="AG556" s="48"/>
      <c r="AH556" s="56">
        <v>198808</v>
      </c>
    </row>
    <row r="557" spans="1:34" ht="13" x14ac:dyDescent="0.15">
      <c r="A557" s="57" t="s">
        <v>3712</v>
      </c>
      <c r="B557" s="110" t="s">
        <v>1019</v>
      </c>
      <c r="C557" s="7" t="s">
        <v>41</v>
      </c>
      <c r="D557" s="7" t="s">
        <v>7984</v>
      </c>
      <c r="E557" s="44">
        <v>5</v>
      </c>
      <c r="F557" s="7"/>
      <c r="G557" s="7"/>
      <c r="H557" s="7" t="s">
        <v>7963</v>
      </c>
      <c r="I557" s="7" t="s">
        <v>537</v>
      </c>
      <c r="J557" s="7" t="s">
        <v>5273</v>
      </c>
      <c r="K557" s="7" t="s">
        <v>55</v>
      </c>
      <c r="L557" s="7" t="s">
        <v>7986</v>
      </c>
      <c r="M557" s="7" t="s">
        <v>7967</v>
      </c>
      <c r="N557" s="45" t="str">
        <f t="shared" si="428"/>
        <v>@lmc_softball</v>
      </c>
      <c r="O557" s="45" t="str">
        <f t="shared" si="429"/>
        <v>Questionnaire</v>
      </c>
      <c r="P557" s="48" t="s">
        <v>7970</v>
      </c>
      <c r="Q557" s="60" t="s">
        <v>219</v>
      </c>
      <c r="R557" s="48" t="s">
        <v>7971</v>
      </c>
      <c r="S557" s="60" t="s">
        <v>205</v>
      </c>
      <c r="T557" s="4" t="s">
        <v>63</v>
      </c>
      <c r="U557" s="6" t="s">
        <v>248</v>
      </c>
      <c r="V557" s="48"/>
      <c r="W557" s="39">
        <v>3.48</v>
      </c>
      <c r="X557" s="49" t="s">
        <v>3853</v>
      </c>
      <c r="Y557" s="49" t="s">
        <v>356</v>
      </c>
      <c r="Z557" s="49" t="s">
        <v>449</v>
      </c>
      <c r="AA557" s="65">
        <v>0.63</v>
      </c>
      <c r="AB557" s="39">
        <v>41630</v>
      </c>
      <c r="AC557" s="62" t="s">
        <v>7970</v>
      </c>
      <c r="AD557" s="53" t="str">
        <f t="shared" si="430"/>
        <v>Link</v>
      </c>
      <c r="AE557" s="42">
        <v>991</v>
      </c>
      <c r="AF557" s="55"/>
      <c r="AG557" s="48"/>
      <c r="AH557" s="56">
        <v>198808</v>
      </c>
    </row>
    <row r="558" spans="1:34" ht="13" x14ac:dyDescent="0.15">
      <c r="A558" s="57" t="s">
        <v>7828</v>
      </c>
      <c r="B558" s="31" t="s">
        <v>1019</v>
      </c>
      <c r="C558" s="7" t="s">
        <v>41</v>
      </c>
      <c r="D558" s="7" t="s">
        <v>7991</v>
      </c>
      <c r="E558" s="44">
        <v>5</v>
      </c>
      <c r="F558" s="7"/>
      <c r="G558" s="7"/>
      <c r="H558" s="7" t="s">
        <v>7992</v>
      </c>
      <c r="I558" s="7" t="s">
        <v>7994</v>
      </c>
      <c r="J558" s="7" t="s">
        <v>7995</v>
      </c>
      <c r="K558" s="7" t="s">
        <v>48</v>
      </c>
      <c r="L558" s="7" t="s">
        <v>7996</v>
      </c>
      <c r="M558" s="7" t="s">
        <v>7997</v>
      </c>
      <c r="N558" s="45" t="str">
        <f t="shared" ref="N558:N560" si="431">HYPERLINK("twitter.com/lrsoftball","@lrsoftball")</f>
        <v>@lrsoftball</v>
      </c>
      <c r="O558" s="45" t="str">
        <f t="shared" ref="O558:O560" si="432">HYPERLINK("https://lrbears.com/sports/2016/12/19/athletic-questionnaire.aspx","Questionnaire")</f>
        <v>Questionnaire</v>
      </c>
      <c r="P558" s="48" t="s">
        <v>8005</v>
      </c>
      <c r="Q558" s="47" t="s">
        <v>219</v>
      </c>
      <c r="R558" s="48" t="s">
        <v>8006</v>
      </c>
      <c r="S558" s="48" t="s">
        <v>468</v>
      </c>
      <c r="T558" s="73" t="s">
        <v>63</v>
      </c>
      <c r="U558" s="49" t="s">
        <v>318</v>
      </c>
      <c r="V558" s="48"/>
      <c r="W558" s="71">
        <v>3.26</v>
      </c>
      <c r="X558" s="49" t="s">
        <v>1453</v>
      </c>
      <c r="Y558" s="49" t="s">
        <v>1144</v>
      </c>
      <c r="Z558" s="49" t="s">
        <v>214</v>
      </c>
      <c r="AA558" s="61">
        <v>0.7</v>
      </c>
      <c r="AB558" s="71">
        <v>49340</v>
      </c>
      <c r="AC558" s="62" t="s">
        <v>8005</v>
      </c>
      <c r="AD558" s="53" t="str">
        <f t="shared" ref="AD558:AD560" si="433">HYPERLINK("https://www.lr.edu/admission/undergraduate","Link")</f>
        <v>Link</v>
      </c>
      <c r="AE558" s="54">
        <v>1710</v>
      </c>
      <c r="AF558" s="55"/>
      <c r="AG558" s="48"/>
      <c r="AH558" s="56">
        <v>198835</v>
      </c>
    </row>
    <row r="559" spans="1:34" ht="13" x14ac:dyDescent="0.15">
      <c r="A559" s="57" t="s">
        <v>7828</v>
      </c>
      <c r="B559" s="31" t="s">
        <v>1019</v>
      </c>
      <c r="C559" s="7" t="s">
        <v>41</v>
      </c>
      <c r="D559" s="7" t="s">
        <v>8009</v>
      </c>
      <c r="E559" s="44">
        <v>5</v>
      </c>
      <c r="F559" s="7"/>
      <c r="G559" s="7"/>
      <c r="H559" s="7" t="s">
        <v>7992</v>
      </c>
      <c r="I559" s="7" t="s">
        <v>539</v>
      </c>
      <c r="J559" s="7" t="s">
        <v>8010</v>
      </c>
      <c r="K559" s="7" t="s">
        <v>55</v>
      </c>
      <c r="L559" s="7" t="s">
        <v>8012</v>
      </c>
      <c r="M559" s="7" t="s">
        <v>8014</v>
      </c>
      <c r="N559" s="45" t="str">
        <f t="shared" si="431"/>
        <v>@lrsoftball</v>
      </c>
      <c r="O559" s="45" t="str">
        <f t="shared" si="432"/>
        <v>Questionnaire</v>
      </c>
      <c r="P559" s="48" t="s">
        <v>8005</v>
      </c>
      <c r="Q559" s="47" t="s">
        <v>219</v>
      </c>
      <c r="R559" s="48" t="s">
        <v>8006</v>
      </c>
      <c r="S559" s="48" t="s">
        <v>468</v>
      </c>
      <c r="T559" s="73" t="s">
        <v>63</v>
      </c>
      <c r="U559" s="49" t="s">
        <v>318</v>
      </c>
      <c r="V559" s="48"/>
      <c r="W559" s="71">
        <v>3.26</v>
      </c>
      <c r="X559" s="49" t="s">
        <v>1453</v>
      </c>
      <c r="Y559" s="49" t="s">
        <v>1144</v>
      </c>
      <c r="Z559" s="49" t="s">
        <v>214</v>
      </c>
      <c r="AA559" s="61">
        <v>0.7</v>
      </c>
      <c r="AB559" s="71">
        <v>49340</v>
      </c>
      <c r="AC559" s="62" t="s">
        <v>8005</v>
      </c>
      <c r="AD559" s="53" t="str">
        <f t="shared" si="433"/>
        <v>Link</v>
      </c>
      <c r="AE559" s="54">
        <v>1710</v>
      </c>
      <c r="AF559" s="55"/>
      <c r="AG559" s="48"/>
      <c r="AH559" s="56">
        <v>198835</v>
      </c>
    </row>
    <row r="560" spans="1:34" ht="13" x14ac:dyDescent="0.15">
      <c r="A560" s="57" t="s">
        <v>7828</v>
      </c>
      <c r="B560" s="110" t="s">
        <v>1019</v>
      </c>
      <c r="C560" s="7" t="s">
        <v>41</v>
      </c>
      <c r="D560" s="7" t="s">
        <v>8023</v>
      </c>
      <c r="E560" s="44">
        <v>5</v>
      </c>
      <c r="F560" s="7" t="s">
        <v>116</v>
      </c>
      <c r="G560" s="7"/>
      <c r="H560" s="7" t="s">
        <v>7992</v>
      </c>
      <c r="I560" s="7" t="s">
        <v>2867</v>
      </c>
      <c r="J560" s="7" t="s">
        <v>5097</v>
      </c>
      <c r="K560" s="7" t="s">
        <v>120</v>
      </c>
      <c r="L560" s="7"/>
      <c r="M560" s="7"/>
      <c r="N560" s="45" t="str">
        <f t="shared" si="431"/>
        <v>@lrsoftball</v>
      </c>
      <c r="O560" s="45" t="str">
        <f t="shared" si="432"/>
        <v>Questionnaire</v>
      </c>
      <c r="P560" s="48" t="s">
        <v>8005</v>
      </c>
      <c r="Q560" s="47" t="s">
        <v>219</v>
      </c>
      <c r="R560" s="48" t="s">
        <v>8006</v>
      </c>
      <c r="S560" s="48" t="s">
        <v>468</v>
      </c>
      <c r="T560" s="73" t="s">
        <v>63</v>
      </c>
      <c r="U560" s="49" t="s">
        <v>318</v>
      </c>
      <c r="V560" s="48"/>
      <c r="W560" s="71">
        <v>3.26</v>
      </c>
      <c r="X560" s="49" t="s">
        <v>1453</v>
      </c>
      <c r="Y560" s="49" t="s">
        <v>1144</v>
      </c>
      <c r="Z560" s="49" t="s">
        <v>214</v>
      </c>
      <c r="AA560" s="61">
        <v>0.7</v>
      </c>
      <c r="AB560" s="71">
        <v>49340</v>
      </c>
      <c r="AC560" s="62" t="s">
        <v>8005</v>
      </c>
      <c r="AD560" s="53" t="str">
        <f t="shared" si="433"/>
        <v>Link</v>
      </c>
      <c r="AE560" s="54">
        <v>1710</v>
      </c>
      <c r="AF560" s="55"/>
      <c r="AG560" s="48"/>
      <c r="AH560" s="56">
        <v>198835</v>
      </c>
    </row>
    <row r="561" spans="1:34" ht="13" x14ac:dyDescent="0.15">
      <c r="A561" s="57" t="s">
        <v>5122</v>
      </c>
      <c r="B561" s="31" t="s">
        <v>1019</v>
      </c>
      <c r="C561" s="7" t="s">
        <v>41</v>
      </c>
      <c r="D561" s="7" t="s">
        <v>8028</v>
      </c>
      <c r="E561" s="44">
        <v>5</v>
      </c>
      <c r="F561" s="7"/>
      <c r="G561" s="7"/>
      <c r="H561" s="7" t="s">
        <v>8029</v>
      </c>
      <c r="I561" s="7" t="s">
        <v>1307</v>
      </c>
      <c r="J561" s="7" t="s">
        <v>3020</v>
      </c>
      <c r="K561" s="7" t="s">
        <v>48</v>
      </c>
      <c r="L561" s="7" t="s">
        <v>8030</v>
      </c>
      <c r="M561" s="7" t="s">
        <v>8031</v>
      </c>
      <c r="N561" s="48"/>
      <c r="O561" s="114" t="str">
        <f>HYPERLINK("https://bluebearathletics.com/sb_output.aspx?form=3","Questionnaire")</f>
        <v>Questionnaire</v>
      </c>
      <c r="P561" s="48" t="s">
        <v>8032</v>
      </c>
      <c r="Q561" s="60" t="s">
        <v>219</v>
      </c>
      <c r="R561" s="48" t="s">
        <v>4334</v>
      </c>
      <c r="S561" s="48" t="s">
        <v>468</v>
      </c>
      <c r="T561" s="4" t="s">
        <v>63</v>
      </c>
      <c r="U561" s="48" t="s">
        <v>8033</v>
      </c>
      <c r="V561" s="48" t="s">
        <v>212</v>
      </c>
      <c r="W561" s="39">
        <v>2.3199999999999998</v>
      </c>
      <c r="X561" s="49" t="s">
        <v>8035</v>
      </c>
      <c r="Y561" s="49" t="s">
        <v>8036</v>
      </c>
      <c r="Z561" s="49" t="s">
        <v>8038</v>
      </c>
      <c r="AA561" s="65">
        <v>0.48</v>
      </c>
      <c r="AB561" s="39">
        <v>27660</v>
      </c>
      <c r="AC561" s="62" t="s">
        <v>8032</v>
      </c>
      <c r="AD561" s="53" t="str">
        <f>HYPERLINK("http://livingstone.edu/academics/","Link")</f>
        <v>Link</v>
      </c>
      <c r="AE561" s="42">
        <v>1204</v>
      </c>
      <c r="AF561" s="55"/>
      <c r="AG561" s="48"/>
      <c r="AH561" s="56">
        <v>198862</v>
      </c>
    </row>
    <row r="562" spans="1:34" ht="13" x14ac:dyDescent="0.15">
      <c r="A562" s="57" t="s">
        <v>7828</v>
      </c>
      <c r="B562" s="31" t="s">
        <v>1019</v>
      </c>
      <c r="C562" s="7" t="s">
        <v>41</v>
      </c>
      <c r="D562" s="7" t="s">
        <v>8044</v>
      </c>
      <c r="E562" s="44">
        <v>5</v>
      </c>
      <c r="F562" s="7"/>
      <c r="G562" s="7"/>
      <c r="H562" s="7" t="s">
        <v>8045</v>
      </c>
      <c r="I562" s="7" t="s">
        <v>1137</v>
      </c>
      <c r="J562" s="7" t="s">
        <v>8046</v>
      </c>
      <c r="K562" s="7" t="s">
        <v>48</v>
      </c>
      <c r="L562" s="7" t="s">
        <v>8047</v>
      </c>
      <c r="M562" s="7"/>
      <c r="N562" s="48"/>
      <c r="O562" s="45" t="str">
        <f t="shared" ref="O562:O563" si="434">HYPERLINK("https://www.marshilllions.com/athletics/recruiting","Questionnaire")</f>
        <v>Questionnaire</v>
      </c>
      <c r="P562" s="48" t="s">
        <v>8050</v>
      </c>
      <c r="Q562" s="47" t="s">
        <v>219</v>
      </c>
      <c r="R562" s="48" t="s">
        <v>8050</v>
      </c>
      <c r="S562" s="60" t="s">
        <v>205</v>
      </c>
      <c r="T562" s="49" t="s">
        <v>63</v>
      </c>
      <c r="U562" s="49" t="s">
        <v>75</v>
      </c>
      <c r="V562" s="48"/>
      <c r="W562" s="71">
        <v>3.24</v>
      </c>
      <c r="X562" s="49" t="s">
        <v>1785</v>
      </c>
      <c r="Y562" s="49" t="s">
        <v>1785</v>
      </c>
      <c r="Z562" s="49" t="s">
        <v>1948</v>
      </c>
      <c r="AA562" s="61">
        <v>0.56999999999999995</v>
      </c>
      <c r="AB562" s="71">
        <v>41716</v>
      </c>
      <c r="AC562" s="62" t="s">
        <v>8050</v>
      </c>
      <c r="AD562" s="53" t="str">
        <f t="shared" ref="AD562:AD563" si="435">HYPERLINK("https://www.mhu.edu/academics/","Link")</f>
        <v>Link</v>
      </c>
      <c r="AE562" s="54">
        <v>1371</v>
      </c>
      <c r="AF562" s="55"/>
      <c r="AG562" s="48"/>
      <c r="AH562" s="56">
        <v>198899</v>
      </c>
    </row>
    <row r="563" spans="1:34" ht="13" x14ac:dyDescent="0.15">
      <c r="A563" s="57" t="s">
        <v>7828</v>
      </c>
      <c r="B563" s="31" t="s">
        <v>1019</v>
      </c>
      <c r="C563" s="7" t="s">
        <v>41</v>
      </c>
      <c r="D563" s="7" t="s">
        <v>8059</v>
      </c>
      <c r="E563" s="44">
        <v>5</v>
      </c>
      <c r="F563" s="7"/>
      <c r="G563" s="7"/>
      <c r="H563" s="7" t="s">
        <v>8045</v>
      </c>
      <c r="I563" s="7" t="s">
        <v>2031</v>
      </c>
      <c r="J563" s="7" t="s">
        <v>1697</v>
      </c>
      <c r="K563" s="7" t="s">
        <v>55</v>
      </c>
      <c r="L563" s="7" t="s">
        <v>8060</v>
      </c>
      <c r="M563" s="7"/>
      <c r="N563" s="48"/>
      <c r="O563" s="45" t="str">
        <f t="shared" si="434"/>
        <v>Questionnaire</v>
      </c>
      <c r="P563" s="48" t="s">
        <v>8050</v>
      </c>
      <c r="Q563" s="47" t="s">
        <v>219</v>
      </c>
      <c r="R563" s="48" t="s">
        <v>8050</v>
      </c>
      <c r="S563" s="60" t="s">
        <v>205</v>
      </c>
      <c r="T563" s="49" t="s">
        <v>63</v>
      </c>
      <c r="U563" s="49" t="s">
        <v>75</v>
      </c>
      <c r="V563" s="48"/>
      <c r="W563" s="71">
        <v>3.24</v>
      </c>
      <c r="X563" s="49" t="s">
        <v>1785</v>
      </c>
      <c r="Y563" s="49" t="s">
        <v>1785</v>
      </c>
      <c r="Z563" s="49" t="s">
        <v>1948</v>
      </c>
      <c r="AA563" s="61">
        <v>0.56999999999999995</v>
      </c>
      <c r="AB563" s="71">
        <v>41716</v>
      </c>
      <c r="AC563" s="62" t="s">
        <v>8050</v>
      </c>
      <c r="AD563" s="53" t="str">
        <f t="shared" si="435"/>
        <v>Link</v>
      </c>
      <c r="AE563" s="54">
        <v>1371</v>
      </c>
      <c r="AF563" s="55"/>
      <c r="AG563" s="48"/>
      <c r="AH563" s="56">
        <v>198899</v>
      </c>
    </row>
    <row r="564" spans="1:34" ht="13" x14ac:dyDescent="0.15">
      <c r="A564" s="57" t="s">
        <v>3712</v>
      </c>
      <c r="B564" s="31" t="s">
        <v>1019</v>
      </c>
      <c r="C564" s="7" t="s">
        <v>41</v>
      </c>
      <c r="D564" s="7" t="s">
        <v>8062</v>
      </c>
      <c r="E564" s="44">
        <v>5</v>
      </c>
      <c r="F564" s="7"/>
      <c r="G564" s="7"/>
      <c r="H564" s="7" t="s">
        <v>8063</v>
      </c>
      <c r="I564" s="7" t="s">
        <v>7385</v>
      </c>
      <c r="J564" s="7" t="s">
        <v>8064</v>
      </c>
      <c r="K564" s="7" t="s">
        <v>48</v>
      </c>
      <c r="L564" s="7" t="s">
        <v>8066</v>
      </c>
      <c r="M564" s="7" t="s">
        <v>8067</v>
      </c>
      <c r="N564" s="45" t="str">
        <f t="shared" ref="N564:N565" si="436">HYPERLINK("twitter.com/umosoftball","@umosoftball")</f>
        <v>@umosoftball</v>
      </c>
      <c r="O564" s="45" t="str">
        <f t="shared" ref="O564:O565" si="437">HYPERLINK("https://www.umotrojans.com/recruits/index","Questionnaire")</f>
        <v>Questionnaire</v>
      </c>
      <c r="P564" s="48" t="s">
        <v>8072</v>
      </c>
      <c r="Q564" s="47" t="s">
        <v>219</v>
      </c>
      <c r="R564" s="48" t="s">
        <v>8073</v>
      </c>
      <c r="S564" s="60" t="s">
        <v>205</v>
      </c>
      <c r="T564" s="49" t="s">
        <v>63</v>
      </c>
      <c r="U564" s="49" t="s">
        <v>75</v>
      </c>
      <c r="V564" s="48"/>
      <c r="W564" s="71">
        <v>2.85</v>
      </c>
      <c r="X564" s="49" t="s">
        <v>8074</v>
      </c>
      <c r="Y564" s="49" t="s">
        <v>8075</v>
      </c>
      <c r="Z564" s="49" t="s">
        <v>1948</v>
      </c>
      <c r="AA564" s="61">
        <v>0.48</v>
      </c>
      <c r="AB564" s="71">
        <v>29950</v>
      </c>
      <c r="AC564" s="62" t="s">
        <v>8072</v>
      </c>
      <c r="AD564" s="53" t="str">
        <f t="shared" ref="AD564:AD565" si="438">HYPERLINK("https://umo.edu/academics/programs-of-study/","Link")</f>
        <v>Link</v>
      </c>
      <c r="AE564" s="54">
        <v>3250</v>
      </c>
      <c r="AF564" s="55"/>
      <c r="AG564" s="48"/>
      <c r="AH564" s="56">
        <v>199069</v>
      </c>
    </row>
    <row r="565" spans="1:34" ht="13" x14ac:dyDescent="0.15">
      <c r="A565" s="57" t="s">
        <v>3712</v>
      </c>
      <c r="B565" s="31" t="s">
        <v>1019</v>
      </c>
      <c r="C565" s="7" t="s">
        <v>41</v>
      </c>
      <c r="D565" s="7" t="s">
        <v>8079</v>
      </c>
      <c r="E565" s="44">
        <v>5</v>
      </c>
      <c r="F565" s="7"/>
      <c r="G565" s="7"/>
      <c r="H565" s="7" t="s">
        <v>8063</v>
      </c>
      <c r="I565" s="7" t="s">
        <v>8080</v>
      </c>
      <c r="J565" s="7" t="s">
        <v>1226</v>
      </c>
      <c r="K565" s="7" t="s">
        <v>55</v>
      </c>
      <c r="L565" s="7" t="s">
        <v>8081</v>
      </c>
      <c r="M565" s="7" t="s">
        <v>8082</v>
      </c>
      <c r="N565" s="45" t="str">
        <f t="shared" si="436"/>
        <v>@umosoftball</v>
      </c>
      <c r="O565" s="45" t="str">
        <f t="shared" si="437"/>
        <v>Questionnaire</v>
      </c>
      <c r="P565" s="48" t="s">
        <v>8072</v>
      </c>
      <c r="Q565" s="47" t="s">
        <v>219</v>
      </c>
      <c r="R565" s="48" t="s">
        <v>8073</v>
      </c>
      <c r="S565" s="60" t="s">
        <v>205</v>
      </c>
      <c r="T565" s="49" t="s">
        <v>63</v>
      </c>
      <c r="U565" s="49" t="s">
        <v>75</v>
      </c>
      <c r="V565" s="48"/>
      <c r="W565" s="71">
        <v>2.85</v>
      </c>
      <c r="X565" s="49" t="s">
        <v>8074</v>
      </c>
      <c r="Y565" s="49" t="s">
        <v>8075</v>
      </c>
      <c r="Z565" s="49" t="s">
        <v>1948</v>
      </c>
      <c r="AA565" s="61">
        <v>0.48</v>
      </c>
      <c r="AB565" s="71">
        <v>29950</v>
      </c>
      <c r="AC565" s="62" t="s">
        <v>8072</v>
      </c>
      <c r="AD565" s="53" t="str">
        <f t="shared" si="438"/>
        <v>Link</v>
      </c>
      <c r="AE565" s="54">
        <v>3250</v>
      </c>
      <c r="AF565" s="55"/>
      <c r="AG565" s="48"/>
      <c r="AH565" s="56">
        <v>199069</v>
      </c>
    </row>
    <row r="566" spans="1:34" ht="13" x14ac:dyDescent="0.15">
      <c r="A566" s="57" t="s">
        <v>3001</v>
      </c>
      <c r="B566" s="31" t="s">
        <v>1019</v>
      </c>
      <c r="C566" s="7" t="s">
        <v>41</v>
      </c>
      <c r="D566" s="7" t="s">
        <v>8085</v>
      </c>
      <c r="E566" s="44">
        <v>5</v>
      </c>
      <c r="F566" s="7"/>
      <c r="G566" s="7"/>
      <c r="H566" s="7" t="s">
        <v>8088</v>
      </c>
      <c r="I566" s="7" t="s">
        <v>1075</v>
      </c>
      <c r="J566" s="7" t="s">
        <v>8090</v>
      </c>
      <c r="K566" s="7" t="s">
        <v>48</v>
      </c>
      <c r="L566" s="7" t="s">
        <v>8091</v>
      </c>
      <c r="M566" s="7" t="s">
        <v>8092</v>
      </c>
      <c r="N566" s="45" t="str">
        <f t="shared" ref="N566:N567" si="439">HYPERLINK("twitter.com/uncp_softball","@uncp_softball")</f>
        <v>@uncp_softball</v>
      </c>
      <c r="O566" s="45" t="str">
        <f t="shared" ref="O566:O567" si="440">HYPERLINK("https://uncpbraves.com/sports/2016/6/29/questionnaires.aspx","Questionnaire")</f>
        <v>Questionnaire</v>
      </c>
      <c r="P566" s="48" t="s">
        <v>8094</v>
      </c>
      <c r="Q566" s="47" t="s">
        <v>219</v>
      </c>
      <c r="R566" s="48" t="s">
        <v>8095</v>
      </c>
      <c r="S566" s="60" t="s">
        <v>205</v>
      </c>
      <c r="T566" s="49" t="s">
        <v>74</v>
      </c>
      <c r="U566" s="49" t="s">
        <v>75</v>
      </c>
      <c r="V566" s="48"/>
      <c r="W566" s="71">
        <v>3.45</v>
      </c>
      <c r="X566" s="49" t="s">
        <v>1785</v>
      </c>
      <c r="Y566" s="49" t="s">
        <v>3613</v>
      </c>
      <c r="Z566" s="49" t="s">
        <v>2879</v>
      </c>
      <c r="AA566" s="61">
        <v>0.74</v>
      </c>
      <c r="AB566" s="48" t="s">
        <v>8097</v>
      </c>
      <c r="AC566" s="62" t="s">
        <v>8094</v>
      </c>
      <c r="AD566" s="53" t="str">
        <f t="shared" ref="AD566:AD567" si="441">HYPERLINK("http://www.uncp.edu/academics/browse-majors-minors","Link")</f>
        <v>Link</v>
      </c>
      <c r="AE566" s="54">
        <v>5514</v>
      </c>
      <c r="AF566" s="55"/>
      <c r="AG566" s="48"/>
      <c r="AH566" s="56">
        <v>199281</v>
      </c>
    </row>
    <row r="567" spans="1:34" ht="13" x14ac:dyDescent="0.15">
      <c r="A567" s="57" t="s">
        <v>3001</v>
      </c>
      <c r="B567" s="31" t="s">
        <v>1019</v>
      </c>
      <c r="C567" s="7" t="s">
        <v>41</v>
      </c>
      <c r="D567" s="7" t="s">
        <v>8101</v>
      </c>
      <c r="E567" s="44">
        <v>5</v>
      </c>
      <c r="F567" s="7"/>
      <c r="G567" s="7"/>
      <c r="H567" s="7" t="s">
        <v>8088</v>
      </c>
      <c r="I567" s="7" t="s">
        <v>1258</v>
      </c>
      <c r="J567" s="7" t="s">
        <v>8105</v>
      </c>
      <c r="K567" s="7" t="s">
        <v>55</v>
      </c>
      <c r="L567" s="7" t="s">
        <v>8108</v>
      </c>
      <c r="M567" s="7" t="s">
        <v>8109</v>
      </c>
      <c r="N567" s="45" t="str">
        <f t="shared" si="439"/>
        <v>@uncp_softball</v>
      </c>
      <c r="O567" s="45" t="str">
        <f t="shared" si="440"/>
        <v>Questionnaire</v>
      </c>
      <c r="P567" s="48" t="s">
        <v>8094</v>
      </c>
      <c r="Q567" s="47" t="s">
        <v>219</v>
      </c>
      <c r="R567" s="48" t="s">
        <v>8095</v>
      </c>
      <c r="S567" s="60" t="s">
        <v>205</v>
      </c>
      <c r="T567" s="49" t="s">
        <v>74</v>
      </c>
      <c r="U567" s="49" t="s">
        <v>75</v>
      </c>
      <c r="V567" s="48"/>
      <c r="W567" s="71">
        <v>3.45</v>
      </c>
      <c r="X567" s="49" t="s">
        <v>1785</v>
      </c>
      <c r="Y567" s="49" t="s">
        <v>3613</v>
      </c>
      <c r="Z567" s="49" t="s">
        <v>2879</v>
      </c>
      <c r="AA567" s="61">
        <v>0.74</v>
      </c>
      <c r="AB567" s="48" t="s">
        <v>8097</v>
      </c>
      <c r="AC567" s="62" t="s">
        <v>8094</v>
      </c>
      <c r="AD567" s="53" t="str">
        <f t="shared" si="441"/>
        <v>Link</v>
      </c>
      <c r="AE567" s="54">
        <v>5514</v>
      </c>
      <c r="AF567" s="55"/>
      <c r="AG567" s="48"/>
      <c r="AH567" s="56">
        <v>199281</v>
      </c>
    </row>
    <row r="568" spans="1:34" ht="15" x14ac:dyDescent="0.2">
      <c r="A568" s="57" t="s">
        <v>7828</v>
      </c>
      <c r="B568" s="31" t="s">
        <v>1019</v>
      </c>
      <c r="C568" s="7" t="s">
        <v>41</v>
      </c>
      <c r="D568" s="7" t="s">
        <v>8113</v>
      </c>
      <c r="E568" s="44">
        <v>5</v>
      </c>
      <c r="F568" s="7"/>
      <c r="G568" s="7"/>
      <c r="H568" s="7" t="s">
        <v>8114</v>
      </c>
      <c r="I568" s="7" t="s">
        <v>3088</v>
      </c>
      <c r="J568" s="7" t="s">
        <v>8115</v>
      </c>
      <c r="K568" s="7" t="s">
        <v>48</v>
      </c>
      <c r="L568" s="7" t="s">
        <v>8116</v>
      </c>
      <c r="M568" s="7" t="s">
        <v>8117</v>
      </c>
      <c r="N568" s="45" t="str">
        <f t="shared" ref="N568:N569" si="442">HYPERLINK("twitter.com/queens_softball","@queens_softball")</f>
        <v>@queens_softball</v>
      </c>
      <c r="O568" s="45" t="str">
        <f t="shared" ref="O568:O569" si="443">HYPERLINK("https://queensathletics.com/sb_output.aspx?form=3&amp;path=baseball","Questionnaire")</f>
        <v>Questionnaire</v>
      </c>
      <c r="P568" s="48" t="s">
        <v>8121</v>
      </c>
      <c r="Q568" s="47" t="s">
        <v>219</v>
      </c>
      <c r="R568" s="48" t="s">
        <v>6295</v>
      </c>
      <c r="S568" s="48" t="s">
        <v>354</v>
      </c>
      <c r="T568" s="49" t="s">
        <v>63</v>
      </c>
      <c r="U568" s="49" t="s">
        <v>248</v>
      </c>
      <c r="V568" s="48"/>
      <c r="W568" s="71">
        <v>3.71</v>
      </c>
      <c r="X568" s="49" t="s">
        <v>522</v>
      </c>
      <c r="Y568" s="49" t="s">
        <v>522</v>
      </c>
      <c r="Z568" s="49" t="s">
        <v>1650</v>
      </c>
      <c r="AA568" s="61">
        <v>0.83</v>
      </c>
      <c r="AB568" s="71">
        <v>47546</v>
      </c>
      <c r="AC568" s="52" t="s">
        <v>8121</v>
      </c>
      <c r="AD568" s="53" t="str">
        <f t="shared" ref="AD568:AD569" si="444">HYPERLINK("http://www.queens.edu/academics/majors-minors-programs/","Link")</f>
        <v>Link</v>
      </c>
      <c r="AE568" s="54">
        <v>1617</v>
      </c>
      <c r="AF568" s="55"/>
      <c r="AG568" s="48"/>
      <c r="AH568" s="56">
        <v>199412</v>
      </c>
    </row>
    <row r="569" spans="1:34" ht="15" x14ac:dyDescent="0.2">
      <c r="A569" s="57" t="s">
        <v>7828</v>
      </c>
      <c r="B569" s="31" t="s">
        <v>1019</v>
      </c>
      <c r="C569" s="7" t="s">
        <v>41</v>
      </c>
      <c r="D569" s="7" t="s">
        <v>8130</v>
      </c>
      <c r="E569" s="44">
        <v>5</v>
      </c>
      <c r="F569" s="7"/>
      <c r="G569" s="7"/>
      <c r="H569" s="7" t="s">
        <v>8114</v>
      </c>
      <c r="I569" s="7" t="s">
        <v>4123</v>
      </c>
      <c r="J569" s="7" t="s">
        <v>8131</v>
      </c>
      <c r="K569" s="7" t="s">
        <v>55</v>
      </c>
      <c r="L569" s="7" t="s">
        <v>8132</v>
      </c>
      <c r="M569" s="7"/>
      <c r="N569" s="45" t="str">
        <f t="shared" si="442"/>
        <v>@queens_softball</v>
      </c>
      <c r="O569" s="45" t="str">
        <f t="shared" si="443"/>
        <v>Questionnaire</v>
      </c>
      <c r="P569" s="48" t="s">
        <v>8121</v>
      </c>
      <c r="Q569" s="47" t="s">
        <v>219</v>
      </c>
      <c r="R569" s="48" t="s">
        <v>6295</v>
      </c>
      <c r="S569" s="48" t="s">
        <v>354</v>
      </c>
      <c r="T569" s="49" t="s">
        <v>63</v>
      </c>
      <c r="U569" s="49" t="s">
        <v>248</v>
      </c>
      <c r="V569" s="48"/>
      <c r="W569" s="71">
        <v>3.71</v>
      </c>
      <c r="X569" s="49" t="s">
        <v>522</v>
      </c>
      <c r="Y569" s="49" t="s">
        <v>522</v>
      </c>
      <c r="Z569" s="49" t="s">
        <v>1650</v>
      </c>
      <c r="AA569" s="61">
        <v>0.83</v>
      </c>
      <c r="AB569" s="71">
        <v>47546</v>
      </c>
      <c r="AC569" s="52" t="s">
        <v>8121</v>
      </c>
      <c r="AD569" s="53" t="str">
        <f t="shared" si="444"/>
        <v>Link</v>
      </c>
      <c r="AE569" s="54">
        <v>1617</v>
      </c>
      <c r="AF569" s="55"/>
      <c r="AG569" s="48"/>
      <c r="AH569" s="56">
        <v>199412</v>
      </c>
    </row>
    <row r="570" spans="1:34" ht="13" x14ac:dyDescent="0.15">
      <c r="A570" s="36" t="s">
        <v>5122</v>
      </c>
      <c r="B570" s="31" t="s">
        <v>1019</v>
      </c>
      <c r="C570" s="7" t="s">
        <v>41</v>
      </c>
      <c r="D570" s="7" t="s">
        <v>8137</v>
      </c>
      <c r="E570" s="44">
        <v>5</v>
      </c>
      <c r="F570" s="7"/>
      <c r="G570" s="7"/>
      <c r="H570" s="7" t="s">
        <v>8139</v>
      </c>
      <c r="I570" s="7" t="s">
        <v>8140</v>
      </c>
      <c r="J570" s="7" t="s">
        <v>8141</v>
      </c>
      <c r="K570" s="7" t="s">
        <v>48</v>
      </c>
      <c r="L570" s="7" t="s">
        <v>8143</v>
      </c>
      <c r="M570" s="7" t="s">
        <v>8144</v>
      </c>
      <c r="N570" s="48"/>
      <c r="O570" s="114" t="str">
        <f t="shared" ref="O570:O571" si="445">HYPERLINK("https://www.shawbears.com/information/Recruiting/Recruiting_Forms","Questionnaire")</f>
        <v>Questionnaire</v>
      </c>
      <c r="P570" s="48" t="s">
        <v>8145</v>
      </c>
      <c r="Q570" s="60" t="s">
        <v>219</v>
      </c>
      <c r="R570" s="6" t="s">
        <v>1090</v>
      </c>
      <c r="S570" s="6" t="s">
        <v>354</v>
      </c>
      <c r="T570" s="4" t="s">
        <v>63</v>
      </c>
      <c r="U570" s="48" t="s">
        <v>2619</v>
      </c>
      <c r="V570" s="6" t="s">
        <v>212</v>
      </c>
      <c r="W570" s="39">
        <v>2.5299999999999998</v>
      </c>
      <c r="X570" s="4" t="s">
        <v>8035</v>
      </c>
      <c r="Y570" s="4" t="s">
        <v>8035</v>
      </c>
      <c r="Z570" s="116" t="s">
        <v>8149</v>
      </c>
      <c r="AA570" s="65">
        <v>0.49</v>
      </c>
      <c r="AB570" s="39">
        <v>29478</v>
      </c>
      <c r="AC570" s="84" t="s">
        <v>8145</v>
      </c>
      <c r="AD570" s="67" t="str">
        <f t="shared" ref="AD570:AD571" si="446">HYPERLINK("http://www.shawu.edu/Academics/","Link")</f>
        <v>Link</v>
      </c>
      <c r="AE570" s="42">
        <v>1713</v>
      </c>
      <c r="AF570" s="55"/>
      <c r="AG570" s="6"/>
      <c r="AH570" s="56">
        <v>199643</v>
      </c>
    </row>
    <row r="571" spans="1:34" ht="13" x14ac:dyDescent="0.15">
      <c r="A571" s="57" t="s">
        <v>5122</v>
      </c>
      <c r="B571" s="110" t="s">
        <v>1019</v>
      </c>
      <c r="C571" s="7" t="s">
        <v>41</v>
      </c>
      <c r="D571" s="7" t="s">
        <v>8159</v>
      </c>
      <c r="E571" s="44">
        <v>5</v>
      </c>
      <c r="F571" s="7" t="s">
        <v>116</v>
      </c>
      <c r="G571" s="7"/>
      <c r="H571" s="7" t="s">
        <v>8139</v>
      </c>
      <c r="I571" s="7" t="s">
        <v>3966</v>
      </c>
      <c r="J571" s="7" t="s">
        <v>8162</v>
      </c>
      <c r="K571" s="7" t="s">
        <v>55</v>
      </c>
      <c r="L571" s="7" t="s">
        <v>8163</v>
      </c>
      <c r="M571" s="7"/>
      <c r="N571" s="48"/>
      <c r="O571" s="114" t="str">
        <f t="shared" si="445"/>
        <v>Questionnaire</v>
      </c>
      <c r="P571" s="48" t="s">
        <v>8145</v>
      </c>
      <c r="Q571" s="60" t="s">
        <v>219</v>
      </c>
      <c r="R571" s="6" t="s">
        <v>1090</v>
      </c>
      <c r="S571" s="6" t="s">
        <v>354</v>
      </c>
      <c r="T571" s="4" t="s">
        <v>63</v>
      </c>
      <c r="U571" s="48" t="s">
        <v>2619</v>
      </c>
      <c r="V571" s="6" t="s">
        <v>212</v>
      </c>
      <c r="W571" s="39">
        <v>2.5299999999999998</v>
      </c>
      <c r="X571" s="4" t="s">
        <v>8035</v>
      </c>
      <c r="Y571" s="4" t="s">
        <v>8035</v>
      </c>
      <c r="Z571" s="116" t="s">
        <v>8149</v>
      </c>
      <c r="AA571" s="65">
        <v>0.49</v>
      </c>
      <c r="AB571" s="39">
        <v>29478</v>
      </c>
      <c r="AC571" s="84" t="s">
        <v>8145</v>
      </c>
      <c r="AD571" s="67" t="str">
        <f t="shared" si="446"/>
        <v>Link</v>
      </c>
      <c r="AE571" s="42">
        <v>1713</v>
      </c>
      <c r="AF571" s="55"/>
      <c r="AG571" s="6"/>
      <c r="AH571" s="56">
        <v>199643</v>
      </c>
    </row>
    <row r="572" spans="1:34" ht="13" x14ac:dyDescent="0.15">
      <c r="A572" s="36" t="s">
        <v>5122</v>
      </c>
      <c r="B572" s="31" t="s">
        <v>1019</v>
      </c>
      <c r="C572" s="7" t="s">
        <v>41</v>
      </c>
      <c r="D572" s="7" t="s">
        <v>8167</v>
      </c>
      <c r="E572" s="44">
        <v>5</v>
      </c>
      <c r="F572" s="7"/>
      <c r="G572" s="7"/>
      <c r="H572" s="7" t="s">
        <v>8168</v>
      </c>
      <c r="I572" s="7" t="s">
        <v>3811</v>
      </c>
      <c r="J572" s="7" t="s">
        <v>8169</v>
      </c>
      <c r="K572" s="7" t="s">
        <v>48</v>
      </c>
      <c r="L572" s="7" t="s">
        <v>8170</v>
      </c>
      <c r="M572" s="7" t="s">
        <v>8171</v>
      </c>
      <c r="N572" s="48"/>
      <c r="O572" s="114" t="str">
        <f t="shared" ref="O572:O573" si="447">HYPERLINK("https://www.saintaugfalcons.com/custompages/Softball/SAU_Questionnaire_Softball.doc?path=softball","Questionnaire")</f>
        <v>Questionnaire</v>
      </c>
      <c r="P572" s="48" t="s">
        <v>8174</v>
      </c>
      <c r="Q572" s="60" t="s">
        <v>219</v>
      </c>
      <c r="R572" s="6" t="s">
        <v>1090</v>
      </c>
      <c r="S572" s="6" t="s">
        <v>354</v>
      </c>
      <c r="T572" s="5" t="s">
        <v>63</v>
      </c>
      <c r="U572" s="48" t="s">
        <v>8176</v>
      </c>
      <c r="V572" s="6" t="s">
        <v>212</v>
      </c>
      <c r="W572" s="39">
        <v>2.37</v>
      </c>
      <c r="X572" s="4" t="s">
        <v>8035</v>
      </c>
      <c r="Y572" s="4" t="s">
        <v>8178</v>
      </c>
      <c r="Z572" s="117">
        <v>43450</v>
      </c>
      <c r="AA572" s="81">
        <v>0.73</v>
      </c>
      <c r="AB572" s="39">
        <v>32416</v>
      </c>
      <c r="AC572" s="90" t="s">
        <v>8174</v>
      </c>
      <c r="AD572" s="67" t="str">
        <f t="shared" ref="AD572:AD573" si="448">HYPERLINK("https://st-aug.edu/degree-programs.html","Link")</f>
        <v>Link</v>
      </c>
      <c r="AE572" s="42">
        <v>944</v>
      </c>
      <c r="AF572" s="55"/>
      <c r="AG572" s="6"/>
      <c r="AH572" s="56">
        <v>199582</v>
      </c>
    </row>
    <row r="573" spans="1:34" ht="13" x14ac:dyDescent="0.15">
      <c r="A573" s="36" t="s">
        <v>5122</v>
      </c>
      <c r="B573" s="31" t="s">
        <v>1019</v>
      </c>
      <c r="C573" s="7" t="s">
        <v>41</v>
      </c>
      <c r="D573" s="7" t="s">
        <v>8184</v>
      </c>
      <c r="E573" s="44">
        <v>5</v>
      </c>
      <c r="F573" s="7" t="s">
        <v>116</v>
      </c>
      <c r="G573" s="7"/>
      <c r="H573" s="7" t="s">
        <v>8168</v>
      </c>
      <c r="I573" s="7" t="s">
        <v>8187</v>
      </c>
      <c r="J573" s="7" t="s">
        <v>256</v>
      </c>
      <c r="K573" s="7" t="s">
        <v>55</v>
      </c>
      <c r="L573" s="7"/>
      <c r="M573" s="7"/>
      <c r="N573" s="48"/>
      <c r="O573" s="114" t="str">
        <f t="shared" si="447"/>
        <v>Questionnaire</v>
      </c>
      <c r="P573" s="48" t="s">
        <v>8174</v>
      </c>
      <c r="Q573" s="60" t="s">
        <v>219</v>
      </c>
      <c r="R573" s="6" t="s">
        <v>1090</v>
      </c>
      <c r="S573" s="6" t="s">
        <v>354</v>
      </c>
      <c r="T573" s="5" t="s">
        <v>63</v>
      </c>
      <c r="U573" s="48" t="s">
        <v>8176</v>
      </c>
      <c r="V573" s="6" t="s">
        <v>212</v>
      </c>
      <c r="W573" s="39">
        <v>2.37</v>
      </c>
      <c r="X573" s="4" t="s">
        <v>8035</v>
      </c>
      <c r="Y573" s="4" t="s">
        <v>8178</v>
      </c>
      <c r="Z573" s="117">
        <v>43450</v>
      </c>
      <c r="AA573" s="81">
        <v>0.73</v>
      </c>
      <c r="AB573" s="39">
        <v>32416</v>
      </c>
      <c r="AC573" s="90" t="s">
        <v>8174</v>
      </c>
      <c r="AD573" s="67" t="str">
        <f t="shared" si="448"/>
        <v>Link</v>
      </c>
      <c r="AE573" s="42">
        <v>944</v>
      </c>
      <c r="AF573" s="55"/>
      <c r="AG573" s="6"/>
      <c r="AH573" s="56">
        <v>199582</v>
      </c>
    </row>
    <row r="574" spans="1:34" ht="13" x14ac:dyDescent="0.15">
      <c r="A574" s="57" t="s">
        <v>7828</v>
      </c>
      <c r="B574" s="31" t="s">
        <v>1019</v>
      </c>
      <c r="C574" s="7" t="s">
        <v>41</v>
      </c>
      <c r="D574" s="7" t="s">
        <v>8193</v>
      </c>
      <c r="E574" s="44">
        <v>5</v>
      </c>
      <c r="F574" s="7"/>
      <c r="G574" s="7"/>
      <c r="H574" s="7" t="s">
        <v>8195</v>
      </c>
      <c r="I574" s="7" t="s">
        <v>1217</v>
      </c>
      <c r="J574" s="7" t="s">
        <v>8196</v>
      </c>
      <c r="K574" s="7" t="s">
        <v>48</v>
      </c>
      <c r="L574" s="7" t="s">
        <v>8197</v>
      </c>
      <c r="M574" s="7" t="s">
        <v>8198</v>
      </c>
      <c r="N574" s="45" t="str">
        <f t="shared" ref="N574:N577" si="449">HYPERLINK("twitter.com/wingatesoftball","@wingatesoftball")</f>
        <v>@wingatesoftball</v>
      </c>
      <c r="O574" s="45" t="str">
        <f t="shared" ref="O574:O577" si="450">HYPERLINK("https://questionnaires.armssoftware.com/b1d5a0ef3845","Questionnaire")</f>
        <v>Questionnaire</v>
      </c>
      <c r="P574" s="48" t="s">
        <v>8209</v>
      </c>
      <c r="Q574" s="60" t="s">
        <v>219</v>
      </c>
      <c r="R574" s="48" t="s">
        <v>8210</v>
      </c>
      <c r="S574" s="60" t="s">
        <v>205</v>
      </c>
      <c r="T574" s="49" t="s">
        <v>63</v>
      </c>
      <c r="U574" s="49" t="s">
        <v>75</v>
      </c>
      <c r="V574" s="48"/>
      <c r="W574" s="71">
        <v>3.43</v>
      </c>
      <c r="X574" s="49" t="s">
        <v>3013</v>
      </c>
      <c r="Y574" s="49" t="s">
        <v>522</v>
      </c>
      <c r="Z574" s="49" t="s">
        <v>1994</v>
      </c>
      <c r="AA574" s="61">
        <v>0.7</v>
      </c>
      <c r="AB574" s="71">
        <v>43900</v>
      </c>
      <c r="AC574" s="90" t="s">
        <v>8209</v>
      </c>
      <c r="AD574" s="53" t="str">
        <f t="shared" ref="AD574:AD577" si="451">HYPERLINK("https://www.wingate.edu/majors-and-programs/","Link")</f>
        <v>Link</v>
      </c>
      <c r="AE574" s="54">
        <v>2084</v>
      </c>
      <c r="AF574" s="55"/>
      <c r="AG574" s="48"/>
      <c r="AH574" s="56">
        <v>199962</v>
      </c>
    </row>
    <row r="575" spans="1:34" ht="13" x14ac:dyDescent="0.15">
      <c r="A575" s="57" t="s">
        <v>7828</v>
      </c>
      <c r="B575" s="31" t="s">
        <v>1019</v>
      </c>
      <c r="C575" s="7" t="s">
        <v>41</v>
      </c>
      <c r="D575" s="7" t="s">
        <v>8215</v>
      </c>
      <c r="E575" s="44">
        <v>5</v>
      </c>
      <c r="F575" s="7"/>
      <c r="G575" s="7"/>
      <c r="H575" s="7" t="s">
        <v>8195</v>
      </c>
      <c r="I575" s="7" t="s">
        <v>8217</v>
      </c>
      <c r="J575" s="7" t="s">
        <v>8218</v>
      </c>
      <c r="K575" s="7" t="s">
        <v>55</v>
      </c>
      <c r="L575" s="7" t="s">
        <v>8219</v>
      </c>
      <c r="M575" s="7"/>
      <c r="N575" s="45" t="str">
        <f t="shared" si="449"/>
        <v>@wingatesoftball</v>
      </c>
      <c r="O575" s="45" t="str">
        <f t="shared" si="450"/>
        <v>Questionnaire</v>
      </c>
      <c r="P575" s="48" t="s">
        <v>8209</v>
      </c>
      <c r="Q575" s="60" t="s">
        <v>219</v>
      </c>
      <c r="R575" s="48" t="s">
        <v>8210</v>
      </c>
      <c r="S575" s="60" t="s">
        <v>205</v>
      </c>
      <c r="T575" s="49" t="s">
        <v>63</v>
      </c>
      <c r="U575" s="49" t="s">
        <v>75</v>
      </c>
      <c r="V575" s="48"/>
      <c r="W575" s="71">
        <v>3.43</v>
      </c>
      <c r="X575" s="49" t="s">
        <v>3013</v>
      </c>
      <c r="Y575" s="49" t="s">
        <v>522</v>
      </c>
      <c r="Z575" s="49" t="s">
        <v>1994</v>
      </c>
      <c r="AA575" s="61">
        <v>0.7</v>
      </c>
      <c r="AB575" s="71">
        <v>43900</v>
      </c>
      <c r="AC575" s="90" t="s">
        <v>8209</v>
      </c>
      <c r="AD575" s="53" t="str">
        <f t="shared" si="451"/>
        <v>Link</v>
      </c>
      <c r="AE575" s="54">
        <v>2084</v>
      </c>
      <c r="AF575" s="55"/>
      <c r="AG575" s="48"/>
      <c r="AH575" s="56">
        <v>199962</v>
      </c>
    </row>
    <row r="576" spans="1:34" ht="13" x14ac:dyDescent="0.15">
      <c r="A576" s="57" t="s">
        <v>7828</v>
      </c>
      <c r="B576" s="31" t="s">
        <v>1019</v>
      </c>
      <c r="C576" s="7" t="s">
        <v>41</v>
      </c>
      <c r="D576" s="7" t="s">
        <v>8225</v>
      </c>
      <c r="E576" s="44">
        <v>5</v>
      </c>
      <c r="F576" s="7"/>
      <c r="G576" s="7" t="s">
        <v>126</v>
      </c>
      <c r="H576" s="7" t="s">
        <v>8195</v>
      </c>
      <c r="I576" s="7" t="s">
        <v>8227</v>
      </c>
      <c r="J576" s="7"/>
      <c r="K576" s="7"/>
      <c r="L576" s="7"/>
      <c r="M576" s="7"/>
      <c r="N576" s="45" t="str">
        <f t="shared" si="449"/>
        <v>@wingatesoftball</v>
      </c>
      <c r="O576" s="45" t="str">
        <f t="shared" si="450"/>
        <v>Questionnaire</v>
      </c>
      <c r="P576" s="48" t="s">
        <v>8209</v>
      </c>
      <c r="Q576" s="60" t="s">
        <v>219</v>
      </c>
      <c r="R576" s="48" t="s">
        <v>8210</v>
      </c>
      <c r="S576" s="60" t="s">
        <v>205</v>
      </c>
      <c r="T576" s="49" t="s">
        <v>63</v>
      </c>
      <c r="U576" s="49" t="s">
        <v>75</v>
      </c>
      <c r="V576" s="48"/>
      <c r="W576" s="71">
        <v>3.43</v>
      </c>
      <c r="X576" s="49" t="s">
        <v>3013</v>
      </c>
      <c r="Y576" s="49" t="s">
        <v>522</v>
      </c>
      <c r="Z576" s="49" t="s">
        <v>1994</v>
      </c>
      <c r="AA576" s="61">
        <v>0.7</v>
      </c>
      <c r="AB576" s="71">
        <v>43900</v>
      </c>
      <c r="AC576" s="90" t="s">
        <v>8209</v>
      </c>
      <c r="AD576" s="53" t="str">
        <f t="shared" si="451"/>
        <v>Link</v>
      </c>
      <c r="AE576" s="54">
        <v>2084</v>
      </c>
      <c r="AF576" s="55"/>
      <c r="AG576" s="48"/>
      <c r="AH576" s="56">
        <v>199962</v>
      </c>
    </row>
    <row r="577" spans="1:34" ht="13" x14ac:dyDescent="0.15">
      <c r="A577" s="57" t="s">
        <v>7828</v>
      </c>
      <c r="B577" s="31" t="s">
        <v>1019</v>
      </c>
      <c r="C577" s="7" t="s">
        <v>41</v>
      </c>
      <c r="D577" s="7" t="s">
        <v>8234</v>
      </c>
      <c r="E577" s="44">
        <v>5</v>
      </c>
      <c r="F577" s="7"/>
      <c r="G577" s="7"/>
      <c r="H577" s="7" t="s">
        <v>8195</v>
      </c>
      <c r="I577" s="7" t="s">
        <v>811</v>
      </c>
      <c r="J577" s="7" t="s">
        <v>5558</v>
      </c>
      <c r="K577" s="7" t="s">
        <v>139</v>
      </c>
      <c r="L577" s="7" t="s">
        <v>8239</v>
      </c>
      <c r="M577" s="7"/>
      <c r="N577" s="45" t="str">
        <f t="shared" si="449"/>
        <v>@wingatesoftball</v>
      </c>
      <c r="O577" s="45" t="str">
        <f t="shared" si="450"/>
        <v>Questionnaire</v>
      </c>
      <c r="P577" s="48" t="s">
        <v>8209</v>
      </c>
      <c r="Q577" s="60" t="s">
        <v>219</v>
      </c>
      <c r="R577" s="48" t="s">
        <v>8210</v>
      </c>
      <c r="S577" s="60" t="s">
        <v>205</v>
      </c>
      <c r="T577" s="49" t="s">
        <v>63</v>
      </c>
      <c r="U577" s="49" t="s">
        <v>75</v>
      </c>
      <c r="V577" s="48"/>
      <c r="W577" s="71">
        <v>3.43</v>
      </c>
      <c r="X577" s="49" t="s">
        <v>3013</v>
      </c>
      <c r="Y577" s="49" t="s">
        <v>522</v>
      </c>
      <c r="Z577" s="49" t="s">
        <v>1994</v>
      </c>
      <c r="AA577" s="61">
        <v>0.7</v>
      </c>
      <c r="AB577" s="71">
        <v>43900</v>
      </c>
      <c r="AC577" s="90" t="s">
        <v>8209</v>
      </c>
      <c r="AD577" s="53" t="str">
        <f t="shared" si="451"/>
        <v>Link</v>
      </c>
      <c r="AE577" s="54">
        <v>2084</v>
      </c>
      <c r="AF577" s="55"/>
      <c r="AG577" s="48"/>
      <c r="AH577" s="56">
        <v>199962</v>
      </c>
    </row>
    <row r="578" spans="1:34" ht="15" x14ac:dyDescent="0.2">
      <c r="A578" s="36" t="s">
        <v>5122</v>
      </c>
      <c r="B578" s="31" t="s">
        <v>1019</v>
      </c>
      <c r="C578" s="7" t="s">
        <v>41</v>
      </c>
      <c r="D578" s="7" t="s">
        <v>8244</v>
      </c>
      <c r="E578" s="44">
        <v>5</v>
      </c>
      <c r="F578" s="7"/>
      <c r="G578" s="7"/>
      <c r="H578" s="7" t="s">
        <v>8245</v>
      </c>
      <c r="I578" s="7" t="s">
        <v>8246</v>
      </c>
      <c r="J578" s="7" t="s">
        <v>8247</v>
      </c>
      <c r="K578" s="7" t="s">
        <v>48</v>
      </c>
      <c r="L578" s="7" t="s">
        <v>8248</v>
      </c>
      <c r="M578" s="7" t="s">
        <v>8249</v>
      </c>
      <c r="N578" s="48"/>
      <c r="O578" s="45" t="str">
        <f t="shared" ref="O578:O579" si="452">HYPERLINK("https://www.wssurams.com/information/Prospective_Student-Athlete_Questionnaire","Questionnaire")</f>
        <v>Questionnaire</v>
      </c>
      <c r="P578" s="48" t="s">
        <v>8251</v>
      </c>
      <c r="Q578" s="47" t="s">
        <v>219</v>
      </c>
      <c r="R578" s="48" t="s">
        <v>8252</v>
      </c>
      <c r="S578" s="48" t="s">
        <v>62</v>
      </c>
      <c r="T578" s="73" t="s">
        <v>74</v>
      </c>
      <c r="U578" s="49" t="s">
        <v>75</v>
      </c>
      <c r="V578" s="48" t="s">
        <v>212</v>
      </c>
      <c r="W578" s="71">
        <v>3.01</v>
      </c>
      <c r="X578" s="49" t="s">
        <v>7925</v>
      </c>
      <c r="Y578" s="49" t="s">
        <v>7925</v>
      </c>
      <c r="Z578" s="49" t="s">
        <v>8256</v>
      </c>
      <c r="AA578" s="61">
        <v>0.63</v>
      </c>
      <c r="AB578" s="48" t="s">
        <v>8260</v>
      </c>
      <c r="AC578" s="52" t="s">
        <v>8251</v>
      </c>
      <c r="AD578" s="53" t="str">
        <f t="shared" ref="AD578:AD579" si="453">HYPERLINK("https://www.wssu.edu/admissions/programs/index.html","Link")</f>
        <v>Link</v>
      </c>
      <c r="AE578" s="54">
        <v>4759</v>
      </c>
      <c r="AF578" s="55"/>
      <c r="AG578" s="48"/>
      <c r="AH578" s="56">
        <v>199999</v>
      </c>
    </row>
    <row r="579" spans="1:34" ht="15" x14ac:dyDescent="0.2">
      <c r="A579" s="36" t="s">
        <v>5122</v>
      </c>
      <c r="B579" s="31" t="s">
        <v>1019</v>
      </c>
      <c r="C579" s="7" t="s">
        <v>41</v>
      </c>
      <c r="D579" s="7" t="s">
        <v>8266</v>
      </c>
      <c r="E579" s="44">
        <v>5</v>
      </c>
      <c r="F579" s="7"/>
      <c r="G579" s="7"/>
      <c r="H579" s="7" t="s">
        <v>8245</v>
      </c>
      <c r="I579" s="7" t="s">
        <v>92</v>
      </c>
      <c r="J579" s="7" t="s">
        <v>8269</v>
      </c>
      <c r="K579" s="7" t="s">
        <v>55</v>
      </c>
      <c r="L579" s="7" t="s">
        <v>8270</v>
      </c>
      <c r="M579" s="7" t="s">
        <v>8271</v>
      </c>
      <c r="N579" s="48"/>
      <c r="O579" s="45" t="str">
        <f t="shared" si="452"/>
        <v>Questionnaire</v>
      </c>
      <c r="P579" s="48" t="s">
        <v>8251</v>
      </c>
      <c r="Q579" s="47" t="s">
        <v>219</v>
      </c>
      <c r="R579" s="48" t="s">
        <v>8252</v>
      </c>
      <c r="S579" s="48" t="s">
        <v>62</v>
      </c>
      <c r="T579" s="73" t="s">
        <v>74</v>
      </c>
      <c r="U579" s="49" t="s">
        <v>75</v>
      </c>
      <c r="V579" s="48" t="s">
        <v>212</v>
      </c>
      <c r="W579" s="71">
        <v>3.01</v>
      </c>
      <c r="X579" s="49" t="s">
        <v>7925</v>
      </c>
      <c r="Y579" s="49" t="s">
        <v>7925</v>
      </c>
      <c r="Z579" s="49" t="s">
        <v>8256</v>
      </c>
      <c r="AA579" s="61">
        <v>0.63</v>
      </c>
      <c r="AB579" s="48" t="s">
        <v>8260</v>
      </c>
      <c r="AC579" s="52" t="s">
        <v>8251</v>
      </c>
      <c r="AD579" s="53" t="str">
        <f t="shared" si="453"/>
        <v>Link</v>
      </c>
      <c r="AE579" s="54">
        <v>4759</v>
      </c>
      <c r="AF579" s="55"/>
      <c r="AG579" s="48"/>
      <c r="AH579" s="56">
        <v>199999</v>
      </c>
    </row>
    <row r="580" spans="1:34" ht="13" x14ac:dyDescent="0.15">
      <c r="A580" s="57" t="s">
        <v>4718</v>
      </c>
      <c r="B580" s="31" t="s">
        <v>3576</v>
      </c>
      <c r="C580" s="7" t="s">
        <v>41</v>
      </c>
      <c r="D580" s="7" t="s">
        <v>8279</v>
      </c>
      <c r="E580" s="44">
        <v>5</v>
      </c>
      <c r="F580" s="7"/>
      <c r="G580" s="7"/>
      <c r="H580" s="7" t="s">
        <v>8281</v>
      </c>
      <c r="I580" s="7" t="s">
        <v>6985</v>
      </c>
      <c r="J580" s="7" t="s">
        <v>8282</v>
      </c>
      <c r="K580" s="7" t="s">
        <v>48</v>
      </c>
      <c r="L580" s="7" t="s">
        <v>8283</v>
      </c>
      <c r="M580" s="6" t="s">
        <v>8284</v>
      </c>
      <c r="N580" s="45" t="str">
        <f t="shared" ref="N580:N582" si="454">HYPERLINK("twitter.com/UMarysoftball","@UMarysoftball")</f>
        <v>@UMarysoftball</v>
      </c>
      <c r="O580" s="48" t="s">
        <v>22</v>
      </c>
      <c r="P580" s="48" t="s">
        <v>2150</v>
      </c>
      <c r="Q580" s="60" t="s">
        <v>3564</v>
      </c>
      <c r="R580" s="48" t="s">
        <v>8290</v>
      </c>
      <c r="S580" s="48" t="s">
        <v>186</v>
      </c>
      <c r="T580" s="73" t="s">
        <v>63</v>
      </c>
      <c r="U580" s="49" t="s">
        <v>343</v>
      </c>
      <c r="V580" s="48"/>
      <c r="W580" s="71">
        <v>3.53</v>
      </c>
      <c r="X580" s="49" t="s">
        <v>8291</v>
      </c>
      <c r="Y580" s="49" t="s">
        <v>8292</v>
      </c>
      <c r="Z580" s="49" t="s">
        <v>278</v>
      </c>
      <c r="AA580" s="61">
        <v>0.77</v>
      </c>
      <c r="AB580" s="71">
        <v>27639</v>
      </c>
      <c r="AC580" s="90" t="s">
        <v>2150</v>
      </c>
      <c r="AD580" s="53" t="str">
        <f t="shared" ref="AD580:AD582" si="455">HYPERLINK("http://www.umary.edu/academics/programs/","Link")</f>
        <v>Link</v>
      </c>
      <c r="AE580" s="54">
        <v>2218</v>
      </c>
      <c r="AF580" s="55"/>
      <c r="AG580" s="48"/>
      <c r="AH580" s="56">
        <v>200217</v>
      </c>
    </row>
    <row r="581" spans="1:34" ht="13" x14ac:dyDescent="0.15">
      <c r="A581" s="57" t="s">
        <v>4718</v>
      </c>
      <c r="B581" s="31" t="s">
        <v>3576</v>
      </c>
      <c r="C581" s="7" t="s">
        <v>41</v>
      </c>
      <c r="D581" s="7" t="s">
        <v>8304</v>
      </c>
      <c r="E581" s="44">
        <v>5</v>
      </c>
      <c r="F581" s="7"/>
      <c r="G581" s="7"/>
      <c r="H581" s="7" t="s">
        <v>8281</v>
      </c>
      <c r="I581" s="7" t="s">
        <v>1124</v>
      </c>
      <c r="J581" s="7" t="s">
        <v>8306</v>
      </c>
      <c r="K581" s="7" t="s">
        <v>55</v>
      </c>
      <c r="L581" s="7" t="s">
        <v>8307</v>
      </c>
      <c r="M581" s="7"/>
      <c r="N581" s="45" t="str">
        <f t="shared" si="454"/>
        <v>@UMarysoftball</v>
      </c>
      <c r="O581" s="48" t="s">
        <v>22</v>
      </c>
      <c r="P581" s="48" t="s">
        <v>2150</v>
      </c>
      <c r="Q581" s="60" t="s">
        <v>3564</v>
      </c>
      <c r="R581" s="48" t="s">
        <v>8290</v>
      </c>
      <c r="S581" s="48" t="s">
        <v>186</v>
      </c>
      <c r="T581" s="73" t="s">
        <v>63</v>
      </c>
      <c r="U581" s="49" t="s">
        <v>343</v>
      </c>
      <c r="V581" s="48"/>
      <c r="W581" s="71">
        <v>3.53</v>
      </c>
      <c r="X581" s="49" t="s">
        <v>8291</v>
      </c>
      <c r="Y581" s="49" t="s">
        <v>8292</v>
      </c>
      <c r="Z581" s="49" t="s">
        <v>278</v>
      </c>
      <c r="AA581" s="61">
        <v>0.77</v>
      </c>
      <c r="AB581" s="71">
        <v>27639</v>
      </c>
      <c r="AC581" s="90" t="s">
        <v>2150</v>
      </c>
      <c r="AD581" s="53" t="str">
        <f t="shared" si="455"/>
        <v>Link</v>
      </c>
      <c r="AE581" s="54">
        <v>2218</v>
      </c>
      <c r="AF581" s="55"/>
      <c r="AG581" s="48"/>
      <c r="AH581" s="56">
        <v>200217</v>
      </c>
    </row>
    <row r="582" spans="1:34" ht="13" x14ac:dyDescent="0.15">
      <c r="A582" s="57" t="s">
        <v>4718</v>
      </c>
      <c r="B582" s="31" t="s">
        <v>3576</v>
      </c>
      <c r="C582" s="7" t="s">
        <v>41</v>
      </c>
      <c r="D582" s="7" t="s">
        <v>8314</v>
      </c>
      <c r="E582" s="44">
        <v>5</v>
      </c>
      <c r="F582" s="7"/>
      <c r="G582" s="7"/>
      <c r="H582" s="7" t="s">
        <v>8281</v>
      </c>
      <c r="I582" s="7" t="s">
        <v>93</v>
      </c>
      <c r="J582" s="7" t="s">
        <v>8315</v>
      </c>
      <c r="K582" s="7" t="s">
        <v>55</v>
      </c>
      <c r="L582" s="7" t="s">
        <v>8316</v>
      </c>
      <c r="M582" s="7" t="s">
        <v>8317</v>
      </c>
      <c r="N582" s="45" t="str">
        <f t="shared" si="454"/>
        <v>@UMarysoftball</v>
      </c>
      <c r="O582" s="48" t="s">
        <v>22</v>
      </c>
      <c r="P582" s="48" t="s">
        <v>2150</v>
      </c>
      <c r="Q582" s="60" t="s">
        <v>3564</v>
      </c>
      <c r="R582" s="48" t="s">
        <v>8290</v>
      </c>
      <c r="S582" s="48" t="s">
        <v>186</v>
      </c>
      <c r="T582" s="73" t="s">
        <v>63</v>
      </c>
      <c r="U582" s="49" t="s">
        <v>343</v>
      </c>
      <c r="V582" s="48"/>
      <c r="W582" s="71">
        <v>3.53</v>
      </c>
      <c r="X582" s="49" t="s">
        <v>8291</v>
      </c>
      <c r="Y582" s="49" t="s">
        <v>8292</v>
      </c>
      <c r="Z582" s="49" t="s">
        <v>278</v>
      </c>
      <c r="AA582" s="61">
        <v>0.77</v>
      </c>
      <c r="AB582" s="71">
        <v>27639</v>
      </c>
      <c r="AC582" s="90" t="s">
        <v>2150</v>
      </c>
      <c r="AD582" s="53" t="str">
        <f t="shared" si="455"/>
        <v>Link</v>
      </c>
      <c r="AE582" s="54">
        <v>2218</v>
      </c>
      <c r="AF582" s="55"/>
      <c r="AG582" s="48"/>
      <c r="AH582" s="56">
        <v>200217</v>
      </c>
    </row>
    <row r="583" spans="1:34" ht="13" x14ac:dyDescent="0.15">
      <c r="A583" s="57" t="s">
        <v>4718</v>
      </c>
      <c r="B583" s="31" t="s">
        <v>3576</v>
      </c>
      <c r="C583" s="7" t="s">
        <v>41</v>
      </c>
      <c r="D583" s="7" t="s">
        <v>8322</v>
      </c>
      <c r="E583" s="44">
        <v>5</v>
      </c>
      <c r="F583" s="7"/>
      <c r="G583" s="7"/>
      <c r="H583" s="7" t="s">
        <v>8323</v>
      </c>
      <c r="I583" s="7" t="s">
        <v>8324</v>
      </c>
      <c r="J583" s="7" t="s">
        <v>3303</v>
      </c>
      <c r="K583" s="7" t="s">
        <v>48</v>
      </c>
      <c r="L583" s="7" t="s">
        <v>8326</v>
      </c>
      <c r="M583" s="7" t="s">
        <v>8328</v>
      </c>
      <c r="N583" s="45" t="str">
        <f t="shared" ref="N583:N585" si="456">HYPERLINK("twitter.com/msubeaversb","@msubeaversb")</f>
        <v>@msubeaversb</v>
      </c>
      <c r="O583" s="45" t="str">
        <f t="shared" ref="O583:O585" si="457">HYPERLINK("https://msubeavers.com/sb_output.aspx?form=12","Questionnaire")</f>
        <v>Questionnaire</v>
      </c>
      <c r="P583" s="48" t="s">
        <v>8333</v>
      </c>
      <c r="Q583" s="47" t="s">
        <v>3564</v>
      </c>
      <c r="R583" s="48" t="s">
        <v>8334</v>
      </c>
      <c r="S583" s="48" t="s">
        <v>468</v>
      </c>
      <c r="T583" s="49" t="s">
        <v>74</v>
      </c>
      <c r="U583" s="49" t="s">
        <v>75</v>
      </c>
      <c r="V583" s="48"/>
      <c r="W583" s="71">
        <v>3.24</v>
      </c>
      <c r="X583" s="49" t="s">
        <v>2257</v>
      </c>
      <c r="Y583" s="49" t="s">
        <v>239</v>
      </c>
      <c r="Z583" s="49" t="s">
        <v>449</v>
      </c>
      <c r="AA583" s="61">
        <v>0.6</v>
      </c>
      <c r="AB583" s="71">
        <v>17332</v>
      </c>
      <c r="AC583" s="62" t="s">
        <v>8333</v>
      </c>
      <c r="AD583" s="53" t="str">
        <f t="shared" ref="AD583:AD585" si="458">HYPERLINK("http://www.minotstateu.edu/enroll/programs_of_study.shtml","Link")</f>
        <v>Link</v>
      </c>
      <c r="AE583" s="54">
        <v>3136</v>
      </c>
      <c r="AF583" s="55"/>
      <c r="AG583" s="48"/>
      <c r="AH583" s="56">
        <v>200253</v>
      </c>
    </row>
    <row r="584" spans="1:34" ht="13" x14ac:dyDescent="0.15">
      <c r="A584" s="57" t="s">
        <v>4718</v>
      </c>
      <c r="B584" s="31" t="s">
        <v>3576</v>
      </c>
      <c r="C584" s="7" t="s">
        <v>41</v>
      </c>
      <c r="D584" s="7" t="s">
        <v>8347</v>
      </c>
      <c r="E584" s="44">
        <v>5</v>
      </c>
      <c r="F584" s="7" t="s">
        <v>116</v>
      </c>
      <c r="G584" s="7"/>
      <c r="H584" s="7" t="s">
        <v>8323</v>
      </c>
      <c r="I584" s="7" t="s">
        <v>3315</v>
      </c>
      <c r="J584" s="7" t="s">
        <v>8348</v>
      </c>
      <c r="K584" s="7" t="s">
        <v>120</v>
      </c>
      <c r="L584" s="7" t="s">
        <v>8349</v>
      </c>
      <c r="M584" s="7"/>
      <c r="N584" s="45" t="str">
        <f t="shared" si="456"/>
        <v>@msubeaversb</v>
      </c>
      <c r="O584" s="45" t="str">
        <f t="shared" si="457"/>
        <v>Questionnaire</v>
      </c>
      <c r="P584" s="48" t="s">
        <v>8333</v>
      </c>
      <c r="Q584" s="47" t="s">
        <v>3564</v>
      </c>
      <c r="R584" s="48" t="s">
        <v>8334</v>
      </c>
      <c r="S584" s="48" t="s">
        <v>468</v>
      </c>
      <c r="T584" s="49" t="s">
        <v>74</v>
      </c>
      <c r="U584" s="49" t="s">
        <v>75</v>
      </c>
      <c r="V584" s="48"/>
      <c r="W584" s="71">
        <v>3.24</v>
      </c>
      <c r="X584" s="49" t="s">
        <v>2257</v>
      </c>
      <c r="Y584" s="49" t="s">
        <v>239</v>
      </c>
      <c r="Z584" s="49" t="s">
        <v>449</v>
      </c>
      <c r="AA584" s="61">
        <v>0.6</v>
      </c>
      <c r="AB584" s="71">
        <v>17332</v>
      </c>
      <c r="AC584" s="62" t="s">
        <v>8333</v>
      </c>
      <c r="AD584" s="53" t="str">
        <f t="shared" si="458"/>
        <v>Link</v>
      </c>
      <c r="AE584" s="54">
        <v>3136</v>
      </c>
      <c r="AF584" s="55"/>
      <c r="AG584" s="48"/>
      <c r="AH584" s="56">
        <v>200253</v>
      </c>
    </row>
    <row r="585" spans="1:34" ht="13" x14ac:dyDescent="0.15">
      <c r="A585" s="57" t="s">
        <v>4718</v>
      </c>
      <c r="B585" s="31" t="s">
        <v>3576</v>
      </c>
      <c r="C585" s="7" t="s">
        <v>41</v>
      </c>
      <c r="D585" s="7" t="s">
        <v>8352</v>
      </c>
      <c r="E585" s="44">
        <v>5</v>
      </c>
      <c r="F585" s="7" t="s">
        <v>116</v>
      </c>
      <c r="G585" s="7"/>
      <c r="H585" s="7" t="s">
        <v>8323</v>
      </c>
      <c r="I585" s="7" t="s">
        <v>911</v>
      </c>
      <c r="J585" s="7" t="s">
        <v>8354</v>
      </c>
      <c r="K585" s="7" t="s">
        <v>55</v>
      </c>
      <c r="L585" s="7" t="s">
        <v>8355</v>
      </c>
      <c r="M585" s="7"/>
      <c r="N585" s="45" t="str">
        <f t="shared" si="456"/>
        <v>@msubeaversb</v>
      </c>
      <c r="O585" s="45" t="str">
        <f t="shared" si="457"/>
        <v>Questionnaire</v>
      </c>
      <c r="P585" s="48" t="s">
        <v>8333</v>
      </c>
      <c r="Q585" s="47" t="s">
        <v>3564</v>
      </c>
      <c r="R585" s="48" t="s">
        <v>8334</v>
      </c>
      <c r="S585" s="48" t="s">
        <v>468</v>
      </c>
      <c r="T585" s="49" t="s">
        <v>74</v>
      </c>
      <c r="U585" s="49" t="s">
        <v>75</v>
      </c>
      <c r="V585" s="48"/>
      <c r="W585" s="71">
        <v>3.24</v>
      </c>
      <c r="X585" s="49" t="s">
        <v>2257</v>
      </c>
      <c r="Y585" s="49" t="s">
        <v>239</v>
      </c>
      <c r="Z585" s="49" t="s">
        <v>449</v>
      </c>
      <c r="AA585" s="61">
        <v>0.6</v>
      </c>
      <c r="AB585" s="71">
        <v>17332</v>
      </c>
      <c r="AC585" s="62" t="s">
        <v>8333</v>
      </c>
      <c r="AD585" s="53" t="str">
        <f t="shared" si="458"/>
        <v>Link</v>
      </c>
      <c r="AE585" s="54">
        <v>3136</v>
      </c>
      <c r="AF585" s="55"/>
      <c r="AG585" s="48"/>
      <c r="AH585" s="56">
        <v>200253</v>
      </c>
    </row>
    <row r="586" spans="1:34" ht="13" x14ac:dyDescent="0.15">
      <c r="A586" s="36" t="s">
        <v>4592</v>
      </c>
      <c r="B586" s="31" t="s">
        <v>8359</v>
      </c>
      <c r="C586" s="7" t="s">
        <v>41</v>
      </c>
      <c r="D586" s="7" t="s">
        <v>8361</v>
      </c>
      <c r="E586" s="44">
        <v>5</v>
      </c>
      <c r="F586" s="7"/>
      <c r="G586" s="7"/>
      <c r="H586" s="2" t="s">
        <v>8362</v>
      </c>
      <c r="I586" s="7" t="s">
        <v>8363</v>
      </c>
      <c r="J586" s="7" t="s">
        <v>8364</v>
      </c>
      <c r="K586" s="7" t="s">
        <v>48</v>
      </c>
      <c r="L586" s="7" t="s">
        <v>8365</v>
      </c>
      <c r="M586" s="7" t="s">
        <v>8367</v>
      </c>
      <c r="N586" s="45" t="str">
        <f t="shared" ref="N586:N587" si="459">HYPERLINK("twitter.com/ashlandusball","@ashlandusball")</f>
        <v>@ashlandusball</v>
      </c>
      <c r="O586" s="45" t="str">
        <f t="shared" ref="O586:O587" si="460">HYPERLINK("https://goashlandeagles.com/recruits/Recruitment_Forms","Questionnaire")</f>
        <v>Questionnaire</v>
      </c>
      <c r="P586" s="48" t="s">
        <v>8373</v>
      </c>
      <c r="Q586" s="47" t="s">
        <v>1814</v>
      </c>
      <c r="R586" s="48" t="s">
        <v>8374</v>
      </c>
      <c r="S586" s="48" t="s">
        <v>172</v>
      </c>
      <c r="T586" s="49" t="s">
        <v>63</v>
      </c>
      <c r="U586" s="49" t="s">
        <v>8375</v>
      </c>
      <c r="V586" s="48"/>
      <c r="W586" s="71">
        <v>3.44</v>
      </c>
      <c r="X586" s="49" t="s">
        <v>8376</v>
      </c>
      <c r="Y586" s="49" t="s">
        <v>3629</v>
      </c>
      <c r="Z586" s="49" t="s">
        <v>1994</v>
      </c>
      <c r="AA586" s="51">
        <v>0.72460000000000002</v>
      </c>
      <c r="AB586" s="71">
        <v>33502</v>
      </c>
      <c r="AC586" s="62" t="s">
        <v>8373</v>
      </c>
      <c r="AD586" s="53" t="str">
        <f t="shared" ref="AD586:AD587" si="461">HYPERLINK("https://www.ashland.edu/administration/office-provost/academic-affairs/majors-programs","Link")</f>
        <v>Link</v>
      </c>
      <c r="AE586" s="54">
        <v>4814</v>
      </c>
      <c r="AF586" s="54">
        <v>223</v>
      </c>
      <c r="AG586" s="48"/>
      <c r="AH586" s="56">
        <v>201104</v>
      </c>
    </row>
    <row r="587" spans="1:34" ht="13" x14ac:dyDescent="0.15">
      <c r="A587" s="36" t="s">
        <v>4592</v>
      </c>
      <c r="B587" s="31" t="s">
        <v>8359</v>
      </c>
      <c r="C587" s="7" t="s">
        <v>41</v>
      </c>
      <c r="D587" s="7" t="s">
        <v>8382</v>
      </c>
      <c r="E587" s="44">
        <v>5</v>
      </c>
      <c r="F587" s="7"/>
      <c r="G587" s="7"/>
      <c r="H587" s="2" t="s">
        <v>8362</v>
      </c>
      <c r="I587" s="7" t="s">
        <v>481</v>
      </c>
      <c r="J587" s="7" t="s">
        <v>4308</v>
      </c>
      <c r="K587" s="7" t="s">
        <v>139</v>
      </c>
      <c r="L587" s="7"/>
      <c r="M587" s="7"/>
      <c r="N587" s="45" t="str">
        <f t="shared" si="459"/>
        <v>@ashlandusball</v>
      </c>
      <c r="O587" s="45" t="str">
        <f t="shared" si="460"/>
        <v>Questionnaire</v>
      </c>
      <c r="P587" s="48" t="s">
        <v>8373</v>
      </c>
      <c r="Q587" s="47" t="s">
        <v>1814</v>
      </c>
      <c r="R587" s="48" t="s">
        <v>8374</v>
      </c>
      <c r="S587" s="48" t="s">
        <v>172</v>
      </c>
      <c r="T587" s="49" t="s">
        <v>63</v>
      </c>
      <c r="U587" s="49" t="s">
        <v>8375</v>
      </c>
      <c r="V587" s="48"/>
      <c r="W587" s="71">
        <v>3.44</v>
      </c>
      <c r="X587" s="49" t="s">
        <v>8376</v>
      </c>
      <c r="Y587" s="49" t="s">
        <v>3629</v>
      </c>
      <c r="Z587" s="49" t="s">
        <v>1994</v>
      </c>
      <c r="AA587" s="51">
        <v>0.72460000000000002</v>
      </c>
      <c r="AB587" s="71">
        <v>33502</v>
      </c>
      <c r="AC587" s="62" t="s">
        <v>8373</v>
      </c>
      <c r="AD587" s="53" t="str">
        <f t="shared" si="461"/>
        <v>Link</v>
      </c>
      <c r="AE587" s="54">
        <v>4814</v>
      </c>
      <c r="AF587" s="54">
        <v>223</v>
      </c>
      <c r="AG587" s="48"/>
      <c r="AH587" s="56">
        <v>201104</v>
      </c>
    </row>
    <row r="588" spans="1:34" ht="15" x14ac:dyDescent="0.2">
      <c r="A588" s="57" t="s">
        <v>5090</v>
      </c>
      <c r="B588" s="31" t="s">
        <v>8359</v>
      </c>
      <c r="C588" s="7" t="s">
        <v>41</v>
      </c>
      <c r="D588" s="7" t="s">
        <v>8388</v>
      </c>
      <c r="E588" s="44">
        <v>5</v>
      </c>
      <c r="F588" s="7"/>
      <c r="G588" s="7"/>
      <c r="H588" s="2" t="s">
        <v>8389</v>
      </c>
      <c r="I588" s="7" t="s">
        <v>8391</v>
      </c>
      <c r="J588" s="7" t="s">
        <v>8392</v>
      </c>
      <c r="K588" s="7" t="s">
        <v>48</v>
      </c>
      <c r="L588" s="7" t="s">
        <v>8393</v>
      </c>
      <c r="M588" s="7" t="s">
        <v>8395</v>
      </c>
      <c r="N588" s="45" t="str">
        <f t="shared" ref="N588:N589" si="462">HYPERLINK("twitter.com/CUJacketsSB","@CUJacketsSB")</f>
        <v>@CUJacketsSB</v>
      </c>
      <c r="O588" s="45" t="str">
        <f t="shared" ref="O588:O589" si="463">HYPERLINK("https://connect.cedarville.edu/register/?id=04671f79-6e13-431b-92c8-aa54f8e96241","Questionnaire")</f>
        <v>Questionnaire</v>
      </c>
      <c r="P588" s="48" t="s">
        <v>8401</v>
      </c>
      <c r="Q588" s="47" t="s">
        <v>1814</v>
      </c>
      <c r="R588" s="48" t="s">
        <v>8401</v>
      </c>
      <c r="S588" s="60" t="s">
        <v>205</v>
      </c>
      <c r="T588" s="49" t="s">
        <v>63</v>
      </c>
      <c r="U588" s="49" t="s">
        <v>2619</v>
      </c>
      <c r="V588" s="48"/>
      <c r="W588" s="71">
        <v>3.64</v>
      </c>
      <c r="X588" s="49" t="s">
        <v>2260</v>
      </c>
      <c r="Y588" s="49" t="s">
        <v>5008</v>
      </c>
      <c r="Z588" s="49" t="s">
        <v>2734</v>
      </c>
      <c r="AA588" s="51">
        <v>0.69059999999999999</v>
      </c>
      <c r="AB588" s="71">
        <v>37890</v>
      </c>
      <c r="AC588" s="52" t="s">
        <v>8401</v>
      </c>
      <c r="AD588" s="53" t="str">
        <f t="shared" ref="AD588:AD589" si="464">HYPERLINK("https://www.cedarville.edu/Academic-Schools-and-Departments.aspx","Link")</f>
        <v>Link</v>
      </c>
      <c r="AE588" s="54">
        <v>3380</v>
      </c>
      <c r="AF588" s="55"/>
      <c r="AG588" s="48"/>
      <c r="AH588" s="56">
        <v>201654</v>
      </c>
    </row>
    <row r="589" spans="1:34" ht="15" x14ac:dyDescent="0.2">
      <c r="A589" s="57" t="s">
        <v>5090</v>
      </c>
      <c r="B589" s="31" t="s">
        <v>8359</v>
      </c>
      <c r="C589" s="7" t="s">
        <v>41</v>
      </c>
      <c r="D589" s="7" t="s">
        <v>8406</v>
      </c>
      <c r="E589" s="44">
        <v>5</v>
      </c>
      <c r="F589" s="7"/>
      <c r="G589" s="7"/>
      <c r="H589" s="2" t="s">
        <v>8389</v>
      </c>
      <c r="I589" s="7" t="s">
        <v>130</v>
      </c>
      <c r="J589" s="7" t="s">
        <v>8407</v>
      </c>
      <c r="K589" s="7" t="s">
        <v>55</v>
      </c>
      <c r="L589" s="7" t="s">
        <v>8408</v>
      </c>
      <c r="M589" s="7" t="s">
        <v>8409</v>
      </c>
      <c r="N589" s="45" t="str">
        <f t="shared" si="462"/>
        <v>@CUJacketsSB</v>
      </c>
      <c r="O589" s="45" t="str">
        <f t="shared" si="463"/>
        <v>Questionnaire</v>
      </c>
      <c r="P589" s="48" t="s">
        <v>8401</v>
      </c>
      <c r="Q589" s="47" t="s">
        <v>1814</v>
      </c>
      <c r="R589" s="48" t="s">
        <v>8401</v>
      </c>
      <c r="S589" s="60" t="s">
        <v>205</v>
      </c>
      <c r="T589" s="49" t="s">
        <v>63</v>
      </c>
      <c r="U589" s="49" t="s">
        <v>2619</v>
      </c>
      <c r="V589" s="48"/>
      <c r="W589" s="71">
        <v>3.64</v>
      </c>
      <c r="X589" s="49" t="s">
        <v>2260</v>
      </c>
      <c r="Y589" s="49" t="s">
        <v>5008</v>
      </c>
      <c r="Z589" s="49" t="s">
        <v>2734</v>
      </c>
      <c r="AA589" s="51">
        <v>0.69059999999999999</v>
      </c>
      <c r="AB589" s="71">
        <v>37890</v>
      </c>
      <c r="AC589" s="52" t="s">
        <v>8401</v>
      </c>
      <c r="AD589" s="53" t="str">
        <f t="shared" si="464"/>
        <v>Link</v>
      </c>
      <c r="AE589" s="54">
        <v>3380</v>
      </c>
      <c r="AF589" s="55"/>
      <c r="AG589" s="48"/>
      <c r="AH589" s="56">
        <v>201654</v>
      </c>
    </row>
    <row r="590" spans="1:34" ht="13" x14ac:dyDescent="0.15">
      <c r="A590" s="36" t="s">
        <v>5090</v>
      </c>
      <c r="B590" s="31" t="s">
        <v>8359</v>
      </c>
      <c r="C590" s="7" t="s">
        <v>41</v>
      </c>
      <c r="D590" s="7" t="s">
        <v>8416</v>
      </c>
      <c r="E590" s="44">
        <v>5</v>
      </c>
      <c r="F590" s="7"/>
      <c r="G590" s="7"/>
      <c r="H590" s="2" t="s">
        <v>8417</v>
      </c>
      <c r="I590" s="7" t="s">
        <v>1726</v>
      </c>
      <c r="J590" s="7" t="s">
        <v>6454</v>
      </c>
      <c r="K590" s="7" t="s">
        <v>48</v>
      </c>
      <c r="L590" s="7" t="s">
        <v>8418</v>
      </c>
      <c r="M590" s="7" t="s">
        <v>8419</v>
      </c>
      <c r="N590" s="45" t="str">
        <f t="shared" ref="N590:N592" si="465">HYPERLINK("twitter.com/UFOilerSoftball","@UFOilerSoftball")</f>
        <v>@UFOilerSoftball</v>
      </c>
      <c r="O590" s="45" t="str">
        <f t="shared" ref="O590:O592" si="466">HYPERLINK("http://athletics.findlay.edu/studentAthlete/prospective/recruits","Questionnaire")</f>
        <v>Questionnaire</v>
      </c>
      <c r="P590" s="48" t="s">
        <v>8427</v>
      </c>
      <c r="Q590" s="60" t="s">
        <v>1814</v>
      </c>
      <c r="R590" s="48" t="s">
        <v>8427</v>
      </c>
      <c r="S590" s="48" t="s">
        <v>468</v>
      </c>
      <c r="T590" s="73" t="s">
        <v>63</v>
      </c>
      <c r="U590" s="49" t="s">
        <v>2615</v>
      </c>
      <c r="V590" s="48"/>
      <c r="W590" s="71">
        <v>3.53</v>
      </c>
      <c r="X590" s="49" t="s">
        <v>3013</v>
      </c>
      <c r="Y590" s="49" t="s">
        <v>8428</v>
      </c>
      <c r="Z590" s="49" t="s">
        <v>1994</v>
      </c>
      <c r="AA590" s="61">
        <v>0.73</v>
      </c>
      <c r="AB590" s="71">
        <v>44405</v>
      </c>
      <c r="AC590" s="62" t="s">
        <v>8427</v>
      </c>
      <c r="AD590" s="53" t="str">
        <f t="shared" ref="AD590:AD592" si="467">HYPERLINK("https://www.findlay.edu/majors/undergraduate-majors","Link")</f>
        <v>Link</v>
      </c>
      <c r="AE590" s="54">
        <v>3661</v>
      </c>
      <c r="AF590" s="55"/>
      <c r="AG590" s="48"/>
      <c r="AH590" s="56">
        <v>202763</v>
      </c>
    </row>
    <row r="591" spans="1:34" ht="13" x14ac:dyDescent="0.15">
      <c r="A591" s="36" t="s">
        <v>5090</v>
      </c>
      <c r="B591" s="31" t="s">
        <v>8359</v>
      </c>
      <c r="C591" s="7" t="s">
        <v>41</v>
      </c>
      <c r="D591" s="7" t="s">
        <v>8435</v>
      </c>
      <c r="E591" s="44">
        <v>5</v>
      </c>
      <c r="F591" s="7" t="s">
        <v>116</v>
      </c>
      <c r="G591" s="7"/>
      <c r="H591" s="2" t="s">
        <v>8417</v>
      </c>
      <c r="I591" s="7" t="s">
        <v>982</v>
      </c>
      <c r="J591" s="7" t="s">
        <v>8439</v>
      </c>
      <c r="K591" s="7" t="s">
        <v>55</v>
      </c>
      <c r="L591" s="7" t="s">
        <v>8440</v>
      </c>
      <c r="M591" s="7" t="s">
        <v>8441</v>
      </c>
      <c r="N591" s="45" t="str">
        <f t="shared" si="465"/>
        <v>@UFOilerSoftball</v>
      </c>
      <c r="O591" s="45" t="str">
        <f t="shared" si="466"/>
        <v>Questionnaire</v>
      </c>
      <c r="P591" s="48" t="s">
        <v>8427</v>
      </c>
      <c r="Q591" s="60" t="s">
        <v>1814</v>
      </c>
      <c r="R591" s="48" t="s">
        <v>8427</v>
      </c>
      <c r="S591" s="48" t="s">
        <v>468</v>
      </c>
      <c r="T591" s="73" t="s">
        <v>63</v>
      </c>
      <c r="U591" s="49" t="s">
        <v>2615</v>
      </c>
      <c r="V591" s="48"/>
      <c r="W591" s="71">
        <v>3.53</v>
      </c>
      <c r="X591" s="49" t="s">
        <v>3013</v>
      </c>
      <c r="Y591" s="49" t="s">
        <v>8428</v>
      </c>
      <c r="Z591" s="49" t="s">
        <v>1994</v>
      </c>
      <c r="AA591" s="61">
        <v>0.73</v>
      </c>
      <c r="AB591" s="71">
        <v>44405</v>
      </c>
      <c r="AC591" s="62" t="s">
        <v>8427</v>
      </c>
      <c r="AD591" s="53" t="str">
        <f t="shared" si="467"/>
        <v>Link</v>
      </c>
      <c r="AE591" s="54">
        <v>3661</v>
      </c>
      <c r="AF591" s="55"/>
      <c r="AG591" s="48"/>
      <c r="AH591" s="56">
        <v>202763</v>
      </c>
    </row>
    <row r="592" spans="1:34" ht="13" x14ac:dyDescent="0.15">
      <c r="A592" s="36" t="s">
        <v>5090</v>
      </c>
      <c r="B592" s="31" t="s">
        <v>8359</v>
      </c>
      <c r="C592" s="7" t="s">
        <v>41</v>
      </c>
      <c r="D592" s="7" t="s">
        <v>8448</v>
      </c>
      <c r="E592" s="44">
        <v>5</v>
      </c>
      <c r="F592" s="7"/>
      <c r="G592" s="7"/>
      <c r="H592" s="2" t="s">
        <v>8417</v>
      </c>
      <c r="I592" s="7" t="s">
        <v>4659</v>
      </c>
      <c r="J592" s="7" t="s">
        <v>8451</v>
      </c>
      <c r="K592" s="7" t="s">
        <v>55</v>
      </c>
      <c r="L592" s="7" t="s">
        <v>8453</v>
      </c>
      <c r="M592" s="7"/>
      <c r="N592" s="45" t="str">
        <f t="shared" si="465"/>
        <v>@UFOilerSoftball</v>
      </c>
      <c r="O592" s="45" t="str">
        <f t="shared" si="466"/>
        <v>Questionnaire</v>
      </c>
      <c r="P592" s="48" t="s">
        <v>8427</v>
      </c>
      <c r="Q592" s="60" t="s">
        <v>1814</v>
      </c>
      <c r="R592" s="48" t="s">
        <v>8427</v>
      </c>
      <c r="S592" s="48" t="s">
        <v>468</v>
      </c>
      <c r="T592" s="73" t="s">
        <v>63</v>
      </c>
      <c r="U592" s="49" t="s">
        <v>2615</v>
      </c>
      <c r="V592" s="48"/>
      <c r="W592" s="71">
        <v>3.53</v>
      </c>
      <c r="X592" s="49" t="s">
        <v>3013</v>
      </c>
      <c r="Y592" s="49" t="s">
        <v>8428</v>
      </c>
      <c r="Z592" s="49" t="s">
        <v>1994</v>
      </c>
      <c r="AA592" s="61">
        <v>0.73</v>
      </c>
      <c r="AB592" s="71">
        <v>44405</v>
      </c>
      <c r="AC592" s="62" t="s">
        <v>8427</v>
      </c>
      <c r="AD592" s="53" t="str">
        <f t="shared" si="467"/>
        <v>Link</v>
      </c>
      <c r="AE592" s="54">
        <v>3661</v>
      </c>
      <c r="AF592" s="55"/>
      <c r="AG592" s="48"/>
      <c r="AH592" s="56">
        <v>202763</v>
      </c>
    </row>
    <row r="593" spans="1:34" ht="15" x14ac:dyDescent="0.2">
      <c r="A593" s="36" t="s">
        <v>5090</v>
      </c>
      <c r="B593" s="31" t="s">
        <v>8359</v>
      </c>
      <c r="C593" s="33" t="s">
        <v>41</v>
      </c>
      <c r="D593" s="7" t="s">
        <v>8461</v>
      </c>
      <c r="E593" s="112">
        <v>5</v>
      </c>
      <c r="F593" s="7"/>
      <c r="G593" s="7"/>
      <c r="H593" s="2" t="s">
        <v>8465</v>
      </c>
      <c r="I593" s="2" t="s">
        <v>8467</v>
      </c>
      <c r="J593" s="2" t="s">
        <v>8468</v>
      </c>
      <c r="K593" s="2" t="s">
        <v>48</v>
      </c>
      <c r="L593" s="2" t="s">
        <v>8469</v>
      </c>
      <c r="M593" s="6" t="s">
        <v>8470</v>
      </c>
      <c r="N593" s="45" t="str">
        <f t="shared" ref="N593:N594" si="468">HYPERLINK("twitter.com/lakeeriesball","@lakeeriesball")</f>
        <v>@lakeeriesball</v>
      </c>
      <c r="O593" s="45" t="str">
        <f t="shared" ref="O593:O594" si="469">HYPERLINK("https://www.lakeeriestorm.com/information/recruiting/questionnaire_index","Questionnaire")</f>
        <v>Questionnaire</v>
      </c>
      <c r="P593" s="48" t="s">
        <v>8473</v>
      </c>
      <c r="Q593" s="60" t="s">
        <v>1814</v>
      </c>
      <c r="R593" s="48" t="s">
        <v>8474</v>
      </c>
      <c r="S593" s="48" t="s">
        <v>172</v>
      </c>
      <c r="T593" s="49" t="s">
        <v>63</v>
      </c>
      <c r="U593" s="48" t="s">
        <v>75</v>
      </c>
      <c r="V593" s="49"/>
      <c r="W593" s="65">
        <v>3.09</v>
      </c>
      <c r="X593" s="49" t="s">
        <v>2522</v>
      </c>
      <c r="Y593" s="49" t="s">
        <v>2522</v>
      </c>
      <c r="Z593" s="49" t="s">
        <v>2307</v>
      </c>
      <c r="AA593" s="65">
        <v>0.63</v>
      </c>
      <c r="AB593" s="39">
        <v>43642</v>
      </c>
      <c r="AC593" s="84" t="s">
        <v>8473</v>
      </c>
      <c r="AD593" s="53" t="str">
        <f t="shared" ref="AD593:AD594" si="470">HYPERLINK("https://www.lec.edu/majors-and-minors","Link")</f>
        <v>Link</v>
      </c>
      <c r="AE593" s="54">
        <v>955</v>
      </c>
      <c r="AF593" s="55"/>
      <c r="AG593" s="55"/>
      <c r="AH593" s="56">
        <v>203580</v>
      </c>
    </row>
    <row r="594" spans="1:34" ht="15" x14ac:dyDescent="0.2">
      <c r="A594" s="36" t="s">
        <v>5090</v>
      </c>
      <c r="B594" s="31" t="s">
        <v>8359</v>
      </c>
      <c r="C594" s="33" t="s">
        <v>41</v>
      </c>
      <c r="D594" s="7" t="s">
        <v>8483</v>
      </c>
      <c r="E594" s="112">
        <v>5</v>
      </c>
      <c r="F594" s="7"/>
      <c r="G594" s="7"/>
      <c r="H594" s="2" t="s">
        <v>8465</v>
      </c>
      <c r="I594" s="2" t="s">
        <v>5749</v>
      </c>
      <c r="J594" s="2" t="s">
        <v>8484</v>
      </c>
      <c r="K594" s="2" t="s">
        <v>55</v>
      </c>
      <c r="L594" s="2" t="s">
        <v>8485</v>
      </c>
      <c r="M594" s="6"/>
      <c r="N594" s="45" t="str">
        <f t="shared" si="468"/>
        <v>@lakeeriesball</v>
      </c>
      <c r="O594" s="45" t="str">
        <f t="shared" si="469"/>
        <v>Questionnaire</v>
      </c>
      <c r="P594" s="48" t="s">
        <v>8473</v>
      </c>
      <c r="Q594" s="60" t="s">
        <v>1814</v>
      </c>
      <c r="R594" s="48" t="s">
        <v>8474</v>
      </c>
      <c r="S594" s="48" t="s">
        <v>172</v>
      </c>
      <c r="T594" s="49" t="s">
        <v>63</v>
      </c>
      <c r="U594" s="48" t="s">
        <v>75</v>
      </c>
      <c r="V594" s="49"/>
      <c r="W594" s="65">
        <v>3.09</v>
      </c>
      <c r="X594" s="49" t="s">
        <v>2522</v>
      </c>
      <c r="Y594" s="49" t="s">
        <v>2522</v>
      </c>
      <c r="Z594" s="49" t="s">
        <v>2307</v>
      </c>
      <c r="AA594" s="65">
        <v>0.63</v>
      </c>
      <c r="AB594" s="39">
        <v>43642</v>
      </c>
      <c r="AC594" s="84" t="s">
        <v>8473</v>
      </c>
      <c r="AD594" s="53" t="str">
        <f t="shared" si="470"/>
        <v>Link</v>
      </c>
      <c r="AE594" s="54">
        <v>955</v>
      </c>
      <c r="AF594" s="55"/>
      <c r="AG594" s="55"/>
      <c r="AH594" s="56">
        <v>203580</v>
      </c>
    </row>
    <row r="595" spans="1:34" ht="13" x14ac:dyDescent="0.15">
      <c r="A595" s="36" t="s">
        <v>5090</v>
      </c>
      <c r="B595" s="31" t="s">
        <v>8359</v>
      </c>
      <c r="C595" s="7" t="s">
        <v>41</v>
      </c>
      <c r="D595" s="7" t="s">
        <v>8493</v>
      </c>
      <c r="E595" s="44">
        <v>5</v>
      </c>
      <c r="F595" s="7"/>
      <c r="G595" s="7"/>
      <c r="H595" s="2" t="s">
        <v>8494</v>
      </c>
      <c r="I595" s="7" t="s">
        <v>3030</v>
      </c>
      <c r="J595" s="7" t="s">
        <v>8495</v>
      </c>
      <c r="K595" s="7" t="s">
        <v>48</v>
      </c>
      <c r="L595" s="7" t="s">
        <v>8497</v>
      </c>
      <c r="M595" s="7" t="s">
        <v>8498</v>
      </c>
      <c r="N595" s="45" t="str">
        <f t="shared" ref="N595:N598" si="471">HYPERLINK("twitter.com/maloneusoftball","@maloneusoftball")</f>
        <v>@maloneusoftball</v>
      </c>
      <c r="O595" s="45" t="str">
        <f t="shared" ref="O595:O597" si="472">HYPERLINK("https://malonepioneers.com/sports/2010/10/15/GEN_1015104036.aspx","Questionnaire")</f>
        <v>Questionnaire</v>
      </c>
      <c r="P595" s="48" t="s">
        <v>8507</v>
      </c>
      <c r="Q595" s="60" t="s">
        <v>1814</v>
      </c>
      <c r="R595" s="48" t="s">
        <v>8508</v>
      </c>
      <c r="S595" s="48" t="s">
        <v>186</v>
      </c>
      <c r="T595" s="49" t="s">
        <v>63</v>
      </c>
      <c r="U595" s="49" t="s">
        <v>2827</v>
      </c>
      <c r="V595" s="48"/>
      <c r="W595" s="71">
        <v>3.24</v>
      </c>
      <c r="X595" s="49" t="s">
        <v>253</v>
      </c>
      <c r="Y595" s="49" t="s">
        <v>8509</v>
      </c>
      <c r="Z595" s="49" t="s">
        <v>746</v>
      </c>
      <c r="AA595" s="61">
        <v>0.73</v>
      </c>
      <c r="AB595" s="71">
        <v>42650</v>
      </c>
      <c r="AC595" s="90" t="s">
        <v>8507</v>
      </c>
      <c r="AD595" s="53" t="str">
        <f t="shared" ref="AD595:AD598" si="473">HYPERLINK("https://www.malone.edu/academics/undergraduate/majors-minors/","Link")</f>
        <v>Link</v>
      </c>
      <c r="AE595" s="54">
        <v>1311</v>
      </c>
      <c r="AF595" s="55"/>
      <c r="AG595" s="48"/>
      <c r="AH595" s="56">
        <v>203775</v>
      </c>
    </row>
    <row r="596" spans="1:34" ht="13" x14ac:dyDescent="0.15">
      <c r="A596" s="36" t="s">
        <v>5090</v>
      </c>
      <c r="B596" s="31" t="s">
        <v>8359</v>
      </c>
      <c r="C596" s="7" t="s">
        <v>41</v>
      </c>
      <c r="D596" s="7" t="s">
        <v>8512</v>
      </c>
      <c r="E596" s="44">
        <v>5</v>
      </c>
      <c r="F596" s="7"/>
      <c r="G596" s="7"/>
      <c r="H596" s="2" t="s">
        <v>8494</v>
      </c>
      <c r="I596" s="7" t="s">
        <v>2829</v>
      </c>
      <c r="J596" s="7" t="s">
        <v>8514</v>
      </c>
      <c r="K596" s="7" t="s">
        <v>55</v>
      </c>
      <c r="L596" s="7"/>
      <c r="M596" s="7"/>
      <c r="N596" s="45" t="str">
        <f t="shared" si="471"/>
        <v>@maloneusoftball</v>
      </c>
      <c r="O596" s="45" t="str">
        <f t="shared" si="472"/>
        <v>Questionnaire</v>
      </c>
      <c r="P596" s="48" t="s">
        <v>8507</v>
      </c>
      <c r="Q596" s="60" t="s">
        <v>1814</v>
      </c>
      <c r="R596" s="48" t="s">
        <v>8508</v>
      </c>
      <c r="S596" s="48" t="s">
        <v>186</v>
      </c>
      <c r="T596" s="49" t="s">
        <v>63</v>
      </c>
      <c r="U596" s="49" t="s">
        <v>2827</v>
      </c>
      <c r="V596" s="48"/>
      <c r="W596" s="71">
        <v>3.24</v>
      </c>
      <c r="X596" s="49" t="s">
        <v>253</v>
      </c>
      <c r="Y596" s="49" t="s">
        <v>8509</v>
      </c>
      <c r="Z596" s="49" t="s">
        <v>746</v>
      </c>
      <c r="AA596" s="61">
        <v>0.73</v>
      </c>
      <c r="AB596" s="71">
        <v>42650</v>
      </c>
      <c r="AC596" s="90" t="s">
        <v>8507</v>
      </c>
      <c r="AD596" s="53" t="str">
        <f t="shared" si="473"/>
        <v>Link</v>
      </c>
      <c r="AE596" s="54">
        <v>1311</v>
      </c>
      <c r="AF596" s="55"/>
      <c r="AG596" s="48"/>
      <c r="AH596" s="56">
        <v>203775</v>
      </c>
    </row>
    <row r="597" spans="1:34" ht="13" x14ac:dyDescent="0.15">
      <c r="A597" s="36" t="s">
        <v>5090</v>
      </c>
      <c r="B597" s="31" t="s">
        <v>8359</v>
      </c>
      <c r="C597" s="7" t="s">
        <v>41</v>
      </c>
      <c r="D597" s="7" t="s">
        <v>8522</v>
      </c>
      <c r="E597" s="44">
        <v>5</v>
      </c>
      <c r="F597" s="7"/>
      <c r="G597" s="7"/>
      <c r="H597" s="2" t="s">
        <v>8494</v>
      </c>
      <c r="I597" s="7" t="s">
        <v>1610</v>
      </c>
      <c r="J597" s="7" t="s">
        <v>8523</v>
      </c>
      <c r="K597" s="7" t="s">
        <v>55</v>
      </c>
      <c r="L597" s="7"/>
      <c r="M597" s="7"/>
      <c r="N597" s="45" t="str">
        <f t="shared" si="471"/>
        <v>@maloneusoftball</v>
      </c>
      <c r="O597" s="45" t="str">
        <f t="shared" si="472"/>
        <v>Questionnaire</v>
      </c>
      <c r="P597" s="48" t="s">
        <v>8507</v>
      </c>
      <c r="Q597" s="60" t="s">
        <v>1814</v>
      </c>
      <c r="R597" s="48" t="s">
        <v>8508</v>
      </c>
      <c r="S597" s="48" t="s">
        <v>186</v>
      </c>
      <c r="T597" s="49" t="s">
        <v>63</v>
      </c>
      <c r="U597" s="49" t="s">
        <v>2827</v>
      </c>
      <c r="V597" s="48"/>
      <c r="W597" s="71">
        <v>3.24</v>
      </c>
      <c r="X597" s="49" t="s">
        <v>253</v>
      </c>
      <c r="Y597" s="49" t="s">
        <v>8509</v>
      </c>
      <c r="Z597" s="49" t="s">
        <v>746</v>
      </c>
      <c r="AA597" s="61">
        <v>0.73</v>
      </c>
      <c r="AB597" s="71">
        <v>42650</v>
      </c>
      <c r="AC597" s="90" t="s">
        <v>8507</v>
      </c>
      <c r="AD597" s="53" t="str">
        <f t="shared" si="473"/>
        <v>Link</v>
      </c>
      <c r="AE597" s="54">
        <v>1311</v>
      </c>
      <c r="AF597" s="55"/>
      <c r="AG597" s="48"/>
      <c r="AH597" s="56">
        <v>203775</v>
      </c>
    </row>
    <row r="598" spans="1:34" ht="13" x14ac:dyDescent="0.15">
      <c r="A598" s="36" t="s">
        <v>5090</v>
      </c>
      <c r="B598" s="31" t="s">
        <v>8359</v>
      </c>
      <c r="C598" s="7" t="s">
        <v>41</v>
      </c>
      <c r="D598" s="7" t="s">
        <v>8531</v>
      </c>
      <c r="E598" s="44">
        <v>5</v>
      </c>
      <c r="F598" s="7"/>
      <c r="G598" s="7"/>
      <c r="H598" s="2" t="s">
        <v>8494</v>
      </c>
      <c r="I598" s="7" t="s">
        <v>8532</v>
      </c>
      <c r="J598" s="7" t="s">
        <v>1307</v>
      </c>
      <c r="K598" s="7" t="s">
        <v>139</v>
      </c>
      <c r="L598" s="7"/>
      <c r="M598" s="7"/>
      <c r="N598" s="45" t="str">
        <f t="shared" si="471"/>
        <v>@maloneusoftball</v>
      </c>
      <c r="O598" s="45" t="str">
        <f t="shared" ref="O598:O599" si="474">HYPERLINK("https://notredamefalcons.com/sb_output.aspx?form=3","Questionnaire")</f>
        <v>Questionnaire</v>
      </c>
      <c r="P598" s="48" t="s">
        <v>8507</v>
      </c>
      <c r="Q598" s="60" t="s">
        <v>1814</v>
      </c>
      <c r="R598" s="48" t="s">
        <v>8508</v>
      </c>
      <c r="S598" s="48" t="s">
        <v>186</v>
      </c>
      <c r="T598" s="49" t="s">
        <v>63</v>
      </c>
      <c r="U598" s="49" t="s">
        <v>2827</v>
      </c>
      <c r="V598" s="48"/>
      <c r="W598" s="71">
        <v>3.24</v>
      </c>
      <c r="X598" s="49" t="s">
        <v>253</v>
      </c>
      <c r="Y598" s="49" t="s">
        <v>8509</v>
      </c>
      <c r="Z598" s="49" t="s">
        <v>746</v>
      </c>
      <c r="AA598" s="61">
        <v>0.73</v>
      </c>
      <c r="AB598" s="71">
        <v>42650</v>
      </c>
      <c r="AC598" s="90" t="s">
        <v>8507</v>
      </c>
      <c r="AD598" s="53" t="str">
        <f t="shared" si="473"/>
        <v>Link</v>
      </c>
      <c r="AE598" s="54">
        <v>1311</v>
      </c>
      <c r="AF598" s="55"/>
      <c r="AG598" s="48"/>
      <c r="AH598" s="56">
        <v>203775</v>
      </c>
    </row>
    <row r="599" spans="1:34" ht="13" x14ac:dyDescent="0.15">
      <c r="A599" s="57" t="s">
        <v>8540</v>
      </c>
      <c r="B599" s="31" t="s">
        <v>8359</v>
      </c>
      <c r="C599" s="7" t="s">
        <v>41</v>
      </c>
      <c r="D599" s="7" t="s">
        <v>8541</v>
      </c>
      <c r="E599" s="44">
        <v>5</v>
      </c>
      <c r="F599" s="7"/>
      <c r="G599" s="7"/>
      <c r="H599" s="2" t="s">
        <v>4288</v>
      </c>
      <c r="I599" s="7" t="s">
        <v>130</v>
      </c>
      <c r="J599" s="7" t="s">
        <v>8542</v>
      </c>
      <c r="K599" s="7" t="s">
        <v>48</v>
      </c>
      <c r="L599" s="7" t="s">
        <v>8543</v>
      </c>
      <c r="M599" s="7" t="s">
        <v>8545</v>
      </c>
      <c r="N599" s="45" t="str">
        <f t="shared" ref="N599:N600" si="475">HYPERLINK("twitter.com/ndcsoftball","@ndcsoftball")</f>
        <v>@ndcsoftball</v>
      </c>
      <c r="O599" s="45" t="str">
        <f t="shared" si="474"/>
        <v>Questionnaire</v>
      </c>
      <c r="P599" s="48" t="s">
        <v>8548</v>
      </c>
      <c r="Q599" s="47" t="s">
        <v>1814</v>
      </c>
      <c r="R599" s="48" t="s">
        <v>8551</v>
      </c>
      <c r="S599" s="48" t="s">
        <v>172</v>
      </c>
      <c r="T599" s="49" t="s">
        <v>63</v>
      </c>
      <c r="U599" s="49" t="s">
        <v>343</v>
      </c>
      <c r="V599" s="48"/>
      <c r="W599" s="71">
        <v>2.88</v>
      </c>
      <c r="X599" s="49" t="s">
        <v>8553</v>
      </c>
      <c r="Y599" s="49" t="s">
        <v>8138</v>
      </c>
      <c r="Z599" s="49" t="s">
        <v>2307</v>
      </c>
      <c r="AA599" s="61">
        <v>0.9</v>
      </c>
      <c r="AB599" s="71">
        <v>43080</v>
      </c>
      <c r="AC599" s="62" t="s">
        <v>8548</v>
      </c>
      <c r="AD599" s="53" t="str">
        <f t="shared" ref="AD599:AD601" si="476">HYPERLINK("http://www.notredamecollege.edu/academics/majors-and-programs","Link")</f>
        <v>Link</v>
      </c>
      <c r="AE599" s="54">
        <v>1802</v>
      </c>
      <c r="AF599" s="55"/>
      <c r="AG599" s="48"/>
      <c r="AH599" s="56">
        <v>204468</v>
      </c>
    </row>
    <row r="600" spans="1:34" ht="13" x14ac:dyDescent="0.15">
      <c r="A600" s="57" t="s">
        <v>8540</v>
      </c>
      <c r="B600" s="31" t="s">
        <v>8359</v>
      </c>
      <c r="C600" s="7" t="s">
        <v>41</v>
      </c>
      <c r="D600" s="7" t="s">
        <v>8556</v>
      </c>
      <c r="E600" s="44">
        <v>5</v>
      </c>
      <c r="F600" s="7"/>
      <c r="G600" s="7"/>
      <c r="H600" s="2" t="s">
        <v>4288</v>
      </c>
      <c r="I600" s="7" t="s">
        <v>8557</v>
      </c>
      <c r="J600" s="7" t="s">
        <v>8558</v>
      </c>
      <c r="K600" s="7" t="s">
        <v>55</v>
      </c>
      <c r="L600" s="7" t="s">
        <v>8559</v>
      </c>
      <c r="M600" s="7" t="s">
        <v>8545</v>
      </c>
      <c r="N600" s="45" t="str">
        <f t="shared" si="475"/>
        <v>@ndcsoftball</v>
      </c>
      <c r="O600" s="45" t="str">
        <f>HYPERLINK("http://www.ohiodominicanpanthers.com/information/recruit","Questionnaire")</f>
        <v>Questionnaire</v>
      </c>
      <c r="P600" s="48" t="s">
        <v>8548</v>
      </c>
      <c r="Q600" s="47" t="s">
        <v>1814</v>
      </c>
      <c r="R600" s="48" t="s">
        <v>8551</v>
      </c>
      <c r="S600" s="48" t="s">
        <v>172</v>
      </c>
      <c r="T600" s="49" t="s">
        <v>63</v>
      </c>
      <c r="U600" s="49" t="s">
        <v>343</v>
      </c>
      <c r="V600" s="48"/>
      <c r="W600" s="71">
        <v>2.88</v>
      </c>
      <c r="X600" s="49" t="s">
        <v>8553</v>
      </c>
      <c r="Y600" s="49" t="s">
        <v>8138</v>
      </c>
      <c r="Z600" s="49" t="s">
        <v>2307</v>
      </c>
      <c r="AA600" s="61">
        <v>0.9</v>
      </c>
      <c r="AB600" s="71">
        <v>43080</v>
      </c>
      <c r="AC600" s="62" t="s">
        <v>8548</v>
      </c>
      <c r="AD600" s="53" t="str">
        <f t="shared" si="476"/>
        <v>Link</v>
      </c>
      <c r="AE600" s="54">
        <v>1802</v>
      </c>
      <c r="AF600" s="55"/>
      <c r="AG600" s="48"/>
      <c r="AH600" s="56">
        <v>204468</v>
      </c>
    </row>
    <row r="601" spans="1:34" ht="13" x14ac:dyDescent="0.15">
      <c r="A601" s="57" t="s">
        <v>8540</v>
      </c>
      <c r="B601" s="110" t="s">
        <v>8359</v>
      </c>
      <c r="C601" s="7" t="s">
        <v>41</v>
      </c>
      <c r="D601" s="7" t="s">
        <v>8567</v>
      </c>
      <c r="E601" s="44">
        <v>5</v>
      </c>
      <c r="F601" s="7" t="s">
        <v>116</v>
      </c>
      <c r="G601" s="7"/>
      <c r="H601" s="2" t="s">
        <v>4288</v>
      </c>
      <c r="I601" s="7" t="s">
        <v>8568</v>
      </c>
      <c r="J601" s="7" t="s">
        <v>8569</v>
      </c>
      <c r="K601" s="7" t="s">
        <v>120</v>
      </c>
      <c r="L601" s="7"/>
      <c r="M601" s="7"/>
      <c r="N601" s="48"/>
      <c r="O601" s="48"/>
      <c r="P601" s="48" t="s">
        <v>8548</v>
      </c>
      <c r="Q601" s="47" t="s">
        <v>1814</v>
      </c>
      <c r="R601" s="48" t="s">
        <v>8551</v>
      </c>
      <c r="S601" s="48" t="s">
        <v>172</v>
      </c>
      <c r="T601" s="49" t="s">
        <v>63</v>
      </c>
      <c r="U601" s="49" t="s">
        <v>343</v>
      </c>
      <c r="V601" s="48"/>
      <c r="W601" s="71">
        <v>2.88</v>
      </c>
      <c r="X601" s="49" t="s">
        <v>8553</v>
      </c>
      <c r="Y601" s="49" t="s">
        <v>8138</v>
      </c>
      <c r="Z601" s="49" t="s">
        <v>2307</v>
      </c>
      <c r="AA601" s="61">
        <v>0.9</v>
      </c>
      <c r="AB601" s="71">
        <v>43080</v>
      </c>
      <c r="AC601" s="62" t="s">
        <v>8548</v>
      </c>
      <c r="AD601" s="53" t="str">
        <f t="shared" si="476"/>
        <v>Link</v>
      </c>
      <c r="AE601" s="54">
        <v>1802</v>
      </c>
      <c r="AF601" s="55"/>
      <c r="AG601" s="48"/>
      <c r="AH601" s="56">
        <v>204468</v>
      </c>
    </row>
    <row r="602" spans="1:34" ht="13" x14ac:dyDescent="0.15">
      <c r="A602" s="57" t="s">
        <v>5090</v>
      </c>
      <c r="B602" s="31" t="s">
        <v>8359</v>
      </c>
      <c r="C602" s="7" t="s">
        <v>41</v>
      </c>
      <c r="D602" s="7" t="s">
        <v>8574</v>
      </c>
      <c r="E602" s="44">
        <v>5</v>
      </c>
      <c r="F602" s="7"/>
      <c r="G602" s="7"/>
      <c r="H602" s="2" t="s">
        <v>8575</v>
      </c>
      <c r="I602" s="7" t="s">
        <v>8576</v>
      </c>
      <c r="J602" s="7" t="s">
        <v>8577</v>
      </c>
      <c r="K602" s="7" t="s">
        <v>48</v>
      </c>
      <c r="L602" s="7" t="s">
        <v>8578</v>
      </c>
      <c r="M602" s="7" t="s">
        <v>8579</v>
      </c>
      <c r="N602" s="45" t="str">
        <f t="shared" ref="N602:N603" si="477">HYPERLINK("twitter.com/ODU_Softball","@ODU_Softball")</f>
        <v>@ODU_Softball</v>
      </c>
      <c r="O602" s="45" t="str">
        <f>HYPERLINK("http://www.ohiodominicanpanthers.com/information/recruit","Questionnaire")</f>
        <v>Questionnaire</v>
      </c>
      <c r="P602" s="48" t="s">
        <v>8581</v>
      </c>
      <c r="Q602" s="47" t="s">
        <v>1814</v>
      </c>
      <c r="R602" s="48" t="s">
        <v>3674</v>
      </c>
      <c r="S602" s="48" t="s">
        <v>354</v>
      </c>
      <c r="T602" s="49" t="s">
        <v>63</v>
      </c>
      <c r="U602" s="49" t="s">
        <v>343</v>
      </c>
      <c r="V602" s="48"/>
      <c r="W602" s="71">
        <v>3.23</v>
      </c>
      <c r="X602" s="49" t="s">
        <v>1785</v>
      </c>
      <c r="Y602" s="49" t="s">
        <v>8584</v>
      </c>
      <c r="Z602" s="49" t="s">
        <v>125</v>
      </c>
      <c r="AA602" s="61">
        <v>0.52</v>
      </c>
      <c r="AB602" s="71">
        <v>45220</v>
      </c>
      <c r="AC602" s="62" t="s">
        <v>8581</v>
      </c>
      <c r="AD602" s="53" t="str">
        <f t="shared" ref="AD602:AD603" si="478">HYPERLINK("http://www.ohiodominican.edu/academics/undergraduate/bachelor-degrees","Link")</f>
        <v>Link</v>
      </c>
      <c r="AE602" s="54">
        <v>1796</v>
      </c>
      <c r="AF602" s="55"/>
      <c r="AG602" s="48"/>
      <c r="AH602" s="56">
        <v>204617</v>
      </c>
    </row>
    <row r="603" spans="1:34" ht="13" x14ac:dyDescent="0.15">
      <c r="A603" s="57" t="s">
        <v>5090</v>
      </c>
      <c r="B603" s="31" t="s">
        <v>8359</v>
      </c>
      <c r="C603" s="7" t="s">
        <v>41</v>
      </c>
      <c r="D603" s="7" t="s">
        <v>8587</v>
      </c>
      <c r="E603" s="44">
        <v>5</v>
      </c>
      <c r="F603" s="7"/>
      <c r="G603" s="7"/>
      <c r="H603" s="2" t="s">
        <v>8575</v>
      </c>
      <c r="I603" s="7" t="s">
        <v>2549</v>
      </c>
      <c r="J603" s="7" t="s">
        <v>8588</v>
      </c>
      <c r="K603" s="7" t="s">
        <v>55</v>
      </c>
      <c r="L603" s="7" t="s">
        <v>8589</v>
      </c>
      <c r="M603" s="7" t="s">
        <v>8590</v>
      </c>
      <c r="N603" s="45" t="str">
        <f t="shared" si="477"/>
        <v>@ODU_Softball</v>
      </c>
      <c r="O603" s="45" t="str">
        <f t="shared" ref="O603:O606" si="479">HYPERLINK("https://www.gotiffindragons.com/sports/sball/Recruiting_Questionnaire","Questionnaire")</f>
        <v>Questionnaire</v>
      </c>
      <c r="P603" s="48" t="s">
        <v>8581</v>
      </c>
      <c r="Q603" s="47" t="s">
        <v>1814</v>
      </c>
      <c r="R603" s="48" t="s">
        <v>3674</v>
      </c>
      <c r="S603" s="48" t="s">
        <v>354</v>
      </c>
      <c r="T603" s="49" t="s">
        <v>63</v>
      </c>
      <c r="U603" s="49" t="s">
        <v>343</v>
      </c>
      <c r="V603" s="48"/>
      <c r="W603" s="71">
        <v>3.23</v>
      </c>
      <c r="X603" s="49" t="s">
        <v>1785</v>
      </c>
      <c r="Y603" s="49" t="s">
        <v>8584</v>
      </c>
      <c r="Z603" s="49" t="s">
        <v>125</v>
      </c>
      <c r="AA603" s="61">
        <v>0.52</v>
      </c>
      <c r="AB603" s="71">
        <v>45220</v>
      </c>
      <c r="AC603" s="62" t="s">
        <v>8581</v>
      </c>
      <c r="AD603" s="53" t="str">
        <f t="shared" si="478"/>
        <v>Link</v>
      </c>
      <c r="AE603" s="54">
        <v>1796</v>
      </c>
      <c r="AF603" s="55"/>
      <c r="AG603" s="48"/>
      <c r="AH603" s="56">
        <v>204617</v>
      </c>
    </row>
    <row r="604" spans="1:34" ht="13" x14ac:dyDescent="0.15">
      <c r="A604" s="57" t="s">
        <v>5090</v>
      </c>
      <c r="B604" s="31" t="s">
        <v>8359</v>
      </c>
      <c r="C604" s="7" t="s">
        <v>41</v>
      </c>
      <c r="D604" s="7" t="s">
        <v>8599</v>
      </c>
      <c r="E604" s="44">
        <v>5</v>
      </c>
      <c r="F604" s="7"/>
      <c r="G604" s="7"/>
      <c r="H604" s="2" t="s">
        <v>8600</v>
      </c>
      <c r="I604" s="7" t="s">
        <v>94</v>
      </c>
      <c r="J604" s="7" t="s">
        <v>8601</v>
      </c>
      <c r="K604" s="7" t="s">
        <v>48</v>
      </c>
      <c r="L604" s="7" t="s">
        <v>8602</v>
      </c>
      <c r="M604" s="7" t="s">
        <v>8603</v>
      </c>
      <c r="N604" s="45" t="str">
        <f t="shared" ref="N604:N606" si="480">HYPERLINK("twitter.com/tiffinusoftball","@tiffinusoftball")</f>
        <v>@tiffinusoftball</v>
      </c>
      <c r="O604" s="45" t="str">
        <f t="shared" si="479"/>
        <v>Questionnaire</v>
      </c>
      <c r="P604" s="48" t="s">
        <v>8606</v>
      </c>
      <c r="Q604" s="47" t="s">
        <v>1814</v>
      </c>
      <c r="R604" s="48" t="s">
        <v>8607</v>
      </c>
      <c r="S604" s="48" t="s">
        <v>172</v>
      </c>
      <c r="T604" s="49" t="s">
        <v>63</v>
      </c>
      <c r="U604" s="49" t="s">
        <v>75</v>
      </c>
      <c r="V604" s="48"/>
      <c r="W604" s="71">
        <v>3.03</v>
      </c>
      <c r="X604" s="49" t="s">
        <v>1947</v>
      </c>
      <c r="Y604" s="49" t="s">
        <v>3892</v>
      </c>
      <c r="Z604" s="49" t="s">
        <v>1948</v>
      </c>
      <c r="AA604" s="61">
        <v>0.76</v>
      </c>
      <c r="AB604" s="71">
        <v>36825</v>
      </c>
      <c r="AC604" s="62" t="s">
        <v>8606</v>
      </c>
      <c r="AD604" s="53" t="str">
        <f t="shared" ref="AD604:AD606" si="481">HYPERLINK("http://www.tiffin.edu/academics/undergrad","Link")</f>
        <v>Link</v>
      </c>
      <c r="AE604" s="54">
        <v>2553</v>
      </c>
      <c r="AF604" s="55"/>
      <c r="AG604" s="48"/>
      <c r="AH604" s="56">
        <v>206048</v>
      </c>
    </row>
    <row r="605" spans="1:34" ht="13" x14ac:dyDescent="0.15">
      <c r="A605" s="57" t="s">
        <v>5090</v>
      </c>
      <c r="B605" s="31" t="s">
        <v>8359</v>
      </c>
      <c r="C605" s="7" t="s">
        <v>41</v>
      </c>
      <c r="D605" s="7" t="s">
        <v>8611</v>
      </c>
      <c r="E605" s="44">
        <v>5</v>
      </c>
      <c r="F605" s="7"/>
      <c r="G605" s="7"/>
      <c r="H605" s="2" t="s">
        <v>8600</v>
      </c>
      <c r="I605" s="7" t="s">
        <v>2790</v>
      </c>
      <c r="J605" s="7" t="s">
        <v>8612</v>
      </c>
      <c r="K605" s="7" t="s">
        <v>55</v>
      </c>
      <c r="L605" s="7" t="s">
        <v>8613</v>
      </c>
      <c r="M605" s="7" t="s">
        <v>8614</v>
      </c>
      <c r="N605" s="45" t="str">
        <f t="shared" si="480"/>
        <v>@tiffinusoftball</v>
      </c>
      <c r="O605" s="45" t="str">
        <f t="shared" si="479"/>
        <v>Questionnaire</v>
      </c>
      <c r="P605" s="48" t="s">
        <v>8606</v>
      </c>
      <c r="Q605" s="47" t="s">
        <v>1814</v>
      </c>
      <c r="R605" s="48" t="s">
        <v>8607</v>
      </c>
      <c r="S605" s="48" t="s">
        <v>172</v>
      </c>
      <c r="T605" s="49" t="s">
        <v>63</v>
      </c>
      <c r="U605" s="49" t="s">
        <v>75</v>
      </c>
      <c r="V605" s="48"/>
      <c r="W605" s="71">
        <v>3.03</v>
      </c>
      <c r="X605" s="49" t="s">
        <v>1947</v>
      </c>
      <c r="Y605" s="49" t="s">
        <v>3892</v>
      </c>
      <c r="Z605" s="49" t="s">
        <v>1948</v>
      </c>
      <c r="AA605" s="61">
        <v>0.76</v>
      </c>
      <c r="AB605" s="71">
        <v>36825</v>
      </c>
      <c r="AC605" s="62" t="s">
        <v>8606</v>
      </c>
      <c r="AD605" s="53" t="str">
        <f t="shared" si="481"/>
        <v>Link</v>
      </c>
      <c r="AE605" s="54">
        <v>2553</v>
      </c>
      <c r="AF605" s="55"/>
      <c r="AG605" s="48"/>
      <c r="AH605" s="56">
        <v>206048</v>
      </c>
    </row>
    <row r="606" spans="1:34" ht="13" x14ac:dyDescent="0.15">
      <c r="A606" s="57" t="s">
        <v>5090</v>
      </c>
      <c r="B606" s="31" t="s">
        <v>8359</v>
      </c>
      <c r="C606" s="7" t="s">
        <v>41</v>
      </c>
      <c r="D606" s="7" t="s">
        <v>8623</v>
      </c>
      <c r="E606" s="44">
        <v>5</v>
      </c>
      <c r="F606" s="7"/>
      <c r="G606" s="7"/>
      <c r="H606" s="2" t="s">
        <v>8600</v>
      </c>
      <c r="I606" s="7" t="s">
        <v>92</v>
      </c>
      <c r="J606" s="7" t="s">
        <v>8627</v>
      </c>
      <c r="K606" s="7" t="s">
        <v>120</v>
      </c>
      <c r="L606" s="7"/>
      <c r="M606" s="7"/>
      <c r="N606" s="45" t="str">
        <f t="shared" si="480"/>
        <v>@tiffinusoftball</v>
      </c>
      <c r="O606" s="45" t="str">
        <f t="shared" si="479"/>
        <v>Questionnaire</v>
      </c>
      <c r="P606" s="48" t="s">
        <v>8606</v>
      </c>
      <c r="Q606" s="47" t="s">
        <v>1814</v>
      </c>
      <c r="R606" s="48" t="s">
        <v>8607</v>
      </c>
      <c r="S606" s="48" t="s">
        <v>172</v>
      </c>
      <c r="T606" s="49" t="s">
        <v>63</v>
      </c>
      <c r="U606" s="49" t="s">
        <v>75</v>
      </c>
      <c r="V606" s="48"/>
      <c r="W606" s="71">
        <v>3.03</v>
      </c>
      <c r="X606" s="49" t="s">
        <v>1947</v>
      </c>
      <c r="Y606" s="49" t="s">
        <v>3892</v>
      </c>
      <c r="Z606" s="49" t="s">
        <v>1948</v>
      </c>
      <c r="AA606" s="61">
        <v>0.76</v>
      </c>
      <c r="AB606" s="71">
        <v>36825</v>
      </c>
      <c r="AC606" s="62" t="s">
        <v>8606</v>
      </c>
      <c r="AD606" s="53" t="str">
        <f t="shared" si="481"/>
        <v>Link</v>
      </c>
      <c r="AE606" s="54">
        <v>2553</v>
      </c>
      <c r="AF606" s="55"/>
      <c r="AG606" s="48"/>
      <c r="AH606" s="56">
        <v>206048</v>
      </c>
    </row>
    <row r="607" spans="1:34" ht="15" x14ac:dyDescent="0.2">
      <c r="A607" s="57" t="s">
        <v>8540</v>
      </c>
      <c r="B607" s="31" t="s">
        <v>8359</v>
      </c>
      <c r="C607" s="7" t="s">
        <v>41</v>
      </c>
      <c r="D607" s="7" t="s">
        <v>8631</v>
      </c>
      <c r="E607" s="44">
        <v>5</v>
      </c>
      <c r="F607" s="7"/>
      <c r="G607" s="7"/>
      <c r="H607" s="2" t="s">
        <v>8632</v>
      </c>
      <c r="I607" s="7" t="s">
        <v>878</v>
      </c>
      <c r="J607" s="7" t="s">
        <v>8633</v>
      </c>
      <c r="K607" s="7" t="s">
        <v>48</v>
      </c>
      <c r="L607" s="7" t="s">
        <v>8634</v>
      </c>
      <c r="M607" s="7" t="s">
        <v>8635</v>
      </c>
      <c r="N607" s="45" t="str">
        <f>HYPERLINK("twitter.com/coachbmccartney","@coachbmccartney")</f>
        <v>@coachbmccartney</v>
      </c>
      <c r="O607" s="45" t="str">
        <f t="shared" ref="O607:O609" si="482">HYPERLINK("https://uublueknights.com/sports/2016/1/6/Questionnaires.aspx","Questionnaire")</f>
        <v>Questionnaire</v>
      </c>
      <c r="P607" s="48" t="s">
        <v>8637</v>
      </c>
      <c r="Q607" s="47" t="s">
        <v>1814</v>
      </c>
      <c r="R607" s="48" t="s">
        <v>8638</v>
      </c>
      <c r="S607" s="48" t="s">
        <v>172</v>
      </c>
      <c r="T607" s="49" t="s">
        <v>63</v>
      </c>
      <c r="U607" s="49" t="s">
        <v>75</v>
      </c>
      <c r="V607" s="48"/>
      <c r="W607" s="71">
        <v>3</v>
      </c>
      <c r="X607" s="49" t="s">
        <v>1947</v>
      </c>
      <c r="Y607" s="49" t="s">
        <v>777</v>
      </c>
      <c r="Z607" s="49" t="s">
        <v>3230</v>
      </c>
      <c r="AA607" s="61">
        <v>0.92</v>
      </c>
      <c r="AB607" s="71">
        <v>36510</v>
      </c>
      <c r="AC607" s="52" t="s">
        <v>8637</v>
      </c>
      <c r="AD607" s="53" t="str">
        <f t="shared" ref="AD607:AD609" si="483">HYPERLINK("https://www.urbana.edu/academics/bachelors-degree-majors","Link")</f>
        <v>Link</v>
      </c>
      <c r="AE607" s="54">
        <v>2023</v>
      </c>
      <c r="AF607" s="55"/>
      <c r="AG607" s="48"/>
      <c r="AH607" s="56">
        <v>206330</v>
      </c>
    </row>
    <row r="608" spans="1:34" ht="15" x14ac:dyDescent="0.2">
      <c r="A608" s="57" t="s">
        <v>8540</v>
      </c>
      <c r="B608" s="31" t="s">
        <v>8359</v>
      </c>
      <c r="C608" s="7" t="s">
        <v>41</v>
      </c>
      <c r="D608" s="7" t="s">
        <v>8648</v>
      </c>
      <c r="E608" s="44">
        <v>5</v>
      </c>
      <c r="F608" s="7"/>
      <c r="G608" s="7"/>
      <c r="H608" s="2" t="s">
        <v>8632</v>
      </c>
      <c r="I608" s="7" t="s">
        <v>1726</v>
      </c>
      <c r="J608" s="7" t="s">
        <v>5835</v>
      </c>
      <c r="K608" s="7" t="s">
        <v>55</v>
      </c>
      <c r="L608" s="7" t="s">
        <v>8651</v>
      </c>
      <c r="M608" s="7" t="s">
        <v>8652</v>
      </c>
      <c r="N608" s="45" t="str">
        <f t="shared" ref="N608:N609" si="484">HYPERLINK("twitter.com/urbanasoftball","@urbanasoftball")</f>
        <v>@urbanasoftball</v>
      </c>
      <c r="O608" s="45" t="str">
        <f t="shared" si="482"/>
        <v>Questionnaire</v>
      </c>
      <c r="P608" s="48" t="s">
        <v>8637</v>
      </c>
      <c r="Q608" s="47" t="s">
        <v>1814</v>
      </c>
      <c r="R608" s="48" t="s">
        <v>8638</v>
      </c>
      <c r="S608" s="48" t="s">
        <v>172</v>
      </c>
      <c r="T608" s="49" t="s">
        <v>63</v>
      </c>
      <c r="U608" s="49" t="s">
        <v>75</v>
      </c>
      <c r="V608" s="48"/>
      <c r="W608" s="71">
        <v>3</v>
      </c>
      <c r="X608" s="49" t="s">
        <v>1947</v>
      </c>
      <c r="Y608" s="49" t="s">
        <v>777</v>
      </c>
      <c r="Z608" s="49" t="s">
        <v>3230</v>
      </c>
      <c r="AA608" s="61">
        <v>0.92</v>
      </c>
      <c r="AB608" s="71">
        <v>36510</v>
      </c>
      <c r="AC608" s="52" t="s">
        <v>8637</v>
      </c>
      <c r="AD608" s="53" t="str">
        <f t="shared" si="483"/>
        <v>Link</v>
      </c>
      <c r="AE608" s="54">
        <v>2023</v>
      </c>
      <c r="AF608" s="55"/>
      <c r="AG608" s="48"/>
      <c r="AH608" s="56">
        <v>206330</v>
      </c>
    </row>
    <row r="609" spans="1:34" ht="15" x14ac:dyDescent="0.2">
      <c r="A609" s="57" t="s">
        <v>8540</v>
      </c>
      <c r="B609" s="31" t="s">
        <v>8359</v>
      </c>
      <c r="C609" s="7" t="s">
        <v>41</v>
      </c>
      <c r="D609" s="7" t="s">
        <v>8658</v>
      </c>
      <c r="E609" s="44">
        <v>5</v>
      </c>
      <c r="F609" s="7" t="s">
        <v>116</v>
      </c>
      <c r="G609" s="7"/>
      <c r="H609" s="2" t="s">
        <v>8632</v>
      </c>
      <c r="I609" s="7" t="s">
        <v>1132</v>
      </c>
      <c r="J609" s="7" t="s">
        <v>8660</v>
      </c>
      <c r="K609" s="7" t="s">
        <v>55</v>
      </c>
      <c r="L609" s="7"/>
      <c r="M609" s="7"/>
      <c r="N609" s="45" t="str">
        <f t="shared" si="484"/>
        <v>@urbanasoftball</v>
      </c>
      <c r="O609" s="45" t="str">
        <f t="shared" si="482"/>
        <v>Questionnaire</v>
      </c>
      <c r="P609" s="48" t="s">
        <v>8637</v>
      </c>
      <c r="Q609" s="47" t="s">
        <v>1814</v>
      </c>
      <c r="R609" s="48" t="s">
        <v>8638</v>
      </c>
      <c r="S609" s="48" t="s">
        <v>172</v>
      </c>
      <c r="T609" s="49" t="s">
        <v>63</v>
      </c>
      <c r="U609" s="49" t="s">
        <v>75</v>
      </c>
      <c r="V609" s="48"/>
      <c r="W609" s="71">
        <v>3</v>
      </c>
      <c r="X609" s="49" t="s">
        <v>1947</v>
      </c>
      <c r="Y609" s="49" t="s">
        <v>777</v>
      </c>
      <c r="Z609" s="49" t="s">
        <v>3230</v>
      </c>
      <c r="AA609" s="61">
        <v>0.92</v>
      </c>
      <c r="AB609" s="71">
        <v>36510</v>
      </c>
      <c r="AC609" s="52" t="s">
        <v>8637</v>
      </c>
      <c r="AD609" s="53" t="str">
        <f t="shared" si="483"/>
        <v>Link</v>
      </c>
      <c r="AE609" s="54">
        <v>2023</v>
      </c>
      <c r="AF609" s="55"/>
      <c r="AG609" s="48"/>
      <c r="AH609" s="56">
        <v>206330</v>
      </c>
    </row>
    <row r="610" spans="1:34" ht="13" x14ac:dyDescent="0.15">
      <c r="A610" s="57" t="s">
        <v>5090</v>
      </c>
      <c r="B610" s="31" t="s">
        <v>8359</v>
      </c>
      <c r="C610" s="7" t="s">
        <v>41</v>
      </c>
      <c r="D610" s="7" t="s">
        <v>8666</v>
      </c>
      <c r="E610" s="44">
        <v>5</v>
      </c>
      <c r="F610" s="7"/>
      <c r="G610" s="7"/>
      <c r="H610" s="2" t="s">
        <v>8667</v>
      </c>
      <c r="I610" s="7" t="s">
        <v>4703</v>
      </c>
      <c r="J610" s="7" t="s">
        <v>8668</v>
      </c>
      <c r="K610" s="7" t="s">
        <v>48</v>
      </c>
      <c r="L610" s="7" t="s">
        <v>8669</v>
      </c>
      <c r="M610" s="7" t="s">
        <v>8670</v>
      </c>
      <c r="N610" s="45" t="s">
        <v>8671</v>
      </c>
      <c r="O610" s="45" t="str">
        <f t="shared" ref="O610:O613" si="485">HYPERLINK("https://ursulinearrows.com/sb_output.aspx?form=3","Questionnaire")</f>
        <v>Questionnaire</v>
      </c>
      <c r="P610" s="48" t="s">
        <v>8678</v>
      </c>
      <c r="Q610" s="60" t="s">
        <v>1814</v>
      </c>
      <c r="R610" s="48" t="s">
        <v>8681</v>
      </c>
      <c r="S610" s="60" t="s">
        <v>205</v>
      </c>
      <c r="T610" s="49" t="s">
        <v>63</v>
      </c>
      <c r="U610" s="48" t="s">
        <v>343</v>
      </c>
      <c r="V610" s="49" t="s">
        <v>1006</v>
      </c>
      <c r="W610" s="65">
        <v>3.3</v>
      </c>
      <c r="X610" s="49" t="s">
        <v>8683</v>
      </c>
      <c r="Y610" s="49" t="s">
        <v>8684</v>
      </c>
      <c r="Z610" s="49" t="s">
        <v>125</v>
      </c>
      <c r="AA610" s="65">
        <v>0.9</v>
      </c>
      <c r="AB610" s="39">
        <v>42828</v>
      </c>
      <c r="AC610" s="90" t="s">
        <v>8678</v>
      </c>
      <c r="AD610" s="53" t="str">
        <f t="shared" ref="AD610:AD613" si="486">HYPERLINK("http://www.ursuline.edu/Academics/programs.html","Link")</f>
        <v>Link</v>
      </c>
      <c r="AE610" s="54">
        <v>645</v>
      </c>
      <c r="AF610" s="55"/>
      <c r="AG610" s="55"/>
      <c r="AH610" s="56">
        <v>206349</v>
      </c>
    </row>
    <row r="611" spans="1:34" ht="13" x14ac:dyDescent="0.15">
      <c r="A611" s="57" t="s">
        <v>5090</v>
      </c>
      <c r="B611" s="31" t="s">
        <v>8359</v>
      </c>
      <c r="C611" s="7" t="s">
        <v>41</v>
      </c>
      <c r="D611" s="7" t="s">
        <v>8687</v>
      </c>
      <c r="E611" s="44">
        <v>5</v>
      </c>
      <c r="F611" s="7"/>
      <c r="G611" s="7" t="s">
        <v>126</v>
      </c>
      <c r="H611" s="2" t="s">
        <v>8667</v>
      </c>
      <c r="I611" s="7" t="s">
        <v>8688</v>
      </c>
      <c r="J611" s="7"/>
      <c r="K611" s="7"/>
      <c r="L611" s="7"/>
      <c r="M611" s="7"/>
      <c r="N611" s="45" t="s">
        <v>8671</v>
      </c>
      <c r="O611" s="45" t="str">
        <f t="shared" si="485"/>
        <v>Questionnaire</v>
      </c>
      <c r="P611" s="48" t="s">
        <v>8678</v>
      </c>
      <c r="Q611" s="60" t="s">
        <v>1814</v>
      </c>
      <c r="R611" s="48" t="s">
        <v>8681</v>
      </c>
      <c r="S611" s="60" t="s">
        <v>205</v>
      </c>
      <c r="T611" s="49" t="s">
        <v>63</v>
      </c>
      <c r="U611" s="48" t="s">
        <v>343</v>
      </c>
      <c r="V611" s="49" t="s">
        <v>1006</v>
      </c>
      <c r="W611" s="65">
        <v>3.3</v>
      </c>
      <c r="X611" s="49" t="s">
        <v>8683</v>
      </c>
      <c r="Y611" s="49" t="s">
        <v>8684</v>
      </c>
      <c r="Z611" s="49" t="s">
        <v>125</v>
      </c>
      <c r="AA611" s="65">
        <v>0.9</v>
      </c>
      <c r="AB611" s="39">
        <v>42828</v>
      </c>
      <c r="AC611" s="90" t="s">
        <v>8678</v>
      </c>
      <c r="AD611" s="53" t="str">
        <f t="shared" si="486"/>
        <v>Link</v>
      </c>
      <c r="AE611" s="54">
        <v>645</v>
      </c>
      <c r="AF611" s="55"/>
      <c r="AG611" s="55"/>
      <c r="AH611" s="56">
        <v>206349</v>
      </c>
    </row>
    <row r="612" spans="1:34" ht="13" x14ac:dyDescent="0.15">
      <c r="A612" s="57" t="s">
        <v>5090</v>
      </c>
      <c r="B612" s="31" t="s">
        <v>8359</v>
      </c>
      <c r="C612" s="7" t="s">
        <v>41</v>
      </c>
      <c r="D612" s="7" t="s">
        <v>8690</v>
      </c>
      <c r="E612" s="44">
        <v>5</v>
      </c>
      <c r="F612" s="7" t="s">
        <v>116</v>
      </c>
      <c r="G612" s="7"/>
      <c r="H612" s="2" t="s">
        <v>8667</v>
      </c>
      <c r="I612" s="7" t="s">
        <v>3916</v>
      </c>
      <c r="J612" s="7" t="s">
        <v>8692</v>
      </c>
      <c r="K612" s="7" t="s">
        <v>55</v>
      </c>
      <c r="L612" s="7" t="s">
        <v>8694</v>
      </c>
      <c r="M612" s="7"/>
      <c r="N612" s="45" t="s">
        <v>8671</v>
      </c>
      <c r="O612" s="45" t="str">
        <f t="shared" si="485"/>
        <v>Questionnaire</v>
      </c>
      <c r="P612" s="48" t="s">
        <v>8678</v>
      </c>
      <c r="Q612" s="60" t="s">
        <v>1814</v>
      </c>
      <c r="R612" s="48" t="s">
        <v>8681</v>
      </c>
      <c r="S612" s="60" t="s">
        <v>205</v>
      </c>
      <c r="T612" s="49" t="s">
        <v>63</v>
      </c>
      <c r="U612" s="48" t="s">
        <v>343</v>
      </c>
      <c r="V612" s="49" t="s">
        <v>1006</v>
      </c>
      <c r="W612" s="65">
        <v>3.3</v>
      </c>
      <c r="X612" s="49" t="s">
        <v>8683</v>
      </c>
      <c r="Y612" s="49" t="s">
        <v>8684</v>
      </c>
      <c r="Z612" s="49" t="s">
        <v>125</v>
      </c>
      <c r="AA612" s="65">
        <v>0.9</v>
      </c>
      <c r="AB612" s="39">
        <v>42828</v>
      </c>
      <c r="AC612" s="90" t="s">
        <v>8678</v>
      </c>
      <c r="AD612" s="53" t="str">
        <f t="shared" si="486"/>
        <v>Link</v>
      </c>
      <c r="AE612" s="54">
        <v>645</v>
      </c>
      <c r="AF612" s="55"/>
      <c r="AG612" s="55"/>
      <c r="AH612" s="56">
        <v>206349</v>
      </c>
    </row>
    <row r="613" spans="1:34" ht="13" x14ac:dyDescent="0.15">
      <c r="A613" s="57" t="s">
        <v>5090</v>
      </c>
      <c r="B613" s="110" t="s">
        <v>8359</v>
      </c>
      <c r="C613" s="7" t="s">
        <v>41</v>
      </c>
      <c r="D613" s="7" t="s">
        <v>8699</v>
      </c>
      <c r="E613" s="44">
        <v>5</v>
      </c>
      <c r="F613" s="7" t="s">
        <v>116</v>
      </c>
      <c r="G613" s="7"/>
      <c r="H613" s="2" t="s">
        <v>8667</v>
      </c>
      <c r="I613" s="7" t="s">
        <v>329</v>
      </c>
      <c r="J613" s="7" t="s">
        <v>8701</v>
      </c>
      <c r="K613" s="7" t="s">
        <v>55</v>
      </c>
      <c r="L613" s="7"/>
      <c r="M613" s="7"/>
      <c r="N613" s="45" t="s">
        <v>8671</v>
      </c>
      <c r="O613" s="45" t="str">
        <f t="shared" si="485"/>
        <v>Questionnaire</v>
      </c>
      <c r="P613" s="48" t="s">
        <v>8678</v>
      </c>
      <c r="Q613" s="60" t="s">
        <v>1814</v>
      </c>
      <c r="R613" s="48" t="s">
        <v>8681</v>
      </c>
      <c r="S613" s="60" t="s">
        <v>205</v>
      </c>
      <c r="T613" s="49" t="s">
        <v>63</v>
      </c>
      <c r="U613" s="48" t="s">
        <v>343</v>
      </c>
      <c r="V613" s="49" t="s">
        <v>1006</v>
      </c>
      <c r="W613" s="65">
        <v>3.3</v>
      </c>
      <c r="X613" s="49" t="s">
        <v>8683</v>
      </c>
      <c r="Y613" s="49" t="s">
        <v>8684</v>
      </c>
      <c r="Z613" s="49" t="s">
        <v>125</v>
      </c>
      <c r="AA613" s="65">
        <v>0.9</v>
      </c>
      <c r="AB613" s="39">
        <v>42828</v>
      </c>
      <c r="AC613" s="90" t="s">
        <v>8678</v>
      </c>
      <c r="AD613" s="53" t="str">
        <f t="shared" si="486"/>
        <v>Link</v>
      </c>
      <c r="AE613" s="54">
        <v>645</v>
      </c>
      <c r="AF613" s="55"/>
      <c r="AG613" s="55"/>
      <c r="AH613" s="56">
        <v>206349</v>
      </c>
    </row>
    <row r="614" spans="1:34" ht="15" x14ac:dyDescent="0.2">
      <c r="A614" s="57" t="s">
        <v>5090</v>
      </c>
      <c r="B614" s="31" t="s">
        <v>8359</v>
      </c>
      <c r="C614" s="7" t="s">
        <v>41</v>
      </c>
      <c r="D614" s="7" t="s">
        <v>8704</v>
      </c>
      <c r="E614" s="44">
        <v>5</v>
      </c>
      <c r="F614" s="7"/>
      <c r="G614" s="7"/>
      <c r="H614" s="2" t="s">
        <v>8706</v>
      </c>
      <c r="I614" s="7" t="s">
        <v>8707</v>
      </c>
      <c r="J614" s="7" t="s">
        <v>5172</v>
      </c>
      <c r="K614" s="7" t="s">
        <v>48</v>
      </c>
      <c r="L614" s="7" t="s">
        <v>8709</v>
      </c>
      <c r="M614" s="7" t="s">
        <v>8710</v>
      </c>
      <c r="N614" s="45" t="str">
        <f t="shared" ref="N614:N617" si="487">HYPERLINK("twitter.com/WalshUSoftball","@WalshUSoftball")</f>
        <v>@WalshUSoftball</v>
      </c>
      <c r="O614" s="45" t="str">
        <f t="shared" ref="O614:O617" si="488">HYPERLINK("https://walsh.prestosports.com/information/onlinerecruiting","Questionnaire")</f>
        <v>Questionnaire</v>
      </c>
      <c r="P614" s="48" t="s">
        <v>8718</v>
      </c>
      <c r="Q614" s="47" t="s">
        <v>1814</v>
      </c>
      <c r="R614" s="48" t="s">
        <v>8720</v>
      </c>
      <c r="S614" s="48" t="s">
        <v>172</v>
      </c>
      <c r="T614" s="73" t="s">
        <v>63</v>
      </c>
      <c r="U614" s="49" t="s">
        <v>343</v>
      </c>
      <c r="V614" s="48"/>
      <c r="W614" s="71">
        <v>3.46</v>
      </c>
      <c r="X614" s="49" t="s">
        <v>1144</v>
      </c>
      <c r="Y614" s="49" t="s">
        <v>396</v>
      </c>
      <c r="Z614" s="49" t="s">
        <v>746</v>
      </c>
      <c r="AA614" s="61">
        <v>0.78</v>
      </c>
      <c r="AB614" s="71">
        <v>42344</v>
      </c>
      <c r="AC614" s="52" t="s">
        <v>8718</v>
      </c>
      <c r="AD614" s="53" t="str">
        <f t="shared" ref="AD614:AD617" si="489">HYPERLINK("https://www.walsh.edu/undergraduate-majors","Link")</f>
        <v>Link</v>
      </c>
      <c r="AE614" s="54">
        <v>2112</v>
      </c>
      <c r="AF614" s="55"/>
      <c r="AG614" s="48"/>
      <c r="AH614" s="56">
        <v>206437</v>
      </c>
    </row>
    <row r="615" spans="1:34" ht="15" x14ac:dyDescent="0.2">
      <c r="A615" s="57" t="s">
        <v>5090</v>
      </c>
      <c r="B615" s="31" t="s">
        <v>8359</v>
      </c>
      <c r="C615" s="7" t="s">
        <v>41</v>
      </c>
      <c r="D615" s="7" t="s">
        <v>8724</v>
      </c>
      <c r="E615" s="44">
        <v>5</v>
      </c>
      <c r="F615" s="7"/>
      <c r="G615" s="7"/>
      <c r="H615" s="2" t="s">
        <v>8706</v>
      </c>
      <c r="I615" s="7" t="s">
        <v>8725</v>
      </c>
      <c r="J615" s="7" t="s">
        <v>757</v>
      </c>
      <c r="K615" s="7" t="s">
        <v>55</v>
      </c>
      <c r="L615" s="7"/>
      <c r="M615" s="7"/>
      <c r="N615" s="45" t="str">
        <f t="shared" si="487"/>
        <v>@WalshUSoftball</v>
      </c>
      <c r="O615" s="45" t="str">
        <f t="shared" si="488"/>
        <v>Questionnaire</v>
      </c>
      <c r="P615" s="48" t="s">
        <v>8718</v>
      </c>
      <c r="Q615" s="47" t="s">
        <v>1814</v>
      </c>
      <c r="R615" s="48" t="s">
        <v>8720</v>
      </c>
      <c r="S615" s="48" t="s">
        <v>172</v>
      </c>
      <c r="T615" s="73" t="s">
        <v>63</v>
      </c>
      <c r="U615" s="49" t="s">
        <v>343</v>
      </c>
      <c r="V615" s="48"/>
      <c r="W615" s="71">
        <v>3.46</v>
      </c>
      <c r="X615" s="49" t="s">
        <v>1144</v>
      </c>
      <c r="Y615" s="49" t="s">
        <v>396</v>
      </c>
      <c r="Z615" s="49" t="s">
        <v>746</v>
      </c>
      <c r="AA615" s="61">
        <v>0.78</v>
      </c>
      <c r="AB615" s="71">
        <v>42344</v>
      </c>
      <c r="AC615" s="52" t="s">
        <v>8718</v>
      </c>
      <c r="AD615" s="53" t="str">
        <f t="shared" si="489"/>
        <v>Link</v>
      </c>
      <c r="AE615" s="54">
        <v>2112</v>
      </c>
      <c r="AF615" s="55"/>
      <c r="AG615" s="48"/>
      <c r="AH615" s="56">
        <v>206437</v>
      </c>
    </row>
    <row r="616" spans="1:34" ht="15" x14ac:dyDescent="0.2">
      <c r="A616" s="57" t="s">
        <v>5090</v>
      </c>
      <c r="B616" s="31" t="s">
        <v>8359</v>
      </c>
      <c r="C616" s="7" t="s">
        <v>41</v>
      </c>
      <c r="D616" s="7" t="s">
        <v>8733</v>
      </c>
      <c r="E616" s="44">
        <v>5</v>
      </c>
      <c r="F616" s="7"/>
      <c r="G616" s="7"/>
      <c r="H616" s="2" t="s">
        <v>8706</v>
      </c>
      <c r="I616" s="7" t="s">
        <v>234</v>
      </c>
      <c r="J616" s="7" t="s">
        <v>8735</v>
      </c>
      <c r="K616" s="7" t="s">
        <v>120</v>
      </c>
      <c r="L616" s="7"/>
      <c r="M616" s="7"/>
      <c r="N616" s="45" t="str">
        <f t="shared" si="487"/>
        <v>@WalshUSoftball</v>
      </c>
      <c r="O616" s="45" t="str">
        <f t="shared" si="488"/>
        <v>Questionnaire</v>
      </c>
      <c r="P616" s="48" t="s">
        <v>8718</v>
      </c>
      <c r="Q616" s="47" t="s">
        <v>1814</v>
      </c>
      <c r="R616" s="48" t="s">
        <v>8720</v>
      </c>
      <c r="S616" s="48" t="s">
        <v>172</v>
      </c>
      <c r="T616" s="73" t="s">
        <v>63</v>
      </c>
      <c r="U616" s="49" t="s">
        <v>343</v>
      </c>
      <c r="V616" s="48"/>
      <c r="W616" s="71">
        <v>3.46</v>
      </c>
      <c r="X616" s="49" t="s">
        <v>1144</v>
      </c>
      <c r="Y616" s="49" t="s">
        <v>396</v>
      </c>
      <c r="Z616" s="49" t="s">
        <v>746</v>
      </c>
      <c r="AA616" s="61">
        <v>0.78</v>
      </c>
      <c r="AB616" s="71">
        <v>42344</v>
      </c>
      <c r="AC616" s="52" t="s">
        <v>8718</v>
      </c>
      <c r="AD616" s="53" t="str">
        <f t="shared" si="489"/>
        <v>Link</v>
      </c>
      <c r="AE616" s="54">
        <v>2112</v>
      </c>
      <c r="AF616" s="55"/>
      <c r="AG616" s="48"/>
      <c r="AH616" s="56">
        <v>206437</v>
      </c>
    </row>
    <row r="617" spans="1:34" ht="15" x14ac:dyDescent="0.2">
      <c r="A617" s="57" t="s">
        <v>5090</v>
      </c>
      <c r="B617" s="31" t="s">
        <v>8359</v>
      </c>
      <c r="C617" s="7" t="s">
        <v>41</v>
      </c>
      <c r="D617" s="7" t="s">
        <v>8743</v>
      </c>
      <c r="E617" s="44">
        <v>5</v>
      </c>
      <c r="F617" s="7"/>
      <c r="G617" s="7"/>
      <c r="H617" s="2" t="s">
        <v>8706</v>
      </c>
      <c r="I617" s="7" t="s">
        <v>1902</v>
      </c>
      <c r="J617" s="7" t="s">
        <v>8745</v>
      </c>
      <c r="K617" s="7" t="s">
        <v>120</v>
      </c>
      <c r="L617" s="7" t="s">
        <v>8746</v>
      </c>
      <c r="M617" s="7"/>
      <c r="N617" s="45" t="str">
        <f t="shared" si="487"/>
        <v>@WalshUSoftball</v>
      </c>
      <c r="O617" s="45" t="str">
        <f t="shared" si="488"/>
        <v>Questionnaire</v>
      </c>
      <c r="P617" s="48" t="s">
        <v>8718</v>
      </c>
      <c r="Q617" s="47" t="s">
        <v>1814</v>
      </c>
      <c r="R617" s="48" t="s">
        <v>8720</v>
      </c>
      <c r="S617" s="48" t="s">
        <v>172</v>
      </c>
      <c r="T617" s="73" t="s">
        <v>63</v>
      </c>
      <c r="U617" s="49" t="s">
        <v>343</v>
      </c>
      <c r="V617" s="48"/>
      <c r="W617" s="71">
        <v>3.46</v>
      </c>
      <c r="X617" s="49" t="s">
        <v>1144</v>
      </c>
      <c r="Y617" s="49" t="s">
        <v>396</v>
      </c>
      <c r="Z617" s="49" t="s">
        <v>746</v>
      </c>
      <c r="AA617" s="61">
        <v>0.78</v>
      </c>
      <c r="AB617" s="71">
        <v>42344</v>
      </c>
      <c r="AC617" s="52" t="s">
        <v>8718</v>
      </c>
      <c r="AD617" s="53" t="str">
        <f t="shared" si="489"/>
        <v>Link</v>
      </c>
      <c r="AE617" s="54">
        <v>2112</v>
      </c>
      <c r="AF617" s="55"/>
      <c r="AG617" s="48"/>
      <c r="AH617" s="56">
        <v>206437</v>
      </c>
    </row>
    <row r="618" spans="1:34" ht="15" x14ac:dyDescent="0.2">
      <c r="A618" s="57" t="s">
        <v>7181</v>
      </c>
      <c r="B618" s="31" t="s">
        <v>2797</v>
      </c>
      <c r="C618" s="7" t="s">
        <v>41</v>
      </c>
      <c r="D618" s="7" t="s">
        <v>8750</v>
      </c>
      <c r="E618" s="44">
        <v>5</v>
      </c>
      <c r="F618" s="7"/>
      <c r="G618" s="7"/>
      <c r="H618" s="2" t="s">
        <v>8751</v>
      </c>
      <c r="I618" s="7" t="s">
        <v>860</v>
      </c>
      <c r="J618" s="7" t="s">
        <v>4045</v>
      </c>
      <c r="K618" s="7" t="s">
        <v>48</v>
      </c>
      <c r="L618" s="7" t="s">
        <v>8752</v>
      </c>
      <c r="M618" s="7" t="s">
        <v>8754</v>
      </c>
      <c r="N618" s="45" t="str">
        <f t="shared" ref="N618:N619" si="490">HYPERLINK("twitter.com/aggiessb","@aggiessb")</f>
        <v>@aggiessb</v>
      </c>
      <c r="O618" s="45" t="str">
        <f t="shared" ref="O618:O619" si="491">HYPERLINK("https://cameronaggies.com/sb_output.aspx?form=3","Questionnaire")</f>
        <v>Questionnaire</v>
      </c>
      <c r="P618" s="48" t="s">
        <v>8760</v>
      </c>
      <c r="Q618" s="47" t="s">
        <v>472</v>
      </c>
      <c r="R618" s="48" t="s">
        <v>8761</v>
      </c>
      <c r="S618" s="48" t="s">
        <v>238</v>
      </c>
      <c r="T618" s="49" t="s">
        <v>74</v>
      </c>
      <c r="U618" s="49" t="s">
        <v>75</v>
      </c>
      <c r="V618" s="48"/>
      <c r="W618" s="71">
        <v>3</v>
      </c>
      <c r="X618" s="49" t="s">
        <v>214</v>
      </c>
      <c r="Y618" s="49" t="s">
        <v>214</v>
      </c>
      <c r="Z618" s="49" t="s">
        <v>1948</v>
      </c>
      <c r="AA618" s="61">
        <v>1</v>
      </c>
      <c r="AB618" s="48" t="s">
        <v>8766</v>
      </c>
      <c r="AC618" s="52" t="s">
        <v>8760</v>
      </c>
      <c r="AD618" s="53" t="str">
        <f t="shared" ref="AD618:AD619" si="492">HYPERLINK("http://www.cameron.edu/academic/degrees.html","Link")</f>
        <v>Link</v>
      </c>
      <c r="AE618" s="54">
        <v>4444</v>
      </c>
      <c r="AF618" s="55"/>
      <c r="AG618" s="48"/>
      <c r="AH618" s="56">
        <v>206914</v>
      </c>
    </row>
    <row r="619" spans="1:34" ht="15" x14ac:dyDescent="0.2">
      <c r="A619" s="57" t="s">
        <v>7181</v>
      </c>
      <c r="B619" s="31" t="s">
        <v>2797</v>
      </c>
      <c r="C619" s="7" t="s">
        <v>41</v>
      </c>
      <c r="D619" s="7" t="s">
        <v>8774</v>
      </c>
      <c r="E619" s="44">
        <v>5</v>
      </c>
      <c r="F619" s="7"/>
      <c r="G619" s="7"/>
      <c r="H619" s="2" t="s">
        <v>8751</v>
      </c>
      <c r="I619" s="7" t="s">
        <v>8775</v>
      </c>
      <c r="J619" s="7" t="s">
        <v>757</v>
      </c>
      <c r="K619" s="7" t="s">
        <v>120</v>
      </c>
      <c r="L619" s="7"/>
      <c r="M619" s="7"/>
      <c r="N619" s="45" t="str">
        <f t="shared" si="490"/>
        <v>@aggiessb</v>
      </c>
      <c r="O619" s="45" t="str">
        <f t="shared" si="491"/>
        <v>Questionnaire</v>
      </c>
      <c r="P619" s="48" t="s">
        <v>8760</v>
      </c>
      <c r="Q619" s="47" t="s">
        <v>472</v>
      </c>
      <c r="R619" s="48" t="s">
        <v>8761</v>
      </c>
      <c r="S619" s="48" t="s">
        <v>238</v>
      </c>
      <c r="T619" s="49" t="s">
        <v>74</v>
      </c>
      <c r="U619" s="49" t="s">
        <v>75</v>
      </c>
      <c r="V619" s="48"/>
      <c r="W619" s="71">
        <v>3</v>
      </c>
      <c r="X619" s="49" t="s">
        <v>214</v>
      </c>
      <c r="Y619" s="49" t="s">
        <v>214</v>
      </c>
      <c r="Z619" s="49" t="s">
        <v>1948</v>
      </c>
      <c r="AA619" s="61">
        <v>1</v>
      </c>
      <c r="AB619" s="48" t="s">
        <v>8766</v>
      </c>
      <c r="AC619" s="52" t="s">
        <v>8760</v>
      </c>
      <c r="AD619" s="53" t="str">
        <f t="shared" si="492"/>
        <v>Link</v>
      </c>
      <c r="AE619" s="54">
        <v>4444</v>
      </c>
      <c r="AF619" s="55"/>
      <c r="AG619" s="48"/>
      <c r="AH619" s="56">
        <v>206914</v>
      </c>
    </row>
    <row r="620" spans="1:34" ht="15" x14ac:dyDescent="0.2">
      <c r="A620" s="36" t="s">
        <v>4757</v>
      </c>
      <c r="B620" s="31" t="s">
        <v>2797</v>
      </c>
      <c r="C620" s="7" t="s">
        <v>41</v>
      </c>
      <c r="D620" s="7" t="s">
        <v>8781</v>
      </c>
      <c r="E620" s="44">
        <v>5</v>
      </c>
      <c r="F620" s="7"/>
      <c r="G620" s="7"/>
      <c r="H620" s="2" t="s">
        <v>8782</v>
      </c>
      <c r="I620" s="7" t="s">
        <v>4710</v>
      </c>
      <c r="J620" s="7" t="s">
        <v>3206</v>
      </c>
      <c r="K620" s="7" t="s">
        <v>48</v>
      </c>
      <c r="L620" s="7" t="s">
        <v>8784</v>
      </c>
      <c r="M620" s="7" t="s">
        <v>8786</v>
      </c>
      <c r="N620" s="45" t="str">
        <f t="shared" ref="N620:N622" si="493">HYPERLINK("twitter.com/ucosoftball","@ucosoftball")</f>
        <v>@ucosoftball</v>
      </c>
      <c r="O620" s="45" t="str">
        <f t="shared" ref="O620:O622" si="494">HYPERLINK("https://bronchosports.com/sb_output.aspx?form=3","Questionnaire")</f>
        <v>Questionnaire</v>
      </c>
      <c r="P620" s="48" t="s">
        <v>8795</v>
      </c>
      <c r="Q620" s="47" t="s">
        <v>472</v>
      </c>
      <c r="R620" s="48" t="s">
        <v>8796</v>
      </c>
      <c r="S620" s="48" t="s">
        <v>238</v>
      </c>
      <c r="T620" s="49" t="s">
        <v>74</v>
      </c>
      <c r="U620" s="49" t="s">
        <v>75</v>
      </c>
      <c r="V620" s="48"/>
      <c r="W620" s="71">
        <v>3.3</v>
      </c>
      <c r="X620" s="49" t="s">
        <v>214</v>
      </c>
      <c r="Y620" s="49" t="s">
        <v>214</v>
      </c>
      <c r="Z620" s="49" t="s">
        <v>125</v>
      </c>
      <c r="AA620" s="51">
        <v>0.75019999999999998</v>
      </c>
      <c r="AB620" s="48" t="s">
        <v>8799</v>
      </c>
      <c r="AC620" s="52" t="s">
        <v>8795</v>
      </c>
      <c r="AD620" s="53" t="str">
        <f t="shared" ref="AD620:AD622" si="495">HYPERLINK("https://www.uco.edu/programs/","Link")</f>
        <v>Link</v>
      </c>
      <c r="AE620" s="54">
        <v>14612</v>
      </c>
      <c r="AF620" s="55"/>
      <c r="AG620" s="48"/>
      <c r="AH620" s="56">
        <v>206941</v>
      </c>
    </row>
    <row r="621" spans="1:34" ht="15" x14ac:dyDescent="0.2">
      <c r="A621" s="36" t="s">
        <v>4757</v>
      </c>
      <c r="B621" s="31" t="s">
        <v>2797</v>
      </c>
      <c r="C621" s="7" t="s">
        <v>41</v>
      </c>
      <c r="D621" s="7" t="s">
        <v>8805</v>
      </c>
      <c r="E621" s="44">
        <v>5</v>
      </c>
      <c r="F621" s="7"/>
      <c r="G621" s="7"/>
      <c r="H621" s="2" t="s">
        <v>8782</v>
      </c>
      <c r="I621" s="7" t="s">
        <v>2658</v>
      </c>
      <c r="J621" s="7" t="s">
        <v>6110</v>
      </c>
      <c r="K621" s="7" t="s">
        <v>55</v>
      </c>
      <c r="L621" s="7" t="s">
        <v>8807</v>
      </c>
      <c r="M621" s="7" t="s">
        <v>8786</v>
      </c>
      <c r="N621" s="45" t="str">
        <f t="shared" si="493"/>
        <v>@ucosoftball</v>
      </c>
      <c r="O621" s="45" t="str">
        <f t="shared" si="494"/>
        <v>Questionnaire</v>
      </c>
      <c r="P621" s="48" t="s">
        <v>8795</v>
      </c>
      <c r="Q621" s="47" t="s">
        <v>472</v>
      </c>
      <c r="R621" s="48" t="s">
        <v>8796</v>
      </c>
      <c r="S621" s="48" t="s">
        <v>238</v>
      </c>
      <c r="T621" s="49" t="s">
        <v>74</v>
      </c>
      <c r="U621" s="49" t="s">
        <v>75</v>
      </c>
      <c r="V621" s="48"/>
      <c r="W621" s="71">
        <v>3.3</v>
      </c>
      <c r="X621" s="49" t="s">
        <v>214</v>
      </c>
      <c r="Y621" s="49" t="s">
        <v>214</v>
      </c>
      <c r="Z621" s="49" t="s">
        <v>125</v>
      </c>
      <c r="AA621" s="51">
        <v>0.75019999999999998</v>
      </c>
      <c r="AB621" s="48" t="s">
        <v>8799</v>
      </c>
      <c r="AC621" s="52" t="s">
        <v>8795</v>
      </c>
      <c r="AD621" s="53" t="str">
        <f t="shared" si="495"/>
        <v>Link</v>
      </c>
      <c r="AE621" s="54">
        <v>14612</v>
      </c>
      <c r="AF621" s="55"/>
      <c r="AG621" s="48"/>
      <c r="AH621" s="56">
        <v>206941</v>
      </c>
    </row>
    <row r="622" spans="1:34" ht="15" x14ac:dyDescent="0.2">
      <c r="A622" s="36" t="s">
        <v>4757</v>
      </c>
      <c r="B622" s="31" t="s">
        <v>2797</v>
      </c>
      <c r="C622" s="7" t="s">
        <v>41</v>
      </c>
      <c r="D622" s="7" t="s">
        <v>8817</v>
      </c>
      <c r="E622" s="44">
        <v>5</v>
      </c>
      <c r="F622" s="7"/>
      <c r="G622" s="7"/>
      <c r="H622" s="2" t="s">
        <v>8782</v>
      </c>
      <c r="I622" s="7" t="s">
        <v>852</v>
      </c>
      <c r="J622" s="7" t="s">
        <v>2482</v>
      </c>
      <c r="K622" s="7" t="s">
        <v>120</v>
      </c>
      <c r="L622" s="7"/>
      <c r="M622" s="7"/>
      <c r="N622" s="45" t="str">
        <f t="shared" si="493"/>
        <v>@ucosoftball</v>
      </c>
      <c r="O622" s="45" t="str">
        <f t="shared" si="494"/>
        <v>Questionnaire</v>
      </c>
      <c r="P622" s="48" t="s">
        <v>8795</v>
      </c>
      <c r="Q622" s="47" t="s">
        <v>472</v>
      </c>
      <c r="R622" s="48" t="s">
        <v>8796</v>
      </c>
      <c r="S622" s="48" t="s">
        <v>238</v>
      </c>
      <c r="T622" s="49" t="s">
        <v>74</v>
      </c>
      <c r="U622" s="49" t="s">
        <v>75</v>
      </c>
      <c r="V622" s="48"/>
      <c r="W622" s="71">
        <v>3.3</v>
      </c>
      <c r="X622" s="49" t="s">
        <v>214</v>
      </c>
      <c r="Y622" s="49" t="s">
        <v>214</v>
      </c>
      <c r="Z622" s="49" t="s">
        <v>125</v>
      </c>
      <c r="AA622" s="51">
        <v>0.75019999999999998</v>
      </c>
      <c r="AB622" s="48" t="s">
        <v>8799</v>
      </c>
      <c r="AC622" s="52" t="s">
        <v>8795</v>
      </c>
      <c r="AD622" s="53" t="str">
        <f t="shared" si="495"/>
        <v>Link</v>
      </c>
      <c r="AE622" s="54">
        <v>14612</v>
      </c>
      <c r="AF622" s="55"/>
      <c r="AG622" s="48"/>
      <c r="AH622" s="56">
        <v>206941</v>
      </c>
    </row>
    <row r="623" spans="1:34" ht="13" x14ac:dyDescent="0.15">
      <c r="A623" s="36" t="s">
        <v>497</v>
      </c>
      <c r="B623" s="31" t="s">
        <v>2797</v>
      </c>
      <c r="C623" s="7" t="s">
        <v>41</v>
      </c>
      <c r="D623" s="7" t="s">
        <v>8827</v>
      </c>
      <c r="E623" s="44">
        <v>5</v>
      </c>
      <c r="F623" s="7"/>
      <c r="G623" s="7"/>
      <c r="H623" s="2" t="s">
        <v>8829</v>
      </c>
      <c r="I623" s="7" t="s">
        <v>8830</v>
      </c>
      <c r="J623" s="7" t="s">
        <v>2011</v>
      </c>
      <c r="K623" s="7" t="s">
        <v>120</v>
      </c>
      <c r="L623" s="7" t="s">
        <v>8831</v>
      </c>
      <c r="M623" s="7" t="s">
        <v>8832</v>
      </c>
      <c r="N623" s="48"/>
      <c r="O623" s="48"/>
      <c r="P623" s="48" t="s">
        <v>8833</v>
      </c>
      <c r="Q623" s="47" t="s">
        <v>472</v>
      </c>
      <c r="R623" s="48" t="s">
        <v>8834</v>
      </c>
      <c r="S623" s="48" t="s">
        <v>172</v>
      </c>
      <c r="T623" s="49" t="s">
        <v>74</v>
      </c>
      <c r="U623" s="49" t="s">
        <v>75</v>
      </c>
      <c r="V623" s="48"/>
      <c r="W623" s="71">
        <v>3.45</v>
      </c>
      <c r="X623" s="49" t="s">
        <v>8837</v>
      </c>
      <c r="Y623" s="49" t="s">
        <v>802</v>
      </c>
      <c r="Z623" s="49" t="s">
        <v>1339</v>
      </c>
      <c r="AA623" s="61">
        <v>0.57999999999999996</v>
      </c>
      <c r="AB623" s="48" t="s">
        <v>8839</v>
      </c>
      <c r="AC623" s="62" t="s">
        <v>8833</v>
      </c>
      <c r="AD623" s="53" t="str">
        <f t="shared" ref="AD623:AD625" si="496">HYPERLINK("https://www.ecok.edu/academic-affairs-programs/majors-offered-ecu","Link")</f>
        <v>Link</v>
      </c>
      <c r="AE623" s="54">
        <v>3433</v>
      </c>
      <c r="AF623" s="55"/>
      <c r="AG623" s="48"/>
      <c r="AH623" s="56">
        <v>207041</v>
      </c>
    </row>
    <row r="624" spans="1:34" ht="13" x14ac:dyDescent="0.15">
      <c r="A624" s="36" t="s">
        <v>497</v>
      </c>
      <c r="B624" s="31" t="s">
        <v>2797</v>
      </c>
      <c r="C624" s="7" t="s">
        <v>41</v>
      </c>
      <c r="D624" s="7" t="s">
        <v>8849</v>
      </c>
      <c r="E624" s="44">
        <v>5</v>
      </c>
      <c r="F624" s="7"/>
      <c r="G624" s="7"/>
      <c r="H624" s="2" t="s">
        <v>8829</v>
      </c>
      <c r="I624" s="7" t="s">
        <v>8850</v>
      </c>
      <c r="J624" s="7" t="s">
        <v>894</v>
      </c>
      <c r="K624" s="7" t="s">
        <v>48</v>
      </c>
      <c r="L624" s="7" t="s">
        <v>8852</v>
      </c>
      <c r="M624" s="7" t="s">
        <v>8853</v>
      </c>
      <c r="N624" s="45" t="str">
        <f t="shared" ref="N624:N625" si="497">HYPERLINK("twitter.com/ecutigerssb","@ecutigerssb")</f>
        <v>@ecutigerssb</v>
      </c>
      <c r="O624" s="45" t="str">
        <f t="shared" ref="O624:O625" si="498">HYPERLINK("https://ecutigers.com/sb_output.aspx?form=3","Questionnaire")</f>
        <v>Questionnaire</v>
      </c>
      <c r="P624" s="48" t="s">
        <v>8833</v>
      </c>
      <c r="Q624" s="47" t="s">
        <v>472</v>
      </c>
      <c r="R624" s="48" t="s">
        <v>8834</v>
      </c>
      <c r="S624" s="48" t="s">
        <v>172</v>
      </c>
      <c r="T624" s="49" t="s">
        <v>74</v>
      </c>
      <c r="U624" s="49" t="s">
        <v>75</v>
      </c>
      <c r="V624" s="48"/>
      <c r="W624" s="71">
        <v>3.45</v>
      </c>
      <c r="X624" s="49" t="s">
        <v>8837</v>
      </c>
      <c r="Y624" s="49" t="s">
        <v>802</v>
      </c>
      <c r="Z624" s="49" t="s">
        <v>1339</v>
      </c>
      <c r="AA624" s="61">
        <v>0.57999999999999996</v>
      </c>
      <c r="AB624" s="48" t="s">
        <v>8839</v>
      </c>
      <c r="AC624" s="62" t="s">
        <v>8833</v>
      </c>
      <c r="AD624" s="53" t="str">
        <f t="shared" si="496"/>
        <v>Link</v>
      </c>
      <c r="AE624" s="54">
        <v>3433</v>
      </c>
      <c r="AF624" s="55"/>
      <c r="AG624" s="48"/>
      <c r="AH624" s="56">
        <v>207041</v>
      </c>
    </row>
    <row r="625" spans="1:34" ht="13" x14ac:dyDescent="0.15">
      <c r="A625" s="36" t="s">
        <v>497</v>
      </c>
      <c r="B625" s="31" t="s">
        <v>2797</v>
      </c>
      <c r="C625" s="7" t="s">
        <v>41</v>
      </c>
      <c r="D625" s="7" t="s">
        <v>8862</v>
      </c>
      <c r="E625" s="44">
        <v>5</v>
      </c>
      <c r="F625" s="7"/>
      <c r="G625" s="7"/>
      <c r="H625" s="2" t="s">
        <v>8829</v>
      </c>
      <c r="I625" s="7" t="s">
        <v>1357</v>
      </c>
      <c r="J625" s="7" t="s">
        <v>805</v>
      </c>
      <c r="K625" s="7" t="s">
        <v>55</v>
      </c>
      <c r="L625" s="7" t="s">
        <v>8863</v>
      </c>
      <c r="M625" s="7" t="s">
        <v>8832</v>
      </c>
      <c r="N625" s="45" t="str">
        <f t="shared" si="497"/>
        <v>@ecutigerssb</v>
      </c>
      <c r="O625" s="45" t="str">
        <f t="shared" si="498"/>
        <v>Questionnaire</v>
      </c>
      <c r="P625" s="48" t="s">
        <v>8833</v>
      </c>
      <c r="Q625" s="47" t="s">
        <v>472</v>
      </c>
      <c r="R625" s="48" t="s">
        <v>8834</v>
      </c>
      <c r="S625" s="48" t="s">
        <v>172</v>
      </c>
      <c r="T625" s="49" t="s">
        <v>74</v>
      </c>
      <c r="U625" s="49" t="s">
        <v>75</v>
      </c>
      <c r="V625" s="48"/>
      <c r="W625" s="71">
        <v>3.45</v>
      </c>
      <c r="X625" s="49" t="s">
        <v>8837</v>
      </c>
      <c r="Y625" s="49" t="s">
        <v>802</v>
      </c>
      <c r="Z625" s="49" t="s">
        <v>1339</v>
      </c>
      <c r="AA625" s="61">
        <v>0.57999999999999996</v>
      </c>
      <c r="AB625" s="48" t="s">
        <v>8839</v>
      </c>
      <c r="AC625" s="62" t="s">
        <v>8833</v>
      </c>
      <c r="AD625" s="53" t="str">
        <f t="shared" si="496"/>
        <v>Link</v>
      </c>
      <c r="AE625" s="54">
        <v>3433</v>
      </c>
      <c r="AF625" s="55"/>
      <c r="AG625" s="48"/>
      <c r="AH625" s="56">
        <v>207041</v>
      </c>
    </row>
    <row r="626" spans="1:34" ht="13" x14ac:dyDescent="0.15">
      <c r="A626" s="57" t="s">
        <v>4757</v>
      </c>
      <c r="B626" s="31" t="s">
        <v>2797</v>
      </c>
      <c r="C626" s="7" t="s">
        <v>41</v>
      </c>
      <c r="D626" s="7" t="s">
        <v>8870</v>
      </c>
      <c r="E626" s="44">
        <v>5</v>
      </c>
      <c r="F626" s="7"/>
      <c r="G626" s="7"/>
      <c r="H626" s="2" t="s">
        <v>8871</v>
      </c>
      <c r="I626" s="7" t="s">
        <v>8872</v>
      </c>
      <c r="J626" s="7" t="s">
        <v>118</v>
      </c>
      <c r="K626" s="7" t="s">
        <v>48</v>
      </c>
      <c r="L626" s="7" t="s">
        <v>8873</v>
      </c>
      <c r="M626" s="7" t="s">
        <v>8874</v>
      </c>
      <c r="N626" s="45" t="str">
        <f>HYPERLINK("twitter.com/claydavis10","@claydavis10")</f>
        <v>@claydavis10</v>
      </c>
      <c r="O626" s="45" t="str">
        <f t="shared" ref="O626:O629" si="499">HYPERLINK("https://goriverhawksgo.com/sb_output.aspx?form=3","Questionnaire")</f>
        <v>Questionnaire</v>
      </c>
      <c r="P626" s="48" t="s">
        <v>8880</v>
      </c>
      <c r="Q626" s="48" t="s">
        <v>472</v>
      </c>
      <c r="R626" s="47" t="s">
        <v>8881</v>
      </c>
      <c r="S626" s="48" t="s">
        <v>172</v>
      </c>
      <c r="T626" s="73" t="s">
        <v>74</v>
      </c>
      <c r="U626" s="49" t="s">
        <v>75</v>
      </c>
      <c r="V626" s="48"/>
      <c r="W626" s="71">
        <v>3.4</v>
      </c>
      <c r="X626" s="49" t="s">
        <v>8883</v>
      </c>
      <c r="Y626" s="49" t="s">
        <v>5922</v>
      </c>
      <c r="Z626" s="49" t="s">
        <v>125</v>
      </c>
      <c r="AA626" s="61">
        <v>0.94</v>
      </c>
      <c r="AB626" s="48" t="s">
        <v>8885</v>
      </c>
      <c r="AC626" s="62" t="s">
        <v>8880</v>
      </c>
      <c r="AD626" s="53" t="str">
        <f t="shared" ref="AD626:AD629" si="500">HYPERLINK("https://www.nsuok.edu/Academics/DegreesMajors/UndergraduateMajors.aspx","Link")</f>
        <v>Link</v>
      </c>
      <c r="AE626" s="54">
        <v>6925</v>
      </c>
      <c r="AF626" s="55"/>
      <c r="AG626" s="48"/>
      <c r="AH626" s="56">
        <v>207263</v>
      </c>
    </row>
    <row r="627" spans="1:34" ht="13" x14ac:dyDescent="0.15">
      <c r="A627" s="57" t="s">
        <v>4757</v>
      </c>
      <c r="B627" s="31" t="s">
        <v>2797</v>
      </c>
      <c r="C627" s="7" t="s">
        <v>41</v>
      </c>
      <c r="D627" s="7" t="s">
        <v>8890</v>
      </c>
      <c r="E627" s="44">
        <v>5</v>
      </c>
      <c r="F627" s="7"/>
      <c r="G627" s="7"/>
      <c r="H627" s="2" t="s">
        <v>8871</v>
      </c>
      <c r="I627" s="7" t="s">
        <v>2316</v>
      </c>
      <c r="J627" s="7" t="s">
        <v>8891</v>
      </c>
      <c r="K627" s="7" t="s">
        <v>1558</v>
      </c>
      <c r="L627" s="7" t="s">
        <v>8892</v>
      </c>
      <c r="M627" s="7" t="s">
        <v>8874</v>
      </c>
      <c r="N627" s="45" t="str">
        <f t="shared" ref="N627:N629" si="501">HYPERLINK("twitter.com/riverhawkssb","@riverhawkssb")</f>
        <v>@riverhawkssb</v>
      </c>
      <c r="O627" s="45" t="str">
        <f t="shared" si="499"/>
        <v>Questionnaire</v>
      </c>
      <c r="P627" s="48" t="s">
        <v>8880</v>
      </c>
      <c r="Q627" s="48" t="s">
        <v>472</v>
      </c>
      <c r="R627" s="47" t="s">
        <v>8881</v>
      </c>
      <c r="S627" s="48" t="s">
        <v>172</v>
      </c>
      <c r="T627" s="73" t="s">
        <v>74</v>
      </c>
      <c r="U627" s="49" t="s">
        <v>75</v>
      </c>
      <c r="V627" s="48"/>
      <c r="W627" s="71">
        <v>3.4</v>
      </c>
      <c r="X627" s="49" t="s">
        <v>8883</v>
      </c>
      <c r="Y627" s="49" t="s">
        <v>5922</v>
      </c>
      <c r="Z627" s="49" t="s">
        <v>125</v>
      </c>
      <c r="AA627" s="61">
        <v>0.94</v>
      </c>
      <c r="AB627" s="48" t="s">
        <v>8885</v>
      </c>
      <c r="AC627" s="62" t="s">
        <v>8880</v>
      </c>
      <c r="AD627" s="53" t="str">
        <f t="shared" si="500"/>
        <v>Link</v>
      </c>
      <c r="AE627" s="54">
        <v>6925</v>
      </c>
      <c r="AF627" s="55"/>
      <c r="AG627" s="48"/>
      <c r="AH627" s="56">
        <v>207263</v>
      </c>
    </row>
    <row r="628" spans="1:34" ht="13" x14ac:dyDescent="0.15">
      <c r="A628" s="57" t="s">
        <v>4757</v>
      </c>
      <c r="B628" s="31" t="s">
        <v>2797</v>
      </c>
      <c r="C628" s="7" t="s">
        <v>41</v>
      </c>
      <c r="D628" s="7" t="s">
        <v>8902</v>
      </c>
      <c r="E628" s="44">
        <v>5</v>
      </c>
      <c r="F628" s="7"/>
      <c r="G628" s="7"/>
      <c r="H628" s="2" t="s">
        <v>8871</v>
      </c>
      <c r="I628" s="7" t="s">
        <v>201</v>
      </c>
      <c r="J628" s="7" t="s">
        <v>8903</v>
      </c>
      <c r="K628" s="7" t="s">
        <v>120</v>
      </c>
      <c r="L628" s="7" t="s">
        <v>8904</v>
      </c>
      <c r="M628" s="7" t="s">
        <v>8874</v>
      </c>
      <c r="N628" s="69" t="str">
        <f t="shared" si="501"/>
        <v>@riverhawkssb</v>
      </c>
      <c r="O628" s="45" t="str">
        <f t="shared" si="499"/>
        <v>Questionnaire</v>
      </c>
      <c r="P628" s="48" t="s">
        <v>8880</v>
      </c>
      <c r="Q628" s="48" t="s">
        <v>472</v>
      </c>
      <c r="R628" s="47" t="s">
        <v>8881</v>
      </c>
      <c r="S628" s="48" t="s">
        <v>172</v>
      </c>
      <c r="T628" s="73" t="s">
        <v>74</v>
      </c>
      <c r="U628" s="49" t="s">
        <v>75</v>
      </c>
      <c r="V628" s="48"/>
      <c r="W628" s="71">
        <v>3.4</v>
      </c>
      <c r="X628" s="49" t="s">
        <v>8883</v>
      </c>
      <c r="Y628" s="49" t="s">
        <v>5922</v>
      </c>
      <c r="Z628" s="49" t="s">
        <v>125</v>
      </c>
      <c r="AA628" s="61">
        <v>0.94</v>
      </c>
      <c r="AB628" s="48" t="s">
        <v>8885</v>
      </c>
      <c r="AC628" s="62" t="s">
        <v>8880</v>
      </c>
      <c r="AD628" s="53" t="str">
        <f t="shared" si="500"/>
        <v>Link</v>
      </c>
      <c r="AE628" s="54">
        <v>6925</v>
      </c>
      <c r="AF628" s="55"/>
      <c r="AG628" s="48"/>
      <c r="AH628" s="56">
        <v>207263</v>
      </c>
    </row>
    <row r="629" spans="1:34" ht="13" x14ac:dyDescent="0.15">
      <c r="A629" s="57" t="s">
        <v>4757</v>
      </c>
      <c r="B629" s="31" t="s">
        <v>2797</v>
      </c>
      <c r="C629" s="7" t="s">
        <v>41</v>
      </c>
      <c r="D629" s="7" t="s">
        <v>8912</v>
      </c>
      <c r="E629" s="44">
        <v>5</v>
      </c>
      <c r="F629" s="7"/>
      <c r="G629" s="7"/>
      <c r="H629" s="2" t="s">
        <v>8871</v>
      </c>
      <c r="I629" s="7" t="s">
        <v>1242</v>
      </c>
      <c r="J629" s="7" t="s">
        <v>8913</v>
      </c>
      <c r="K629" s="7" t="s">
        <v>120</v>
      </c>
      <c r="L629" s="7" t="s">
        <v>8914</v>
      </c>
      <c r="M629" s="7" t="s">
        <v>8874</v>
      </c>
      <c r="N629" s="45" t="str">
        <f t="shared" si="501"/>
        <v>@riverhawkssb</v>
      </c>
      <c r="O629" s="45" t="str">
        <f t="shared" si="499"/>
        <v>Questionnaire</v>
      </c>
      <c r="P629" s="48" t="s">
        <v>8880</v>
      </c>
      <c r="Q629" s="48" t="s">
        <v>472</v>
      </c>
      <c r="R629" s="47" t="s">
        <v>8881</v>
      </c>
      <c r="S629" s="48" t="s">
        <v>172</v>
      </c>
      <c r="T629" s="73" t="s">
        <v>74</v>
      </c>
      <c r="U629" s="49" t="s">
        <v>75</v>
      </c>
      <c r="V629" s="48"/>
      <c r="W629" s="71">
        <v>3.4</v>
      </c>
      <c r="X629" s="49" t="s">
        <v>8883</v>
      </c>
      <c r="Y629" s="49" t="s">
        <v>5922</v>
      </c>
      <c r="Z629" s="49" t="s">
        <v>125</v>
      </c>
      <c r="AA629" s="61">
        <v>0.94</v>
      </c>
      <c r="AB629" s="48" t="s">
        <v>8885</v>
      </c>
      <c r="AC629" s="62" t="s">
        <v>8880</v>
      </c>
      <c r="AD629" s="53" t="str">
        <f t="shared" si="500"/>
        <v>Link</v>
      </c>
      <c r="AE629" s="54">
        <v>6925</v>
      </c>
      <c r="AF629" s="55"/>
      <c r="AG629" s="48"/>
      <c r="AH629" s="56">
        <v>207263</v>
      </c>
    </row>
    <row r="630" spans="1:34" ht="13" x14ac:dyDescent="0.15">
      <c r="A630" s="36" t="s">
        <v>497</v>
      </c>
      <c r="B630" s="31" t="s">
        <v>2797</v>
      </c>
      <c r="C630" s="7" t="s">
        <v>41</v>
      </c>
      <c r="D630" s="7" t="s">
        <v>8919</v>
      </c>
      <c r="E630" s="44">
        <v>5</v>
      </c>
      <c r="F630" s="7"/>
      <c r="G630" s="7"/>
      <c r="H630" s="2" t="s">
        <v>8920</v>
      </c>
      <c r="I630" s="7" t="s">
        <v>3201</v>
      </c>
      <c r="J630" s="7" t="s">
        <v>3299</v>
      </c>
      <c r="K630" s="7" t="s">
        <v>48</v>
      </c>
      <c r="L630" s="7" t="s">
        <v>8921</v>
      </c>
      <c r="M630" s="7" t="s">
        <v>8922</v>
      </c>
      <c r="N630" s="45" t="str">
        <f t="shared" ref="N630:N631" si="502">HYPERLINK("twitter.com/nwosusb","@nwosusb")</f>
        <v>@nwosusb</v>
      </c>
      <c r="O630" s="45" t="str">
        <f t="shared" ref="O630:O631" si="503">HYPERLINK("https://www.nwosu.edu/forms/prospective-student-questionnaire","Questionnaire")</f>
        <v>Questionnaire</v>
      </c>
      <c r="P630" s="48" t="s">
        <v>8934</v>
      </c>
      <c r="Q630" s="47" t="s">
        <v>472</v>
      </c>
      <c r="R630" s="48" t="s">
        <v>8935</v>
      </c>
      <c r="S630" s="60" t="s">
        <v>205</v>
      </c>
      <c r="T630" s="49" t="s">
        <v>74</v>
      </c>
      <c r="U630" s="49" t="s">
        <v>75</v>
      </c>
      <c r="V630" s="48"/>
      <c r="W630" s="71">
        <v>3.32</v>
      </c>
      <c r="X630" s="49" t="s">
        <v>8938</v>
      </c>
      <c r="Y630" s="49" t="s">
        <v>3428</v>
      </c>
      <c r="Z630" s="49" t="s">
        <v>449</v>
      </c>
      <c r="AA630" s="61">
        <v>0.44</v>
      </c>
      <c r="AB630" s="48" t="s">
        <v>8940</v>
      </c>
      <c r="AC630" s="62" t="s">
        <v>8934</v>
      </c>
      <c r="AD630" s="53" t="str">
        <f t="shared" ref="AD630:AD631" si="504">HYPERLINK("https://www.nwosu.edu/undergraduate-catalog","Link")</f>
        <v>Link</v>
      </c>
      <c r="AE630" s="54">
        <v>1999</v>
      </c>
      <c r="AF630" s="55"/>
      <c r="AG630" s="48"/>
      <c r="AH630" s="56">
        <v>207306</v>
      </c>
    </row>
    <row r="631" spans="1:34" ht="13" x14ac:dyDescent="0.15">
      <c r="A631" s="36" t="s">
        <v>497</v>
      </c>
      <c r="B631" s="31" t="s">
        <v>2797</v>
      </c>
      <c r="C631" s="7" t="s">
        <v>41</v>
      </c>
      <c r="D631" s="7" t="s">
        <v>8944</v>
      </c>
      <c r="E631" s="44">
        <v>5</v>
      </c>
      <c r="F631" s="7"/>
      <c r="G631" s="7"/>
      <c r="H631" s="2" t="s">
        <v>8920</v>
      </c>
      <c r="I631" s="7" t="s">
        <v>8945</v>
      </c>
      <c r="J631" s="7" t="s">
        <v>977</v>
      </c>
      <c r="K631" s="7" t="s">
        <v>55</v>
      </c>
      <c r="L631" s="7" t="s">
        <v>8946</v>
      </c>
      <c r="M631" s="7" t="s">
        <v>8947</v>
      </c>
      <c r="N631" s="45" t="str">
        <f t="shared" si="502"/>
        <v>@nwosusb</v>
      </c>
      <c r="O631" s="45" t="str">
        <f t="shared" si="503"/>
        <v>Questionnaire</v>
      </c>
      <c r="P631" s="48" t="s">
        <v>8934</v>
      </c>
      <c r="Q631" s="47" t="s">
        <v>472</v>
      </c>
      <c r="R631" s="48" t="s">
        <v>8935</v>
      </c>
      <c r="S631" s="60" t="s">
        <v>205</v>
      </c>
      <c r="T631" s="49" t="s">
        <v>74</v>
      </c>
      <c r="U631" s="49" t="s">
        <v>75</v>
      </c>
      <c r="V631" s="48"/>
      <c r="W631" s="71">
        <v>3.32</v>
      </c>
      <c r="X631" s="49" t="s">
        <v>8938</v>
      </c>
      <c r="Y631" s="49" t="s">
        <v>3428</v>
      </c>
      <c r="Z631" s="49" t="s">
        <v>449</v>
      </c>
      <c r="AA631" s="61">
        <v>0.44</v>
      </c>
      <c r="AB631" s="48" t="s">
        <v>8940</v>
      </c>
      <c r="AC631" s="62" t="s">
        <v>8934</v>
      </c>
      <c r="AD631" s="53" t="str">
        <f t="shared" si="504"/>
        <v>Link</v>
      </c>
      <c r="AE631" s="54">
        <v>1999</v>
      </c>
      <c r="AF631" s="55"/>
      <c r="AG631" s="48"/>
      <c r="AH631" s="56">
        <v>207306</v>
      </c>
    </row>
    <row r="632" spans="1:34" ht="13" x14ac:dyDescent="0.15">
      <c r="A632" s="36" t="s">
        <v>497</v>
      </c>
      <c r="B632" s="31" t="s">
        <v>2797</v>
      </c>
      <c r="C632" s="7" t="s">
        <v>41</v>
      </c>
      <c r="D632" s="7" t="s">
        <v>8952</v>
      </c>
      <c r="E632" s="44">
        <v>5</v>
      </c>
      <c r="F632" s="7"/>
      <c r="G632" s="7"/>
      <c r="H632" s="2" t="s">
        <v>8953</v>
      </c>
      <c r="I632" s="7" t="s">
        <v>1286</v>
      </c>
      <c r="J632" s="7" t="s">
        <v>8954</v>
      </c>
      <c r="K632" s="7" t="s">
        <v>48</v>
      </c>
      <c r="L632" s="7" t="s">
        <v>8955</v>
      </c>
      <c r="M632" s="7" t="s">
        <v>8956</v>
      </c>
      <c r="N632" s="45" t="str">
        <f t="shared" ref="N632:N635" si="505">HYPERLINK("twitter.com/obu_softball","@obu_softball")</f>
        <v>@obu_softball</v>
      </c>
      <c r="O632" s="45" t="str">
        <f t="shared" ref="O632:O635" si="506">HYPERLINK("https://obubison.com/sports/2017/8/3/recruiting-questionnnaires.aspx","Questionnaire")</f>
        <v>Questionnaire</v>
      </c>
      <c r="P632" s="48" t="s">
        <v>8965</v>
      </c>
      <c r="Q632" s="47" t="s">
        <v>472</v>
      </c>
      <c r="R632" s="48" t="s">
        <v>8967</v>
      </c>
      <c r="S632" s="48" t="s">
        <v>354</v>
      </c>
      <c r="T632" s="73" t="s">
        <v>63</v>
      </c>
      <c r="U632" s="49" t="s">
        <v>2619</v>
      </c>
      <c r="V632" s="48"/>
      <c r="W632" s="71">
        <v>3.68</v>
      </c>
      <c r="X632" s="49" t="s">
        <v>4408</v>
      </c>
      <c r="Y632" s="49" t="s">
        <v>8968</v>
      </c>
      <c r="Z632" s="49" t="s">
        <v>278</v>
      </c>
      <c r="AA632" s="61">
        <v>0.6</v>
      </c>
      <c r="AB632" s="71">
        <v>38100</v>
      </c>
      <c r="AC632" s="62" t="s">
        <v>8965</v>
      </c>
      <c r="AD632" s="53" t="str">
        <f t="shared" ref="AD632:AD635" si="507">HYPERLINK("https://www.okbu.edu/catalog/programs/index.html","Link")</f>
        <v>Link</v>
      </c>
      <c r="AE632" s="54">
        <v>1960</v>
      </c>
      <c r="AF632" s="55"/>
      <c r="AG632" s="48"/>
      <c r="AH632" s="56">
        <v>207403</v>
      </c>
    </row>
    <row r="633" spans="1:34" ht="13" x14ac:dyDescent="0.15">
      <c r="A633" s="36" t="s">
        <v>497</v>
      </c>
      <c r="B633" s="31" t="s">
        <v>2797</v>
      </c>
      <c r="C633" s="7" t="s">
        <v>41</v>
      </c>
      <c r="D633" s="7" t="s">
        <v>8977</v>
      </c>
      <c r="E633" s="44">
        <v>5</v>
      </c>
      <c r="F633" s="7"/>
      <c r="G633" s="7"/>
      <c r="H633" s="2" t="s">
        <v>8953</v>
      </c>
      <c r="I633" s="7" t="s">
        <v>150</v>
      </c>
      <c r="J633" s="7" t="s">
        <v>6154</v>
      </c>
      <c r="K633" s="7" t="s">
        <v>55</v>
      </c>
      <c r="L633" s="7" t="s">
        <v>8978</v>
      </c>
      <c r="M633" s="7" t="s">
        <v>8980</v>
      </c>
      <c r="N633" s="45" t="str">
        <f t="shared" si="505"/>
        <v>@obu_softball</v>
      </c>
      <c r="O633" s="45" t="str">
        <f t="shared" si="506"/>
        <v>Questionnaire</v>
      </c>
      <c r="P633" s="48" t="s">
        <v>8965</v>
      </c>
      <c r="Q633" s="47" t="s">
        <v>472</v>
      </c>
      <c r="R633" s="48" t="s">
        <v>8967</v>
      </c>
      <c r="S633" s="48" t="s">
        <v>354</v>
      </c>
      <c r="T633" s="73" t="s">
        <v>63</v>
      </c>
      <c r="U633" s="49" t="s">
        <v>2619</v>
      </c>
      <c r="V633" s="48"/>
      <c r="W633" s="71">
        <v>3.68</v>
      </c>
      <c r="X633" s="49" t="s">
        <v>4408</v>
      </c>
      <c r="Y633" s="49" t="s">
        <v>8968</v>
      </c>
      <c r="Z633" s="49" t="s">
        <v>278</v>
      </c>
      <c r="AA633" s="61">
        <v>0.6</v>
      </c>
      <c r="AB633" s="71">
        <v>38100</v>
      </c>
      <c r="AC633" s="62" t="s">
        <v>8965</v>
      </c>
      <c r="AD633" s="53" t="str">
        <f t="shared" si="507"/>
        <v>Link</v>
      </c>
      <c r="AE633" s="54">
        <v>1960</v>
      </c>
      <c r="AF633" s="55"/>
      <c r="AG633" s="48"/>
      <c r="AH633" s="56">
        <v>207403</v>
      </c>
    </row>
    <row r="634" spans="1:34" ht="13" x14ac:dyDescent="0.15">
      <c r="A634" s="36" t="s">
        <v>497</v>
      </c>
      <c r="B634" s="31" t="s">
        <v>2797</v>
      </c>
      <c r="C634" s="7" t="s">
        <v>41</v>
      </c>
      <c r="D634" s="7" t="s">
        <v>8988</v>
      </c>
      <c r="E634" s="44">
        <v>5</v>
      </c>
      <c r="F634" s="7"/>
      <c r="G634" s="7"/>
      <c r="H634" s="2" t="s">
        <v>8953</v>
      </c>
      <c r="I634" s="7" t="s">
        <v>7637</v>
      </c>
      <c r="J634" s="7" t="s">
        <v>8991</v>
      </c>
      <c r="K634" s="7" t="s">
        <v>55</v>
      </c>
      <c r="L634" s="7" t="s">
        <v>8992</v>
      </c>
      <c r="M634" s="7" t="s">
        <v>8980</v>
      </c>
      <c r="N634" s="45" t="str">
        <f t="shared" si="505"/>
        <v>@obu_softball</v>
      </c>
      <c r="O634" s="45" t="str">
        <f t="shared" si="506"/>
        <v>Questionnaire</v>
      </c>
      <c r="P634" s="48" t="s">
        <v>8965</v>
      </c>
      <c r="Q634" s="47" t="s">
        <v>472</v>
      </c>
      <c r="R634" s="48" t="s">
        <v>8967</v>
      </c>
      <c r="S634" s="48" t="s">
        <v>354</v>
      </c>
      <c r="T634" s="73" t="s">
        <v>63</v>
      </c>
      <c r="U634" s="49" t="s">
        <v>2619</v>
      </c>
      <c r="V634" s="48"/>
      <c r="W634" s="71">
        <v>3.68</v>
      </c>
      <c r="X634" s="49" t="s">
        <v>4408</v>
      </c>
      <c r="Y634" s="49" t="s">
        <v>8968</v>
      </c>
      <c r="Z634" s="49" t="s">
        <v>278</v>
      </c>
      <c r="AA634" s="61">
        <v>0.6</v>
      </c>
      <c r="AB634" s="71">
        <v>38100</v>
      </c>
      <c r="AC634" s="62" t="s">
        <v>8965</v>
      </c>
      <c r="AD634" s="53" t="str">
        <f t="shared" si="507"/>
        <v>Link</v>
      </c>
      <c r="AE634" s="54">
        <v>1960</v>
      </c>
      <c r="AF634" s="55"/>
      <c r="AG634" s="48"/>
      <c r="AH634" s="56">
        <v>207403</v>
      </c>
    </row>
    <row r="635" spans="1:34" ht="13" x14ac:dyDescent="0.15">
      <c r="A635" s="36" t="s">
        <v>497</v>
      </c>
      <c r="B635" s="31" t="s">
        <v>2797</v>
      </c>
      <c r="C635" s="7" t="s">
        <v>41</v>
      </c>
      <c r="D635" s="7" t="s">
        <v>9000</v>
      </c>
      <c r="E635" s="44">
        <v>5</v>
      </c>
      <c r="F635" s="7"/>
      <c r="G635" s="7"/>
      <c r="H635" s="2" t="s">
        <v>8953</v>
      </c>
      <c r="I635" s="7" t="s">
        <v>206</v>
      </c>
      <c r="J635" s="7" t="s">
        <v>1751</v>
      </c>
      <c r="K635" s="7" t="s">
        <v>55</v>
      </c>
      <c r="L635" s="7" t="s">
        <v>9002</v>
      </c>
      <c r="M635" s="7" t="s">
        <v>8980</v>
      </c>
      <c r="N635" s="45" t="str">
        <f t="shared" si="505"/>
        <v>@obu_softball</v>
      </c>
      <c r="O635" s="45" t="str">
        <f t="shared" si="506"/>
        <v>Questionnaire</v>
      </c>
      <c r="P635" s="48" t="s">
        <v>8965</v>
      </c>
      <c r="Q635" s="47" t="s">
        <v>472</v>
      </c>
      <c r="R635" s="48" t="s">
        <v>8967</v>
      </c>
      <c r="S635" s="48" t="s">
        <v>354</v>
      </c>
      <c r="T635" s="73" t="s">
        <v>63</v>
      </c>
      <c r="U635" s="49" t="s">
        <v>2619</v>
      </c>
      <c r="V635" s="48"/>
      <c r="W635" s="71">
        <v>3.68</v>
      </c>
      <c r="X635" s="49" t="s">
        <v>4408</v>
      </c>
      <c r="Y635" s="49" t="s">
        <v>8968</v>
      </c>
      <c r="Z635" s="49" t="s">
        <v>278</v>
      </c>
      <c r="AA635" s="61">
        <v>0.6</v>
      </c>
      <c r="AB635" s="71">
        <v>38100</v>
      </c>
      <c r="AC635" s="62" t="s">
        <v>8965</v>
      </c>
      <c r="AD635" s="53" t="str">
        <f t="shared" si="507"/>
        <v>Link</v>
      </c>
      <c r="AE635" s="54">
        <v>1960</v>
      </c>
      <c r="AF635" s="55"/>
      <c r="AG635" s="48"/>
      <c r="AH635" s="56">
        <v>207403</v>
      </c>
    </row>
    <row r="636" spans="1:34" ht="13" x14ac:dyDescent="0.15">
      <c r="A636" s="57" t="s">
        <v>7181</v>
      </c>
      <c r="B636" s="31" t="s">
        <v>2797</v>
      </c>
      <c r="C636" s="7" t="s">
        <v>41</v>
      </c>
      <c r="D636" s="7" t="s">
        <v>9006</v>
      </c>
      <c r="E636" s="44">
        <v>5</v>
      </c>
      <c r="F636" s="7"/>
      <c r="G636" s="7"/>
      <c r="H636" s="2" t="s">
        <v>9010</v>
      </c>
      <c r="I636" s="7" t="s">
        <v>9012</v>
      </c>
      <c r="J636" s="7" t="s">
        <v>2158</v>
      </c>
      <c r="K636" s="7" t="s">
        <v>48</v>
      </c>
      <c r="L636" s="7" t="s">
        <v>9015</v>
      </c>
      <c r="M636" s="7" t="s">
        <v>9016</v>
      </c>
      <c r="N636" s="45" t="str">
        <f t="shared" ref="N636:N639" si="508">HYPERLINK("twitter.com/oceaglessb","@oceaglessb")</f>
        <v>@oceaglessb</v>
      </c>
      <c r="O636" s="45" t="str">
        <f t="shared" ref="O636:O639" si="509">HYPERLINK("https://oceagles.com/documents/2018/8/13/OC_Athlete_Questionnaire_new_8_9_11.doc","Questionnaire")</f>
        <v>Questionnaire</v>
      </c>
      <c r="P636" s="48" t="s">
        <v>9017</v>
      </c>
      <c r="Q636" s="47" t="s">
        <v>472</v>
      </c>
      <c r="R636" s="48" t="s">
        <v>8796</v>
      </c>
      <c r="S636" s="48" t="s">
        <v>238</v>
      </c>
      <c r="T636" s="49" t="s">
        <v>63</v>
      </c>
      <c r="U636" s="49" t="s">
        <v>686</v>
      </c>
      <c r="V636" s="48"/>
      <c r="W636" s="71">
        <v>3.57</v>
      </c>
      <c r="X636" s="49" t="s">
        <v>7801</v>
      </c>
      <c r="Y636" s="49" t="s">
        <v>2310</v>
      </c>
      <c r="Z636" s="49" t="s">
        <v>803</v>
      </c>
      <c r="AA636" s="61">
        <v>0.61</v>
      </c>
      <c r="AB636" s="71">
        <v>32570</v>
      </c>
      <c r="AC636" s="62" t="s">
        <v>9017</v>
      </c>
      <c r="AD636" s="53" t="str">
        <f t="shared" ref="AD636:AD639" si="510">HYPERLINK("https://oc.edu/academics/#degrees-alphabetical","Link")</f>
        <v>Link</v>
      </c>
      <c r="AE636" s="54">
        <v>1960</v>
      </c>
      <c r="AF636" s="55"/>
      <c r="AG636" s="48"/>
      <c r="AH636" s="56">
        <v>207324</v>
      </c>
    </row>
    <row r="637" spans="1:34" ht="13" x14ac:dyDescent="0.15">
      <c r="A637" s="57" t="s">
        <v>7181</v>
      </c>
      <c r="B637" s="31" t="s">
        <v>2797</v>
      </c>
      <c r="C637" s="7" t="s">
        <v>41</v>
      </c>
      <c r="D637" s="7" t="s">
        <v>9028</v>
      </c>
      <c r="E637" s="44">
        <v>5</v>
      </c>
      <c r="F637" s="7"/>
      <c r="G637" s="7"/>
      <c r="H637" s="2" t="s">
        <v>9010</v>
      </c>
      <c r="I637" s="7" t="s">
        <v>9030</v>
      </c>
      <c r="J637" s="7" t="s">
        <v>9031</v>
      </c>
      <c r="K637" s="7" t="s">
        <v>55</v>
      </c>
      <c r="L637" s="7" t="s">
        <v>9033</v>
      </c>
      <c r="M637" s="7" t="s">
        <v>9034</v>
      </c>
      <c r="N637" s="45" t="str">
        <f t="shared" si="508"/>
        <v>@oceaglessb</v>
      </c>
      <c r="O637" s="45" t="str">
        <f t="shared" si="509"/>
        <v>Questionnaire</v>
      </c>
      <c r="P637" s="48" t="s">
        <v>9017</v>
      </c>
      <c r="Q637" s="47" t="s">
        <v>472</v>
      </c>
      <c r="R637" s="48" t="s">
        <v>8796</v>
      </c>
      <c r="S637" s="48" t="s">
        <v>238</v>
      </c>
      <c r="T637" s="49" t="s">
        <v>63</v>
      </c>
      <c r="U637" s="49" t="s">
        <v>686</v>
      </c>
      <c r="V637" s="48"/>
      <c r="W637" s="71">
        <v>3.57</v>
      </c>
      <c r="X637" s="49" t="s">
        <v>7801</v>
      </c>
      <c r="Y637" s="49" t="s">
        <v>2310</v>
      </c>
      <c r="Z637" s="49" t="s">
        <v>803</v>
      </c>
      <c r="AA637" s="61">
        <v>0.61</v>
      </c>
      <c r="AB637" s="71">
        <v>32570</v>
      </c>
      <c r="AC637" s="62" t="s">
        <v>9017</v>
      </c>
      <c r="AD637" s="53" t="str">
        <f t="shared" si="510"/>
        <v>Link</v>
      </c>
      <c r="AE637" s="54">
        <v>1960</v>
      </c>
      <c r="AF637" s="55"/>
      <c r="AG637" s="48"/>
      <c r="AH637" s="56">
        <v>207324</v>
      </c>
    </row>
    <row r="638" spans="1:34" ht="13" x14ac:dyDescent="0.15">
      <c r="A638" s="57" t="s">
        <v>7181</v>
      </c>
      <c r="B638" s="31" t="s">
        <v>2797</v>
      </c>
      <c r="C638" s="7" t="s">
        <v>41</v>
      </c>
      <c r="D638" s="7" t="s">
        <v>9044</v>
      </c>
      <c r="E638" s="44">
        <v>5</v>
      </c>
      <c r="F638" s="7"/>
      <c r="G638" s="7"/>
      <c r="H638" s="2" t="s">
        <v>9010</v>
      </c>
      <c r="I638" s="7" t="s">
        <v>1060</v>
      </c>
      <c r="J638" s="7" t="s">
        <v>196</v>
      </c>
      <c r="K638" s="7" t="s">
        <v>55</v>
      </c>
      <c r="L638" s="7" t="s">
        <v>9046</v>
      </c>
      <c r="M638" s="7"/>
      <c r="N638" s="45" t="str">
        <f t="shared" si="508"/>
        <v>@oceaglessb</v>
      </c>
      <c r="O638" s="45" t="str">
        <f t="shared" si="509"/>
        <v>Questionnaire</v>
      </c>
      <c r="P638" s="48" t="s">
        <v>9017</v>
      </c>
      <c r="Q638" s="47" t="s">
        <v>472</v>
      </c>
      <c r="R638" s="48" t="s">
        <v>8796</v>
      </c>
      <c r="S638" s="48" t="s">
        <v>238</v>
      </c>
      <c r="T638" s="49" t="s">
        <v>63</v>
      </c>
      <c r="U638" s="49" t="s">
        <v>686</v>
      </c>
      <c r="V638" s="48"/>
      <c r="W638" s="71">
        <v>3.57</v>
      </c>
      <c r="X638" s="49" t="s">
        <v>7801</v>
      </c>
      <c r="Y638" s="49" t="s">
        <v>2310</v>
      </c>
      <c r="Z638" s="49" t="s">
        <v>803</v>
      </c>
      <c r="AA638" s="61">
        <v>0.61</v>
      </c>
      <c r="AB638" s="71">
        <v>32570</v>
      </c>
      <c r="AC638" s="62" t="s">
        <v>9017</v>
      </c>
      <c r="AD638" s="53" t="str">
        <f t="shared" si="510"/>
        <v>Link</v>
      </c>
      <c r="AE638" s="54">
        <v>1960</v>
      </c>
      <c r="AF638" s="55"/>
      <c r="AG638" s="48"/>
      <c r="AH638" s="56">
        <v>207324</v>
      </c>
    </row>
    <row r="639" spans="1:34" ht="13" x14ac:dyDescent="0.15">
      <c r="A639" s="57" t="s">
        <v>7181</v>
      </c>
      <c r="B639" s="31" t="s">
        <v>2797</v>
      </c>
      <c r="C639" s="7" t="s">
        <v>41</v>
      </c>
      <c r="D639" s="7" t="s">
        <v>9050</v>
      </c>
      <c r="E639" s="44">
        <v>5</v>
      </c>
      <c r="F639" s="7"/>
      <c r="G639" s="7"/>
      <c r="H639" s="2" t="s">
        <v>9010</v>
      </c>
      <c r="I639" s="7" t="s">
        <v>1905</v>
      </c>
      <c r="J639" s="7" t="s">
        <v>9052</v>
      </c>
      <c r="K639" s="7" t="s">
        <v>120</v>
      </c>
      <c r="L639" s="7"/>
      <c r="M639" s="7"/>
      <c r="N639" s="45" t="str">
        <f t="shared" si="508"/>
        <v>@oceaglessb</v>
      </c>
      <c r="O639" s="45" t="str">
        <f t="shared" si="509"/>
        <v>Questionnaire</v>
      </c>
      <c r="P639" s="48" t="s">
        <v>9017</v>
      </c>
      <c r="Q639" s="47" t="s">
        <v>472</v>
      </c>
      <c r="R639" s="48" t="s">
        <v>8796</v>
      </c>
      <c r="S639" s="48" t="s">
        <v>238</v>
      </c>
      <c r="T639" s="49" t="s">
        <v>63</v>
      </c>
      <c r="U639" s="49" t="s">
        <v>686</v>
      </c>
      <c r="V639" s="48"/>
      <c r="W639" s="71">
        <v>3.57</v>
      </c>
      <c r="X639" s="49" t="s">
        <v>7801</v>
      </c>
      <c r="Y639" s="49" t="s">
        <v>2310</v>
      </c>
      <c r="Z639" s="49" t="s">
        <v>803</v>
      </c>
      <c r="AA639" s="61">
        <v>0.61</v>
      </c>
      <c r="AB639" s="71">
        <v>32570</v>
      </c>
      <c r="AC639" s="62" t="s">
        <v>9017</v>
      </c>
      <c r="AD639" s="53" t="str">
        <f t="shared" si="510"/>
        <v>Link</v>
      </c>
      <c r="AE639" s="54">
        <v>1960</v>
      </c>
      <c r="AF639" s="55"/>
      <c r="AG639" s="48"/>
      <c r="AH639" s="56">
        <v>207324</v>
      </c>
    </row>
    <row r="640" spans="1:34" ht="13" x14ac:dyDescent="0.15">
      <c r="A640" s="57" t="s">
        <v>7181</v>
      </c>
      <c r="B640" s="31" t="s">
        <v>2797</v>
      </c>
      <c r="C640" s="7" t="s">
        <v>41</v>
      </c>
      <c r="D640" s="7" t="s">
        <v>9054</v>
      </c>
      <c r="E640" s="44">
        <v>5</v>
      </c>
      <c r="F640" s="7"/>
      <c r="G640" s="7"/>
      <c r="H640" s="2" t="s">
        <v>9056</v>
      </c>
      <c r="I640" s="7" t="s">
        <v>1327</v>
      </c>
      <c r="J640" s="7" t="s">
        <v>9057</v>
      </c>
      <c r="K640" s="7" t="s">
        <v>48</v>
      </c>
      <c r="L640" s="7" t="s">
        <v>9061</v>
      </c>
      <c r="M640" s="7" t="s">
        <v>9062</v>
      </c>
      <c r="N640" s="45" t="str">
        <f t="shared" ref="N640:N642" si="511">HYPERLINK("twitter.com/rsusoftball","@rsusoftball")</f>
        <v>@rsusoftball</v>
      </c>
      <c r="O640" s="45" t="str">
        <f t="shared" ref="O640:O642" si="512">HYPERLINK("https://rsuhillcats.com/sports/2014/7/1/RecruitingQuestionnaire.aspx","Questionnaire")</f>
        <v>Questionnaire</v>
      </c>
      <c r="P640" s="48" t="s">
        <v>9063</v>
      </c>
      <c r="Q640" s="47" t="s">
        <v>472</v>
      </c>
      <c r="R640" s="48" t="s">
        <v>9064</v>
      </c>
      <c r="S640" s="48" t="s">
        <v>172</v>
      </c>
      <c r="T640" s="73" t="s">
        <v>74</v>
      </c>
      <c r="U640" s="49" t="s">
        <v>75</v>
      </c>
      <c r="V640" s="48"/>
      <c r="W640" s="71">
        <v>3.19</v>
      </c>
      <c r="X640" s="49" t="s">
        <v>214</v>
      </c>
      <c r="Y640" s="49" t="s">
        <v>214</v>
      </c>
      <c r="Z640" s="49" t="s">
        <v>214</v>
      </c>
      <c r="AA640" s="55" t="s">
        <v>214</v>
      </c>
      <c r="AB640" s="48" t="s">
        <v>9067</v>
      </c>
      <c r="AC640" s="62" t="s">
        <v>9063</v>
      </c>
      <c r="AD640" s="53" t="str">
        <f t="shared" ref="AD640:AD642" si="513">HYPERLINK("https://www.rsu.edu/academics/degrees-majors/#bachelor","Link")</f>
        <v>Link</v>
      </c>
      <c r="AE640" s="54">
        <v>3883</v>
      </c>
      <c r="AF640" s="55"/>
      <c r="AG640" s="48"/>
      <c r="AH640" s="56">
        <v>207661</v>
      </c>
    </row>
    <row r="641" spans="1:34" ht="13" x14ac:dyDescent="0.15">
      <c r="A641" s="57" t="s">
        <v>7181</v>
      </c>
      <c r="B641" s="31" t="s">
        <v>2797</v>
      </c>
      <c r="C641" s="7" t="s">
        <v>41</v>
      </c>
      <c r="D641" s="7" t="s">
        <v>9076</v>
      </c>
      <c r="E641" s="44">
        <v>5</v>
      </c>
      <c r="F641" s="7"/>
      <c r="G641" s="7"/>
      <c r="H641" s="2" t="s">
        <v>9056</v>
      </c>
      <c r="I641" s="7" t="s">
        <v>9077</v>
      </c>
      <c r="J641" s="7" t="s">
        <v>1545</v>
      </c>
      <c r="K641" s="7" t="s">
        <v>55</v>
      </c>
      <c r="L641" s="7" t="s">
        <v>9078</v>
      </c>
      <c r="M641" s="7" t="s">
        <v>9079</v>
      </c>
      <c r="N641" s="45" t="str">
        <f t="shared" si="511"/>
        <v>@rsusoftball</v>
      </c>
      <c r="O641" s="45" t="str">
        <f t="shared" si="512"/>
        <v>Questionnaire</v>
      </c>
      <c r="P641" s="48" t="s">
        <v>9063</v>
      </c>
      <c r="Q641" s="47" t="s">
        <v>472</v>
      </c>
      <c r="R641" s="48" t="s">
        <v>9064</v>
      </c>
      <c r="S641" s="48" t="s">
        <v>172</v>
      </c>
      <c r="T641" s="73" t="s">
        <v>74</v>
      </c>
      <c r="U641" s="49" t="s">
        <v>75</v>
      </c>
      <c r="V641" s="48"/>
      <c r="W641" s="71">
        <v>3.19</v>
      </c>
      <c r="X641" s="49" t="s">
        <v>214</v>
      </c>
      <c r="Y641" s="49" t="s">
        <v>214</v>
      </c>
      <c r="Z641" s="49" t="s">
        <v>214</v>
      </c>
      <c r="AA641" s="55" t="s">
        <v>214</v>
      </c>
      <c r="AB641" s="48" t="s">
        <v>9067</v>
      </c>
      <c r="AC641" s="62" t="s">
        <v>9063</v>
      </c>
      <c r="AD641" s="53" t="str">
        <f t="shared" si="513"/>
        <v>Link</v>
      </c>
      <c r="AE641" s="54">
        <v>3883</v>
      </c>
      <c r="AF641" s="55"/>
      <c r="AG641" s="48"/>
      <c r="AH641" s="56">
        <v>207661</v>
      </c>
    </row>
    <row r="642" spans="1:34" ht="13" x14ac:dyDescent="0.15">
      <c r="A642" s="57" t="s">
        <v>7181</v>
      </c>
      <c r="B642" s="31" t="s">
        <v>2797</v>
      </c>
      <c r="C642" s="7" t="s">
        <v>41</v>
      </c>
      <c r="D642" s="7" t="s">
        <v>9082</v>
      </c>
      <c r="E642" s="44">
        <v>5</v>
      </c>
      <c r="F642" s="7"/>
      <c r="G642" s="7"/>
      <c r="H642" s="2" t="s">
        <v>9056</v>
      </c>
      <c r="I642" s="7" t="s">
        <v>1492</v>
      </c>
      <c r="J642" s="7" t="s">
        <v>3016</v>
      </c>
      <c r="K642" s="7" t="s">
        <v>55</v>
      </c>
      <c r="L642" s="7"/>
      <c r="M642" s="7" t="s">
        <v>9079</v>
      </c>
      <c r="N642" s="45" t="str">
        <f t="shared" si="511"/>
        <v>@rsusoftball</v>
      </c>
      <c r="O642" s="45" t="str">
        <f t="shared" si="512"/>
        <v>Questionnaire</v>
      </c>
      <c r="P642" s="48" t="s">
        <v>9063</v>
      </c>
      <c r="Q642" s="47" t="s">
        <v>472</v>
      </c>
      <c r="R642" s="48" t="s">
        <v>9064</v>
      </c>
      <c r="S642" s="48" t="s">
        <v>172</v>
      </c>
      <c r="T642" s="73" t="s">
        <v>74</v>
      </c>
      <c r="U642" s="49" t="s">
        <v>75</v>
      </c>
      <c r="V642" s="48"/>
      <c r="W642" s="71">
        <v>3.19</v>
      </c>
      <c r="X642" s="49" t="s">
        <v>214</v>
      </c>
      <c r="Y642" s="49" t="s">
        <v>214</v>
      </c>
      <c r="Z642" s="49" t="s">
        <v>214</v>
      </c>
      <c r="AA642" s="55" t="s">
        <v>214</v>
      </c>
      <c r="AB642" s="48" t="s">
        <v>9067</v>
      </c>
      <c r="AC642" s="62" t="s">
        <v>9063</v>
      </c>
      <c r="AD642" s="53" t="str">
        <f t="shared" si="513"/>
        <v>Link</v>
      </c>
      <c r="AE642" s="54">
        <v>3883</v>
      </c>
      <c r="AF642" s="55"/>
      <c r="AG642" s="48"/>
      <c r="AH642" s="56">
        <v>207661</v>
      </c>
    </row>
    <row r="643" spans="1:34" ht="15" x14ac:dyDescent="0.2">
      <c r="A643" s="36" t="s">
        <v>497</v>
      </c>
      <c r="B643" s="31" t="s">
        <v>2797</v>
      </c>
      <c r="C643" s="7" t="s">
        <v>41</v>
      </c>
      <c r="D643" s="7" t="s">
        <v>9092</v>
      </c>
      <c r="E643" s="44">
        <v>5</v>
      </c>
      <c r="F643" s="7"/>
      <c r="G643" s="7"/>
      <c r="H643" s="2" t="s">
        <v>9094</v>
      </c>
      <c r="I643" s="7" t="s">
        <v>3385</v>
      </c>
      <c r="J643" s="7" t="s">
        <v>9096</v>
      </c>
      <c r="K643" s="7" t="s">
        <v>48</v>
      </c>
      <c r="L643" s="7" t="s">
        <v>9097</v>
      </c>
      <c r="M643" s="7" t="s">
        <v>9098</v>
      </c>
      <c r="N643" s="48"/>
      <c r="O643" s="45" t="str">
        <f t="shared" ref="O643:O645" si="514">HYPERLINK("https://gosoutheastern.com/sb_output.aspx?form=3","Questionnaire")</f>
        <v>Questionnaire</v>
      </c>
      <c r="P643" s="48" t="s">
        <v>9101</v>
      </c>
      <c r="Q643" s="47" t="s">
        <v>472</v>
      </c>
      <c r="R643" s="48" t="s">
        <v>9103</v>
      </c>
      <c r="S643" s="48" t="s">
        <v>172</v>
      </c>
      <c r="T643" s="73" t="s">
        <v>74</v>
      </c>
      <c r="U643" s="49" t="s">
        <v>75</v>
      </c>
      <c r="V643" s="48"/>
      <c r="W643" s="71">
        <v>3.36</v>
      </c>
      <c r="X643" s="49" t="s">
        <v>214</v>
      </c>
      <c r="Y643" s="49" t="s">
        <v>214</v>
      </c>
      <c r="Z643" s="49" t="s">
        <v>449</v>
      </c>
      <c r="AA643" s="61">
        <v>0.77</v>
      </c>
      <c r="AB643" s="48" t="s">
        <v>9110</v>
      </c>
      <c r="AC643" s="52" t="s">
        <v>9101</v>
      </c>
      <c r="AD643" s="53" t="str">
        <f t="shared" ref="AD643:AD645" si="515">HYPERLINK("http://www.se.edu/academics/degrees/","Link")</f>
        <v>Link</v>
      </c>
      <c r="AE643" s="54">
        <v>3163</v>
      </c>
      <c r="AF643" s="55"/>
      <c r="AG643" s="48"/>
      <c r="AH643" s="56">
        <v>207847</v>
      </c>
    </row>
    <row r="644" spans="1:34" ht="15" x14ac:dyDescent="0.2">
      <c r="A644" s="36" t="s">
        <v>497</v>
      </c>
      <c r="B644" s="31" t="s">
        <v>2797</v>
      </c>
      <c r="C644" s="7" t="s">
        <v>41</v>
      </c>
      <c r="D644" s="7" t="s">
        <v>9113</v>
      </c>
      <c r="E644" s="44">
        <v>5</v>
      </c>
      <c r="F644" s="7"/>
      <c r="G644" s="7"/>
      <c r="H644" s="2" t="s">
        <v>9094</v>
      </c>
      <c r="I644" s="7" t="s">
        <v>222</v>
      </c>
      <c r="J644" s="7" t="s">
        <v>9115</v>
      </c>
      <c r="K644" s="7" t="s">
        <v>55</v>
      </c>
      <c r="L644" s="7" t="s">
        <v>9116</v>
      </c>
      <c r="M644" s="7" t="s">
        <v>9117</v>
      </c>
      <c r="N644" s="48"/>
      <c r="O644" s="45" t="str">
        <f t="shared" si="514"/>
        <v>Questionnaire</v>
      </c>
      <c r="P644" s="48" t="s">
        <v>9101</v>
      </c>
      <c r="Q644" s="60" t="s">
        <v>472</v>
      </c>
      <c r="R644" s="48" t="s">
        <v>9103</v>
      </c>
      <c r="S644" s="48" t="s">
        <v>172</v>
      </c>
      <c r="T644" s="5" t="s">
        <v>74</v>
      </c>
      <c r="U644" s="48" t="s">
        <v>75</v>
      </c>
      <c r="V644" s="49"/>
      <c r="W644" s="65">
        <v>3.36</v>
      </c>
      <c r="X644" s="49" t="s">
        <v>214</v>
      </c>
      <c r="Y644" s="49" t="s">
        <v>214</v>
      </c>
      <c r="Z644" s="49" t="s">
        <v>449</v>
      </c>
      <c r="AA644" s="65">
        <v>0.77</v>
      </c>
      <c r="AB644" s="48" t="s">
        <v>9110</v>
      </c>
      <c r="AC644" s="52" t="s">
        <v>9101</v>
      </c>
      <c r="AD644" s="53" t="str">
        <f t="shared" si="515"/>
        <v>Link</v>
      </c>
      <c r="AE644" s="54">
        <v>3163</v>
      </c>
      <c r="AF644" s="55"/>
      <c r="AG644" s="55"/>
      <c r="AH644" s="56">
        <v>207847</v>
      </c>
    </row>
    <row r="645" spans="1:34" ht="15" x14ac:dyDescent="0.2">
      <c r="A645" s="36" t="s">
        <v>497</v>
      </c>
      <c r="B645" s="31" t="s">
        <v>2797</v>
      </c>
      <c r="C645" s="7" t="s">
        <v>41</v>
      </c>
      <c r="D645" s="7" t="s">
        <v>9121</v>
      </c>
      <c r="E645" s="44">
        <v>5</v>
      </c>
      <c r="F645" s="7"/>
      <c r="G645" s="7"/>
      <c r="H645" s="2" t="s">
        <v>9094</v>
      </c>
      <c r="I645" s="7" t="s">
        <v>9122</v>
      </c>
      <c r="J645" s="7" t="s">
        <v>9124</v>
      </c>
      <c r="K645" s="7" t="s">
        <v>120</v>
      </c>
      <c r="L645" s="7" t="s">
        <v>9125</v>
      </c>
      <c r="M645" s="7"/>
      <c r="N645" s="48"/>
      <c r="O645" s="45" t="str">
        <f t="shared" si="514"/>
        <v>Questionnaire</v>
      </c>
      <c r="P645" s="48" t="s">
        <v>9101</v>
      </c>
      <c r="Q645" s="60" t="s">
        <v>472</v>
      </c>
      <c r="R645" s="48" t="s">
        <v>9103</v>
      </c>
      <c r="S645" s="48" t="s">
        <v>172</v>
      </c>
      <c r="T645" s="5" t="s">
        <v>74</v>
      </c>
      <c r="U645" s="48" t="s">
        <v>75</v>
      </c>
      <c r="V645" s="49"/>
      <c r="W645" s="65">
        <v>3.36</v>
      </c>
      <c r="X645" s="49" t="s">
        <v>214</v>
      </c>
      <c r="Y645" s="49" t="s">
        <v>214</v>
      </c>
      <c r="Z645" s="49" t="s">
        <v>449</v>
      </c>
      <c r="AA645" s="65">
        <v>0.77</v>
      </c>
      <c r="AB645" s="48" t="s">
        <v>9110</v>
      </c>
      <c r="AC645" s="52" t="s">
        <v>9101</v>
      </c>
      <c r="AD645" s="53" t="str">
        <f t="shared" si="515"/>
        <v>Link</v>
      </c>
      <c r="AE645" s="54">
        <v>3163</v>
      </c>
      <c r="AF645" s="55"/>
      <c r="AG645" s="55"/>
      <c r="AH645" s="56">
        <v>207847</v>
      </c>
    </row>
    <row r="646" spans="1:34" ht="13" x14ac:dyDescent="0.15">
      <c r="A646" s="36" t="s">
        <v>497</v>
      </c>
      <c r="B646" s="31" t="s">
        <v>2797</v>
      </c>
      <c r="C646" s="7" t="s">
        <v>41</v>
      </c>
      <c r="D646" s="7" t="s">
        <v>9133</v>
      </c>
      <c r="E646" s="44">
        <v>5</v>
      </c>
      <c r="F646" s="7"/>
      <c r="G646" s="7"/>
      <c r="H646" s="2" t="s">
        <v>9134</v>
      </c>
      <c r="I646" s="7" t="s">
        <v>9135</v>
      </c>
      <c r="J646" s="7" t="s">
        <v>1047</v>
      </c>
      <c r="K646" s="7" t="s">
        <v>3999</v>
      </c>
      <c r="L646" s="7" t="s">
        <v>9137</v>
      </c>
      <c r="M646" s="7" t="s">
        <v>9138</v>
      </c>
      <c r="N646" s="45" t="str">
        <f t="shared" ref="N646:N648" si="516">HYPERLINK("twitter.com/SNUSoftball","@SNUSoftball")</f>
        <v>@SNUSoftball</v>
      </c>
      <c r="O646" s="45" t="str">
        <f t="shared" ref="O646:O648" si="517">HYPERLINK("https://snuathletics.com/sb_output.aspx?form=3","Questionnaire")</f>
        <v>Questionnaire</v>
      </c>
      <c r="P646" s="48" t="s">
        <v>9146</v>
      </c>
      <c r="Q646" s="60" t="s">
        <v>472</v>
      </c>
      <c r="R646" s="48" t="s">
        <v>4191</v>
      </c>
      <c r="S646" s="48" t="s">
        <v>172</v>
      </c>
      <c r="T646" s="49" t="s">
        <v>63</v>
      </c>
      <c r="U646" s="6" t="s">
        <v>4316</v>
      </c>
      <c r="V646" s="49"/>
      <c r="W646" s="65">
        <v>3.5</v>
      </c>
      <c r="X646" s="49" t="s">
        <v>214</v>
      </c>
      <c r="Y646" s="49" t="s">
        <v>214</v>
      </c>
      <c r="Z646" s="49" t="s">
        <v>4743</v>
      </c>
      <c r="AA646" s="55" t="s">
        <v>214</v>
      </c>
      <c r="AB646" s="39">
        <v>36638</v>
      </c>
      <c r="AC646" s="84" t="s">
        <v>9146</v>
      </c>
      <c r="AD646" s="53" t="str">
        <f t="shared" ref="AD646:AD648" si="518">HYPERLINK("http://snu.edu/academics","Link")</f>
        <v>Link</v>
      </c>
      <c r="AE646" s="54">
        <v>1592</v>
      </c>
      <c r="AF646" s="55"/>
      <c r="AG646" s="55"/>
      <c r="AH646" s="56">
        <v>206862</v>
      </c>
    </row>
    <row r="647" spans="1:34" ht="13" x14ac:dyDescent="0.15">
      <c r="A647" s="36" t="s">
        <v>497</v>
      </c>
      <c r="B647" s="31" t="s">
        <v>2797</v>
      </c>
      <c r="C647" s="7" t="s">
        <v>41</v>
      </c>
      <c r="D647" s="7" t="s">
        <v>9151</v>
      </c>
      <c r="E647" s="44">
        <v>5</v>
      </c>
      <c r="F647" s="7"/>
      <c r="G647" s="7"/>
      <c r="H647" s="2" t="s">
        <v>9134</v>
      </c>
      <c r="I647" s="7" t="s">
        <v>2790</v>
      </c>
      <c r="J647" s="7" t="s">
        <v>7718</v>
      </c>
      <c r="K647" s="7" t="s">
        <v>3999</v>
      </c>
      <c r="L647" s="7" t="s">
        <v>9157</v>
      </c>
      <c r="M647" s="7" t="s">
        <v>9158</v>
      </c>
      <c r="N647" s="45" t="str">
        <f t="shared" si="516"/>
        <v>@SNUSoftball</v>
      </c>
      <c r="O647" s="45" t="str">
        <f t="shared" si="517"/>
        <v>Questionnaire</v>
      </c>
      <c r="P647" s="48" t="s">
        <v>9146</v>
      </c>
      <c r="Q647" s="60" t="s">
        <v>472</v>
      </c>
      <c r="R647" s="48" t="s">
        <v>4191</v>
      </c>
      <c r="S647" s="48" t="s">
        <v>172</v>
      </c>
      <c r="T647" s="49" t="s">
        <v>63</v>
      </c>
      <c r="U647" s="6" t="s">
        <v>4316</v>
      </c>
      <c r="V647" s="49"/>
      <c r="W647" s="65">
        <v>3.5</v>
      </c>
      <c r="X647" s="49" t="s">
        <v>214</v>
      </c>
      <c r="Y647" s="49" t="s">
        <v>214</v>
      </c>
      <c r="Z647" s="49" t="s">
        <v>4743</v>
      </c>
      <c r="AA647" s="55" t="s">
        <v>214</v>
      </c>
      <c r="AB647" s="39">
        <v>36638</v>
      </c>
      <c r="AC647" s="84" t="s">
        <v>9146</v>
      </c>
      <c r="AD647" s="53" t="str">
        <f t="shared" si="518"/>
        <v>Link</v>
      </c>
      <c r="AE647" s="54">
        <v>1592</v>
      </c>
      <c r="AF647" s="55"/>
      <c r="AG647" s="55"/>
      <c r="AH647" s="56">
        <v>206862</v>
      </c>
    </row>
    <row r="648" spans="1:34" ht="13" x14ac:dyDescent="0.15">
      <c r="A648" s="36" t="s">
        <v>497</v>
      </c>
      <c r="B648" s="31" t="s">
        <v>2797</v>
      </c>
      <c r="C648" s="7" t="s">
        <v>41</v>
      </c>
      <c r="D648" s="7" t="s">
        <v>9162</v>
      </c>
      <c r="E648" s="44">
        <v>5</v>
      </c>
      <c r="F648" s="7"/>
      <c r="G648" s="7"/>
      <c r="H648" s="2" t="s">
        <v>9134</v>
      </c>
      <c r="I648" s="7" t="s">
        <v>363</v>
      </c>
      <c r="J648" s="7" t="s">
        <v>9163</v>
      </c>
      <c r="K648" s="7" t="s">
        <v>919</v>
      </c>
      <c r="L648" s="7"/>
      <c r="M648" s="7"/>
      <c r="N648" s="45" t="str">
        <f t="shared" si="516"/>
        <v>@SNUSoftball</v>
      </c>
      <c r="O648" s="45" t="str">
        <f t="shared" si="517"/>
        <v>Questionnaire</v>
      </c>
      <c r="P648" s="48" t="s">
        <v>9146</v>
      </c>
      <c r="Q648" s="60" t="s">
        <v>472</v>
      </c>
      <c r="R648" s="48" t="s">
        <v>4191</v>
      </c>
      <c r="S648" s="48" t="s">
        <v>172</v>
      </c>
      <c r="T648" s="49" t="s">
        <v>63</v>
      </c>
      <c r="U648" s="6" t="s">
        <v>4316</v>
      </c>
      <c r="V648" s="49"/>
      <c r="W648" s="65">
        <v>3.5</v>
      </c>
      <c r="X648" s="49" t="s">
        <v>214</v>
      </c>
      <c r="Y648" s="49" t="s">
        <v>214</v>
      </c>
      <c r="Z648" s="49" t="s">
        <v>4743</v>
      </c>
      <c r="AA648" s="55" t="s">
        <v>214</v>
      </c>
      <c r="AB648" s="39">
        <v>36638</v>
      </c>
      <c r="AC648" s="84" t="s">
        <v>9146</v>
      </c>
      <c r="AD648" s="53" t="str">
        <f t="shared" si="518"/>
        <v>Link</v>
      </c>
      <c r="AE648" s="54">
        <v>1592</v>
      </c>
      <c r="AF648" s="55"/>
      <c r="AG648" s="55"/>
      <c r="AH648" s="56">
        <v>206862</v>
      </c>
    </row>
    <row r="649" spans="1:34" ht="13" x14ac:dyDescent="0.15">
      <c r="A649" s="36" t="s">
        <v>497</v>
      </c>
      <c r="B649" s="31" t="s">
        <v>2797</v>
      </c>
      <c r="C649" s="7" t="s">
        <v>41</v>
      </c>
      <c r="D649" s="7" t="s">
        <v>9173</v>
      </c>
      <c r="E649" s="44">
        <v>5</v>
      </c>
      <c r="F649" s="7"/>
      <c r="G649" s="7"/>
      <c r="H649" s="2" t="s">
        <v>9174</v>
      </c>
      <c r="I649" s="7" t="s">
        <v>1159</v>
      </c>
      <c r="J649" s="7" t="s">
        <v>9175</v>
      </c>
      <c r="K649" s="7" t="s">
        <v>48</v>
      </c>
      <c r="L649" s="7" t="s">
        <v>9176</v>
      </c>
      <c r="M649" s="7" t="s">
        <v>9177</v>
      </c>
      <c r="N649" s="45" t="str">
        <f t="shared" ref="N649:N651" si="519">HYPERLINK("twitter.com/swosusoftball","@swosusoftball")</f>
        <v>@swosusoftball</v>
      </c>
      <c r="O649" s="45" t="str">
        <f t="shared" ref="O649:O651" si="520">HYPERLINK("https://swosuathletics.com/sb_output.aspx?form=4","Questionnaire")</f>
        <v>Questionnaire</v>
      </c>
      <c r="P649" s="48" t="s">
        <v>9187</v>
      </c>
      <c r="Q649" s="60" t="s">
        <v>472</v>
      </c>
      <c r="R649" s="48" t="s">
        <v>9188</v>
      </c>
      <c r="S649" s="48" t="s">
        <v>172</v>
      </c>
      <c r="T649" s="49" t="s">
        <v>74</v>
      </c>
      <c r="U649" s="48" t="s">
        <v>75</v>
      </c>
      <c r="V649" s="49"/>
      <c r="W649" s="65">
        <v>3.42</v>
      </c>
      <c r="X649" s="49" t="s">
        <v>214</v>
      </c>
      <c r="Y649" s="49" t="s">
        <v>214</v>
      </c>
      <c r="Z649" s="49" t="s">
        <v>841</v>
      </c>
      <c r="AA649" s="65">
        <v>0.91</v>
      </c>
      <c r="AB649" s="48" t="s">
        <v>9194</v>
      </c>
      <c r="AC649" s="84" t="s">
        <v>9187</v>
      </c>
      <c r="AD649" s="53" t="str">
        <f t="shared" ref="AD649:AD651" si="521">HYPERLINK("http://www.swosu.edu/academics/index.aspx","Link")</f>
        <v>Link</v>
      </c>
      <c r="AE649" s="54">
        <v>4510</v>
      </c>
      <c r="AF649" s="55"/>
      <c r="AG649" s="55"/>
      <c r="AH649" s="56">
        <v>207865</v>
      </c>
    </row>
    <row r="650" spans="1:34" ht="13" x14ac:dyDescent="0.15">
      <c r="A650" s="36" t="s">
        <v>497</v>
      </c>
      <c r="B650" s="31" t="s">
        <v>2797</v>
      </c>
      <c r="C650" s="7" t="s">
        <v>41</v>
      </c>
      <c r="D650" s="7" t="s">
        <v>9200</v>
      </c>
      <c r="E650" s="44">
        <v>5</v>
      </c>
      <c r="F650" s="7"/>
      <c r="G650" s="7"/>
      <c r="H650" s="2" t="s">
        <v>9174</v>
      </c>
      <c r="I650" s="7" t="s">
        <v>9201</v>
      </c>
      <c r="J650" s="7" t="s">
        <v>5125</v>
      </c>
      <c r="K650" s="7" t="s">
        <v>55</v>
      </c>
      <c r="L650" s="7"/>
      <c r="M650" s="7"/>
      <c r="N650" s="45" t="str">
        <f t="shared" si="519"/>
        <v>@swosusoftball</v>
      </c>
      <c r="O650" s="45" t="str">
        <f t="shared" si="520"/>
        <v>Questionnaire</v>
      </c>
      <c r="P650" s="48" t="s">
        <v>9187</v>
      </c>
      <c r="Q650" s="60" t="s">
        <v>472</v>
      </c>
      <c r="R650" s="48" t="s">
        <v>9188</v>
      </c>
      <c r="S650" s="48" t="s">
        <v>172</v>
      </c>
      <c r="T650" s="49" t="s">
        <v>74</v>
      </c>
      <c r="U650" s="48" t="s">
        <v>75</v>
      </c>
      <c r="V650" s="49"/>
      <c r="W650" s="65">
        <v>3.42</v>
      </c>
      <c r="X650" s="49" t="s">
        <v>214</v>
      </c>
      <c r="Y650" s="49" t="s">
        <v>214</v>
      </c>
      <c r="Z650" s="49" t="s">
        <v>841</v>
      </c>
      <c r="AA650" s="65">
        <v>0.91</v>
      </c>
      <c r="AB650" s="48" t="s">
        <v>9194</v>
      </c>
      <c r="AC650" s="84" t="s">
        <v>9187</v>
      </c>
      <c r="AD650" s="53" t="str">
        <f t="shared" si="521"/>
        <v>Link</v>
      </c>
      <c r="AE650" s="54">
        <v>4510</v>
      </c>
      <c r="AF650" s="55"/>
      <c r="AG650" s="55"/>
      <c r="AH650" s="56">
        <v>207865</v>
      </c>
    </row>
    <row r="651" spans="1:34" ht="13" x14ac:dyDescent="0.15">
      <c r="A651" s="57" t="s">
        <v>497</v>
      </c>
      <c r="B651" s="110" t="s">
        <v>2797</v>
      </c>
      <c r="C651" s="7" t="s">
        <v>41</v>
      </c>
      <c r="D651" s="7" t="s">
        <v>9208</v>
      </c>
      <c r="E651" s="44">
        <v>5</v>
      </c>
      <c r="F651" s="7" t="s">
        <v>116</v>
      </c>
      <c r="G651" s="7"/>
      <c r="H651" s="2" t="s">
        <v>9174</v>
      </c>
      <c r="I651" s="7" t="s">
        <v>9210</v>
      </c>
      <c r="J651" s="7" t="s">
        <v>8054</v>
      </c>
      <c r="K651" s="7" t="s">
        <v>55</v>
      </c>
      <c r="L651" s="7" t="s">
        <v>9213</v>
      </c>
      <c r="M651" s="7"/>
      <c r="N651" s="45" t="str">
        <f t="shared" si="519"/>
        <v>@swosusoftball</v>
      </c>
      <c r="O651" s="45" t="str">
        <f t="shared" si="520"/>
        <v>Questionnaire</v>
      </c>
      <c r="P651" s="48" t="s">
        <v>9187</v>
      </c>
      <c r="Q651" s="60" t="s">
        <v>472</v>
      </c>
      <c r="R651" s="48" t="s">
        <v>9188</v>
      </c>
      <c r="S651" s="48" t="s">
        <v>172</v>
      </c>
      <c r="T651" s="49" t="s">
        <v>74</v>
      </c>
      <c r="U651" s="48" t="s">
        <v>75</v>
      </c>
      <c r="V651" s="49"/>
      <c r="W651" s="65">
        <v>3.42</v>
      </c>
      <c r="X651" s="49" t="s">
        <v>214</v>
      </c>
      <c r="Y651" s="49" t="s">
        <v>214</v>
      </c>
      <c r="Z651" s="49" t="s">
        <v>841</v>
      </c>
      <c r="AA651" s="65">
        <v>0.91</v>
      </c>
      <c r="AB651" s="48" t="s">
        <v>9194</v>
      </c>
      <c r="AC651" s="84" t="s">
        <v>9187</v>
      </c>
      <c r="AD651" s="53" t="str">
        <f t="shared" si="521"/>
        <v>Link</v>
      </c>
      <c r="AE651" s="54">
        <v>4510</v>
      </c>
      <c r="AF651" s="55"/>
      <c r="AG651" s="55"/>
      <c r="AH651" s="56">
        <v>207865</v>
      </c>
    </row>
    <row r="652" spans="1:34" ht="15" x14ac:dyDescent="0.2">
      <c r="A652" s="57" t="s">
        <v>906</v>
      </c>
      <c r="B652" s="31" t="s">
        <v>9218</v>
      </c>
      <c r="C652" s="7" t="s">
        <v>41</v>
      </c>
      <c r="D652" s="7" t="s">
        <v>9221</v>
      </c>
      <c r="E652" s="44">
        <v>5</v>
      </c>
      <c r="F652" s="7"/>
      <c r="G652" s="7"/>
      <c r="H652" s="2" t="s">
        <v>9223</v>
      </c>
      <c r="I652" s="7" t="s">
        <v>9224</v>
      </c>
      <c r="J652" s="7" t="s">
        <v>7769</v>
      </c>
      <c r="K652" s="7" t="s">
        <v>48</v>
      </c>
      <c r="L652" s="7" t="s">
        <v>9225</v>
      </c>
      <c r="M652" s="7" t="s">
        <v>9226</v>
      </c>
      <c r="N652" s="45" t="str">
        <f t="shared" ref="N652:N654" si="522">HYPERLINK("twitter.com/gocugosb","@gocugosb")</f>
        <v>@gocugosb</v>
      </c>
      <c r="O652" s="45" t="str">
        <f t="shared" ref="O652:O654" si="523">HYPERLINK("https://gocugo.com/sports/2012/6/13/GEN_0613120854.aspx","Questionnaire")</f>
        <v>Questionnaire</v>
      </c>
      <c r="P652" s="48" t="s">
        <v>9231</v>
      </c>
      <c r="Q652" s="60" t="s">
        <v>3670</v>
      </c>
      <c r="R652" s="48" t="s">
        <v>3684</v>
      </c>
      <c r="S652" s="48" t="s">
        <v>354</v>
      </c>
      <c r="T652" s="49" t="s">
        <v>63</v>
      </c>
      <c r="U652" s="6" t="s">
        <v>1620</v>
      </c>
      <c r="V652" s="49"/>
      <c r="W652" s="65">
        <v>3.42</v>
      </c>
      <c r="X652" s="49" t="s">
        <v>356</v>
      </c>
      <c r="Y652" s="49" t="s">
        <v>3338</v>
      </c>
      <c r="Z652" s="49" t="s">
        <v>449</v>
      </c>
      <c r="AA652" s="65">
        <v>0.55000000000000004</v>
      </c>
      <c r="AB652" s="39">
        <v>41590</v>
      </c>
      <c r="AC652" s="52" t="s">
        <v>9231</v>
      </c>
      <c r="AD652" s="53" t="str">
        <f t="shared" ref="AD652:AD654" si="524">HYPERLINK("http://www.cu-portland.edu/academics","Link")</f>
        <v>Link</v>
      </c>
      <c r="AE652" s="54">
        <v>1197</v>
      </c>
      <c r="AF652" s="55"/>
      <c r="AG652" s="55"/>
      <c r="AH652" s="56">
        <v>208488</v>
      </c>
    </row>
    <row r="653" spans="1:34" ht="15" x14ac:dyDescent="0.2">
      <c r="A653" s="57" t="s">
        <v>906</v>
      </c>
      <c r="B653" s="31" t="s">
        <v>9218</v>
      </c>
      <c r="C653" s="7" t="s">
        <v>41</v>
      </c>
      <c r="D653" s="7" t="s">
        <v>9241</v>
      </c>
      <c r="E653" s="44">
        <v>5</v>
      </c>
      <c r="F653" s="7"/>
      <c r="G653" s="7"/>
      <c r="H653" s="2" t="s">
        <v>9223</v>
      </c>
      <c r="I653" s="7" t="s">
        <v>9244</v>
      </c>
      <c r="J653" s="7" t="s">
        <v>9245</v>
      </c>
      <c r="K653" s="7" t="s">
        <v>3703</v>
      </c>
      <c r="L653" s="7"/>
      <c r="M653" s="7"/>
      <c r="N653" s="45" t="str">
        <f t="shared" si="522"/>
        <v>@gocugosb</v>
      </c>
      <c r="O653" s="45" t="str">
        <f t="shared" si="523"/>
        <v>Questionnaire</v>
      </c>
      <c r="P653" s="48" t="s">
        <v>9231</v>
      </c>
      <c r="Q653" s="60" t="s">
        <v>3670</v>
      </c>
      <c r="R653" s="48" t="s">
        <v>3684</v>
      </c>
      <c r="S653" s="48" t="s">
        <v>354</v>
      </c>
      <c r="T653" s="49" t="s">
        <v>63</v>
      </c>
      <c r="U653" s="6" t="s">
        <v>1620</v>
      </c>
      <c r="V653" s="49"/>
      <c r="W653" s="65">
        <v>3.42</v>
      </c>
      <c r="X653" s="49" t="s">
        <v>356</v>
      </c>
      <c r="Y653" s="49" t="s">
        <v>3338</v>
      </c>
      <c r="Z653" s="49" t="s">
        <v>449</v>
      </c>
      <c r="AA653" s="65">
        <v>0.55000000000000004</v>
      </c>
      <c r="AB653" s="39">
        <v>41590</v>
      </c>
      <c r="AC653" s="52" t="s">
        <v>9231</v>
      </c>
      <c r="AD653" s="53" t="str">
        <f t="shared" si="524"/>
        <v>Link</v>
      </c>
      <c r="AE653" s="54">
        <v>1197</v>
      </c>
      <c r="AF653" s="55"/>
      <c r="AG653" s="55"/>
      <c r="AH653" s="56">
        <v>208488</v>
      </c>
    </row>
    <row r="654" spans="1:34" ht="13" x14ac:dyDescent="0.15">
      <c r="A654" s="57" t="s">
        <v>906</v>
      </c>
      <c r="B654" s="31" t="s">
        <v>9218</v>
      </c>
      <c r="C654" s="7" t="s">
        <v>41</v>
      </c>
      <c r="D654" s="7" t="s">
        <v>9252</v>
      </c>
      <c r="E654" s="44">
        <v>5</v>
      </c>
      <c r="F654" s="7"/>
      <c r="G654" s="7"/>
      <c r="H654" s="2" t="s">
        <v>9223</v>
      </c>
      <c r="I654" s="7" t="s">
        <v>1471</v>
      </c>
      <c r="J654" s="7" t="s">
        <v>9255</v>
      </c>
      <c r="K654" s="7" t="s">
        <v>55</v>
      </c>
      <c r="L654" s="7" t="s">
        <v>9256</v>
      </c>
      <c r="M654" s="7"/>
      <c r="N654" s="45" t="str">
        <f t="shared" si="522"/>
        <v>@gocugosb</v>
      </c>
      <c r="O654" s="45" t="str">
        <f t="shared" si="523"/>
        <v>Questionnaire</v>
      </c>
      <c r="P654" s="48" t="s">
        <v>9231</v>
      </c>
      <c r="Q654" s="60" t="s">
        <v>3670</v>
      </c>
      <c r="R654" s="48" t="s">
        <v>3684</v>
      </c>
      <c r="S654" s="48" t="s">
        <v>354</v>
      </c>
      <c r="T654" s="4" t="s">
        <v>63</v>
      </c>
      <c r="U654" s="6" t="s">
        <v>1620</v>
      </c>
      <c r="V654" s="49"/>
      <c r="W654" s="65">
        <v>3.42</v>
      </c>
      <c r="X654" s="49" t="s">
        <v>356</v>
      </c>
      <c r="Y654" s="49" t="s">
        <v>3338</v>
      </c>
      <c r="Z654" s="49" t="s">
        <v>449</v>
      </c>
      <c r="AA654" s="65">
        <v>0.55000000000000004</v>
      </c>
      <c r="AB654" s="39">
        <v>41590</v>
      </c>
      <c r="AC654" s="90" t="s">
        <v>9231</v>
      </c>
      <c r="AD654" s="53" t="str">
        <f t="shared" si="524"/>
        <v>Link</v>
      </c>
      <c r="AE654" s="42">
        <v>1197</v>
      </c>
      <c r="AF654" s="55"/>
      <c r="AG654" s="55"/>
      <c r="AH654" s="56">
        <v>208488</v>
      </c>
    </row>
    <row r="655" spans="1:34" ht="13" x14ac:dyDescent="0.15">
      <c r="A655" s="57" t="s">
        <v>906</v>
      </c>
      <c r="B655" s="31" t="s">
        <v>9218</v>
      </c>
      <c r="C655" s="7" t="s">
        <v>41</v>
      </c>
      <c r="D655" s="7" t="s">
        <v>9264</v>
      </c>
      <c r="E655" s="44">
        <v>5</v>
      </c>
      <c r="F655" s="7"/>
      <c r="G655" s="7"/>
      <c r="H655" s="2" t="s">
        <v>9265</v>
      </c>
      <c r="I655" s="7" t="s">
        <v>9266</v>
      </c>
      <c r="J655" s="7" t="s">
        <v>9267</v>
      </c>
      <c r="K655" s="7" t="s">
        <v>48</v>
      </c>
      <c r="L655" s="7" t="s">
        <v>9268</v>
      </c>
      <c r="M655" s="7" t="s">
        <v>9269</v>
      </c>
      <c r="N655" s="45" t="str">
        <f t="shared" ref="N655:N657" si="525">HYPERLINK("twitter.com/WOUSoftball","@WOUSoftball")</f>
        <v>@WOUSoftball</v>
      </c>
      <c r="O655" s="45" t="str">
        <f t="shared" ref="O655:O657" si="526">HYPERLINK("https://wouwolves.com/sb_output.aspx?form=6","Questionnaire")</f>
        <v>Questionnaire</v>
      </c>
      <c r="P655" s="48" t="s">
        <v>9275</v>
      </c>
      <c r="Q655" s="60" t="s">
        <v>3670</v>
      </c>
      <c r="R655" s="48" t="s">
        <v>2374</v>
      </c>
      <c r="S655" s="48" t="s">
        <v>172</v>
      </c>
      <c r="T655" s="49" t="s">
        <v>74</v>
      </c>
      <c r="U655" s="48" t="s">
        <v>75</v>
      </c>
      <c r="V655" s="49"/>
      <c r="W655" s="65">
        <v>3.26</v>
      </c>
      <c r="X655" s="49" t="s">
        <v>3485</v>
      </c>
      <c r="Y655" s="49" t="s">
        <v>1338</v>
      </c>
      <c r="Z655" s="49" t="s">
        <v>1339</v>
      </c>
      <c r="AA655" s="65">
        <v>0.88</v>
      </c>
      <c r="AB655" s="48" t="s">
        <v>9276</v>
      </c>
      <c r="AC655" s="84" t="s">
        <v>9275</v>
      </c>
      <c r="AD655" s="53" t="str">
        <f t="shared" ref="AD655:AD657" si="527">HYPERLINK("http://www.wou.edu/resources/student-resources/academics/","Link")</f>
        <v>Link</v>
      </c>
      <c r="AE655" s="54">
        <v>4833</v>
      </c>
      <c r="AF655" s="55"/>
      <c r="AG655" s="55"/>
      <c r="AH655" s="56">
        <v>210429</v>
      </c>
    </row>
    <row r="656" spans="1:34" ht="13" x14ac:dyDescent="0.15">
      <c r="A656" s="57" t="s">
        <v>906</v>
      </c>
      <c r="B656" s="31" t="s">
        <v>9218</v>
      </c>
      <c r="C656" s="7" t="s">
        <v>41</v>
      </c>
      <c r="D656" s="7" t="s">
        <v>9278</v>
      </c>
      <c r="E656" s="44">
        <v>5</v>
      </c>
      <c r="F656" s="7"/>
      <c r="G656" s="7"/>
      <c r="H656" s="2" t="s">
        <v>9265</v>
      </c>
      <c r="I656" s="7" t="s">
        <v>9280</v>
      </c>
      <c r="J656" s="7" t="s">
        <v>9281</v>
      </c>
      <c r="K656" s="7" t="s">
        <v>55</v>
      </c>
      <c r="L656" s="7" t="s">
        <v>9283</v>
      </c>
      <c r="M656" s="7" t="s">
        <v>9269</v>
      </c>
      <c r="N656" s="45" t="str">
        <f t="shared" si="525"/>
        <v>@WOUSoftball</v>
      </c>
      <c r="O656" s="45" t="str">
        <f t="shared" si="526"/>
        <v>Questionnaire</v>
      </c>
      <c r="P656" s="48" t="s">
        <v>9275</v>
      </c>
      <c r="Q656" s="60" t="s">
        <v>3670</v>
      </c>
      <c r="R656" s="48" t="s">
        <v>2374</v>
      </c>
      <c r="S656" s="48" t="s">
        <v>172</v>
      </c>
      <c r="T656" s="49" t="s">
        <v>74</v>
      </c>
      <c r="U656" s="48" t="s">
        <v>75</v>
      </c>
      <c r="V656" s="49"/>
      <c r="W656" s="65">
        <v>3.26</v>
      </c>
      <c r="X656" s="49" t="s">
        <v>3485</v>
      </c>
      <c r="Y656" s="49" t="s">
        <v>1338</v>
      </c>
      <c r="Z656" s="49" t="s">
        <v>1339</v>
      </c>
      <c r="AA656" s="65">
        <v>0.88</v>
      </c>
      <c r="AB656" s="48" t="s">
        <v>9276</v>
      </c>
      <c r="AC656" s="84" t="s">
        <v>9275</v>
      </c>
      <c r="AD656" s="53" t="str">
        <f t="shared" si="527"/>
        <v>Link</v>
      </c>
      <c r="AE656" s="54">
        <v>4833</v>
      </c>
      <c r="AF656" s="55"/>
      <c r="AG656" s="55"/>
      <c r="AH656" s="56">
        <v>210429</v>
      </c>
    </row>
    <row r="657" spans="1:37" ht="13" x14ac:dyDescent="0.15">
      <c r="A657" s="57" t="s">
        <v>906</v>
      </c>
      <c r="B657" s="31" t="s">
        <v>9218</v>
      </c>
      <c r="C657" s="7" t="s">
        <v>41</v>
      </c>
      <c r="D657" s="7" t="s">
        <v>9289</v>
      </c>
      <c r="E657" s="44">
        <v>5</v>
      </c>
      <c r="F657" s="7"/>
      <c r="G657" s="7"/>
      <c r="H657" s="2" t="s">
        <v>9265</v>
      </c>
      <c r="I657" s="7" t="s">
        <v>9290</v>
      </c>
      <c r="J657" s="7" t="s">
        <v>3498</v>
      </c>
      <c r="K657" s="7" t="s">
        <v>120</v>
      </c>
      <c r="L657" s="7" t="s">
        <v>9291</v>
      </c>
      <c r="M657" s="7"/>
      <c r="N657" s="45" t="str">
        <f t="shared" si="525"/>
        <v>@WOUSoftball</v>
      </c>
      <c r="O657" s="45" t="str">
        <f t="shared" si="526"/>
        <v>Questionnaire</v>
      </c>
      <c r="P657" s="48" t="s">
        <v>9275</v>
      </c>
      <c r="Q657" s="60" t="s">
        <v>3670</v>
      </c>
      <c r="R657" s="48" t="s">
        <v>2374</v>
      </c>
      <c r="S657" s="48" t="s">
        <v>172</v>
      </c>
      <c r="T657" s="49" t="s">
        <v>74</v>
      </c>
      <c r="U657" s="48" t="s">
        <v>75</v>
      </c>
      <c r="V657" s="49"/>
      <c r="W657" s="65">
        <v>3.26</v>
      </c>
      <c r="X657" s="49" t="s">
        <v>3485</v>
      </c>
      <c r="Y657" s="49" t="s">
        <v>1338</v>
      </c>
      <c r="Z657" s="49" t="s">
        <v>1339</v>
      </c>
      <c r="AA657" s="65">
        <v>0.88</v>
      </c>
      <c r="AB657" s="48" t="s">
        <v>9276</v>
      </c>
      <c r="AC657" s="84" t="s">
        <v>9275</v>
      </c>
      <c r="AD657" s="53" t="str">
        <f t="shared" si="527"/>
        <v>Link</v>
      </c>
      <c r="AE657" s="54">
        <v>4833</v>
      </c>
      <c r="AF657" s="55"/>
      <c r="AG657" s="55"/>
      <c r="AH657" s="56">
        <v>210429</v>
      </c>
    </row>
    <row r="658" spans="1:37" ht="15" x14ac:dyDescent="0.2">
      <c r="A658" s="57" t="s">
        <v>9297</v>
      </c>
      <c r="B658" s="31" t="s">
        <v>7298</v>
      </c>
      <c r="C658" s="7" t="s">
        <v>41</v>
      </c>
      <c r="D658" s="7" t="s">
        <v>9300</v>
      </c>
      <c r="E658" s="44">
        <v>5</v>
      </c>
      <c r="F658" s="7"/>
      <c r="G658" s="7"/>
      <c r="H658" s="2" t="s">
        <v>9302</v>
      </c>
      <c r="I658" s="7" t="s">
        <v>6266</v>
      </c>
      <c r="J658" s="7" t="s">
        <v>9303</v>
      </c>
      <c r="K658" s="7" t="s">
        <v>48</v>
      </c>
      <c r="L658" s="7" t="s">
        <v>9304</v>
      </c>
      <c r="M658" s="7" t="s">
        <v>9306</v>
      </c>
      <c r="N658" s="45" t="str">
        <f t="shared" ref="N658:N659" si="528">HYPERLINK("twitter.com/huskiessb","@huskiessb")</f>
        <v>@huskiessb</v>
      </c>
      <c r="O658" s="45" t="str">
        <f t="shared" ref="O658:O659" si="529">HYPERLINK("https://questionnaires.armssoftware.com/6a01b4ee1889","Questionnaire")</f>
        <v>Questionnaire</v>
      </c>
      <c r="P658" s="48" t="s">
        <v>9308</v>
      </c>
      <c r="Q658" s="47" t="s">
        <v>1231</v>
      </c>
      <c r="R658" s="48" t="s">
        <v>9310</v>
      </c>
      <c r="S658" s="48" t="s">
        <v>172</v>
      </c>
      <c r="T658" s="49" t="s">
        <v>74</v>
      </c>
      <c r="U658" s="49" t="s">
        <v>75</v>
      </c>
      <c r="V658" s="55"/>
      <c r="W658" s="44">
        <v>3.27</v>
      </c>
      <c r="X658" s="49" t="s">
        <v>253</v>
      </c>
      <c r="Y658" s="49" t="s">
        <v>1145</v>
      </c>
      <c r="Z658" s="49" t="s">
        <v>449</v>
      </c>
      <c r="AA658" s="51">
        <v>0.77549999999999997</v>
      </c>
      <c r="AB658" s="48" t="s">
        <v>9316</v>
      </c>
      <c r="AC658" s="52" t="s">
        <v>9308</v>
      </c>
      <c r="AD658" s="53" t="str">
        <f t="shared" ref="AD658:AD659" si="530">HYPERLINK("https://www.bloomu.edu/academics","Link")</f>
        <v>Link</v>
      </c>
      <c r="AE658" s="54">
        <v>8974</v>
      </c>
      <c r="AF658" s="55"/>
      <c r="AG658" s="85"/>
      <c r="AH658" s="56">
        <v>211158</v>
      </c>
      <c r="AI658" s="7"/>
      <c r="AJ658" s="7"/>
      <c r="AK658" s="7"/>
    </row>
    <row r="659" spans="1:37" ht="15" x14ac:dyDescent="0.2">
      <c r="A659" s="57" t="s">
        <v>9297</v>
      </c>
      <c r="B659" s="31" t="s">
        <v>7298</v>
      </c>
      <c r="C659" s="7" t="s">
        <v>41</v>
      </c>
      <c r="D659" s="7" t="s">
        <v>9319</v>
      </c>
      <c r="E659" s="44">
        <v>5</v>
      </c>
      <c r="F659" s="7"/>
      <c r="G659" s="7"/>
      <c r="H659" s="2" t="s">
        <v>9302</v>
      </c>
      <c r="I659" s="7" t="s">
        <v>1428</v>
      </c>
      <c r="J659" s="7" t="s">
        <v>9320</v>
      </c>
      <c r="K659" s="7" t="s">
        <v>55</v>
      </c>
      <c r="L659" s="7" t="s">
        <v>9322</v>
      </c>
      <c r="M659" s="7" t="s">
        <v>9323</v>
      </c>
      <c r="N659" s="45" t="str">
        <f t="shared" si="528"/>
        <v>@huskiessb</v>
      </c>
      <c r="O659" s="45" t="str">
        <f t="shared" si="529"/>
        <v>Questionnaire</v>
      </c>
      <c r="P659" s="48" t="s">
        <v>9308</v>
      </c>
      <c r="Q659" s="47" t="s">
        <v>1231</v>
      </c>
      <c r="R659" s="48" t="s">
        <v>9310</v>
      </c>
      <c r="S659" s="48" t="s">
        <v>172</v>
      </c>
      <c r="T659" s="49" t="s">
        <v>74</v>
      </c>
      <c r="U659" s="49" t="s">
        <v>75</v>
      </c>
      <c r="V659" s="55"/>
      <c r="W659" s="44">
        <v>3.27</v>
      </c>
      <c r="X659" s="49" t="s">
        <v>253</v>
      </c>
      <c r="Y659" s="49" t="s">
        <v>1145</v>
      </c>
      <c r="Z659" s="49" t="s">
        <v>449</v>
      </c>
      <c r="AA659" s="51">
        <v>0.77549999999999997</v>
      </c>
      <c r="AB659" s="48" t="s">
        <v>9316</v>
      </c>
      <c r="AC659" s="52" t="s">
        <v>9308</v>
      </c>
      <c r="AD659" s="53" t="str">
        <f t="shared" si="530"/>
        <v>Link</v>
      </c>
      <c r="AE659" s="54">
        <v>8974</v>
      </c>
      <c r="AF659" s="55"/>
      <c r="AG659" s="85"/>
      <c r="AH659" s="56">
        <v>211158</v>
      </c>
      <c r="AI659" s="7"/>
      <c r="AJ659" s="7"/>
      <c r="AK659" s="7"/>
    </row>
    <row r="660" spans="1:37" ht="13" x14ac:dyDescent="0.15">
      <c r="A660" s="57" t="s">
        <v>9297</v>
      </c>
      <c r="B660" s="31" t="s">
        <v>7298</v>
      </c>
      <c r="C660" s="7" t="s">
        <v>41</v>
      </c>
      <c r="D660" s="7" t="s">
        <v>9328</v>
      </c>
      <c r="E660" s="44">
        <v>5</v>
      </c>
      <c r="F660" s="7"/>
      <c r="G660" s="7"/>
      <c r="H660" s="2" t="s">
        <v>9329</v>
      </c>
      <c r="I660" s="7" t="s">
        <v>3899</v>
      </c>
      <c r="J660" s="7" t="s">
        <v>9330</v>
      </c>
      <c r="K660" s="7" t="s">
        <v>48</v>
      </c>
      <c r="L660" s="7" t="s">
        <v>9331</v>
      </c>
      <c r="M660" s="7" t="s">
        <v>9332</v>
      </c>
      <c r="N660" s="45" t="str">
        <f t="shared" ref="N660:N661" si="531">HYPERLINK("twitter.com/calu_softball","@calu_softball")</f>
        <v>@calu_softball</v>
      </c>
      <c r="O660" s="45" t="str">
        <f t="shared" ref="O660:O661" si="532">HYPERLINK("https://calvulcans.com/sports/2014/12/11/GEN_1211143943.aspx","Questionnaire")</f>
        <v>Questionnaire</v>
      </c>
      <c r="P660" s="48" t="s">
        <v>9343</v>
      </c>
      <c r="Q660" s="47" t="s">
        <v>1231</v>
      </c>
      <c r="R660" s="48" t="s">
        <v>300</v>
      </c>
      <c r="S660" s="60" t="s">
        <v>205</v>
      </c>
      <c r="T660" s="49" t="s">
        <v>74</v>
      </c>
      <c r="U660" s="49" t="s">
        <v>75</v>
      </c>
      <c r="V660" s="55"/>
      <c r="W660" s="44">
        <v>3.1</v>
      </c>
      <c r="X660" s="49" t="s">
        <v>3428</v>
      </c>
      <c r="Y660" s="49" t="s">
        <v>1947</v>
      </c>
      <c r="Z660" s="49" t="s">
        <v>3952</v>
      </c>
      <c r="AA660" s="51">
        <v>0.96450000000000002</v>
      </c>
      <c r="AB660" s="48" t="s">
        <v>9348</v>
      </c>
      <c r="AC660" s="92" t="s">
        <v>9343</v>
      </c>
      <c r="AD660" s="53" t="str">
        <f t="shared" ref="AD660:AD661" si="533">HYPERLINK("https://www.calu.edu/academics/index.aspx","Link")</f>
        <v>Link</v>
      </c>
      <c r="AE660" s="54">
        <v>5522</v>
      </c>
      <c r="AF660" s="55"/>
      <c r="AG660" s="85"/>
      <c r="AH660" s="56">
        <v>211361</v>
      </c>
      <c r="AI660" s="7"/>
      <c r="AJ660" s="7"/>
      <c r="AK660" s="7"/>
    </row>
    <row r="661" spans="1:37" ht="13" x14ac:dyDescent="0.15">
      <c r="A661" s="57" t="s">
        <v>9297</v>
      </c>
      <c r="B661" s="31" t="s">
        <v>7298</v>
      </c>
      <c r="C661" s="7" t="s">
        <v>41</v>
      </c>
      <c r="D661" s="7" t="s">
        <v>9350</v>
      </c>
      <c r="E661" s="44">
        <v>5</v>
      </c>
      <c r="F661" s="7"/>
      <c r="G661" s="7"/>
      <c r="H661" s="2" t="s">
        <v>9329</v>
      </c>
      <c r="I661" s="7" t="s">
        <v>9352</v>
      </c>
      <c r="J661" s="7" t="s">
        <v>9354</v>
      </c>
      <c r="K661" s="7" t="s">
        <v>55</v>
      </c>
      <c r="L661" s="7" t="s">
        <v>9355</v>
      </c>
      <c r="M661" s="7" t="s">
        <v>9356</v>
      </c>
      <c r="N661" s="45" t="str">
        <f t="shared" si="531"/>
        <v>@calu_softball</v>
      </c>
      <c r="O661" s="45" t="str">
        <f t="shared" si="532"/>
        <v>Questionnaire</v>
      </c>
      <c r="P661" s="48" t="s">
        <v>9343</v>
      </c>
      <c r="Q661" s="47" t="s">
        <v>1231</v>
      </c>
      <c r="R661" s="48" t="s">
        <v>300</v>
      </c>
      <c r="S661" s="60" t="s">
        <v>205</v>
      </c>
      <c r="T661" s="49" t="s">
        <v>74</v>
      </c>
      <c r="U661" s="49" t="s">
        <v>75</v>
      </c>
      <c r="V661" s="55"/>
      <c r="W661" s="44">
        <v>3.1</v>
      </c>
      <c r="X661" s="49" t="s">
        <v>3428</v>
      </c>
      <c r="Y661" s="49" t="s">
        <v>1947</v>
      </c>
      <c r="Z661" s="49" t="s">
        <v>3952</v>
      </c>
      <c r="AA661" s="51">
        <v>0.96450000000000002</v>
      </c>
      <c r="AB661" s="48" t="s">
        <v>9348</v>
      </c>
      <c r="AC661" s="92" t="s">
        <v>9343</v>
      </c>
      <c r="AD661" s="53" t="str">
        <f t="shared" si="533"/>
        <v>Link</v>
      </c>
      <c r="AE661" s="54">
        <v>5522</v>
      </c>
      <c r="AF661" s="55"/>
      <c r="AG661" s="85"/>
      <c r="AH661" s="56">
        <v>211361</v>
      </c>
      <c r="AI661" s="7"/>
      <c r="AJ661" s="7"/>
      <c r="AK661" s="7"/>
    </row>
    <row r="662" spans="1:37" ht="15" x14ac:dyDescent="0.2">
      <c r="A662" s="57" t="s">
        <v>2641</v>
      </c>
      <c r="B662" s="31" t="s">
        <v>7298</v>
      </c>
      <c r="C662" s="7" t="s">
        <v>41</v>
      </c>
      <c r="D662" s="7" t="s">
        <v>9362</v>
      </c>
      <c r="E662" s="44">
        <v>5</v>
      </c>
      <c r="F662" s="7"/>
      <c r="G662" s="7"/>
      <c r="H662" s="2" t="s">
        <v>9363</v>
      </c>
      <c r="I662" s="7" t="s">
        <v>9364</v>
      </c>
      <c r="J662" s="7" t="s">
        <v>9365</v>
      </c>
      <c r="K662" s="7" t="s">
        <v>48</v>
      </c>
      <c r="L662" s="7" t="s">
        <v>9367</v>
      </c>
      <c r="M662" s="7" t="s">
        <v>9368</v>
      </c>
      <c r="N662" s="7"/>
      <c r="O662" s="7"/>
      <c r="P662" s="48" t="s">
        <v>5634</v>
      </c>
      <c r="Q662" s="47" t="s">
        <v>1231</v>
      </c>
      <c r="R662" s="48" t="s">
        <v>2043</v>
      </c>
      <c r="S662" s="48" t="s">
        <v>288</v>
      </c>
      <c r="T662" s="49" t="s">
        <v>63</v>
      </c>
      <c r="U662" s="49" t="s">
        <v>343</v>
      </c>
      <c r="V662" s="55"/>
      <c r="W662" s="44">
        <v>3.13</v>
      </c>
      <c r="X662" s="49" t="s">
        <v>3485</v>
      </c>
      <c r="Y662" s="49" t="s">
        <v>253</v>
      </c>
      <c r="Z662" s="49" t="s">
        <v>3230</v>
      </c>
      <c r="AA662" s="51">
        <v>0.64470000000000005</v>
      </c>
      <c r="AB662" s="71">
        <v>49755</v>
      </c>
      <c r="AC662" s="52" t="s">
        <v>5634</v>
      </c>
      <c r="AD662" s="53" t="str">
        <f>HYPERLINK("https://www.chc.edu/academics/undergraduate/undergraduate-academic-programs","Link")</f>
        <v>Link</v>
      </c>
      <c r="AE662" s="54">
        <v>1376</v>
      </c>
      <c r="AF662" s="55"/>
      <c r="AG662" s="85"/>
      <c r="AH662" s="56">
        <v>211583</v>
      </c>
      <c r="AI662" s="85"/>
      <c r="AJ662" s="85"/>
      <c r="AK662" s="85"/>
    </row>
    <row r="663" spans="1:37" ht="13" x14ac:dyDescent="0.15">
      <c r="A663" s="57" t="s">
        <v>9297</v>
      </c>
      <c r="B663" s="31" t="s">
        <v>7298</v>
      </c>
      <c r="C663" s="7" t="s">
        <v>41</v>
      </c>
      <c r="D663" s="7" t="s">
        <v>9374</v>
      </c>
      <c r="E663" s="44">
        <v>5</v>
      </c>
      <c r="F663" s="7"/>
      <c r="G663" s="7"/>
      <c r="H663" s="2" t="s">
        <v>9375</v>
      </c>
      <c r="I663" s="7" t="s">
        <v>9376</v>
      </c>
      <c r="J663" s="7" t="s">
        <v>9377</v>
      </c>
      <c r="K663" s="7" t="s">
        <v>48</v>
      </c>
      <c r="L663" s="7" t="s">
        <v>9378</v>
      </c>
      <c r="M663" s="7" t="s">
        <v>9379</v>
      </c>
      <c r="N663" s="45" t="str">
        <f>HYPERLINK("twitter.com/clarionsoftball","@clarionsoftball")</f>
        <v>@clarionsoftball</v>
      </c>
      <c r="O663" s="45" t="str">
        <f>HYPERLINK("https://clariongoldeneagles.com/sports/2016/9/9/prospective-student-athletes.aspx","Questionnaire")</f>
        <v>Questionnaire</v>
      </c>
      <c r="P663" s="48" t="s">
        <v>9390</v>
      </c>
      <c r="Q663" s="47" t="s">
        <v>1231</v>
      </c>
      <c r="R663" s="48" t="s">
        <v>9391</v>
      </c>
      <c r="S663" s="60" t="s">
        <v>205</v>
      </c>
      <c r="T663" s="49" t="s">
        <v>74</v>
      </c>
      <c r="U663" s="49" t="s">
        <v>75</v>
      </c>
      <c r="V663" s="55"/>
      <c r="W663" s="44">
        <v>3.21</v>
      </c>
      <c r="X663" s="49" t="s">
        <v>1785</v>
      </c>
      <c r="Y663" s="49" t="s">
        <v>1785</v>
      </c>
      <c r="Z663" s="49" t="s">
        <v>1339</v>
      </c>
      <c r="AA663" s="51">
        <v>0.94130000000000003</v>
      </c>
      <c r="AB663" s="48" t="s">
        <v>9397</v>
      </c>
      <c r="AC663" s="92" t="s">
        <v>9390</v>
      </c>
      <c r="AD663" s="53" t="str">
        <f>HYPERLINK("http://www.clarion.edu/academics/degrees-programs/","Link")</f>
        <v>Link</v>
      </c>
      <c r="AE663" s="54">
        <v>4330</v>
      </c>
      <c r="AF663" s="55"/>
      <c r="AG663" s="85"/>
      <c r="AH663" s="56">
        <v>211644</v>
      </c>
      <c r="AI663" s="7"/>
      <c r="AJ663" s="7"/>
      <c r="AK663" s="7"/>
    </row>
    <row r="664" spans="1:37" ht="15" x14ac:dyDescent="0.2">
      <c r="A664" s="57" t="s">
        <v>9297</v>
      </c>
      <c r="B664" s="31" t="s">
        <v>7298</v>
      </c>
      <c r="C664" s="7" t="s">
        <v>41</v>
      </c>
      <c r="D664" s="7" t="s">
        <v>9401</v>
      </c>
      <c r="E664" s="44">
        <v>5</v>
      </c>
      <c r="F664" s="7"/>
      <c r="G664" s="7"/>
      <c r="H664" s="2" t="s">
        <v>9402</v>
      </c>
      <c r="I664" s="7" t="s">
        <v>1735</v>
      </c>
      <c r="J664" s="7" t="s">
        <v>9403</v>
      </c>
      <c r="K664" s="7" t="s">
        <v>48</v>
      </c>
      <c r="L664" s="7" t="s">
        <v>9404</v>
      </c>
      <c r="M664" s="7" t="s">
        <v>9406</v>
      </c>
      <c r="N664" s="48"/>
      <c r="O664" s="45" t="str">
        <f t="shared" ref="O664:O666" si="534">HYPERLINK("https://esuwarriors.com/sb_output.aspx?form=3","Questionnaire")</f>
        <v>Questionnaire</v>
      </c>
      <c r="P664" s="48" t="s">
        <v>9412</v>
      </c>
      <c r="Q664" s="47" t="s">
        <v>1231</v>
      </c>
      <c r="R664" s="48" t="s">
        <v>9413</v>
      </c>
      <c r="S664" s="48" t="s">
        <v>172</v>
      </c>
      <c r="T664" s="49" t="s">
        <v>74</v>
      </c>
      <c r="U664" s="49" t="s">
        <v>75</v>
      </c>
      <c r="V664" s="55"/>
      <c r="W664" s="44">
        <v>3.2</v>
      </c>
      <c r="X664" s="49" t="s">
        <v>1785</v>
      </c>
      <c r="Y664" s="49" t="s">
        <v>1785</v>
      </c>
      <c r="Z664" s="49" t="s">
        <v>125</v>
      </c>
      <c r="AA664" s="61">
        <v>0.83</v>
      </c>
      <c r="AB664" s="48" t="s">
        <v>9414</v>
      </c>
      <c r="AC664" s="52" t="s">
        <v>9412</v>
      </c>
      <c r="AD664" s="53" t="str">
        <f t="shared" ref="AD664:AD666" si="535">HYPERLINK("https://www.esu.edu/academics/majors/index.cfm","Link")</f>
        <v>Link</v>
      </c>
      <c r="AE664" s="54">
        <v>6151</v>
      </c>
      <c r="AF664" s="55"/>
      <c r="AG664" s="85"/>
      <c r="AH664" s="56">
        <v>212115</v>
      </c>
      <c r="AI664" s="7"/>
      <c r="AJ664" s="7"/>
      <c r="AK664" s="7"/>
    </row>
    <row r="665" spans="1:37" ht="15" x14ac:dyDescent="0.2">
      <c r="A665" s="57" t="s">
        <v>9297</v>
      </c>
      <c r="B665" s="31" t="s">
        <v>7298</v>
      </c>
      <c r="C665" s="7" t="s">
        <v>41</v>
      </c>
      <c r="D665" s="7" t="s">
        <v>9424</v>
      </c>
      <c r="E665" s="44">
        <v>5</v>
      </c>
      <c r="F665" s="7"/>
      <c r="G665" s="7"/>
      <c r="H665" s="2" t="s">
        <v>9402</v>
      </c>
      <c r="I665" s="7" t="s">
        <v>1280</v>
      </c>
      <c r="J665" s="7" t="s">
        <v>9425</v>
      </c>
      <c r="K665" s="7" t="s">
        <v>55</v>
      </c>
      <c r="L665" s="7" t="s">
        <v>9426</v>
      </c>
      <c r="M665" s="7" t="s">
        <v>9427</v>
      </c>
      <c r="N665" s="48"/>
      <c r="O665" s="45" t="str">
        <f t="shared" si="534"/>
        <v>Questionnaire</v>
      </c>
      <c r="P665" s="48" t="s">
        <v>9412</v>
      </c>
      <c r="Q665" s="47" t="s">
        <v>1231</v>
      </c>
      <c r="R665" s="48" t="s">
        <v>9413</v>
      </c>
      <c r="S665" s="48" t="s">
        <v>172</v>
      </c>
      <c r="T665" s="49" t="s">
        <v>74</v>
      </c>
      <c r="U665" s="49" t="s">
        <v>75</v>
      </c>
      <c r="V665" s="55"/>
      <c r="W665" s="44">
        <v>3.2</v>
      </c>
      <c r="X665" s="49" t="s">
        <v>1785</v>
      </c>
      <c r="Y665" s="49" t="s">
        <v>1785</v>
      </c>
      <c r="Z665" s="49" t="s">
        <v>125</v>
      </c>
      <c r="AA665" s="61">
        <v>0.83</v>
      </c>
      <c r="AB665" s="48" t="s">
        <v>9414</v>
      </c>
      <c r="AC665" s="52" t="s">
        <v>9412</v>
      </c>
      <c r="AD665" s="53" t="str">
        <f t="shared" si="535"/>
        <v>Link</v>
      </c>
      <c r="AE665" s="54">
        <v>6151</v>
      </c>
      <c r="AF665" s="55"/>
      <c r="AG665" s="85"/>
      <c r="AH665" s="56">
        <v>212115</v>
      </c>
      <c r="AI665" s="7"/>
      <c r="AJ665" s="7"/>
      <c r="AK665" s="7"/>
    </row>
    <row r="666" spans="1:37" ht="15" x14ac:dyDescent="0.2">
      <c r="A666" s="57" t="s">
        <v>9297</v>
      </c>
      <c r="B666" s="31" t="s">
        <v>7298</v>
      </c>
      <c r="C666" s="7" t="s">
        <v>41</v>
      </c>
      <c r="D666" s="7" t="s">
        <v>9429</v>
      </c>
      <c r="E666" s="44">
        <v>5</v>
      </c>
      <c r="F666" s="7"/>
      <c r="G666" s="7"/>
      <c r="H666" s="2" t="s">
        <v>9402</v>
      </c>
      <c r="I666" s="7" t="s">
        <v>1905</v>
      </c>
      <c r="J666" s="7" t="s">
        <v>9430</v>
      </c>
      <c r="K666" s="7" t="s">
        <v>120</v>
      </c>
      <c r="L666" s="7" t="s">
        <v>9431</v>
      </c>
      <c r="M666" s="7"/>
      <c r="N666" s="48"/>
      <c r="O666" s="45" t="str">
        <f t="shared" si="534"/>
        <v>Questionnaire</v>
      </c>
      <c r="P666" s="48" t="s">
        <v>9412</v>
      </c>
      <c r="Q666" s="47" t="s">
        <v>1231</v>
      </c>
      <c r="R666" s="48" t="s">
        <v>9413</v>
      </c>
      <c r="S666" s="48" t="s">
        <v>172</v>
      </c>
      <c r="T666" s="49" t="s">
        <v>74</v>
      </c>
      <c r="U666" s="49" t="s">
        <v>75</v>
      </c>
      <c r="V666" s="55"/>
      <c r="W666" s="44">
        <v>3.2</v>
      </c>
      <c r="X666" s="49" t="s">
        <v>1785</v>
      </c>
      <c r="Y666" s="49" t="s">
        <v>1785</v>
      </c>
      <c r="Z666" s="49" t="s">
        <v>125</v>
      </c>
      <c r="AA666" s="61">
        <v>0.83</v>
      </c>
      <c r="AB666" s="48" t="s">
        <v>9414</v>
      </c>
      <c r="AC666" s="52" t="s">
        <v>9412</v>
      </c>
      <c r="AD666" s="53" t="str">
        <f t="shared" si="535"/>
        <v>Link</v>
      </c>
      <c r="AE666" s="54">
        <v>6151</v>
      </c>
      <c r="AF666" s="55"/>
      <c r="AG666" s="85"/>
      <c r="AH666" s="56">
        <v>212115</v>
      </c>
      <c r="AI666" s="7"/>
      <c r="AJ666" s="7"/>
      <c r="AK666" s="7"/>
    </row>
    <row r="667" spans="1:37" ht="13" x14ac:dyDescent="0.15">
      <c r="A667" s="57" t="s">
        <v>9297</v>
      </c>
      <c r="B667" s="31" t="s">
        <v>7298</v>
      </c>
      <c r="C667" s="7" t="s">
        <v>41</v>
      </c>
      <c r="D667" s="7" t="s">
        <v>9437</v>
      </c>
      <c r="E667" s="58">
        <v>5</v>
      </c>
      <c r="F667" s="7" t="s">
        <v>116</v>
      </c>
      <c r="G667" s="7"/>
      <c r="H667" s="2" t="s">
        <v>9439</v>
      </c>
      <c r="I667" s="7" t="s">
        <v>1124</v>
      </c>
      <c r="J667" s="7" t="s">
        <v>9442</v>
      </c>
      <c r="K667" s="7" t="s">
        <v>120</v>
      </c>
      <c r="L667" s="7"/>
      <c r="M667" s="7"/>
      <c r="N667" s="69" t="str">
        <f t="shared" ref="N667:N669" si="536">HYPERLINK("twitter.com/borosoftball16","@borosoftball16")</f>
        <v>@borosoftball16</v>
      </c>
      <c r="O667" s="45" t="str">
        <f t="shared" ref="O667:O669" si="537">HYPERLINK("https://gofightingscots.com/sb_output.aspx?form=3","Questionnaire")</f>
        <v>Questionnaire</v>
      </c>
      <c r="P667" s="7" t="s">
        <v>9455</v>
      </c>
      <c r="Q667" s="118" t="s">
        <v>1231</v>
      </c>
      <c r="R667" s="6" t="s">
        <v>9460</v>
      </c>
      <c r="S667" s="60" t="s">
        <v>205</v>
      </c>
      <c r="T667" s="4" t="s">
        <v>74</v>
      </c>
      <c r="U667" s="4" t="s">
        <v>75</v>
      </c>
      <c r="V667" s="55"/>
      <c r="W667" s="37">
        <v>3.18</v>
      </c>
      <c r="X667" s="119" t="s">
        <v>3485</v>
      </c>
      <c r="Y667" s="119" t="s">
        <v>7200</v>
      </c>
      <c r="Z667" s="4" t="s">
        <v>5269</v>
      </c>
      <c r="AA667" s="65">
        <v>0.95</v>
      </c>
      <c r="AB667" s="6" t="s">
        <v>9470</v>
      </c>
      <c r="AC667" s="76" t="s">
        <v>9455</v>
      </c>
      <c r="AD667" s="67" t="str">
        <f t="shared" ref="AD667:AD669" si="538">HYPERLINK("http://www.edinboro.edu/academics/majors-and-programs/","Link")</f>
        <v>Link</v>
      </c>
      <c r="AE667" s="42">
        <v>4840</v>
      </c>
      <c r="AF667" s="55"/>
      <c r="AG667" s="119"/>
      <c r="AH667" s="111">
        <v>212160</v>
      </c>
      <c r="AI667" s="59"/>
      <c r="AJ667" s="59"/>
      <c r="AK667" s="56"/>
    </row>
    <row r="668" spans="1:37" ht="13" x14ac:dyDescent="0.15">
      <c r="A668" s="57" t="s">
        <v>9297</v>
      </c>
      <c r="B668" s="31" t="s">
        <v>7298</v>
      </c>
      <c r="C668" s="7" t="s">
        <v>41</v>
      </c>
      <c r="D668" s="7" t="s">
        <v>9474</v>
      </c>
      <c r="E668" s="44">
        <v>5</v>
      </c>
      <c r="F668" s="7"/>
      <c r="G668" s="7"/>
      <c r="H668" s="2" t="s">
        <v>9439</v>
      </c>
      <c r="I668" s="7" t="s">
        <v>2465</v>
      </c>
      <c r="J668" s="7" t="s">
        <v>9475</v>
      </c>
      <c r="K668" s="7" t="s">
        <v>48</v>
      </c>
      <c r="L668" s="7" t="s">
        <v>9476</v>
      </c>
      <c r="M668" s="7" t="s">
        <v>9477</v>
      </c>
      <c r="N668" s="45" t="str">
        <f t="shared" si="536"/>
        <v>@borosoftball16</v>
      </c>
      <c r="O668" s="45" t="str">
        <f t="shared" si="537"/>
        <v>Questionnaire</v>
      </c>
      <c r="P668" s="7" t="s">
        <v>9455</v>
      </c>
      <c r="Q668" s="118" t="s">
        <v>1231</v>
      </c>
      <c r="R668" s="6" t="s">
        <v>9460</v>
      </c>
      <c r="S668" s="60" t="s">
        <v>205</v>
      </c>
      <c r="T668" s="4" t="s">
        <v>74</v>
      </c>
      <c r="U668" s="4" t="s">
        <v>75</v>
      </c>
      <c r="V668" s="55"/>
      <c r="W668" s="37">
        <v>3.18</v>
      </c>
      <c r="X668" s="119" t="s">
        <v>3485</v>
      </c>
      <c r="Y668" s="119" t="s">
        <v>7200</v>
      </c>
      <c r="Z668" s="4" t="s">
        <v>5269</v>
      </c>
      <c r="AA668" s="65">
        <v>0.95</v>
      </c>
      <c r="AB668" s="6" t="s">
        <v>9470</v>
      </c>
      <c r="AC668" s="76" t="s">
        <v>9455</v>
      </c>
      <c r="AD668" s="67" t="str">
        <f t="shared" si="538"/>
        <v>Link</v>
      </c>
      <c r="AE668" s="42">
        <v>4840</v>
      </c>
      <c r="AF668" s="55"/>
      <c r="AG668" s="119"/>
      <c r="AH668" s="56">
        <v>212160</v>
      </c>
      <c r="AI668" s="7"/>
      <c r="AJ668" s="7"/>
      <c r="AK668" s="7"/>
    </row>
    <row r="669" spans="1:37" ht="13" x14ac:dyDescent="0.15">
      <c r="A669" s="57" t="s">
        <v>9297</v>
      </c>
      <c r="B669" s="31" t="s">
        <v>7298</v>
      </c>
      <c r="C669" s="7" t="s">
        <v>41</v>
      </c>
      <c r="D669" s="7" t="s">
        <v>9486</v>
      </c>
      <c r="E669" s="44">
        <v>5</v>
      </c>
      <c r="F669" s="7"/>
      <c r="G669" s="7" t="s">
        <v>126</v>
      </c>
      <c r="H669" s="2" t="s">
        <v>9439</v>
      </c>
      <c r="I669" s="7" t="s">
        <v>9487</v>
      </c>
      <c r="J669" s="7"/>
      <c r="K669" s="7"/>
      <c r="L669" s="7"/>
      <c r="M669" s="7"/>
      <c r="N669" s="45" t="str">
        <f t="shared" si="536"/>
        <v>@borosoftball16</v>
      </c>
      <c r="O669" s="45" t="str">
        <f t="shared" si="537"/>
        <v>Questionnaire</v>
      </c>
      <c r="P669" s="7" t="s">
        <v>9455</v>
      </c>
      <c r="Q669" s="118" t="s">
        <v>1231</v>
      </c>
      <c r="R669" s="6" t="s">
        <v>9460</v>
      </c>
      <c r="S669" s="60" t="s">
        <v>205</v>
      </c>
      <c r="T669" s="4" t="s">
        <v>74</v>
      </c>
      <c r="U669" s="4" t="s">
        <v>75</v>
      </c>
      <c r="V669" s="55"/>
      <c r="W669" s="37">
        <v>3.18</v>
      </c>
      <c r="X669" s="119" t="s">
        <v>3485</v>
      </c>
      <c r="Y669" s="119" t="s">
        <v>7200</v>
      </c>
      <c r="Z669" s="4" t="s">
        <v>5269</v>
      </c>
      <c r="AA669" s="65">
        <v>0.95</v>
      </c>
      <c r="AB669" s="6" t="s">
        <v>9470</v>
      </c>
      <c r="AC669" s="76" t="s">
        <v>9455</v>
      </c>
      <c r="AD669" s="67" t="str">
        <f t="shared" si="538"/>
        <v>Link</v>
      </c>
      <c r="AE669" s="42">
        <v>4840</v>
      </c>
      <c r="AF669" s="55"/>
      <c r="AG669" s="119"/>
      <c r="AH669" s="56">
        <v>212160</v>
      </c>
      <c r="AI669" s="7"/>
      <c r="AJ669" s="7"/>
      <c r="AK669" s="7"/>
    </row>
    <row r="670" spans="1:37" ht="13" x14ac:dyDescent="0.15">
      <c r="A670" s="57" t="s">
        <v>9297</v>
      </c>
      <c r="B670" s="31" t="s">
        <v>7298</v>
      </c>
      <c r="C670" s="7" t="s">
        <v>41</v>
      </c>
      <c r="D670" s="7" t="s">
        <v>9493</v>
      </c>
      <c r="E670" s="44">
        <v>5</v>
      </c>
      <c r="F670" s="7"/>
      <c r="G670" s="7"/>
      <c r="H670" s="2" t="s">
        <v>9497</v>
      </c>
      <c r="I670" s="7" t="s">
        <v>1280</v>
      </c>
      <c r="J670" s="7" t="s">
        <v>9498</v>
      </c>
      <c r="K670" s="7" t="s">
        <v>48</v>
      </c>
      <c r="L670" s="7" t="s">
        <v>9499</v>
      </c>
      <c r="M670" s="7" t="s">
        <v>9500</v>
      </c>
      <c r="N670" s="45" t="str">
        <f t="shared" ref="N670:N672" si="539">HYPERLINK("twitter.com/gannonsb","@gannonsb")</f>
        <v>@gannonsb</v>
      </c>
      <c r="O670" s="45" t="str">
        <f t="shared" ref="O670:O672" si="540">HYPERLINK("https://gannonsports.com/sports/2008/9/16/GEN_0916081600.aspx?id=32","Questionnaire")</f>
        <v>Questionnaire</v>
      </c>
      <c r="P670" s="48" t="s">
        <v>9509</v>
      </c>
      <c r="Q670" s="60" t="s">
        <v>1231</v>
      </c>
      <c r="R670" s="48" t="s">
        <v>9510</v>
      </c>
      <c r="S670" s="48" t="s">
        <v>238</v>
      </c>
      <c r="T670" s="49" t="s">
        <v>63</v>
      </c>
      <c r="U670" s="49" t="s">
        <v>343</v>
      </c>
      <c r="V670" s="55"/>
      <c r="W670" s="44">
        <v>3.55</v>
      </c>
      <c r="X670" s="49" t="s">
        <v>356</v>
      </c>
      <c r="Y670" s="49" t="s">
        <v>522</v>
      </c>
      <c r="Z670" s="49" t="s">
        <v>278</v>
      </c>
      <c r="AA670" s="61">
        <v>0.78</v>
      </c>
      <c r="AB670" s="71">
        <v>45608</v>
      </c>
      <c r="AC670" s="90" t="s">
        <v>9509</v>
      </c>
      <c r="AD670" s="53" t="str">
        <f t="shared" ref="AD670:AD672" si="541">HYPERLINK("http://www.gannon.edu/Academic-Offerings/","Link")</f>
        <v>Link</v>
      </c>
      <c r="AE670" s="54">
        <v>3098</v>
      </c>
      <c r="AF670" s="55"/>
      <c r="AG670" s="85"/>
      <c r="AH670" s="56">
        <v>212601</v>
      </c>
      <c r="AI670" s="7"/>
      <c r="AJ670" s="7"/>
      <c r="AK670" s="7"/>
    </row>
    <row r="671" spans="1:37" ht="13" x14ac:dyDescent="0.15">
      <c r="A671" s="57" t="s">
        <v>9297</v>
      </c>
      <c r="B671" s="31" t="s">
        <v>7298</v>
      </c>
      <c r="C671" s="7" t="s">
        <v>41</v>
      </c>
      <c r="D671" s="7" t="s">
        <v>9516</v>
      </c>
      <c r="E671" s="44">
        <v>5</v>
      </c>
      <c r="F671" s="7"/>
      <c r="G671" s="7"/>
      <c r="H671" s="2" t="s">
        <v>9497</v>
      </c>
      <c r="I671" s="7" t="s">
        <v>1541</v>
      </c>
      <c r="J671" s="7" t="s">
        <v>9517</v>
      </c>
      <c r="K671" s="7" t="s">
        <v>55</v>
      </c>
      <c r="L671" s="7" t="s">
        <v>9518</v>
      </c>
      <c r="M671" s="7" t="s">
        <v>9500</v>
      </c>
      <c r="N671" s="45" t="str">
        <f t="shared" si="539"/>
        <v>@gannonsb</v>
      </c>
      <c r="O671" s="45" t="str">
        <f t="shared" si="540"/>
        <v>Questionnaire</v>
      </c>
      <c r="P671" s="48" t="s">
        <v>9509</v>
      </c>
      <c r="Q671" s="60" t="s">
        <v>1231</v>
      </c>
      <c r="R671" s="48" t="s">
        <v>9510</v>
      </c>
      <c r="S671" s="48" t="s">
        <v>238</v>
      </c>
      <c r="T671" s="49" t="s">
        <v>63</v>
      </c>
      <c r="U671" s="49" t="s">
        <v>343</v>
      </c>
      <c r="V671" s="55"/>
      <c r="W671" s="44">
        <v>3.55</v>
      </c>
      <c r="X671" s="49" t="s">
        <v>356</v>
      </c>
      <c r="Y671" s="49" t="s">
        <v>522</v>
      </c>
      <c r="Z671" s="49" t="s">
        <v>278</v>
      </c>
      <c r="AA671" s="61">
        <v>0.78</v>
      </c>
      <c r="AB671" s="71">
        <v>45608</v>
      </c>
      <c r="AC671" s="90" t="s">
        <v>9509</v>
      </c>
      <c r="AD671" s="53" t="str">
        <f t="shared" si="541"/>
        <v>Link</v>
      </c>
      <c r="AE671" s="54">
        <v>3098</v>
      </c>
      <c r="AF671" s="55"/>
      <c r="AG671" s="85"/>
      <c r="AH671" s="56">
        <v>212601</v>
      </c>
      <c r="AI671" s="7"/>
      <c r="AJ671" s="7"/>
      <c r="AK671" s="7"/>
    </row>
    <row r="672" spans="1:37" ht="13" x14ac:dyDescent="0.15">
      <c r="A672" s="57" t="s">
        <v>9297</v>
      </c>
      <c r="B672" s="31" t="s">
        <v>7298</v>
      </c>
      <c r="C672" s="7" t="s">
        <v>41</v>
      </c>
      <c r="D672" s="7" t="s">
        <v>9525</v>
      </c>
      <c r="E672" s="44">
        <v>5</v>
      </c>
      <c r="F672" s="7"/>
      <c r="G672" s="7"/>
      <c r="H672" s="2" t="s">
        <v>9497</v>
      </c>
      <c r="I672" s="7" t="s">
        <v>728</v>
      </c>
      <c r="J672" s="7" t="s">
        <v>9526</v>
      </c>
      <c r="K672" s="7" t="s">
        <v>55</v>
      </c>
      <c r="L672" s="7"/>
      <c r="M672" s="7" t="s">
        <v>9500</v>
      </c>
      <c r="N672" s="45" t="str">
        <f t="shared" si="539"/>
        <v>@gannonsb</v>
      </c>
      <c r="O672" s="45" t="str">
        <f t="shared" si="540"/>
        <v>Questionnaire</v>
      </c>
      <c r="P672" s="48" t="s">
        <v>9509</v>
      </c>
      <c r="Q672" s="60" t="s">
        <v>1231</v>
      </c>
      <c r="R672" s="48" t="s">
        <v>9510</v>
      </c>
      <c r="S672" s="48" t="s">
        <v>238</v>
      </c>
      <c r="T672" s="49" t="s">
        <v>63</v>
      </c>
      <c r="U672" s="49" t="s">
        <v>343</v>
      </c>
      <c r="V672" s="55"/>
      <c r="W672" s="44">
        <v>3.55</v>
      </c>
      <c r="X672" s="49" t="s">
        <v>356</v>
      </c>
      <c r="Y672" s="49" t="s">
        <v>522</v>
      </c>
      <c r="Z672" s="49" t="s">
        <v>278</v>
      </c>
      <c r="AA672" s="61">
        <v>0.78</v>
      </c>
      <c r="AB672" s="71">
        <v>45608</v>
      </c>
      <c r="AC672" s="90" t="s">
        <v>9509</v>
      </c>
      <c r="AD672" s="53" t="str">
        <f t="shared" si="541"/>
        <v>Link</v>
      </c>
      <c r="AE672" s="54">
        <v>3098</v>
      </c>
      <c r="AF672" s="55"/>
      <c r="AG672" s="85"/>
      <c r="AH672" s="56">
        <v>212601</v>
      </c>
      <c r="AI672" s="7"/>
      <c r="AJ672" s="7"/>
      <c r="AK672" s="7"/>
    </row>
    <row r="673" spans="1:37" ht="13" x14ac:dyDescent="0.15">
      <c r="A673" s="57" t="s">
        <v>9297</v>
      </c>
      <c r="B673" s="31" t="s">
        <v>7298</v>
      </c>
      <c r="C673" s="7" t="s">
        <v>41</v>
      </c>
      <c r="D673" s="7" t="s">
        <v>9537</v>
      </c>
      <c r="E673" s="44">
        <v>5</v>
      </c>
      <c r="F673" s="7"/>
      <c r="G673" s="7"/>
      <c r="H673" s="2" t="s">
        <v>9538</v>
      </c>
      <c r="I673" s="7" t="s">
        <v>9539</v>
      </c>
      <c r="J673" s="7" t="s">
        <v>9540</v>
      </c>
      <c r="K673" s="7" t="s">
        <v>48</v>
      </c>
      <c r="L673" s="7" t="s">
        <v>9541</v>
      </c>
      <c r="M673" s="7" t="s">
        <v>9542</v>
      </c>
      <c r="N673" s="45" t="str">
        <f t="shared" ref="N673:N675" si="542">HYPERLINK("twitter.com/iupsoftball","@iupsoftball")</f>
        <v>@iupsoftball</v>
      </c>
      <c r="O673" s="45" t="str">
        <f t="shared" ref="O673:O675" si="543">HYPERLINK("https://iupathletics.com/sports/2013/9/12/GEN_0912135915.aspx","Questionnaire")</f>
        <v>Questionnaire</v>
      </c>
      <c r="P673" s="48" t="s">
        <v>9548</v>
      </c>
      <c r="Q673" s="47" t="s">
        <v>1231</v>
      </c>
      <c r="R673" s="48" t="s">
        <v>2602</v>
      </c>
      <c r="S673" s="48" t="s">
        <v>172</v>
      </c>
      <c r="T673" s="73" t="s">
        <v>74</v>
      </c>
      <c r="U673" s="49" t="s">
        <v>75</v>
      </c>
      <c r="V673" s="55"/>
      <c r="W673" s="44">
        <v>3.2</v>
      </c>
      <c r="X673" s="49" t="s">
        <v>1338</v>
      </c>
      <c r="Y673" s="49" t="s">
        <v>1785</v>
      </c>
      <c r="Z673" s="49" t="s">
        <v>1339</v>
      </c>
      <c r="AA673" s="61">
        <v>0.92</v>
      </c>
      <c r="AB673" s="48" t="s">
        <v>9555</v>
      </c>
      <c r="AC673" s="92" t="s">
        <v>9548</v>
      </c>
      <c r="AD673" s="53" t="str">
        <f t="shared" ref="AD673:AD675" si="544">HYPERLINK("https://www.iup.edu/majors/","Link")</f>
        <v>Link</v>
      </c>
      <c r="AE673" s="54">
        <v>10743</v>
      </c>
      <c r="AF673" s="55"/>
      <c r="AG673" s="85"/>
      <c r="AH673" s="56">
        <v>213020</v>
      </c>
      <c r="AI673" s="7"/>
      <c r="AJ673" s="7"/>
      <c r="AK673" s="7"/>
    </row>
    <row r="674" spans="1:37" ht="13" x14ac:dyDescent="0.15">
      <c r="A674" s="57" t="s">
        <v>9297</v>
      </c>
      <c r="B674" s="31" t="s">
        <v>7298</v>
      </c>
      <c r="C674" s="7" t="s">
        <v>41</v>
      </c>
      <c r="D674" s="7" t="s">
        <v>9558</v>
      </c>
      <c r="E674" s="44">
        <v>5</v>
      </c>
      <c r="F674" s="7"/>
      <c r="G674" s="7"/>
      <c r="H674" s="2" t="s">
        <v>9538</v>
      </c>
      <c r="I674" s="7" t="s">
        <v>9560</v>
      </c>
      <c r="J674" s="7" t="s">
        <v>9562</v>
      </c>
      <c r="K674" s="7" t="s">
        <v>55</v>
      </c>
      <c r="L674" s="7" t="s">
        <v>9564</v>
      </c>
      <c r="M674" s="7" t="s">
        <v>9542</v>
      </c>
      <c r="N674" s="45" t="str">
        <f t="shared" si="542"/>
        <v>@iupsoftball</v>
      </c>
      <c r="O674" s="45" t="str">
        <f t="shared" si="543"/>
        <v>Questionnaire</v>
      </c>
      <c r="P674" s="48" t="s">
        <v>9548</v>
      </c>
      <c r="Q674" s="47" t="s">
        <v>1231</v>
      </c>
      <c r="R674" s="48" t="s">
        <v>2602</v>
      </c>
      <c r="S674" s="48" t="s">
        <v>172</v>
      </c>
      <c r="T674" s="73" t="s">
        <v>74</v>
      </c>
      <c r="U674" s="49" t="s">
        <v>75</v>
      </c>
      <c r="V674" s="55"/>
      <c r="W674" s="44">
        <v>3.2</v>
      </c>
      <c r="X674" s="49" t="s">
        <v>1338</v>
      </c>
      <c r="Y674" s="49" t="s">
        <v>1785</v>
      </c>
      <c r="Z674" s="49" t="s">
        <v>1339</v>
      </c>
      <c r="AA674" s="61">
        <v>0.92</v>
      </c>
      <c r="AB674" s="48" t="s">
        <v>9555</v>
      </c>
      <c r="AC674" s="92" t="s">
        <v>9548</v>
      </c>
      <c r="AD674" s="53" t="str">
        <f t="shared" si="544"/>
        <v>Link</v>
      </c>
      <c r="AE674" s="54">
        <v>10743</v>
      </c>
      <c r="AF674" s="55"/>
      <c r="AG674" s="85"/>
      <c r="AH674" s="56">
        <v>213020</v>
      </c>
      <c r="AI674" s="7"/>
      <c r="AJ674" s="7"/>
      <c r="AK674" s="7"/>
    </row>
    <row r="675" spans="1:37" ht="13" x14ac:dyDescent="0.15">
      <c r="A675" s="57" t="s">
        <v>9297</v>
      </c>
      <c r="B675" s="31" t="s">
        <v>7298</v>
      </c>
      <c r="C675" s="7" t="s">
        <v>41</v>
      </c>
      <c r="D675" s="7" t="s">
        <v>9568</v>
      </c>
      <c r="E675" s="44">
        <v>5</v>
      </c>
      <c r="F675" s="7"/>
      <c r="G675" s="7"/>
      <c r="H675" s="2" t="s">
        <v>9538</v>
      </c>
      <c r="I675" s="7" t="s">
        <v>1629</v>
      </c>
      <c r="J675" s="7" t="s">
        <v>9569</v>
      </c>
      <c r="K675" s="7" t="s">
        <v>139</v>
      </c>
      <c r="L675" s="7" t="s">
        <v>9570</v>
      </c>
      <c r="M675" s="7" t="s">
        <v>9542</v>
      </c>
      <c r="N675" s="45" t="str">
        <f t="shared" si="542"/>
        <v>@iupsoftball</v>
      </c>
      <c r="O675" s="45" t="str">
        <f t="shared" si="543"/>
        <v>Questionnaire</v>
      </c>
      <c r="P675" s="48" t="s">
        <v>9548</v>
      </c>
      <c r="Q675" s="47" t="s">
        <v>1231</v>
      </c>
      <c r="R675" s="48" t="s">
        <v>2602</v>
      </c>
      <c r="S675" s="48" t="s">
        <v>172</v>
      </c>
      <c r="T675" s="73" t="s">
        <v>74</v>
      </c>
      <c r="U675" s="49" t="s">
        <v>75</v>
      </c>
      <c r="V675" s="55"/>
      <c r="W675" s="44">
        <v>3.2</v>
      </c>
      <c r="X675" s="49" t="s">
        <v>1338</v>
      </c>
      <c r="Y675" s="49" t="s">
        <v>1785</v>
      </c>
      <c r="Z675" s="49" t="s">
        <v>1339</v>
      </c>
      <c r="AA675" s="61">
        <v>0.92</v>
      </c>
      <c r="AB675" s="48" t="s">
        <v>9555</v>
      </c>
      <c r="AC675" s="92" t="s">
        <v>9548</v>
      </c>
      <c r="AD675" s="53" t="str">
        <f t="shared" si="544"/>
        <v>Link</v>
      </c>
      <c r="AE675" s="54">
        <v>10743</v>
      </c>
      <c r="AF675" s="55"/>
      <c r="AG675" s="85"/>
      <c r="AH675" s="56">
        <v>213020</v>
      </c>
      <c r="AI675" s="7"/>
      <c r="AJ675" s="7"/>
      <c r="AK675" s="7"/>
    </row>
    <row r="676" spans="1:37" ht="13" x14ac:dyDescent="0.15">
      <c r="A676" s="57" t="s">
        <v>2641</v>
      </c>
      <c r="B676" s="31" t="s">
        <v>7298</v>
      </c>
      <c r="C676" s="7" t="s">
        <v>41</v>
      </c>
      <c r="D676" s="7" t="s">
        <v>9576</v>
      </c>
      <c r="E676" s="58">
        <v>5</v>
      </c>
      <c r="F676" s="7" t="s">
        <v>116</v>
      </c>
      <c r="G676" s="7"/>
      <c r="H676" s="2" t="s">
        <v>9577</v>
      </c>
      <c r="I676" s="7" t="s">
        <v>9578</v>
      </c>
      <c r="J676" s="7" t="s">
        <v>2031</v>
      </c>
      <c r="K676" s="7" t="s">
        <v>139</v>
      </c>
      <c r="L676" s="7" t="s">
        <v>9579</v>
      </c>
      <c r="M676" s="7"/>
      <c r="N676" s="45" t="str">
        <f t="shared" ref="N676:N678" si="545">HYPERLINK("twitter.com/jeffersonramssb","@jeffersonramssb")</f>
        <v>@jeffersonramssb</v>
      </c>
      <c r="O676" s="45" t="str">
        <f t="shared" ref="O676:O678" si="546">HYPERLINK("http://www.jeffersonrams.com/compliance/recruitingquestionnaires","Questionnaire")</f>
        <v>Questionnaire</v>
      </c>
      <c r="P676" s="48" t="s">
        <v>9585</v>
      </c>
      <c r="Q676" s="47" t="s">
        <v>1231</v>
      </c>
      <c r="R676" s="6" t="s">
        <v>2043</v>
      </c>
      <c r="S676" s="48" t="s">
        <v>172</v>
      </c>
      <c r="T676" s="49" t="s">
        <v>63</v>
      </c>
      <c r="U676" s="49" t="s">
        <v>75</v>
      </c>
      <c r="V676" s="55"/>
      <c r="W676" s="44">
        <v>3.71</v>
      </c>
      <c r="X676" s="49" t="s">
        <v>214</v>
      </c>
      <c r="Y676" s="49" t="s">
        <v>214</v>
      </c>
      <c r="Z676" s="49" t="s">
        <v>214</v>
      </c>
      <c r="AA676" s="55" t="s">
        <v>214</v>
      </c>
      <c r="AB676" s="48" t="s">
        <v>9587</v>
      </c>
      <c r="AC676" s="62" t="s">
        <v>9585</v>
      </c>
      <c r="AD676" s="53" t="str">
        <f t="shared" ref="AD676:AD678" si="547">HYPERLINK("http://www.philau.edu/catalog/minors-concentrations.html","Link")</f>
        <v>Link</v>
      </c>
      <c r="AE676" s="54">
        <v>4692</v>
      </c>
      <c r="AF676" s="55"/>
      <c r="AG676" s="85"/>
      <c r="AH676" s="111">
        <v>177676</v>
      </c>
      <c r="AI676" s="59"/>
      <c r="AJ676" s="59"/>
      <c r="AK676" s="56"/>
    </row>
    <row r="677" spans="1:37" ht="13" x14ac:dyDescent="0.15">
      <c r="A677" s="57" t="s">
        <v>2641</v>
      </c>
      <c r="B677" s="31" t="s">
        <v>7298</v>
      </c>
      <c r="C677" s="7" t="s">
        <v>41</v>
      </c>
      <c r="D677" s="7" t="s">
        <v>9590</v>
      </c>
      <c r="E677" s="44">
        <v>5</v>
      </c>
      <c r="F677" s="7"/>
      <c r="G677" s="7"/>
      <c r="H677" s="2" t="s">
        <v>9577</v>
      </c>
      <c r="I677" s="7" t="s">
        <v>754</v>
      </c>
      <c r="J677" s="7" t="s">
        <v>9591</v>
      </c>
      <c r="K677" s="7" t="s">
        <v>48</v>
      </c>
      <c r="L677" s="7" t="s">
        <v>9592</v>
      </c>
      <c r="M677" s="7" t="s">
        <v>9593</v>
      </c>
      <c r="N677" s="45" t="str">
        <f t="shared" si="545"/>
        <v>@jeffersonramssb</v>
      </c>
      <c r="O677" s="45" t="str">
        <f t="shared" si="546"/>
        <v>Questionnaire</v>
      </c>
      <c r="P677" s="48" t="s">
        <v>9585</v>
      </c>
      <c r="Q677" s="47" t="s">
        <v>1231</v>
      </c>
      <c r="R677" s="6" t="s">
        <v>2043</v>
      </c>
      <c r="S677" s="48" t="s">
        <v>172</v>
      </c>
      <c r="T677" s="49" t="s">
        <v>63</v>
      </c>
      <c r="U677" s="49" t="s">
        <v>75</v>
      </c>
      <c r="V677" s="55"/>
      <c r="W677" s="44">
        <v>3.71</v>
      </c>
      <c r="X677" s="49" t="s">
        <v>214</v>
      </c>
      <c r="Y677" s="49" t="s">
        <v>214</v>
      </c>
      <c r="Z677" s="49" t="s">
        <v>214</v>
      </c>
      <c r="AA677" s="55" t="s">
        <v>214</v>
      </c>
      <c r="AB677" s="48" t="s">
        <v>9587</v>
      </c>
      <c r="AC677" s="62" t="s">
        <v>9585</v>
      </c>
      <c r="AD677" s="53" t="str">
        <f t="shared" si="547"/>
        <v>Link</v>
      </c>
      <c r="AE677" s="54">
        <v>4692</v>
      </c>
      <c r="AF677" s="55"/>
      <c r="AG677" s="85"/>
      <c r="AH677" s="56">
        <v>177676</v>
      </c>
      <c r="AI677" s="7"/>
      <c r="AJ677" s="7"/>
      <c r="AK677" s="7"/>
    </row>
    <row r="678" spans="1:37" ht="13" x14ac:dyDescent="0.15">
      <c r="A678" s="57" t="s">
        <v>2641</v>
      </c>
      <c r="B678" s="31" t="s">
        <v>7298</v>
      </c>
      <c r="C678" s="7" t="s">
        <v>41</v>
      </c>
      <c r="D678" s="7" t="s">
        <v>9600</v>
      </c>
      <c r="E678" s="44">
        <v>5</v>
      </c>
      <c r="F678" s="7"/>
      <c r="G678" s="7"/>
      <c r="H678" s="2" t="s">
        <v>9577</v>
      </c>
      <c r="I678" s="7" t="s">
        <v>1528</v>
      </c>
      <c r="J678" s="7" t="s">
        <v>9601</v>
      </c>
      <c r="K678" s="7" t="s">
        <v>55</v>
      </c>
      <c r="L678" s="7" t="s">
        <v>9602</v>
      </c>
      <c r="M678" s="7"/>
      <c r="N678" s="45" t="str">
        <f t="shared" si="545"/>
        <v>@jeffersonramssb</v>
      </c>
      <c r="O678" s="45" t="str">
        <f t="shared" si="546"/>
        <v>Questionnaire</v>
      </c>
      <c r="P678" s="48" t="s">
        <v>9585</v>
      </c>
      <c r="Q678" s="47" t="s">
        <v>1231</v>
      </c>
      <c r="R678" s="6" t="s">
        <v>2043</v>
      </c>
      <c r="S678" s="48" t="s">
        <v>172</v>
      </c>
      <c r="T678" s="49" t="s">
        <v>63</v>
      </c>
      <c r="U678" s="49" t="s">
        <v>75</v>
      </c>
      <c r="V678" s="55"/>
      <c r="W678" s="44">
        <v>3.71</v>
      </c>
      <c r="X678" s="49" t="s">
        <v>214</v>
      </c>
      <c r="Y678" s="49" t="s">
        <v>214</v>
      </c>
      <c r="Z678" s="49" t="s">
        <v>214</v>
      </c>
      <c r="AA678" s="55" t="s">
        <v>214</v>
      </c>
      <c r="AB678" s="48" t="s">
        <v>9587</v>
      </c>
      <c r="AC678" s="62" t="s">
        <v>9585</v>
      </c>
      <c r="AD678" s="53" t="str">
        <f t="shared" si="547"/>
        <v>Link</v>
      </c>
      <c r="AE678" s="54">
        <v>4692</v>
      </c>
      <c r="AF678" s="55"/>
      <c r="AG678" s="85"/>
      <c r="AH678" s="56">
        <v>177676</v>
      </c>
      <c r="AI678" s="7"/>
      <c r="AJ678" s="7"/>
      <c r="AK678" s="7"/>
    </row>
    <row r="679" spans="1:37" ht="13" x14ac:dyDescent="0.15">
      <c r="A679" s="57"/>
      <c r="B679" s="31" t="s">
        <v>7298</v>
      </c>
      <c r="C679" s="7" t="s">
        <v>41</v>
      </c>
      <c r="D679" s="7" t="s">
        <v>9610</v>
      </c>
      <c r="E679" s="44">
        <v>5</v>
      </c>
      <c r="F679" s="7"/>
      <c r="G679" s="7"/>
      <c r="H679" s="2" t="s">
        <v>9613</v>
      </c>
      <c r="I679" s="7" t="s">
        <v>9615</v>
      </c>
      <c r="J679" s="7" t="s">
        <v>9616</v>
      </c>
      <c r="K679" s="7" t="s">
        <v>55</v>
      </c>
      <c r="L679" s="7"/>
      <c r="M679" s="7"/>
      <c r="N679" s="7"/>
      <c r="O679" s="7"/>
      <c r="P679" s="48" t="s">
        <v>9617</v>
      </c>
      <c r="Q679" s="60" t="s">
        <v>1231</v>
      </c>
      <c r="R679" s="48" t="s">
        <v>9618</v>
      </c>
      <c r="S679" s="60" t="s">
        <v>205</v>
      </c>
      <c r="T679" s="49" t="s">
        <v>74</v>
      </c>
      <c r="U679" s="49" t="s">
        <v>75</v>
      </c>
      <c r="V679" s="55"/>
      <c r="W679" s="44">
        <v>3.2</v>
      </c>
      <c r="X679" s="49" t="s">
        <v>1145</v>
      </c>
      <c r="Y679" s="49" t="s">
        <v>1145</v>
      </c>
      <c r="Z679" s="49" t="s">
        <v>2307</v>
      </c>
      <c r="AA679" s="61">
        <v>0.8</v>
      </c>
      <c r="AB679" s="48" t="s">
        <v>9619</v>
      </c>
      <c r="AC679" s="62" t="s">
        <v>9617</v>
      </c>
      <c r="AD679" s="53" t="str">
        <f t="shared" ref="AD679:AD684" si="548">HYPERLINK("https://www.kutztown.edu/academics/undergraduate-programs.htm","Link")</f>
        <v>Link</v>
      </c>
      <c r="AE679" s="54">
        <v>7718</v>
      </c>
      <c r="AF679" s="55"/>
      <c r="AG679" s="85"/>
      <c r="AH679" s="56">
        <v>213349</v>
      </c>
      <c r="AI679" s="85"/>
      <c r="AJ679" s="85"/>
      <c r="AK679" s="85"/>
    </row>
    <row r="680" spans="1:37" ht="13" x14ac:dyDescent="0.15">
      <c r="A680" s="57"/>
      <c r="B680" s="31" t="s">
        <v>7298</v>
      </c>
      <c r="C680" s="7" t="s">
        <v>41</v>
      </c>
      <c r="D680" s="7" t="s">
        <v>9622</v>
      </c>
      <c r="E680" s="44">
        <v>5</v>
      </c>
      <c r="F680" s="7"/>
      <c r="G680" s="7"/>
      <c r="H680" s="2" t="s">
        <v>9613</v>
      </c>
      <c r="I680" s="7" t="s">
        <v>9623</v>
      </c>
      <c r="J680" s="7" t="s">
        <v>2038</v>
      </c>
      <c r="K680" s="7" t="s">
        <v>55</v>
      </c>
      <c r="L680" s="7"/>
      <c r="M680" s="7"/>
      <c r="N680" s="7"/>
      <c r="O680" s="7"/>
      <c r="P680" s="48" t="s">
        <v>9617</v>
      </c>
      <c r="Q680" s="60" t="s">
        <v>1231</v>
      </c>
      <c r="R680" s="48" t="s">
        <v>9618</v>
      </c>
      <c r="S680" s="60" t="s">
        <v>205</v>
      </c>
      <c r="T680" s="49" t="s">
        <v>74</v>
      </c>
      <c r="U680" s="49" t="s">
        <v>75</v>
      </c>
      <c r="V680" s="55"/>
      <c r="W680" s="44">
        <v>3.2</v>
      </c>
      <c r="X680" s="49" t="s">
        <v>1145</v>
      </c>
      <c r="Y680" s="49" t="s">
        <v>1145</v>
      </c>
      <c r="Z680" s="49" t="s">
        <v>2307</v>
      </c>
      <c r="AA680" s="61">
        <v>0.8</v>
      </c>
      <c r="AB680" s="48" t="s">
        <v>9619</v>
      </c>
      <c r="AC680" s="62" t="s">
        <v>9617</v>
      </c>
      <c r="AD680" s="53" t="str">
        <f t="shared" si="548"/>
        <v>Link</v>
      </c>
      <c r="AE680" s="54">
        <v>7718</v>
      </c>
      <c r="AF680" s="55"/>
      <c r="AG680" s="85"/>
      <c r="AH680" s="56">
        <v>213349</v>
      </c>
      <c r="AI680" s="85"/>
      <c r="AJ680" s="85"/>
      <c r="AK680" s="85"/>
    </row>
    <row r="681" spans="1:37" ht="13" x14ac:dyDescent="0.15">
      <c r="A681" s="57"/>
      <c r="B681" s="31" t="s">
        <v>7298</v>
      </c>
      <c r="C681" s="7" t="s">
        <v>41</v>
      </c>
      <c r="D681" s="7" t="s">
        <v>9628</v>
      </c>
      <c r="E681" s="44">
        <v>5</v>
      </c>
      <c r="F681" s="7"/>
      <c r="G681" s="7"/>
      <c r="H681" s="2" t="s">
        <v>9613</v>
      </c>
      <c r="I681" s="7" t="s">
        <v>9630</v>
      </c>
      <c r="J681" s="7" t="s">
        <v>9632</v>
      </c>
      <c r="K681" s="7" t="s">
        <v>55</v>
      </c>
      <c r="L681" s="7"/>
      <c r="M681" s="7"/>
      <c r="N681" s="7"/>
      <c r="O681" s="7"/>
      <c r="P681" s="48" t="s">
        <v>9617</v>
      </c>
      <c r="Q681" s="60" t="s">
        <v>1231</v>
      </c>
      <c r="R681" s="48" t="s">
        <v>9618</v>
      </c>
      <c r="S681" s="60" t="s">
        <v>205</v>
      </c>
      <c r="T681" s="49" t="s">
        <v>74</v>
      </c>
      <c r="U681" s="49" t="s">
        <v>75</v>
      </c>
      <c r="V681" s="55"/>
      <c r="W681" s="44">
        <v>3.2</v>
      </c>
      <c r="X681" s="49" t="s">
        <v>1145</v>
      </c>
      <c r="Y681" s="49" t="s">
        <v>1145</v>
      </c>
      <c r="Z681" s="49" t="s">
        <v>2307</v>
      </c>
      <c r="AA681" s="61">
        <v>0.8</v>
      </c>
      <c r="AB681" s="48" t="s">
        <v>9619</v>
      </c>
      <c r="AC681" s="62" t="s">
        <v>9617</v>
      </c>
      <c r="AD681" s="53" t="str">
        <f t="shared" si="548"/>
        <v>Link</v>
      </c>
      <c r="AE681" s="54">
        <v>7718</v>
      </c>
      <c r="AF681" s="55"/>
      <c r="AG681" s="85"/>
      <c r="AH681" s="56">
        <v>213349</v>
      </c>
      <c r="AI681" s="85"/>
      <c r="AJ681" s="85"/>
      <c r="AK681" s="85"/>
    </row>
    <row r="682" spans="1:37" ht="13" x14ac:dyDescent="0.15">
      <c r="A682" s="57"/>
      <c r="B682" s="31" t="s">
        <v>7298</v>
      </c>
      <c r="C682" s="7" t="s">
        <v>41</v>
      </c>
      <c r="D682" s="7" t="s">
        <v>9637</v>
      </c>
      <c r="E682" s="44">
        <v>5</v>
      </c>
      <c r="F682" s="7"/>
      <c r="G682" s="7"/>
      <c r="H682" s="2" t="s">
        <v>9613</v>
      </c>
      <c r="I682" s="7" t="s">
        <v>5963</v>
      </c>
      <c r="J682" s="7" t="s">
        <v>9638</v>
      </c>
      <c r="K682" s="7" t="s">
        <v>55</v>
      </c>
      <c r="L682" s="7" t="s">
        <v>9639</v>
      </c>
      <c r="M682" s="7" t="s">
        <v>9640</v>
      </c>
      <c r="N682" s="7"/>
      <c r="O682" s="7"/>
      <c r="P682" s="48" t="s">
        <v>9617</v>
      </c>
      <c r="Q682" s="60" t="s">
        <v>1231</v>
      </c>
      <c r="R682" s="48" t="s">
        <v>9618</v>
      </c>
      <c r="S682" s="60" t="s">
        <v>205</v>
      </c>
      <c r="T682" s="49" t="s">
        <v>74</v>
      </c>
      <c r="U682" s="49" t="s">
        <v>75</v>
      </c>
      <c r="V682" s="55"/>
      <c r="W682" s="44">
        <v>3.2</v>
      </c>
      <c r="X682" s="49" t="s">
        <v>1145</v>
      </c>
      <c r="Y682" s="49" t="s">
        <v>1145</v>
      </c>
      <c r="Z682" s="49" t="s">
        <v>2307</v>
      </c>
      <c r="AA682" s="61">
        <v>0.8</v>
      </c>
      <c r="AB682" s="48" t="s">
        <v>9619</v>
      </c>
      <c r="AC682" s="62" t="s">
        <v>9617</v>
      </c>
      <c r="AD682" s="53" t="str">
        <f t="shared" si="548"/>
        <v>Link</v>
      </c>
      <c r="AE682" s="54">
        <v>7718</v>
      </c>
      <c r="AF682" s="55"/>
      <c r="AG682" s="85"/>
      <c r="AH682" s="56">
        <v>213349</v>
      </c>
      <c r="AI682" s="85"/>
      <c r="AJ682" s="85"/>
      <c r="AK682" s="85"/>
    </row>
    <row r="683" spans="1:37" ht="13" x14ac:dyDescent="0.15">
      <c r="A683" s="57" t="s">
        <v>9297</v>
      </c>
      <c r="B683" s="31" t="s">
        <v>7298</v>
      </c>
      <c r="C683" s="7" t="s">
        <v>41</v>
      </c>
      <c r="D683" s="7" t="s">
        <v>9647</v>
      </c>
      <c r="E683" s="44">
        <v>5</v>
      </c>
      <c r="F683" s="7"/>
      <c r="G683" s="7"/>
      <c r="H683" s="2" t="s">
        <v>9613</v>
      </c>
      <c r="I683" s="7" t="s">
        <v>9648</v>
      </c>
      <c r="J683" s="7" t="s">
        <v>9649</v>
      </c>
      <c r="K683" s="7" t="s">
        <v>48</v>
      </c>
      <c r="L683" s="7" t="s">
        <v>9650</v>
      </c>
      <c r="M683" s="7" t="s">
        <v>9651</v>
      </c>
      <c r="N683" s="45" t="str">
        <f t="shared" ref="N683:N684" si="549">HYPERLINK("twitter.com/KU_Softball","@KU_Softball")</f>
        <v>@KU_Softball</v>
      </c>
      <c r="O683" s="45" t="str">
        <f t="shared" ref="O683:O684" si="550">HYPERLINK("https://kubears.com/sports/2014/11/26/GEN_1126145952.aspx","Questionnaire")</f>
        <v>Questionnaire</v>
      </c>
      <c r="P683" s="48" t="s">
        <v>9617</v>
      </c>
      <c r="Q683" s="60" t="s">
        <v>1231</v>
      </c>
      <c r="R683" s="48" t="s">
        <v>9618</v>
      </c>
      <c r="S683" s="60" t="s">
        <v>205</v>
      </c>
      <c r="T683" s="49" t="s">
        <v>74</v>
      </c>
      <c r="U683" s="49" t="s">
        <v>75</v>
      </c>
      <c r="V683" s="55"/>
      <c r="W683" s="44">
        <v>3.2</v>
      </c>
      <c r="X683" s="49" t="s">
        <v>1145</v>
      </c>
      <c r="Y683" s="49" t="s">
        <v>1145</v>
      </c>
      <c r="Z683" s="49" t="s">
        <v>2307</v>
      </c>
      <c r="AA683" s="61">
        <v>0.8</v>
      </c>
      <c r="AB683" s="48" t="s">
        <v>9619</v>
      </c>
      <c r="AC683" s="62" t="s">
        <v>9617</v>
      </c>
      <c r="AD683" s="53" t="str">
        <f t="shared" si="548"/>
        <v>Link</v>
      </c>
      <c r="AE683" s="54">
        <v>7718</v>
      </c>
      <c r="AF683" s="55"/>
      <c r="AG683" s="85"/>
      <c r="AH683" s="56">
        <v>213349</v>
      </c>
      <c r="AI683" s="7"/>
      <c r="AJ683" s="7"/>
      <c r="AK683" s="7"/>
    </row>
    <row r="684" spans="1:37" ht="13" x14ac:dyDescent="0.15">
      <c r="A684" s="57" t="s">
        <v>9297</v>
      </c>
      <c r="B684" s="31" t="s">
        <v>7298</v>
      </c>
      <c r="C684" s="7" t="s">
        <v>41</v>
      </c>
      <c r="D684" s="7" t="s">
        <v>9660</v>
      </c>
      <c r="E684" s="44">
        <v>5</v>
      </c>
      <c r="F684" s="7"/>
      <c r="G684" s="7"/>
      <c r="H684" s="2" t="s">
        <v>9613</v>
      </c>
      <c r="I684" s="7" t="s">
        <v>481</v>
      </c>
      <c r="J684" s="7" t="s">
        <v>9661</v>
      </c>
      <c r="K684" s="7" t="s">
        <v>139</v>
      </c>
      <c r="L684" s="7"/>
      <c r="M684" s="7"/>
      <c r="N684" s="45" t="str">
        <f t="shared" si="549"/>
        <v>@KU_Softball</v>
      </c>
      <c r="O684" s="45" t="str">
        <f t="shared" si="550"/>
        <v>Questionnaire</v>
      </c>
      <c r="P684" s="48" t="s">
        <v>9617</v>
      </c>
      <c r="Q684" s="60" t="s">
        <v>1231</v>
      </c>
      <c r="R684" s="48" t="s">
        <v>9618</v>
      </c>
      <c r="S684" s="60" t="s">
        <v>205</v>
      </c>
      <c r="T684" s="49" t="s">
        <v>74</v>
      </c>
      <c r="U684" s="49" t="s">
        <v>75</v>
      </c>
      <c r="V684" s="55"/>
      <c r="W684" s="44">
        <v>3.2</v>
      </c>
      <c r="X684" s="49" t="s">
        <v>1145</v>
      </c>
      <c r="Y684" s="49" t="s">
        <v>1145</v>
      </c>
      <c r="Z684" s="49" t="s">
        <v>2307</v>
      </c>
      <c r="AA684" s="61">
        <v>0.8</v>
      </c>
      <c r="AB684" s="48" t="s">
        <v>9619</v>
      </c>
      <c r="AC684" s="62" t="s">
        <v>9617</v>
      </c>
      <c r="AD684" s="53" t="str">
        <f t="shared" si="548"/>
        <v>Link</v>
      </c>
      <c r="AE684" s="54">
        <v>7718</v>
      </c>
      <c r="AF684" s="55"/>
      <c r="AG684" s="85"/>
      <c r="AH684" s="56">
        <v>213349</v>
      </c>
      <c r="AI684" s="7"/>
      <c r="AJ684" s="7"/>
      <c r="AK684" s="7"/>
    </row>
    <row r="685" spans="1:37" ht="13" x14ac:dyDescent="0.15">
      <c r="A685" s="57" t="s">
        <v>9297</v>
      </c>
      <c r="B685" s="31" t="s">
        <v>7298</v>
      </c>
      <c r="C685" s="7" t="s">
        <v>41</v>
      </c>
      <c r="D685" s="7" t="s">
        <v>9669</v>
      </c>
      <c r="E685" s="44">
        <v>5</v>
      </c>
      <c r="F685" s="7"/>
      <c r="G685" s="7"/>
      <c r="H685" s="2" t="s">
        <v>9670</v>
      </c>
      <c r="I685" s="7" t="s">
        <v>484</v>
      </c>
      <c r="J685" s="7" t="s">
        <v>1307</v>
      </c>
      <c r="K685" s="7" t="s">
        <v>48</v>
      </c>
      <c r="L685" s="7" t="s">
        <v>9671</v>
      </c>
      <c r="M685" s="7" t="s">
        <v>9672</v>
      </c>
      <c r="N685" s="45" t="str">
        <f t="shared" ref="N685:N686" si="551">HYPERLINK("twitter.com/lhusoftball","@lhusoftball")</f>
        <v>@lhusoftball</v>
      </c>
      <c r="O685" s="45" t="str">
        <f t="shared" ref="O685:O686" si="552">HYPERLINK("https://www.golhu.com/sb_output.aspx?form=7","Questionnaire")</f>
        <v>Questionnaire</v>
      </c>
      <c r="P685" s="48" t="s">
        <v>9685</v>
      </c>
      <c r="Q685" s="47" t="s">
        <v>1231</v>
      </c>
      <c r="R685" s="48" t="s">
        <v>9685</v>
      </c>
      <c r="S685" s="60" t="s">
        <v>205</v>
      </c>
      <c r="T685" s="73" t="s">
        <v>74</v>
      </c>
      <c r="U685" s="49" t="s">
        <v>75</v>
      </c>
      <c r="V685" s="55"/>
      <c r="W685" s="44">
        <v>3.3</v>
      </c>
      <c r="X685" s="49" t="s">
        <v>1785</v>
      </c>
      <c r="Y685" s="49" t="s">
        <v>1452</v>
      </c>
      <c r="Z685" s="49" t="s">
        <v>1339</v>
      </c>
      <c r="AA685" s="61">
        <v>0.88</v>
      </c>
      <c r="AB685" s="48" t="s">
        <v>9688</v>
      </c>
      <c r="AC685" s="62" t="s">
        <v>9685</v>
      </c>
      <c r="AD685" s="53" t="str">
        <f t="shared" ref="AD685:AD686" si="553">HYPERLINK("https://lockhaven.edu/academics/programs.html","Link")</f>
        <v>Link</v>
      </c>
      <c r="AE685" s="54">
        <v>3845</v>
      </c>
      <c r="AF685" s="55"/>
      <c r="AG685" s="85"/>
      <c r="AH685" s="56">
        <v>213613</v>
      </c>
      <c r="AI685" s="7"/>
      <c r="AJ685" s="7"/>
      <c r="AK685" s="7"/>
    </row>
    <row r="686" spans="1:37" ht="13" x14ac:dyDescent="0.15">
      <c r="A686" s="57" t="s">
        <v>9297</v>
      </c>
      <c r="B686" s="31" t="s">
        <v>7298</v>
      </c>
      <c r="C686" s="7" t="s">
        <v>41</v>
      </c>
      <c r="D686" s="7" t="s">
        <v>9690</v>
      </c>
      <c r="E686" s="44">
        <v>5</v>
      </c>
      <c r="F686" s="7"/>
      <c r="G686" s="7"/>
      <c r="H686" s="2" t="s">
        <v>9670</v>
      </c>
      <c r="I686" s="7" t="s">
        <v>1726</v>
      </c>
      <c r="J686" s="7" t="s">
        <v>9691</v>
      </c>
      <c r="K686" s="7" t="s">
        <v>55</v>
      </c>
      <c r="L686" s="7" t="s">
        <v>9693</v>
      </c>
      <c r="M686" s="7" t="s">
        <v>9695</v>
      </c>
      <c r="N686" s="45" t="str">
        <f t="shared" si="551"/>
        <v>@lhusoftball</v>
      </c>
      <c r="O686" s="45" t="str">
        <f t="shared" si="552"/>
        <v>Questionnaire</v>
      </c>
      <c r="P686" s="48" t="s">
        <v>9685</v>
      </c>
      <c r="Q686" s="47" t="s">
        <v>1231</v>
      </c>
      <c r="R686" s="48" t="s">
        <v>9685</v>
      </c>
      <c r="S686" s="60" t="s">
        <v>205</v>
      </c>
      <c r="T686" s="73" t="s">
        <v>74</v>
      </c>
      <c r="U686" s="49" t="s">
        <v>75</v>
      </c>
      <c r="V686" s="55"/>
      <c r="W686" s="44">
        <v>3.3</v>
      </c>
      <c r="X686" s="49" t="s">
        <v>1785</v>
      </c>
      <c r="Y686" s="49" t="s">
        <v>1452</v>
      </c>
      <c r="Z686" s="49" t="s">
        <v>1339</v>
      </c>
      <c r="AA686" s="61">
        <v>0.88</v>
      </c>
      <c r="AB686" s="48" t="s">
        <v>9688</v>
      </c>
      <c r="AC686" s="62" t="s">
        <v>9685</v>
      </c>
      <c r="AD686" s="53" t="str">
        <f t="shared" si="553"/>
        <v>Link</v>
      </c>
      <c r="AE686" s="54">
        <v>3845</v>
      </c>
      <c r="AF686" s="55"/>
      <c r="AG686" s="85"/>
      <c r="AH686" s="56">
        <v>213613</v>
      </c>
      <c r="AI686" s="7"/>
      <c r="AJ686" s="7"/>
      <c r="AK686" s="7"/>
    </row>
    <row r="687" spans="1:37" ht="15" x14ac:dyDescent="0.2">
      <c r="A687" s="57" t="s">
        <v>9297</v>
      </c>
      <c r="B687" s="31" t="s">
        <v>7298</v>
      </c>
      <c r="C687" s="7" t="s">
        <v>41</v>
      </c>
      <c r="D687" s="7" t="s">
        <v>9700</v>
      </c>
      <c r="E687" s="58">
        <v>5</v>
      </c>
      <c r="F687" s="7" t="s">
        <v>116</v>
      </c>
      <c r="G687" s="7"/>
      <c r="H687" s="2" t="s">
        <v>9702</v>
      </c>
      <c r="I687" s="7" t="s">
        <v>4499</v>
      </c>
      <c r="J687" s="7" t="s">
        <v>4184</v>
      </c>
      <c r="K687" s="7" t="s">
        <v>55</v>
      </c>
      <c r="L687" s="7" t="s">
        <v>9703</v>
      </c>
      <c r="M687" s="7" t="s">
        <v>9705</v>
      </c>
      <c r="N687" s="7"/>
      <c r="O687" s="7"/>
      <c r="P687" s="48" t="s">
        <v>9706</v>
      </c>
      <c r="Q687" s="47" t="s">
        <v>1231</v>
      </c>
      <c r="R687" s="48" t="s">
        <v>9708</v>
      </c>
      <c r="S687" s="60" t="s">
        <v>205</v>
      </c>
      <c r="T687" s="49" t="s">
        <v>74</v>
      </c>
      <c r="U687" s="49" t="s">
        <v>75</v>
      </c>
      <c r="V687" s="55"/>
      <c r="W687" s="44">
        <v>3.35</v>
      </c>
      <c r="X687" s="49" t="s">
        <v>253</v>
      </c>
      <c r="Y687" s="49" t="s">
        <v>253</v>
      </c>
      <c r="Z687" s="49" t="s">
        <v>841</v>
      </c>
      <c r="AA687" s="61">
        <v>0.88</v>
      </c>
      <c r="AB687" s="48" t="s">
        <v>9713</v>
      </c>
      <c r="AC687" s="52" t="s">
        <v>9706</v>
      </c>
      <c r="AD687" s="53" t="str">
        <f t="shared" ref="AD687:AD689" si="554">HYPERLINK("https://www.mansfield.edu/academic-affairs/academic-programs.cfm","Link")</f>
        <v>Link</v>
      </c>
      <c r="AE687" s="54">
        <v>2100</v>
      </c>
      <c r="AF687" s="55"/>
      <c r="AG687" s="85"/>
      <c r="AH687" s="111">
        <v>213783</v>
      </c>
      <c r="AI687" s="59"/>
      <c r="AJ687" s="59"/>
      <c r="AK687" s="56"/>
    </row>
    <row r="688" spans="1:37" ht="15" x14ac:dyDescent="0.2">
      <c r="A688" s="57" t="s">
        <v>9297</v>
      </c>
      <c r="B688" s="31" t="s">
        <v>7298</v>
      </c>
      <c r="C688" s="7" t="s">
        <v>41</v>
      </c>
      <c r="D688" s="7" t="s">
        <v>9717</v>
      </c>
      <c r="E688" s="44">
        <v>5</v>
      </c>
      <c r="F688" s="7"/>
      <c r="G688" s="7"/>
      <c r="H688" s="2" t="s">
        <v>9702</v>
      </c>
      <c r="I688" s="7" t="s">
        <v>9719</v>
      </c>
      <c r="J688" s="7" t="s">
        <v>9720</v>
      </c>
      <c r="K688" s="7" t="s">
        <v>48</v>
      </c>
      <c r="L688" s="7" t="s">
        <v>9721</v>
      </c>
      <c r="M688" s="7" t="s">
        <v>9722</v>
      </c>
      <c r="N688" s="7"/>
      <c r="O688" s="7"/>
      <c r="P688" s="48" t="s">
        <v>9706</v>
      </c>
      <c r="Q688" s="47" t="s">
        <v>1231</v>
      </c>
      <c r="R688" s="48" t="s">
        <v>9708</v>
      </c>
      <c r="S688" s="60" t="s">
        <v>205</v>
      </c>
      <c r="T688" s="49" t="s">
        <v>74</v>
      </c>
      <c r="U688" s="49" t="s">
        <v>75</v>
      </c>
      <c r="V688" s="55"/>
      <c r="W688" s="44">
        <v>3.35</v>
      </c>
      <c r="X688" s="49" t="s">
        <v>253</v>
      </c>
      <c r="Y688" s="49" t="s">
        <v>253</v>
      </c>
      <c r="Z688" s="49" t="s">
        <v>841</v>
      </c>
      <c r="AA688" s="61">
        <v>0.88</v>
      </c>
      <c r="AB688" s="48" t="s">
        <v>9713</v>
      </c>
      <c r="AC688" s="52" t="s">
        <v>9706</v>
      </c>
      <c r="AD688" s="53" t="str">
        <f t="shared" si="554"/>
        <v>Link</v>
      </c>
      <c r="AE688" s="54">
        <v>2100</v>
      </c>
      <c r="AF688" s="55"/>
      <c r="AG688" s="85"/>
      <c r="AH688" s="56">
        <v>213783</v>
      </c>
      <c r="AI688" s="7"/>
      <c r="AJ688" s="7"/>
      <c r="AK688" s="7"/>
    </row>
    <row r="689" spans="1:37" ht="15" x14ac:dyDescent="0.2">
      <c r="A689" s="57" t="s">
        <v>9297</v>
      </c>
      <c r="B689" s="31" t="s">
        <v>7298</v>
      </c>
      <c r="C689" s="7" t="s">
        <v>41</v>
      </c>
      <c r="D689" s="7" t="s">
        <v>9733</v>
      </c>
      <c r="E689" s="44">
        <v>5</v>
      </c>
      <c r="F689" s="7"/>
      <c r="G689" s="7" t="s">
        <v>126</v>
      </c>
      <c r="H689" s="2" t="s">
        <v>9702</v>
      </c>
      <c r="I689" s="7" t="s">
        <v>9735</v>
      </c>
      <c r="J689" s="7"/>
      <c r="K689" s="7"/>
      <c r="L689" s="7"/>
      <c r="M689" s="7"/>
      <c r="N689" s="7"/>
      <c r="O689" s="7"/>
      <c r="P689" s="48" t="s">
        <v>9706</v>
      </c>
      <c r="Q689" s="47" t="s">
        <v>1231</v>
      </c>
      <c r="R689" s="48" t="s">
        <v>9708</v>
      </c>
      <c r="S689" s="60" t="s">
        <v>205</v>
      </c>
      <c r="T689" s="49" t="s">
        <v>74</v>
      </c>
      <c r="U689" s="49" t="s">
        <v>75</v>
      </c>
      <c r="V689" s="55"/>
      <c r="W689" s="44">
        <v>3.35</v>
      </c>
      <c r="X689" s="49" t="s">
        <v>253</v>
      </c>
      <c r="Y689" s="49" t="s">
        <v>253</v>
      </c>
      <c r="Z689" s="49" t="s">
        <v>841</v>
      </c>
      <c r="AA689" s="61">
        <v>0.88</v>
      </c>
      <c r="AB689" s="48" t="s">
        <v>9713</v>
      </c>
      <c r="AC689" s="52" t="s">
        <v>9706</v>
      </c>
      <c r="AD689" s="53" t="str">
        <f t="shared" si="554"/>
        <v>Link</v>
      </c>
      <c r="AE689" s="54">
        <v>2100</v>
      </c>
      <c r="AF689" s="55"/>
      <c r="AG689" s="85"/>
      <c r="AH689" s="56">
        <v>213783</v>
      </c>
      <c r="AI689" s="7"/>
      <c r="AJ689" s="7"/>
      <c r="AK689" s="7"/>
    </row>
    <row r="690" spans="1:37" ht="13" x14ac:dyDescent="0.15">
      <c r="A690" s="57" t="s">
        <v>9297</v>
      </c>
      <c r="B690" s="31" t="s">
        <v>7298</v>
      </c>
      <c r="C690" s="7" t="s">
        <v>41</v>
      </c>
      <c r="D690" s="7" t="s">
        <v>9746</v>
      </c>
      <c r="E690" s="58">
        <v>5</v>
      </c>
      <c r="F690" s="7" t="s">
        <v>116</v>
      </c>
      <c r="G690" s="7"/>
      <c r="H690" s="2" t="s">
        <v>9747</v>
      </c>
      <c r="I690" s="7" t="s">
        <v>1307</v>
      </c>
      <c r="J690" s="7" t="s">
        <v>9748</v>
      </c>
      <c r="K690" s="7" t="s">
        <v>139</v>
      </c>
      <c r="L690" s="7"/>
      <c r="M690" s="7"/>
      <c r="N690" s="7"/>
      <c r="O690" s="45" t="str">
        <f t="shared" ref="O690:O694" si="555">HYPERLINK("https://hurstathletics.com/sports/2011/9/27/GEN_0927110018.aspx","Questionnaire")</f>
        <v>Questionnaire</v>
      </c>
      <c r="P690" s="48" t="s">
        <v>9752</v>
      </c>
      <c r="Q690" s="47" t="s">
        <v>1231</v>
      </c>
      <c r="R690" s="48" t="s">
        <v>9510</v>
      </c>
      <c r="S690" s="48" t="s">
        <v>238</v>
      </c>
      <c r="T690" s="73" t="s">
        <v>63</v>
      </c>
      <c r="U690" s="49" t="s">
        <v>343</v>
      </c>
      <c r="V690" s="55"/>
      <c r="W690" s="44">
        <v>3.3</v>
      </c>
      <c r="X690" s="49" t="s">
        <v>214</v>
      </c>
      <c r="Y690" s="49" t="s">
        <v>214</v>
      </c>
      <c r="Z690" s="49" t="s">
        <v>214</v>
      </c>
      <c r="AA690" s="61">
        <v>0.75</v>
      </c>
      <c r="AB690" s="71">
        <v>49215</v>
      </c>
      <c r="AC690" s="62" t="s">
        <v>9752</v>
      </c>
      <c r="AD690" s="53" t="str">
        <f t="shared" ref="AD690:AD694" si="556">HYPERLINK("http://www.mercyhurst.edu/academics/undergraduate-programs","Link")</f>
        <v>Link</v>
      </c>
      <c r="AE690" s="54">
        <v>2464</v>
      </c>
      <c r="AF690" s="55"/>
      <c r="AG690" s="85"/>
      <c r="AH690" s="111">
        <v>213987</v>
      </c>
      <c r="AI690" s="59"/>
      <c r="AJ690" s="59"/>
      <c r="AK690" s="56"/>
    </row>
    <row r="691" spans="1:37" ht="13" x14ac:dyDescent="0.15">
      <c r="A691" s="57" t="s">
        <v>9297</v>
      </c>
      <c r="B691" s="31" t="s">
        <v>7298</v>
      </c>
      <c r="C691" s="7" t="s">
        <v>41</v>
      </c>
      <c r="D691" s="7" t="s">
        <v>9761</v>
      </c>
      <c r="E691" s="44">
        <v>5</v>
      </c>
      <c r="F691" s="7"/>
      <c r="G691" s="7"/>
      <c r="H691" s="2" t="s">
        <v>9747</v>
      </c>
      <c r="I691" s="7" t="s">
        <v>4836</v>
      </c>
      <c r="J691" s="7" t="s">
        <v>131</v>
      </c>
      <c r="K691" s="7" t="s">
        <v>48</v>
      </c>
      <c r="L691" s="7" t="s">
        <v>9763</v>
      </c>
      <c r="M691" s="7" t="s">
        <v>9765</v>
      </c>
      <c r="N691" s="48"/>
      <c r="O691" s="45" t="str">
        <f t="shared" si="555"/>
        <v>Questionnaire</v>
      </c>
      <c r="P691" s="48" t="s">
        <v>9752</v>
      </c>
      <c r="Q691" s="47" t="s">
        <v>1231</v>
      </c>
      <c r="R691" s="48" t="s">
        <v>9510</v>
      </c>
      <c r="S691" s="48" t="s">
        <v>238</v>
      </c>
      <c r="T691" s="73" t="s">
        <v>63</v>
      </c>
      <c r="U691" s="49" t="s">
        <v>343</v>
      </c>
      <c r="V691" s="55"/>
      <c r="W691" s="44">
        <v>3.3</v>
      </c>
      <c r="X691" s="49" t="s">
        <v>214</v>
      </c>
      <c r="Y691" s="49" t="s">
        <v>214</v>
      </c>
      <c r="Z691" s="49" t="s">
        <v>214</v>
      </c>
      <c r="AA691" s="61">
        <v>0.75</v>
      </c>
      <c r="AB691" s="71">
        <v>49215</v>
      </c>
      <c r="AC691" s="62" t="s">
        <v>9752</v>
      </c>
      <c r="AD691" s="53" t="str">
        <f t="shared" si="556"/>
        <v>Link</v>
      </c>
      <c r="AE691" s="54">
        <v>2464</v>
      </c>
      <c r="AF691" s="55"/>
      <c r="AG691" s="85"/>
      <c r="AH691" s="56">
        <v>213987</v>
      </c>
      <c r="AI691" s="7"/>
      <c r="AJ691" s="7"/>
      <c r="AK691" s="7"/>
    </row>
    <row r="692" spans="1:37" ht="13" x14ac:dyDescent="0.15">
      <c r="A692" s="57" t="s">
        <v>9297</v>
      </c>
      <c r="B692" s="31" t="s">
        <v>7298</v>
      </c>
      <c r="C692" s="7" t="s">
        <v>41</v>
      </c>
      <c r="D692" s="7" t="s">
        <v>9768</v>
      </c>
      <c r="E692" s="44">
        <v>5</v>
      </c>
      <c r="F692" s="7"/>
      <c r="G692" s="7"/>
      <c r="H692" s="2" t="s">
        <v>9747</v>
      </c>
      <c r="I692" s="7" t="s">
        <v>3385</v>
      </c>
      <c r="J692" s="7" t="s">
        <v>9770</v>
      </c>
      <c r="K692" s="7" t="s">
        <v>55</v>
      </c>
      <c r="L692" s="7" t="s">
        <v>9772</v>
      </c>
      <c r="M692" s="7" t="s">
        <v>9765</v>
      </c>
      <c r="N692" s="48"/>
      <c r="O692" s="45" t="str">
        <f t="shared" si="555"/>
        <v>Questionnaire</v>
      </c>
      <c r="P692" s="48" t="s">
        <v>9752</v>
      </c>
      <c r="Q692" s="47" t="s">
        <v>1231</v>
      </c>
      <c r="R692" s="48" t="s">
        <v>9510</v>
      </c>
      <c r="S692" s="48" t="s">
        <v>238</v>
      </c>
      <c r="T692" s="73" t="s">
        <v>63</v>
      </c>
      <c r="U692" s="49" t="s">
        <v>343</v>
      </c>
      <c r="V692" s="55"/>
      <c r="W692" s="44">
        <v>3.3</v>
      </c>
      <c r="X692" s="49" t="s">
        <v>214</v>
      </c>
      <c r="Y692" s="49" t="s">
        <v>214</v>
      </c>
      <c r="Z692" s="49" t="s">
        <v>214</v>
      </c>
      <c r="AA692" s="61">
        <v>0.75</v>
      </c>
      <c r="AB692" s="71">
        <v>49215</v>
      </c>
      <c r="AC692" s="62" t="s">
        <v>9752</v>
      </c>
      <c r="AD692" s="53" t="str">
        <f t="shared" si="556"/>
        <v>Link</v>
      </c>
      <c r="AE692" s="54">
        <v>2464</v>
      </c>
      <c r="AF692" s="55"/>
      <c r="AG692" s="85"/>
      <c r="AH692" s="56">
        <v>213987</v>
      </c>
      <c r="AI692" s="7"/>
      <c r="AJ692" s="7"/>
      <c r="AK692" s="7"/>
    </row>
    <row r="693" spans="1:37" ht="13" x14ac:dyDescent="0.15">
      <c r="A693" s="57" t="s">
        <v>9297</v>
      </c>
      <c r="B693" s="31" t="s">
        <v>7298</v>
      </c>
      <c r="C693" s="7" t="s">
        <v>41</v>
      </c>
      <c r="D693" s="7" t="s">
        <v>9777</v>
      </c>
      <c r="E693" s="44">
        <v>5</v>
      </c>
      <c r="F693" s="7"/>
      <c r="G693" s="7" t="s">
        <v>126</v>
      </c>
      <c r="H693" s="2" t="s">
        <v>9747</v>
      </c>
      <c r="I693" s="7" t="s">
        <v>9779</v>
      </c>
      <c r="J693" s="7"/>
      <c r="K693" s="7"/>
      <c r="L693" s="7"/>
      <c r="M693" s="7"/>
      <c r="N693" s="48"/>
      <c r="O693" s="45" t="str">
        <f t="shared" si="555"/>
        <v>Questionnaire</v>
      </c>
      <c r="P693" s="48" t="s">
        <v>9752</v>
      </c>
      <c r="Q693" s="47" t="s">
        <v>1231</v>
      </c>
      <c r="R693" s="48" t="s">
        <v>9510</v>
      </c>
      <c r="S693" s="48" t="s">
        <v>238</v>
      </c>
      <c r="T693" s="73" t="s">
        <v>63</v>
      </c>
      <c r="U693" s="49" t="s">
        <v>343</v>
      </c>
      <c r="V693" s="55"/>
      <c r="W693" s="44">
        <v>3.3</v>
      </c>
      <c r="X693" s="49" t="s">
        <v>214</v>
      </c>
      <c r="Y693" s="49" t="s">
        <v>214</v>
      </c>
      <c r="Z693" s="49" t="s">
        <v>214</v>
      </c>
      <c r="AA693" s="61">
        <v>0.75</v>
      </c>
      <c r="AB693" s="71">
        <v>49215</v>
      </c>
      <c r="AC693" s="62" t="s">
        <v>9752</v>
      </c>
      <c r="AD693" s="53" t="str">
        <f t="shared" si="556"/>
        <v>Link</v>
      </c>
      <c r="AE693" s="54">
        <v>2464</v>
      </c>
      <c r="AF693" s="55"/>
      <c r="AG693" s="85"/>
      <c r="AH693" s="56">
        <v>213987</v>
      </c>
      <c r="AI693" s="7"/>
      <c r="AJ693" s="7"/>
      <c r="AK693" s="7"/>
    </row>
    <row r="694" spans="1:37" ht="13" x14ac:dyDescent="0.15">
      <c r="A694" s="57" t="s">
        <v>9297</v>
      </c>
      <c r="B694" s="31" t="s">
        <v>7298</v>
      </c>
      <c r="C694" s="7" t="s">
        <v>41</v>
      </c>
      <c r="D694" s="7" t="s">
        <v>9785</v>
      </c>
      <c r="E694" s="44">
        <v>5</v>
      </c>
      <c r="F694" s="7"/>
      <c r="G694" s="7"/>
      <c r="H694" s="2" t="s">
        <v>9747</v>
      </c>
      <c r="I694" s="7" t="s">
        <v>9786</v>
      </c>
      <c r="J694" s="7" t="s">
        <v>9787</v>
      </c>
      <c r="K694" s="7" t="s">
        <v>120</v>
      </c>
      <c r="L694" s="7" t="s">
        <v>9790</v>
      </c>
      <c r="M694" s="7"/>
      <c r="N694" s="7"/>
      <c r="O694" s="45" t="str">
        <f t="shared" si="555"/>
        <v>Questionnaire</v>
      </c>
      <c r="P694" s="48" t="s">
        <v>9752</v>
      </c>
      <c r="Q694" s="47" t="s">
        <v>1231</v>
      </c>
      <c r="R694" s="48" t="s">
        <v>9510</v>
      </c>
      <c r="S694" s="48" t="s">
        <v>238</v>
      </c>
      <c r="T694" s="73" t="s">
        <v>63</v>
      </c>
      <c r="U694" s="49" t="s">
        <v>343</v>
      </c>
      <c r="V694" s="55"/>
      <c r="W694" s="44">
        <v>3.3</v>
      </c>
      <c r="X694" s="49" t="s">
        <v>214</v>
      </c>
      <c r="Y694" s="49" t="s">
        <v>214</v>
      </c>
      <c r="Z694" s="49" t="s">
        <v>214</v>
      </c>
      <c r="AA694" s="61">
        <v>0.75</v>
      </c>
      <c r="AB694" s="71">
        <v>49215</v>
      </c>
      <c r="AC694" s="62" t="s">
        <v>9752</v>
      </c>
      <c r="AD694" s="53" t="str">
        <f t="shared" si="556"/>
        <v>Link</v>
      </c>
      <c r="AE694" s="54">
        <v>2464</v>
      </c>
      <c r="AF694" s="55"/>
      <c r="AG694" s="85"/>
      <c r="AH694" s="56">
        <v>213987</v>
      </c>
      <c r="AI694" s="7"/>
      <c r="AJ694" s="7"/>
      <c r="AK694" s="7"/>
    </row>
    <row r="695" spans="1:37" ht="15" x14ac:dyDescent="0.2">
      <c r="A695" s="57" t="s">
        <v>9297</v>
      </c>
      <c r="B695" s="31" t="s">
        <v>7298</v>
      </c>
      <c r="C695" s="7" t="s">
        <v>41</v>
      </c>
      <c r="D695" s="7" t="s">
        <v>9795</v>
      </c>
      <c r="E695" s="44">
        <v>5</v>
      </c>
      <c r="F695" s="7"/>
      <c r="G695" s="7"/>
      <c r="H695" s="2" t="s">
        <v>9799</v>
      </c>
      <c r="I695" s="7" t="s">
        <v>1092</v>
      </c>
      <c r="J695" s="7" t="s">
        <v>9801</v>
      </c>
      <c r="K695" s="7" t="s">
        <v>48</v>
      </c>
      <c r="L695" s="7" t="s">
        <v>9803</v>
      </c>
      <c r="M695" s="7" t="s">
        <v>9804</v>
      </c>
      <c r="N695" s="45" t="str">
        <f t="shared" ref="N695:N698" si="557">HYPERLINK("twitter.com/VilleSoftball","@VilleSoftball")</f>
        <v>@VilleSoftball</v>
      </c>
      <c r="O695" s="45" t="str">
        <f t="shared" ref="O695:O698" si="558">HYPERLINK("https://millersvilleathletics.com/sb_output.aspx?form=3","Questionnaire")</f>
        <v>Questionnaire</v>
      </c>
      <c r="P695" s="48" t="s">
        <v>9809</v>
      </c>
      <c r="Q695" s="47" t="s">
        <v>1231</v>
      </c>
      <c r="R695" s="48" t="s">
        <v>9809</v>
      </c>
      <c r="S695" s="60" t="s">
        <v>205</v>
      </c>
      <c r="T695" s="73" t="s">
        <v>74</v>
      </c>
      <c r="U695" s="49" t="s">
        <v>75</v>
      </c>
      <c r="V695" s="55"/>
      <c r="W695" s="44">
        <v>3.25</v>
      </c>
      <c r="X695" s="49" t="s">
        <v>3013</v>
      </c>
      <c r="Y695" s="49" t="s">
        <v>720</v>
      </c>
      <c r="Z695" s="49" t="s">
        <v>746</v>
      </c>
      <c r="AA695" s="61">
        <v>0.69</v>
      </c>
      <c r="AB695" s="48" t="s">
        <v>9812</v>
      </c>
      <c r="AC695" s="52" t="s">
        <v>9809</v>
      </c>
      <c r="AD695" s="53" t="str">
        <f t="shared" ref="AD695:AD698" si="559">HYPERLINK("http://www.millersville.edu/academics/undergraduate.php","Link")</f>
        <v>Link</v>
      </c>
      <c r="AE695" s="54">
        <v>6967</v>
      </c>
      <c r="AF695" s="55"/>
      <c r="AG695" s="85"/>
      <c r="AH695" s="56">
        <v>214041</v>
      </c>
      <c r="AI695" s="7"/>
      <c r="AJ695" s="7"/>
      <c r="AK695" s="7"/>
    </row>
    <row r="696" spans="1:37" ht="15" x14ac:dyDescent="0.2">
      <c r="A696" s="57" t="s">
        <v>9297</v>
      </c>
      <c r="B696" s="31" t="s">
        <v>7298</v>
      </c>
      <c r="C696" s="7" t="s">
        <v>41</v>
      </c>
      <c r="D696" s="7" t="s">
        <v>9818</v>
      </c>
      <c r="E696" s="44">
        <v>5</v>
      </c>
      <c r="F696" s="7"/>
      <c r="G696" s="7"/>
      <c r="H696" s="2" t="s">
        <v>9799</v>
      </c>
      <c r="I696" s="7" t="s">
        <v>8707</v>
      </c>
      <c r="J696" s="7" t="s">
        <v>9819</v>
      </c>
      <c r="K696" s="7" t="s">
        <v>55</v>
      </c>
      <c r="L696" s="7" t="s">
        <v>9820</v>
      </c>
      <c r="M696" s="7" t="s">
        <v>9821</v>
      </c>
      <c r="N696" s="45" t="str">
        <f t="shared" si="557"/>
        <v>@VilleSoftball</v>
      </c>
      <c r="O696" s="45" t="str">
        <f t="shared" si="558"/>
        <v>Questionnaire</v>
      </c>
      <c r="P696" s="48" t="s">
        <v>9809</v>
      </c>
      <c r="Q696" s="47" t="s">
        <v>1231</v>
      </c>
      <c r="R696" s="48" t="s">
        <v>9809</v>
      </c>
      <c r="S696" s="60" t="s">
        <v>205</v>
      </c>
      <c r="T696" s="73" t="s">
        <v>74</v>
      </c>
      <c r="U696" s="49" t="s">
        <v>75</v>
      </c>
      <c r="V696" s="55"/>
      <c r="W696" s="44">
        <v>3.25</v>
      </c>
      <c r="X696" s="49" t="s">
        <v>3013</v>
      </c>
      <c r="Y696" s="49" t="s">
        <v>720</v>
      </c>
      <c r="Z696" s="49" t="s">
        <v>746</v>
      </c>
      <c r="AA696" s="61">
        <v>0.69</v>
      </c>
      <c r="AB696" s="48" t="s">
        <v>9812</v>
      </c>
      <c r="AC696" s="52" t="s">
        <v>9809</v>
      </c>
      <c r="AD696" s="53" t="str">
        <f t="shared" si="559"/>
        <v>Link</v>
      </c>
      <c r="AE696" s="54">
        <v>6967</v>
      </c>
      <c r="AF696" s="55"/>
      <c r="AG696" s="85"/>
      <c r="AH696" s="56">
        <v>214041</v>
      </c>
      <c r="AI696" s="7"/>
      <c r="AJ696" s="7"/>
      <c r="AK696" s="7"/>
    </row>
    <row r="697" spans="1:37" ht="15" x14ac:dyDescent="0.2">
      <c r="A697" s="57" t="s">
        <v>9297</v>
      </c>
      <c r="B697" s="31" t="s">
        <v>7298</v>
      </c>
      <c r="C697" s="7" t="s">
        <v>41</v>
      </c>
      <c r="D697" s="7" t="s">
        <v>9831</v>
      </c>
      <c r="E697" s="44">
        <v>5</v>
      </c>
      <c r="F697" s="7"/>
      <c r="G697" s="7"/>
      <c r="H697" s="2" t="s">
        <v>9799</v>
      </c>
      <c r="I697" s="7" t="s">
        <v>4746</v>
      </c>
      <c r="J697" s="7" t="s">
        <v>9832</v>
      </c>
      <c r="K697" s="7" t="s">
        <v>139</v>
      </c>
      <c r="L697" s="7" t="s">
        <v>9833</v>
      </c>
      <c r="M697" s="7"/>
      <c r="N697" s="45" t="str">
        <f t="shared" si="557"/>
        <v>@VilleSoftball</v>
      </c>
      <c r="O697" s="45" t="str">
        <f t="shared" si="558"/>
        <v>Questionnaire</v>
      </c>
      <c r="P697" s="48" t="s">
        <v>9809</v>
      </c>
      <c r="Q697" s="47" t="s">
        <v>1231</v>
      </c>
      <c r="R697" s="48" t="s">
        <v>9809</v>
      </c>
      <c r="S697" s="60" t="s">
        <v>205</v>
      </c>
      <c r="T697" s="73" t="s">
        <v>74</v>
      </c>
      <c r="U697" s="49" t="s">
        <v>75</v>
      </c>
      <c r="V697" s="55"/>
      <c r="W697" s="44">
        <v>3.25</v>
      </c>
      <c r="X697" s="49" t="s">
        <v>3013</v>
      </c>
      <c r="Y697" s="49" t="s">
        <v>720</v>
      </c>
      <c r="Z697" s="49" t="s">
        <v>746</v>
      </c>
      <c r="AA697" s="61">
        <v>0.69</v>
      </c>
      <c r="AB697" s="48" t="s">
        <v>9812</v>
      </c>
      <c r="AC697" s="52" t="s">
        <v>9809</v>
      </c>
      <c r="AD697" s="53" t="str">
        <f t="shared" si="559"/>
        <v>Link</v>
      </c>
      <c r="AE697" s="54">
        <v>6967</v>
      </c>
      <c r="AF697" s="55"/>
      <c r="AG697" s="85"/>
      <c r="AH697" s="56">
        <v>214041</v>
      </c>
      <c r="AI697" s="7"/>
      <c r="AJ697" s="7"/>
      <c r="AK697" s="7"/>
    </row>
    <row r="698" spans="1:37" ht="15" x14ac:dyDescent="0.2">
      <c r="A698" s="57" t="s">
        <v>9297</v>
      </c>
      <c r="B698" s="31" t="s">
        <v>7298</v>
      </c>
      <c r="C698" s="7" t="s">
        <v>41</v>
      </c>
      <c r="D698" s="7" t="s">
        <v>9838</v>
      </c>
      <c r="E698" s="44">
        <v>5</v>
      </c>
      <c r="F698" s="7"/>
      <c r="G698" s="7"/>
      <c r="H698" s="2" t="s">
        <v>9799</v>
      </c>
      <c r="I698" s="7" t="s">
        <v>9840</v>
      </c>
      <c r="J698" s="7" t="s">
        <v>9841</v>
      </c>
      <c r="K698" s="7" t="s">
        <v>139</v>
      </c>
      <c r="L698" s="7"/>
      <c r="M698" s="7"/>
      <c r="N698" s="45" t="str">
        <f t="shared" si="557"/>
        <v>@VilleSoftball</v>
      </c>
      <c r="O698" s="45" t="str">
        <f t="shared" si="558"/>
        <v>Questionnaire</v>
      </c>
      <c r="P698" s="48" t="s">
        <v>9809</v>
      </c>
      <c r="Q698" s="47" t="s">
        <v>1231</v>
      </c>
      <c r="R698" s="48" t="s">
        <v>9809</v>
      </c>
      <c r="S698" s="60" t="s">
        <v>205</v>
      </c>
      <c r="T698" s="73" t="s">
        <v>74</v>
      </c>
      <c r="U698" s="49" t="s">
        <v>75</v>
      </c>
      <c r="V698" s="55"/>
      <c r="W698" s="44">
        <v>3.25</v>
      </c>
      <c r="X698" s="49" t="s">
        <v>3013</v>
      </c>
      <c r="Y698" s="49" t="s">
        <v>720</v>
      </c>
      <c r="Z698" s="49" t="s">
        <v>746</v>
      </c>
      <c r="AA698" s="61">
        <v>0.69</v>
      </c>
      <c r="AB698" s="48" t="s">
        <v>9812</v>
      </c>
      <c r="AC698" s="52" t="s">
        <v>9809</v>
      </c>
      <c r="AD698" s="53" t="str">
        <f t="shared" si="559"/>
        <v>Link</v>
      </c>
      <c r="AE698" s="54">
        <v>6967</v>
      </c>
      <c r="AF698" s="55"/>
      <c r="AG698" s="85"/>
      <c r="AH698" s="56">
        <v>214041</v>
      </c>
      <c r="AI698" s="7"/>
      <c r="AJ698" s="7"/>
      <c r="AK698" s="7"/>
    </row>
    <row r="699" spans="1:37" ht="15" x14ac:dyDescent="0.2">
      <c r="A699" s="57" t="s">
        <v>9297</v>
      </c>
      <c r="B699" s="31" t="s">
        <v>7298</v>
      </c>
      <c r="C699" s="7" t="s">
        <v>41</v>
      </c>
      <c r="D699" s="7" t="s">
        <v>9845</v>
      </c>
      <c r="E699" s="44">
        <v>5</v>
      </c>
      <c r="F699" s="7"/>
      <c r="G699" s="7"/>
      <c r="H699" s="2" t="s">
        <v>9848</v>
      </c>
      <c r="I699" s="7" t="s">
        <v>4603</v>
      </c>
      <c r="J699" s="7" t="s">
        <v>9849</v>
      </c>
      <c r="K699" s="7" t="s">
        <v>48</v>
      </c>
      <c r="L699" s="7" t="s">
        <v>9851</v>
      </c>
      <c r="M699" s="7" t="s">
        <v>9852</v>
      </c>
      <c r="N699" s="45" t="str">
        <f t="shared" ref="N699:N701" si="560">HYPERLINK("twitter.com/upjsoftball","@upjsoftball")</f>
        <v>@upjsoftball</v>
      </c>
      <c r="O699" s="45" t="str">
        <f t="shared" ref="O699:O701" si="561">HYPERLINK("https://pittjohnstownathletics.com/sb_output.aspx?form=3","Questionnaire")</f>
        <v>Questionnaire</v>
      </c>
      <c r="P699" s="48" t="s">
        <v>9855</v>
      </c>
      <c r="Q699" s="47" t="s">
        <v>1231</v>
      </c>
      <c r="R699" s="48" t="s">
        <v>9856</v>
      </c>
      <c r="S699" s="48" t="s">
        <v>172</v>
      </c>
      <c r="T699" s="73" t="s">
        <v>74</v>
      </c>
      <c r="U699" s="49" t="s">
        <v>75</v>
      </c>
      <c r="V699" s="55"/>
      <c r="W699" s="44">
        <v>3.4</v>
      </c>
      <c r="X699" s="49" t="s">
        <v>397</v>
      </c>
      <c r="Y699" s="49" t="s">
        <v>276</v>
      </c>
      <c r="Z699" s="49" t="s">
        <v>1994</v>
      </c>
      <c r="AA699" s="61">
        <v>0.74</v>
      </c>
      <c r="AB699" s="48" t="s">
        <v>9861</v>
      </c>
      <c r="AC699" s="52" t="s">
        <v>9855</v>
      </c>
      <c r="AD699" s="53" t="str">
        <f t="shared" ref="AD699:AD701" si="562">HYPERLINK("http://www.upj.pitt.edu/en/academics/majors/","Link")</f>
        <v>Link</v>
      </c>
      <c r="AE699" s="54">
        <v>2769</v>
      </c>
      <c r="AF699" s="55"/>
      <c r="AG699" s="85"/>
      <c r="AH699" s="56">
        <v>215284</v>
      </c>
      <c r="AI699" s="7"/>
      <c r="AJ699" s="7"/>
      <c r="AK699" s="7"/>
    </row>
    <row r="700" spans="1:37" ht="15" x14ac:dyDescent="0.2">
      <c r="A700" s="57" t="s">
        <v>9297</v>
      </c>
      <c r="B700" s="31" t="s">
        <v>7298</v>
      </c>
      <c r="C700" s="7" t="s">
        <v>41</v>
      </c>
      <c r="D700" s="7" t="s">
        <v>9862</v>
      </c>
      <c r="E700" s="44">
        <v>5</v>
      </c>
      <c r="F700" s="7"/>
      <c r="G700" s="7"/>
      <c r="H700" s="2" t="s">
        <v>9848</v>
      </c>
      <c r="I700" s="7" t="s">
        <v>9863</v>
      </c>
      <c r="J700" s="7" t="s">
        <v>5988</v>
      </c>
      <c r="K700" s="7" t="s">
        <v>55</v>
      </c>
      <c r="L700" s="7"/>
      <c r="M700" s="7"/>
      <c r="N700" s="45" t="str">
        <f t="shared" si="560"/>
        <v>@upjsoftball</v>
      </c>
      <c r="O700" s="45" t="str">
        <f t="shared" si="561"/>
        <v>Questionnaire</v>
      </c>
      <c r="P700" s="48" t="s">
        <v>9855</v>
      </c>
      <c r="Q700" s="47" t="s">
        <v>1231</v>
      </c>
      <c r="R700" s="48" t="s">
        <v>9856</v>
      </c>
      <c r="S700" s="48" t="s">
        <v>172</v>
      </c>
      <c r="T700" s="73" t="s">
        <v>74</v>
      </c>
      <c r="U700" s="49" t="s">
        <v>75</v>
      </c>
      <c r="V700" s="55"/>
      <c r="W700" s="44">
        <v>3.4</v>
      </c>
      <c r="X700" s="49" t="s">
        <v>397</v>
      </c>
      <c r="Y700" s="49" t="s">
        <v>276</v>
      </c>
      <c r="Z700" s="49" t="s">
        <v>1994</v>
      </c>
      <c r="AA700" s="61">
        <v>0.74</v>
      </c>
      <c r="AB700" s="48" t="s">
        <v>9861</v>
      </c>
      <c r="AC700" s="52" t="s">
        <v>9855</v>
      </c>
      <c r="AD700" s="53" t="str">
        <f t="shared" si="562"/>
        <v>Link</v>
      </c>
      <c r="AE700" s="54">
        <v>2769</v>
      </c>
      <c r="AF700" s="55"/>
      <c r="AG700" s="85"/>
      <c r="AH700" s="56">
        <v>215284</v>
      </c>
      <c r="AI700" s="7"/>
      <c r="AJ700" s="7"/>
      <c r="AK700" s="7"/>
    </row>
    <row r="701" spans="1:37" ht="15" x14ac:dyDescent="0.2">
      <c r="A701" s="57" t="s">
        <v>9297</v>
      </c>
      <c r="B701" s="31" t="s">
        <v>7298</v>
      </c>
      <c r="C701" s="7" t="s">
        <v>41</v>
      </c>
      <c r="D701" s="7" t="s">
        <v>9872</v>
      </c>
      <c r="E701" s="44">
        <v>5</v>
      </c>
      <c r="F701" s="7"/>
      <c r="G701" s="7"/>
      <c r="H701" s="2" t="s">
        <v>9848</v>
      </c>
      <c r="I701" s="7" t="s">
        <v>442</v>
      </c>
      <c r="J701" s="7" t="s">
        <v>9873</v>
      </c>
      <c r="K701" s="7" t="s">
        <v>55</v>
      </c>
      <c r="L701" s="7"/>
      <c r="M701" s="7"/>
      <c r="N701" s="45" t="str">
        <f t="shared" si="560"/>
        <v>@upjsoftball</v>
      </c>
      <c r="O701" s="45" t="str">
        <f t="shared" si="561"/>
        <v>Questionnaire</v>
      </c>
      <c r="P701" s="48" t="s">
        <v>9855</v>
      </c>
      <c r="Q701" s="47" t="s">
        <v>1231</v>
      </c>
      <c r="R701" s="48" t="s">
        <v>9856</v>
      </c>
      <c r="S701" s="48" t="s">
        <v>172</v>
      </c>
      <c r="T701" s="73" t="s">
        <v>74</v>
      </c>
      <c r="U701" s="49" t="s">
        <v>75</v>
      </c>
      <c r="V701" s="55"/>
      <c r="W701" s="44">
        <v>3.4</v>
      </c>
      <c r="X701" s="49" t="s">
        <v>397</v>
      </c>
      <c r="Y701" s="49" t="s">
        <v>276</v>
      </c>
      <c r="Z701" s="49" t="s">
        <v>1994</v>
      </c>
      <c r="AA701" s="61">
        <v>0.74</v>
      </c>
      <c r="AB701" s="48" t="s">
        <v>9861</v>
      </c>
      <c r="AC701" s="52" t="s">
        <v>9855</v>
      </c>
      <c r="AD701" s="53" t="str">
        <f t="shared" si="562"/>
        <v>Link</v>
      </c>
      <c r="AE701" s="54">
        <v>2769</v>
      </c>
      <c r="AF701" s="55"/>
      <c r="AG701" s="85"/>
      <c r="AH701" s="56">
        <v>215284</v>
      </c>
      <c r="AI701" s="7"/>
      <c r="AJ701" s="7"/>
      <c r="AK701" s="7"/>
    </row>
    <row r="702" spans="1:37" ht="13" x14ac:dyDescent="0.15">
      <c r="A702" s="57" t="s">
        <v>9297</v>
      </c>
      <c r="B702" s="31" t="s">
        <v>7298</v>
      </c>
      <c r="C702" s="7" t="s">
        <v>41</v>
      </c>
      <c r="D702" s="7" t="s">
        <v>9878</v>
      </c>
      <c r="E702" s="44">
        <v>5</v>
      </c>
      <c r="F702" s="7"/>
      <c r="G702" s="7"/>
      <c r="H702" s="2" t="s">
        <v>9879</v>
      </c>
      <c r="I702" s="7" t="s">
        <v>201</v>
      </c>
      <c r="J702" s="7" t="s">
        <v>9881</v>
      </c>
      <c r="K702" s="7" t="s">
        <v>48</v>
      </c>
      <c r="L702" s="7" t="s">
        <v>9882</v>
      </c>
      <c r="M702" s="7" t="s">
        <v>9883</v>
      </c>
      <c r="N702" s="45" t="str">
        <f t="shared" ref="N702:N703" si="563">HYPERLINK("twitter.com/SHUgriffinsSB","@SHUgriffinsSB")</f>
        <v>@SHUgriffinsSB</v>
      </c>
      <c r="O702" s="45" t="str">
        <f t="shared" ref="O702:O703" si="564">HYPERLINK("https://www.frontrush.com/FR_Web_App/Player/PlayerSubmit.aspx?sid=4018&amp;ptype=recruit","Questionnaire")</f>
        <v>Questionnaire</v>
      </c>
      <c r="P702" s="48" t="s">
        <v>9892</v>
      </c>
      <c r="Q702" s="47" t="s">
        <v>1231</v>
      </c>
      <c r="R702" s="48" t="s">
        <v>9893</v>
      </c>
      <c r="S702" s="48" t="s">
        <v>172</v>
      </c>
      <c r="T702" s="49" t="s">
        <v>63</v>
      </c>
      <c r="U702" s="49" t="s">
        <v>343</v>
      </c>
      <c r="V702" s="55"/>
      <c r="W702" s="44">
        <v>3.7</v>
      </c>
      <c r="X702" s="49" t="s">
        <v>3341</v>
      </c>
      <c r="Y702" s="49" t="s">
        <v>2341</v>
      </c>
      <c r="Z702" s="49" t="s">
        <v>803</v>
      </c>
      <c r="AA702" s="61">
        <v>0.61</v>
      </c>
      <c r="AB702" s="71">
        <v>48470</v>
      </c>
      <c r="AC702" s="62" t="s">
        <v>9892</v>
      </c>
      <c r="AD702" s="53" t="str">
        <f t="shared" ref="AD702:AD703" si="565">HYPERLINK("https://www.setonhill.edu/academics/undergraduate-programs/majors/","Link")</f>
        <v>Link</v>
      </c>
      <c r="AE702" s="54">
        <v>2055</v>
      </c>
      <c r="AF702" s="55"/>
      <c r="AG702" s="85"/>
      <c r="AH702" s="56">
        <v>215947</v>
      </c>
      <c r="AI702" s="7"/>
      <c r="AJ702" s="7"/>
      <c r="AK702" s="7"/>
    </row>
    <row r="703" spans="1:37" ht="13" x14ac:dyDescent="0.15">
      <c r="A703" s="57" t="s">
        <v>9297</v>
      </c>
      <c r="B703" s="31" t="s">
        <v>7298</v>
      </c>
      <c r="C703" s="7" t="s">
        <v>41</v>
      </c>
      <c r="D703" s="7" t="s">
        <v>9897</v>
      </c>
      <c r="E703" s="44">
        <v>5</v>
      </c>
      <c r="F703" s="7"/>
      <c r="G703" s="7"/>
      <c r="H703" s="2" t="s">
        <v>9879</v>
      </c>
      <c r="I703" s="7" t="s">
        <v>4941</v>
      </c>
      <c r="J703" s="7" t="s">
        <v>1792</v>
      </c>
      <c r="K703" s="7" t="s">
        <v>55</v>
      </c>
      <c r="L703" s="7" t="s">
        <v>9899</v>
      </c>
      <c r="M703" s="7" t="s">
        <v>9883</v>
      </c>
      <c r="N703" s="45" t="str">
        <f t="shared" si="563"/>
        <v>@SHUgriffinsSB</v>
      </c>
      <c r="O703" s="45" t="str">
        <f t="shared" si="564"/>
        <v>Questionnaire</v>
      </c>
      <c r="P703" s="48" t="s">
        <v>9892</v>
      </c>
      <c r="Q703" s="47" t="s">
        <v>1231</v>
      </c>
      <c r="R703" s="48" t="s">
        <v>9893</v>
      </c>
      <c r="S703" s="48" t="s">
        <v>172</v>
      </c>
      <c r="T703" s="49" t="s">
        <v>63</v>
      </c>
      <c r="U703" s="49" t="s">
        <v>343</v>
      </c>
      <c r="V703" s="55"/>
      <c r="W703" s="44">
        <v>3.7</v>
      </c>
      <c r="X703" s="49" t="s">
        <v>3341</v>
      </c>
      <c r="Y703" s="49" t="s">
        <v>2341</v>
      </c>
      <c r="Z703" s="49" t="s">
        <v>803</v>
      </c>
      <c r="AA703" s="61">
        <v>0.61</v>
      </c>
      <c r="AB703" s="71">
        <v>48470</v>
      </c>
      <c r="AC703" s="62" t="s">
        <v>9892</v>
      </c>
      <c r="AD703" s="53" t="str">
        <f t="shared" si="565"/>
        <v>Link</v>
      </c>
      <c r="AE703" s="54">
        <v>2055</v>
      </c>
      <c r="AF703" s="55"/>
      <c r="AG703" s="85"/>
      <c r="AH703" s="56">
        <v>215947</v>
      </c>
      <c r="AI703" s="7"/>
      <c r="AJ703" s="7"/>
      <c r="AK703" s="7"/>
    </row>
    <row r="704" spans="1:37" ht="13" x14ac:dyDescent="0.15">
      <c r="A704" s="57" t="s">
        <v>9297</v>
      </c>
      <c r="B704" s="31" t="s">
        <v>7298</v>
      </c>
      <c r="C704" s="7" t="s">
        <v>41</v>
      </c>
      <c r="D704" s="7" t="s">
        <v>9902</v>
      </c>
      <c r="E704" s="44">
        <v>5</v>
      </c>
      <c r="F704" s="7"/>
      <c r="G704" s="7"/>
      <c r="H704" s="2" t="s">
        <v>9903</v>
      </c>
      <c r="I704" s="7" t="s">
        <v>588</v>
      </c>
      <c r="J704" s="7" t="s">
        <v>9904</v>
      </c>
      <c r="K704" s="7" t="s">
        <v>48</v>
      </c>
      <c r="L704" s="7" t="s">
        <v>9905</v>
      </c>
      <c r="M704" s="7" t="s">
        <v>9906</v>
      </c>
      <c r="N704" s="45" t="str">
        <f t="shared" ref="N704:N706" si="566">HYPERLINK("twitter.com/shipsoftball","@shipsoftball")</f>
        <v>@shipsoftball</v>
      </c>
      <c r="O704" s="45" t="str">
        <f t="shared" ref="O704:O706" si="567">HYPERLINK("https://shipraiders.com/sports/2009/5/21/recruits.aspx","Questionnaire")</f>
        <v>Questionnaire</v>
      </c>
      <c r="P704" s="7" t="s">
        <v>9914</v>
      </c>
      <c r="Q704" s="118" t="s">
        <v>1231</v>
      </c>
      <c r="R704" s="48" t="s">
        <v>9914</v>
      </c>
      <c r="S704" s="60" t="s">
        <v>205</v>
      </c>
      <c r="T704" s="49" t="s">
        <v>74</v>
      </c>
      <c r="U704" s="49" t="s">
        <v>75</v>
      </c>
      <c r="V704" s="55"/>
      <c r="W704" s="44">
        <v>3.2</v>
      </c>
      <c r="X704" s="85" t="s">
        <v>253</v>
      </c>
      <c r="Y704" s="85" t="s">
        <v>1145</v>
      </c>
      <c r="Z704" s="49" t="s">
        <v>449</v>
      </c>
      <c r="AA704" s="61">
        <v>0.88</v>
      </c>
      <c r="AB704" s="48" t="s">
        <v>9915</v>
      </c>
      <c r="AC704" s="62" t="s">
        <v>9914</v>
      </c>
      <c r="AD704" s="53" t="str">
        <f t="shared" ref="AD704:AD706" si="568">HYPERLINK("https://www.ship.edu/academics/programs/undergraduate_programs/","Link")</f>
        <v>Link</v>
      </c>
      <c r="AE704" s="54">
        <v>5896</v>
      </c>
      <c r="AF704" s="55"/>
      <c r="AG704" s="85"/>
      <c r="AH704" s="56">
        <v>216010</v>
      </c>
      <c r="AI704" s="7"/>
      <c r="AJ704" s="7"/>
      <c r="AK704" s="7"/>
    </row>
    <row r="705" spans="1:37" ht="13" x14ac:dyDescent="0.15">
      <c r="A705" s="57" t="s">
        <v>9297</v>
      </c>
      <c r="B705" s="31" t="s">
        <v>7298</v>
      </c>
      <c r="C705" s="7" t="s">
        <v>41</v>
      </c>
      <c r="D705" s="7" t="s">
        <v>9919</v>
      </c>
      <c r="E705" s="44">
        <v>5</v>
      </c>
      <c r="F705" s="7"/>
      <c r="G705" s="7"/>
      <c r="H705" s="2" t="s">
        <v>9903</v>
      </c>
      <c r="I705" s="7" t="s">
        <v>1726</v>
      </c>
      <c r="J705" s="7" t="s">
        <v>9922</v>
      </c>
      <c r="K705" s="7" t="s">
        <v>55</v>
      </c>
      <c r="L705" s="7" t="s">
        <v>9924</v>
      </c>
      <c r="M705" s="7" t="s">
        <v>9925</v>
      </c>
      <c r="N705" s="45" t="str">
        <f t="shared" si="566"/>
        <v>@shipsoftball</v>
      </c>
      <c r="O705" s="45" t="str">
        <f t="shared" si="567"/>
        <v>Questionnaire</v>
      </c>
      <c r="P705" s="7" t="s">
        <v>9914</v>
      </c>
      <c r="Q705" s="118" t="s">
        <v>1231</v>
      </c>
      <c r="R705" s="48" t="s">
        <v>9914</v>
      </c>
      <c r="S705" s="60" t="s">
        <v>205</v>
      </c>
      <c r="T705" s="49" t="s">
        <v>74</v>
      </c>
      <c r="U705" s="49" t="s">
        <v>75</v>
      </c>
      <c r="V705" s="55"/>
      <c r="W705" s="44">
        <v>3.2</v>
      </c>
      <c r="X705" s="85" t="s">
        <v>253</v>
      </c>
      <c r="Y705" s="85" t="s">
        <v>1145</v>
      </c>
      <c r="Z705" s="49" t="s">
        <v>449</v>
      </c>
      <c r="AA705" s="61">
        <v>0.88</v>
      </c>
      <c r="AB705" s="48" t="s">
        <v>9915</v>
      </c>
      <c r="AC705" s="62" t="s">
        <v>9914</v>
      </c>
      <c r="AD705" s="53" t="str">
        <f t="shared" si="568"/>
        <v>Link</v>
      </c>
      <c r="AE705" s="54">
        <v>5896</v>
      </c>
      <c r="AF705" s="55"/>
      <c r="AG705" s="85"/>
      <c r="AH705" s="56">
        <v>216010</v>
      </c>
      <c r="AI705" s="7"/>
      <c r="AJ705" s="7"/>
      <c r="AK705" s="7"/>
    </row>
    <row r="706" spans="1:37" ht="13" x14ac:dyDescent="0.15">
      <c r="A706" s="57" t="s">
        <v>9297</v>
      </c>
      <c r="B706" s="31" t="s">
        <v>7298</v>
      </c>
      <c r="C706" s="7" t="s">
        <v>41</v>
      </c>
      <c r="D706" s="7" t="s">
        <v>9927</v>
      </c>
      <c r="E706" s="44">
        <v>5</v>
      </c>
      <c r="F706" s="7"/>
      <c r="G706" s="7"/>
      <c r="H706" s="2" t="s">
        <v>9903</v>
      </c>
      <c r="I706" s="7" t="s">
        <v>9929</v>
      </c>
      <c r="J706" s="7" t="s">
        <v>9930</v>
      </c>
      <c r="K706" s="7" t="s">
        <v>55</v>
      </c>
      <c r="L706" s="7" t="s">
        <v>9932</v>
      </c>
      <c r="M706" s="7" t="s">
        <v>9906</v>
      </c>
      <c r="N706" s="45" t="str">
        <f t="shared" si="566"/>
        <v>@shipsoftball</v>
      </c>
      <c r="O706" s="45" t="str">
        <f t="shared" si="567"/>
        <v>Questionnaire</v>
      </c>
      <c r="P706" s="7" t="s">
        <v>9914</v>
      </c>
      <c r="Q706" s="118" t="s">
        <v>1231</v>
      </c>
      <c r="R706" s="48" t="s">
        <v>9914</v>
      </c>
      <c r="S706" s="60" t="s">
        <v>205</v>
      </c>
      <c r="T706" s="49" t="s">
        <v>74</v>
      </c>
      <c r="U706" s="49" t="s">
        <v>75</v>
      </c>
      <c r="V706" s="55"/>
      <c r="W706" s="44">
        <v>3.2</v>
      </c>
      <c r="X706" s="85" t="s">
        <v>253</v>
      </c>
      <c r="Y706" s="85" t="s">
        <v>1145</v>
      </c>
      <c r="Z706" s="49" t="s">
        <v>449</v>
      </c>
      <c r="AA706" s="61">
        <v>0.88</v>
      </c>
      <c r="AB706" s="48" t="s">
        <v>9915</v>
      </c>
      <c r="AC706" s="62" t="s">
        <v>9914</v>
      </c>
      <c r="AD706" s="53" t="str">
        <f t="shared" si="568"/>
        <v>Link</v>
      </c>
      <c r="AE706" s="54">
        <v>5896</v>
      </c>
      <c r="AF706" s="55"/>
      <c r="AG706" s="85"/>
      <c r="AH706" s="56">
        <v>216010</v>
      </c>
      <c r="AI706" s="7"/>
      <c r="AJ706" s="7"/>
      <c r="AK706" s="7"/>
    </row>
    <row r="707" spans="1:37" ht="15" x14ac:dyDescent="0.2">
      <c r="A707" s="57" t="s">
        <v>9297</v>
      </c>
      <c r="B707" s="31" t="s">
        <v>7298</v>
      </c>
      <c r="C707" s="7" t="s">
        <v>41</v>
      </c>
      <c r="D707" s="7" t="s">
        <v>9936</v>
      </c>
      <c r="E707" s="44">
        <v>5</v>
      </c>
      <c r="F707" s="7"/>
      <c r="G707" s="7"/>
      <c r="H707" s="2" t="s">
        <v>9938</v>
      </c>
      <c r="I707" s="7" t="s">
        <v>3088</v>
      </c>
      <c r="J707" s="7" t="s">
        <v>6673</v>
      </c>
      <c r="K707" s="7" t="s">
        <v>48</v>
      </c>
      <c r="L707" s="7" t="s">
        <v>9940</v>
      </c>
      <c r="M707" s="7" t="s">
        <v>9942</v>
      </c>
      <c r="N707" s="45" t="str">
        <f t="shared" ref="N707:N708" si="569">HYPERLINK("twitter.com/sru_softball","@sru_softball")</f>
        <v>@sru_softball</v>
      </c>
      <c r="O707" s="45" t="str">
        <f t="shared" ref="O707:O708" si="570">HYPERLINK("https://rockathletics.com/sports/2009/8/14/GEN_0814095924.aspx","Questionnaire")</f>
        <v>Questionnaire</v>
      </c>
      <c r="P707" s="7" t="s">
        <v>9950</v>
      </c>
      <c r="Q707" s="118" t="s">
        <v>1231</v>
      </c>
      <c r="R707" s="48" t="s">
        <v>9950</v>
      </c>
      <c r="S707" s="60" t="s">
        <v>205</v>
      </c>
      <c r="T707" s="49" t="s">
        <v>74</v>
      </c>
      <c r="U707" s="49" t="s">
        <v>75</v>
      </c>
      <c r="V707" s="55"/>
      <c r="W707" s="44">
        <v>3.46</v>
      </c>
      <c r="X707" s="85" t="s">
        <v>3338</v>
      </c>
      <c r="Y707" s="85" t="s">
        <v>8175</v>
      </c>
      <c r="Z707" s="49" t="s">
        <v>3842</v>
      </c>
      <c r="AA707" s="61">
        <v>0.69</v>
      </c>
      <c r="AB707" s="48" t="s">
        <v>9952</v>
      </c>
      <c r="AC707" s="52" t="s">
        <v>9950</v>
      </c>
      <c r="AD707" s="53" t="str">
        <f t="shared" ref="AD707:AD708" si="571">HYPERLINK("http://www.sru.edu/academics/majors-and-minors#showMinors=false&amp;view=expanded&amp;page=1","Link")</f>
        <v>Link</v>
      </c>
      <c r="AE707" s="54">
        <v>7637</v>
      </c>
      <c r="AF707" s="55"/>
      <c r="AG707" s="85"/>
      <c r="AH707" s="56">
        <v>216038</v>
      </c>
      <c r="AI707" s="7"/>
      <c r="AJ707" s="7"/>
      <c r="AK707" s="7"/>
    </row>
    <row r="708" spans="1:37" ht="15" x14ac:dyDescent="0.2">
      <c r="A708" s="57" t="s">
        <v>9297</v>
      </c>
      <c r="B708" s="31" t="s">
        <v>7298</v>
      </c>
      <c r="C708" s="7" t="s">
        <v>41</v>
      </c>
      <c r="D708" s="7" t="s">
        <v>9959</v>
      </c>
      <c r="E708" s="44">
        <v>5</v>
      </c>
      <c r="F708" s="7"/>
      <c r="G708" s="7"/>
      <c r="H708" s="2" t="s">
        <v>9938</v>
      </c>
      <c r="I708" s="7" t="s">
        <v>3088</v>
      </c>
      <c r="J708" s="7" t="s">
        <v>9960</v>
      </c>
      <c r="K708" s="7" t="s">
        <v>55</v>
      </c>
      <c r="L708" s="7" t="s">
        <v>9961</v>
      </c>
      <c r="M708" s="7" t="s">
        <v>9962</v>
      </c>
      <c r="N708" s="45" t="str">
        <f t="shared" si="569"/>
        <v>@sru_softball</v>
      </c>
      <c r="O708" s="45" t="str">
        <f t="shared" si="570"/>
        <v>Questionnaire</v>
      </c>
      <c r="P708" s="7" t="s">
        <v>9950</v>
      </c>
      <c r="Q708" s="118" t="s">
        <v>1231</v>
      </c>
      <c r="R708" s="48" t="s">
        <v>9950</v>
      </c>
      <c r="S708" s="60" t="s">
        <v>205</v>
      </c>
      <c r="T708" s="49" t="s">
        <v>74</v>
      </c>
      <c r="U708" s="49" t="s">
        <v>75</v>
      </c>
      <c r="V708" s="55"/>
      <c r="W708" s="44">
        <v>3.46</v>
      </c>
      <c r="X708" s="85" t="s">
        <v>3338</v>
      </c>
      <c r="Y708" s="85" t="s">
        <v>8175</v>
      </c>
      <c r="Z708" s="49" t="s">
        <v>3842</v>
      </c>
      <c r="AA708" s="61">
        <v>0.69</v>
      </c>
      <c r="AB708" s="48" t="s">
        <v>9952</v>
      </c>
      <c r="AC708" s="52" t="s">
        <v>9950</v>
      </c>
      <c r="AD708" s="53" t="str">
        <f t="shared" si="571"/>
        <v>Link</v>
      </c>
      <c r="AE708" s="54">
        <v>7637</v>
      </c>
      <c r="AF708" s="55"/>
      <c r="AG708" s="85"/>
      <c r="AH708" s="56">
        <v>216038</v>
      </c>
      <c r="AI708" s="7"/>
      <c r="AJ708" s="7"/>
      <c r="AK708" s="7"/>
    </row>
    <row r="709" spans="1:37" ht="15" x14ac:dyDescent="0.2">
      <c r="A709" s="57" t="s">
        <v>2641</v>
      </c>
      <c r="B709" s="31" t="s">
        <v>7298</v>
      </c>
      <c r="C709" s="7" t="s">
        <v>41</v>
      </c>
      <c r="D709" s="7" t="s">
        <v>9971</v>
      </c>
      <c r="E709" s="44">
        <v>5</v>
      </c>
      <c r="F709" s="7"/>
      <c r="G709" s="7"/>
      <c r="H709" s="2" t="s">
        <v>9972</v>
      </c>
      <c r="I709" s="7" t="s">
        <v>1307</v>
      </c>
      <c r="J709" s="7" t="s">
        <v>9973</v>
      </c>
      <c r="K709" s="7" t="s">
        <v>48</v>
      </c>
      <c r="L709" s="7" t="s">
        <v>9974</v>
      </c>
      <c r="M709" s="7" t="s">
        <v>9975</v>
      </c>
      <c r="N709" s="45" t="str">
        <f t="shared" ref="N709:N711" si="572">HYPERLINK("twitter.com/usciencessb","@usciencessb")</f>
        <v>@usciencessb</v>
      </c>
      <c r="O709" s="45" t="str">
        <f t="shared" ref="O709:O711" si="573">HYPERLINK("https://www.devilsathletics.com/prospective/prospects","Questionnaire")</f>
        <v>Questionnaire</v>
      </c>
      <c r="P709" s="7" t="s">
        <v>9972</v>
      </c>
      <c r="Q709" s="118" t="s">
        <v>1231</v>
      </c>
      <c r="R709" s="48" t="s">
        <v>2043</v>
      </c>
      <c r="S709" s="48" t="s">
        <v>288</v>
      </c>
      <c r="T709" s="49" t="s">
        <v>63</v>
      </c>
      <c r="U709" s="49" t="s">
        <v>75</v>
      </c>
      <c r="V709" s="55"/>
      <c r="W709" s="44">
        <v>3.7</v>
      </c>
      <c r="X709" s="85" t="s">
        <v>1230</v>
      </c>
      <c r="Y709" s="85" t="s">
        <v>835</v>
      </c>
      <c r="Z709" s="49" t="s">
        <v>78</v>
      </c>
      <c r="AA709" s="61">
        <v>0.6</v>
      </c>
      <c r="AB709" s="71">
        <v>58520</v>
      </c>
      <c r="AC709" s="52" t="s">
        <v>9972</v>
      </c>
      <c r="AD709" s="53" t="str">
        <f t="shared" ref="AD709:AD711" si="574">HYPERLINK("https://www.usciences.edu/academics/majors-minors-programs.html","Link")</f>
        <v>Link</v>
      </c>
      <c r="AE709" s="54">
        <v>1344</v>
      </c>
      <c r="AF709" s="55"/>
      <c r="AG709" s="85"/>
      <c r="AH709" s="56">
        <v>215132</v>
      </c>
      <c r="AI709" s="7"/>
      <c r="AJ709" s="7"/>
      <c r="AK709" s="7"/>
    </row>
    <row r="710" spans="1:37" ht="15" x14ac:dyDescent="0.2">
      <c r="A710" s="57" t="s">
        <v>2641</v>
      </c>
      <c r="B710" s="31" t="s">
        <v>7298</v>
      </c>
      <c r="C710" s="7" t="s">
        <v>41</v>
      </c>
      <c r="D710" s="7" t="s">
        <v>9984</v>
      </c>
      <c r="E710" s="44">
        <v>5</v>
      </c>
      <c r="F710" s="7"/>
      <c r="G710" s="7"/>
      <c r="H710" s="2" t="s">
        <v>9972</v>
      </c>
      <c r="I710" s="7" t="s">
        <v>1744</v>
      </c>
      <c r="J710" s="7" t="s">
        <v>4954</v>
      </c>
      <c r="K710" s="7" t="s">
        <v>55</v>
      </c>
      <c r="L710" s="7" t="s">
        <v>9988</v>
      </c>
      <c r="M710" s="7"/>
      <c r="N710" s="45" t="str">
        <f t="shared" si="572"/>
        <v>@usciencessb</v>
      </c>
      <c r="O710" s="45" t="str">
        <f t="shared" si="573"/>
        <v>Questionnaire</v>
      </c>
      <c r="P710" s="7" t="s">
        <v>9972</v>
      </c>
      <c r="Q710" s="118" t="s">
        <v>1231</v>
      </c>
      <c r="R710" s="48" t="s">
        <v>2043</v>
      </c>
      <c r="S710" s="48" t="s">
        <v>288</v>
      </c>
      <c r="T710" s="49" t="s">
        <v>63</v>
      </c>
      <c r="U710" s="49" t="s">
        <v>75</v>
      </c>
      <c r="V710" s="55"/>
      <c r="W710" s="44">
        <v>3.7</v>
      </c>
      <c r="X710" s="85" t="s">
        <v>1230</v>
      </c>
      <c r="Y710" s="85" t="s">
        <v>835</v>
      </c>
      <c r="Z710" s="49" t="s">
        <v>78</v>
      </c>
      <c r="AA710" s="61">
        <v>0.6</v>
      </c>
      <c r="AB710" s="71">
        <v>58520</v>
      </c>
      <c r="AC710" s="52" t="s">
        <v>9972</v>
      </c>
      <c r="AD710" s="53" t="str">
        <f t="shared" si="574"/>
        <v>Link</v>
      </c>
      <c r="AE710" s="54">
        <v>1344</v>
      </c>
      <c r="AF710" s="55"/>
      <c r="AG710" s="85"/>
      <c r="AH710" s="56">
        <v>215132</v>
      </c>
      <c r="AI710" s="7"/>
      <c r="AJ710" s="7"/>
      <c r="AK710" s="7"/>
    </row>
    <row r="711" spans="1:37" ht="15" x14ac:dyDescent="0.2">
      <c r="A711" s="57" t="s">
        <v>2641</v>
      </c>
      <c r="B711" s="31" t="s">
        <v>7298</v>
      </c>
      <c r="C711" s="7" t="s">
        <v>41</v>
      </c>
      <c r="D711" s="7" t="s">
        <v>9991</v>
      </c>
      <c r="E711" s="44">
        <v>5</v>
      </c>
      <c r="F711" s="7"/>
      <c r="G711" s="7"/>
      <c r="H711" s="2" t="s">
        <v>9972</v>
      </c>
      <c r="I711" s="7" t="s">
        <v>878</v>
      </c>
      <c r="J711" s="7" t="s">
        <v>9992</v>
      </c>
      <c r="K711" s="7" t="s">
        <v>120</v>
      </c>
      <c r="L711" s="7"/>
      <c r="M711" s="7"/>
      <c r="N711" s="45" t="str">
        <f t="shared" si="572"/>
        <v>@usciencessb</v>
      </c>
      <c r="O711" s="45" t="str">
        <f t="shared" si="573"/>
        <v>Questionnaire</v>
      </c>
      <c r="P711" s="7" t="s">
        <v>9972</v>
      </c>
      <c r="Q711" s="118" t="s">
        <v>1231</v>
      </c>
      <c r="R711" s="48" t="s">
        <v>2043</v>
      </c>
      <c r="S711" s="48" t="s">
        <v>288</v>
      </c>
      <c r="T711" s="49" t="s">
        <v>63</v>
      </c>
      <c r="U711" s="49" t="s">
        <v>75</v>
      </c>
      <c r="V711" s="55"/>
      <c r="W711" s="44">
        <v>3.7</v>
      </c>
      <c r="X711" s="85" t="s">
        <v>1230</v>
      </c>
      <c r="Y711" s="85" t="s">
        <v>835</v>
      </c>
      <c r="Z711" s="49" t="s">
        <v>78</v>
      </c>
      <c r="AA711" s="61">
        <v>0.6</v>
      </c>
      <c r="AB711" s="71">
        <v>58520</v>
      </c>
      <c r="AC711" s="52" t="s">
        <v>9972</v>
      </c>
      <c r="AD711" s="53" t="str">
        <f t="shared" si="574"/>
        <v>Link</v>
      </c>
      <c r="AE711" s="54">
        <v>1344</v>
      </c>
      <c r="AF711" s="55"/>
      <c r="AG711" s="85"/>
      <c r="AH711" s="56">
        <v>215132</v>
      </c>
      <c r="AI711" s="7"/>
      <c r="AJ711" s="7"/>
      <c r="AK711" s="7"/>
    </row>
    <row r="712" spans="1:37" ht="15" x14ac:dyDescent="0.2">
      <c r="A712" s="57" t="s">
        <v>9297</v>
      </c>
      <c r="B712" s="31" t="s">
        <v>7298</v>
      </c>
      <c r="C712" s="7" t="s">
        <v>41</v>
      </c>
      <c r="D712" s="7" t="s">
        <v>10000</v>
      </c>
      <c r="E712" s="44">
        <v>5</v>
      </c>
      <c r="F712" s="7"/>
      <c r="G712" s="7"/>
      <c r="H712" s="2" t="s">
        <v>10001</v>
      </c>
      <c r="I712" s="7" t="s">
        <v>3053</v>
      </c>
      <c r="J712" s="7" t="s">
        <v>10004</v>
      </c>
      <c r="K712" s="7" t="s">
        <v>48</v>
      </c>
      <c r="L712" s="7" t="s">
        <v>10005</v>
      </c>
      <c r="M712" s="7" t="s">
        <v>10006</v>
      </c>
      <c r="N712" s="45" t="str">
        <f t="shared" ref="N712:N714" si="575">HYPERLINK("twitter.com/westchestersb","@westchestersb")</f>
        <v>@westchestersb</v>
      </c>
      <c r="O712" s="45" t="str">
        <f t="shared" ref="O712:O714" si="576">HYPERLINK("https://wcupagoldenrams.com/sports/2016/8/10/recruiting-forms.aspx","Questionnaire")</f>
        <v>Questionnaire</v>
      </c>
      <c r="P712" s="7" t="s">
        <v>10015</v>
      </c>
      <c r="Q712" s="118" t="s">
        <v>1231</v>
      </c>
      <c r="R712" s="48" t="s">
        <v>10015</v>
      </c>
      <c r="S712" s="48" t="s">
        <v>172</v>
      </c>
      <c r="T712" s="49" t="s">
        <v>74</v>
      </c>
      <c r="U712" s="49" t="s">
        <v>75</v>
      </c>
      <c r="V712" s="55"/>
      <c r="W712" s="44">
        <v>3.44</v>
      </c>
      <c r="X712" s="85" t="s">
        <v>895</v>
      </c>
      <c r="Y712" s="85" t="s">
        <v>1509</v>
      </c>
      <c r="Z712" s="49" t="s">
        <v>1715</v>
      </c>
      <c r="AA712" s="61">
        <v>0.64</v>
      </c>
      <c r="AB712" s="48" t="s">
        <v>10019</v>
      </c>
      <c r="AC712" s="52" t="s">
        <v>10015</v>
      </c>
      <c r="AD712" s="53" t="str">
        <f t="shared" ref="AD712:AD714" si="577">HYPERLINK("https://www.wcupa.edu/_academics/programs/","Link")</f>
        <v>Link</v>
      </c>
      <c r="AE712" s="54">
        <v>14397</v>
      </c>
      <c r="AF712" s="55"/>
      <c r="AG712" s="85"/>
      <c r="AH712" s="56">
        <v>216764</v>
      </c>
      <c r="AI712" s="7"/>
      <c r="AJ712" s="7"/>
      <c r="AK712" s="7"/>
    </row>
    <row r="713" spans="1:37" ht="15" x14ac:dyDescent="0.2">
      <c r="A713" s="57" t="s">
        <v>9297</v>
      </c>
      <c r="B713" s="31" t="s">
        <v>7298</v>
      </c>
      <c r="C713" s="7" t="s">
        <v>41</v>
      </c>
      <c r="D713" s="7" t="s">
        <v>10000</v>
      </c>
      <c r="E713" s="44">
        <v>5</v>
      </c>
      <c r="F713" s="7"/>
      <c r="G713" s="7"/>
      <c r="H713" s="2" t="s">
        <v>10001</v>
      </c>
      <c r="I713" s="7" t="s">
        <v>10026</v>
      </c>
      <c r="J713" s="7"/>
      <c r="K713" s="7" t="s">
        <v>3472</v>
      </c>
      <c r="L713" s="7" t="s">
        <v>10027</v>
      </c>
      <c r="M713" s="7" t="s">
        <v>10006</v>
      </c>
      <c r="N713" s="45" t="str">
        <f t="shared" si="575"/>
        <v>@westchestersb</v>
      </c>
      <c r="O713" s="45" t="str">
        <f t="shared" si="576"/>
        <v>Questionnaire</v>
      </c>
      <c r="P713" s="7" t="s">
        <v>10015</v>
      </c>
      <c r="Q713" s="118" t="s">
        <v>1231</v>
      </c>
      <c r="R713" s="48" t="s">
        <v>10015</v>
      </c>
      <c r="S713" s="48" t="s">
        <v>172</v>
      </c>
      <c r="T713" s="49" t="s">
        <v>74</v>
      </c>
      <c r="U713" s="49" t="s">
        <v>75</v>
      </c>
      <c r="V713" s="55"/>
      <c r="W713" s="44">
        <v>3.44</v>
      </c>
      <c r="X713" s="85" t="s">
        <v>895</v>
      </c>
      <c r="Y713" s="85" t="s">
        <v>1509</v>
      </c>
      <c r="Z713" s="49" t="s">
        <v>1715</v>
      </c>
      <c r="AA713" s="61">
        <v>0.64</v>
      </c>
      <c r="AB713" s="48" t="s">
        <v>10019</v>
      </c>
      <c r="AC713" s="52" t="s">
        <v>10015</v>
      </c>
      <c r="AD713" s="53" t="str">
        <f t="shared" si="577"/>
        <v>Link</v>
      </c>
      <c r="AE713" s="54">
        <v>14397</v>
      </c>
      <c r="AF713" s="55"/>
      <c r="AG713" s="85"/>
      <c r="AH713" s="56">
        <v>216764</v>
      </c>
      <c r="AI713" s="7"/>
      <c r="AJ713" s="7"/>
      <c r="AK713" s="7"/>
    </row>
    <row r="714" spans="1:37" ht="15" x14ac:dyDescent="0.2">
      <c r="A714" s="57" t="s">
        <v>9297</v>
      </c>
      <c r="B714" s="31" t="s">
        <v>7298</v>
      </c>
      <c r="C714" s="7" t="s">
        <v>41</v>
      </c>
      <c r="D714" s="7" t="s">
        <v>10035</v>
      </c>
      <c r="E714" s="44">
        <v>5</v>
      </c>
      <c r="F714" s="7"/>
      <c r="G714" s="7"/>
      <c r="H714" s="2" t="s">
        <v>10001</v>
      </c>
      <c r="I714" s="7" t="s">
        <v>161</v>
      </c>
      <c r="J714" s="7" t="s">
        <v>10036</v>
      </c>
      <c r="K714" s="7" t="s">
        <v>55</v>
      </c>
      <c r="L714" s="7" t="s">
        <v>10037</v>
      </c>
      <c r="M714" s="7" t="s">
        <v>10006</v>
      </c>
      <c r="N714" s="45" t="str">
        <f t="shared" si="575"/>
        <v>@westchestersb</v>
      </c>
      <c r="O714" s="45" t="str">
        <f t="shared" si="576"/>
        <v>Questionnaire</v>
      </c>
      <c r="P714" s="7" t="s">
        <v>10015</v>
      </c>
      <c r="Q714" s="118" t="s">
        <v>1231</v>
      </c>
      <c r="R714" s="48" t="s">
        <v>10015</v>
      </c>
      <c r="S714" s="48" t="s">
        <v>172</v>
      </c>
      <c r="T714" s="49" t="s">
        <v>74</v>
      </c>
      <c r="U714" s="49" t="s">
        <v>75</v>
      </c>
      <c r="V714" s="55"/>
      <c r="W714" s="44">
        <v>3.44</v>
      </c>
      <c r="X714" s="85" t="s">
        <v>895</v>
      </c>
      <c r="Y714" s="85" t="s">
        <v>1509</v>
      </c>
      <c r="Z714" s="49" t="s">
        <v>1715</v>
      </c>
      <c r="AA714" s="61">
        <v>0.64</v>
      </c>
      <c r="AB714" s="48" t="s">
        <v>10019</v>
      </c>
      <c r="AC714" s="52" t="s">
        <v>10015</v>
      </c>
      <c r="AD714" s="53" t="str">
        <f t="shared" si="577"/>
        <v>Link</v>
      </c>
      <c r="AE714" s="54">
        <v>14397</v>
      </c>
      <c r="AF714" s="55"/>
      <c r="AG714" s="85"/>
      <c r="AH714" s="56">
        <v>216764</v>
      </c>
      <c r="AI714" s="7"/>
      <c r="AJ714" s="7"/>
      <c r="AK714" s="7"/>
    </row>
    <row r="715" spans="1:37" ht="15" x14ac:dyDescent="0.2">
      <c r="A715" s="57" t="s">
        <v>7828</v>
      </c>
      <c r="B715" s="31" t="s">
        <v>10047</v>
      </c>
      <c r="C715" s="7" t="s">
        <v>41</v>
      </c>
      <c r="D715" s="7" t="s">
        <v>10048</v>
      </c>
      <c r="E715" s="44">
        <v>5</v>
      </c>
      <c r="F715" s="7"/>
      <c r="G715" s="7"/>
      <c r="H715" s="2" t="s">
        <v>10049</v>
      </c>
      <c r="I715" s="7" t="s">
        <v>458</v>
      </c>
      <c r="J715" s="7" t="s">
        <v>10051</v>
      </c>
      <c r="K715" s="7" t="s">
        <v>48</v>
      </c>
      <c r="L715" s="7" t="s">
        <v>10053</v>
      </c>
      <c r="M715" s="7" t="s">
        <v>10055</v>
      </c>
      <c r="N715" s="7"/>
      <c r="O715" s="7"/>
      <c r="P715" s="48" t="s">
        <v>10057</v>
      </c>
      <c r="Q715" s="47" t="s">
        <v>653</v>
      </c>
      <c r="R715" s="48" t="s">
        <v>894</v>
      </c>
      <c r="S715" s="48" t="s">
        <v>468</v>
      </c>
      <c r="T715" s="49" t="s">
        <v>63</v>
      </c>
      <c r="U715" s="49" t="s">
        <v>10058</v>
      </c>
      <c r="V715" s="48"/>
      <c r="W715" s="71">
        <v>3.5</v>
      </c>
      <c r="X715" s="48" t="s">
        <v>10059</v>
      </c>
      <c r="Y715" s="48" t="s">
        <v>521</v>
      </c>
      <c r="Z715" s="49" t="s">
        <v>1650</v>
      </c>
      <c r="AA715" s="51">
        <v>0.53920000000000001</v>
      </c>
      <c r="AB715" s="71">
        <v>40334</v>
      </c>
      <c r="AC715" s="52" t="s">
        <v>10057</v>
      </c>
      <c r="AD715" s="53" t="str">
        <f t="shared" ref="AD715:AD717" si="578">HYPERLINK("https://www.andersonuniversity.edu/colleges-schools/academics","Link")</f>
        <v>Link</v>
      </c>
      <c r="AE715" s="54">
        <v>2944</v>
      </c>
      <c r="AF715" s="55"/>
      <c r="AG715" s="48"/>
      <c r="AH715" s="56">
        <v>150066</v>
      </c>
      <c r="AI715" s="56"/>
      <c r="AJ715" s="56"/>
      <c r="AK715" s="56"/>
    </row>
    <row r="716" spans="1:37" ht="15" x14ac:dyDescent="0.2">
      <c r="A716" s="57" t="s">
        <v>7828</v>
      </c>
      <c r="B716" s="31" t="s">
        <v>10047</v>
      </c>
      <c r="C716" s="7" t="s">
        <v>41</v>
      </c>
      <c r="D716" s="7" t="s">
        <v>10066</v>
      </c>
      <c r="E716" s="44">
        <v>5</v>
      </c>
      <c r="F716" s="7"/>
      <c r="G716" s="7"/>
      <c r="H716" s="2" t="s">
        <v>10049</v>
      </c>
      <c r="I716" s="7" t="s">
        <v>7674</v>
      </c>
      <c r="J716" s="7" t="s">
        <v>3881</v>
      </c>
      <c r="K716" s="7" t="s">
        <v>55</v>
      </c>
      <c r="L716" s="7" t="s">
        <v>10068</v>
      </c>
      <c r="M716" s="7" t="s">
        <v>10055</v>
      </c>
      <c r="N716" s="7"/>
      <c r="O716" s="7"/>
      <c r="P716" s="48" t="s">
        <v>10057</v>
      </c>
      <c r="Q716" s="47" t="s">
        <v>653</v>
      </c>
      <c r="R716" s="48" t="s">
        <v>894</v>
      </c>
      <c r="S716" s="48" t="s">
        <v>468</v>
      </c>
      <c r="T716" s="49" t="s">
        <v>63</v>
      </c>
      <c r="U716" s="49" t="s">
        <v>10058</v>
      </c>
      <c r="V716" s="48"/>
      <c r="W716" s="71">
        <v>3.5</v>
      </c>
      <c r="X716" s="48" t="s">
        <v>10059</v>
      </c>
      <c r="Y716" s="48" t="s">
        <v>521</v>
      </c>
      <c r="Z716" s="49" t="s">
        <v>1650</v>
      </c>
      <c r="AA716" s="51">
        <v>0.53920000000000001</v>
      </c>
      <c r="AB716" s="71">
        <v>40334</v>
      </c>
      <c r="AC716" s="52" t="s">
        <v>10057</v>
      </c>
      <c r="AD716" s="53" t="str">
        <f t="shared" si="578"/>
        <v>Link</v>
      </c>
      <c r="AE716" s="54">
        <v>2944</v>
      </c>
      <c r="AF716" s="55"/>
      <c r="AG716" s="48"/>
      <c r="AH716" s="56">
        <v>150066</v>
      </c>
      <c r="AI716" s="56"/>
      <c r="AJ716" s="56"/>
      <c r="AK716" s="56"/>
    </row>
    <row r="717" spans="1:37" ht="15" x14ac:dyDescent="0.2">
      <c r="A717" s="57" t="s">
        <v>7828</v>
      </c>
      <c r="B717" s="31" t="s">
        <v>10047</v>
      </c>
      <c r="C717" s="7" t="s">
        <v>41</v>
      </c>
      <c r="D717" s="7" t="s">
        <v>10083</v>
      </c>
      <c r="E717" s="44">
        <v>5</v>
      </c>
      <c r="F717" s="7"/>
      <c r="G717" s="7"/>
      <c r="H717" s="2" t="s">
        <v>10049</v>
      </c>
      <c r="I717" s="7" t="s">
        <v>10084</v>
      </c>
      <c r="J717" s="7" t="s">
        <v>10085</v>
      </c>
      <c r="K717" s="7" t="s">
        <v>55</v>
      </c>
      <c r="L717" s="7" t="s">
        <v>10086</v>
      </c>
      <c r="M717" s="7" t="s">
        <v>10055</v>
      </c>
      <c r="N717" s="7"/>
      <c r="O717" s="7"/>
      <c r="P717" s="48" t="s">
        <v>10057</v>
      </c>
      <c r="Q717" s="47" t="s">
        <v>653</v>
      </c>
      <c r="R717" s="48" t="s">
        <v>894</v>
      </c>
      <c r="S717" s="48" t="s">
        <v>468</v>
      </c>
      <c r="T717" s="49" t="s">
        <v>63</v>
      </c>
      <c r="U717" s="49" t="s">
        <v>10058</v>
      </c>
      <c r="V717" s="48"/>
      <c r="W717" s="71">
        <v>3.5</v>
      </c>
      <c r="X717" s="48" t="s">
        <v>10059</v>
      </c>
      <c r="Y717" s="48" t="s">
        <v>521</v>
      </c>
      <c r="Z717" s="49" t="s">
        <v>1650</v>
      </c>
      <c r="AA717" s="51">
        <v>0.53920000000000001</v>
      </c>
      <c r="AB717" s="71">
        <v>40334</v>
      </c>
      <c r="AC717" s="52" t="s">
        <v>10057</v>
      </c>
      <c r="AD717" s="53" t="str">
        <f t="shared" si="578"/>
        <v>Link</v>
      </c>
      <c r="AE717" s="54">
        <v>2944</v>
      </c>
      <c r="AF717" s="55"/>
      <c r="AG717" s="48"/>
      <c r="AH717" s="56">
        <v>150066</v>
      </c>
      <c r="AI717" s="56"/>
      <c r="AJ717" s="56"/>
      <c r="AK717" s="56"/>
    </row>
    <row r="718" spans="1:37" ht="13" x14ac:dyDescent="0.15">
      <c r="A718" s="57" t="s">
        <v>182</v>
      </c>
      <c r="B718" s="31" t="s">
        <v>10047</v>
      </c>
      <c r="C718" s="7" t="s">
        <v>41</v>
      </c>
      <c r="D718" s="7" t="s">
        <v>10092</v>
      </c>
      <c r="E718" s="58">
        <v>5</v>
      </c>
      <c r="F718" s="7" t="s">
        <v>116</v>
      </c>
      <c r="G718" s="7"/>
      <c r="H718" s="2" t="s">
        <v>10095</v>
      </c>
      <c r="I718" s="7" t="s">
        <v>10096</v>
      </c>
      <c r="J718" s="7" t="s">
        <v>10097</v>
      </c>
      <c r="K718" s="7" t="s">
        <v>55</v>
      </c>
      <c r="L718" s="7"/>
      <c r="M718" s="7"/>
      <c r="N718" s="7"/>
      <c r="O718" s="74" t="str">
        <f t="shared" ref="O718:O720" si="579">HYPERLINK("https://benedicttigers.com/sb_output.aspx?form=3","Questionnaire")</f>
        <v>Questionnaire</v>
      </c>
      <c r="P718" s="48" t="s">
        <v>10104</v>
      </c>
      <c r="Q718" s="60" t="s">
        <v>653</v>
      </c>
      <c r="R718" s="48" t="s">
        <v>10106</v>
      </c>
      <c r="S718" s="48" t="s">
        <v>238</v>
      </c>
      <c r="T718" s="49" t="s">
        <v>63</v>
      </c>
      <c r="U718" s="49" t="s">
        <v>2619</v>
      </c>
      <c r="V718" s="48" t="s">
        <v>212</v>
      </c>
      <c r="W718" s="48" t="s">
        <v>524</v>
      </c>
      <c r="X718" s="48" t="s">
        <v>10108</v>
      </c>
      <c r="Y718" s="48" t="s">
        <v>10108</v>
      </c>
      <c r="Z718" s="49" t="s">
        <v>10109</v>
      </c>
      <c r="AA718" s="49" t="s">
        <v>214</v>
      </c>
      <c r="AB718" s="71">
        <v>32388</v>
      </c>
      <c r="AC718" s="90" t="s">
        <v>10104</v>
      </c>
      <c r="AD718" s="53" t="str">
        <f t="shared" ref="AD718:AD720" si="580">HYPERLINK("http://www.benedict.edu/cms/?q=degrees","Link")</f>
        <v>Link</v>
      </c>
      <c r="AE718" s="54">
        <v>2281</v>
      </c>
      <c r="AF718" s="55"/>
      <c r="AG718" s="48"/>
      <c r="AH718" s="111">
        <v>217721</v>
      </c>
      <c r="AI718" s="59"/>
      <c r="AJ718" s="59"/>
      <c r="AK718" s="56"/>
    </row>
    <row r="719" spans="1:37" ht="13" x14ac:dyDescent="0.15">
      <c r="A719" s="57" t="s">
        <v>182</v>
      </c>
      <c r="B719" s="31" t="s">
        <v>10047</v>
      </c>
      <c r="C719" s="7" t="s">
        <v>41</v>
      </c>
      <c r="D719" s="7" t="s">
        <v>10116</v>
      </c>
      <c r="E719" s="58">
        <v>5</v>
      </c>
      <c r="F719" s="7" t="s">
        <v>116</v>
      </c>
      <c r="G719" s="7"/>
      <c r="H719" s="2" t="s">
        <v>10095</v>
      </c>
      <c r="I719" s="7" t="s">
        <v>8725</v>
      </c>
      <c r="J719" s="7" t="s">
        <v>10118</v>
      </c>
      <c r="K719" s="7" t="s">
        <v>55</v>
      </c>
      <c r="L719" s="7"/>
      <c r="M719" s="7"/>
      <c r="N719" s="7"/>
      <c r="O719" s="74" t="str">
        <f t="shared" si="579"/>
        <v>Questionnaire</v>
      </c>
      <c r="P719" s="48" t="s">
        <v>10104</v>
      </c>
      <c r="Q719" s="60" t="s">
        <v>653</v>
      </c>
      <c r="R719" s="48" t="s">
        <v>10106</v>
      </c>
      <c r="S719" s="48" t="s">
        <v>238</v>
      </c>
      <c r="T719" s="49" t="s">
        <v>63</v>
      </c>
      <c r="U719" s="49" t="s">
        <v>2619</v>
      </c>
      <c r="V719" s="48" t="s">
        <v>212</v>
      </c>
      <c r="W719" s="48" t="s">
        <v>524</v>
      </c>
      <c r="X719" s="48" t="s">
        <v>10108</v>
      </c>
      <c r="Y719" s="48" t="s">
        <v>10108</v>
      </c>
      <c r="Z719" s="49" t="s">
        <v>10109</v>
      </c>
      <c r="AA719" s="49" t="s">
        <v>214</v>
      </c>
      <c r="AB719" s="71">
        <v>32388</v>
      </c>
      <c r="AC719" s="90" t="s">
        <v>10104</v>
      </c>
      <c r="AD719" s="53" t="str">
        <f t="shared" si="580"/>
        <v>Link</v>
      </c>
      <c r="AE719" s="54">
        <v>2281</v>
      </c>
      <c r="AF719" s="55"/>
      <c r="AG719" s="48"/>
      <c r="AH719" s="111">
        <v>217721</v>
      </c>
      <c r="AI719" s="59"/>
      <c r="AJ719" s="59"/>
      <c r="AK719" s="56"/>
    </row>
    <row r="720" spans="1:37" ht="13" x14ac:dyDescent="0.15">
      <c r="A720" s="57" t="s">
        <v>182</v>
      </c>
      <c r="B720" s="31" t="s">
        <v>10047</v>
      </c>
      <c r="C720" s="7" t="s">
        <v>41</v>
      </c>
      <c r="D720" s="7" t="s">
        <v>10125</v>
      </c>
      <c r="E720" s="44">
        <v>5</v>
      </c>
      <c r="F720" s="7"/>
      <c r="G720" s="7"/>
      <c r="H720" s="2" t="s">
        <v>10095</v>
      </c>
      <c r="I720" s="7" t="s">
        <v>10126</v>
      </c>
      <c r="J720" s="7" t="s">
        <v>10127</v>
      </c>
      <c r="K720" s="7" t="s">
        <v>1423</v>
      </c>
      <c r="L720" s="7" t="s">
        <v>10128</v>
      </c>
      <c r="M720" s="7" t="s">
        <v>10129</v>
      </c>
      <c r="N720" s="7"/>
      <c r="O720" s="74" t="str">
        <f t="shared" si="579"/>
        <v>Questionnaire</v>
      </c>
      <c r="P720" s="48" t="s">
        <v>10104</v>
      </c>
      <c r="Q720" s="60" t="s">
        <v>653</v>
      </c>
      <c r="R720" s="48" t="s">
        <v>10106</v>
      </c>
      <c r="S720" s="48" t="s">
        <v>238</v>
      </c>
      <c r="T720" s="49" t="s">
        <v>63</v>
      </c>
      <c r="U720" s="49" t="s">
        <v>2619</v>
      </c>
      <c r="V720" s="48" t="s">
        <v>212</v>
      </c>
      <c r="W720" s="48" t="s">
        <v>524</v>
      </c>
      <c r="X720" s="48" t="s">
        <v>10108</v>
      </c>
      <c r="Y720" s="48" t="s">
        <v>10108</v>
      </c>
      <c r="Z720" s="49" t="s">
        <v>10109</v>
      </c>
      <c r="AA720" s="49" t="s">
        <v>214</v>
      </c>
      <c r="AB720" s="71">
        <v>32388</v>
      </c>
      <c r="AC720" s="90" t="s">
        <v>10104</v>
      </c>
      <c r="AD720" s="53" t="str">
        <f t="shared" si="580"/>
        <v>Link</v>
      </c>
      <c r="AE720" s="54">
        <v>2281</v>
      </c>
      <c r="AF720" s="55"/>
      <c r="AG720" s="48"/>
      <c r="AH720" s="56">
        <v>217721</v>
      </c>
      <c r="AI720" s="56"/>
      <c r="AJ720" s="56"/>
      <c r="AK720" s="56"/>
    </row>
    <row r="721" spans="1:37" ht="15" x14ac:dyDescent="0.2">
      <c r="A721" s="57" t="s">
        <v>5122</v>
      </c>
      <c r="B721" s="31" t="s">
        <v>10047</v>
      </c>
      <c r="C721" s="7" t="s">
        <v>41</v>
      </c>
      <c r="D721" s="7" t="s">
        <v>10135</v>
      </c>
      <c r="E721" s="58">
        <v>5</v>
      </c>
      <c r="F721" s="7" t="s">
        <v>116</v>
      </c>
      <c r="G721" s="7"/>
      <c r="H721" s="2" t="s">
        <v>10139</v>
      </c>
      <c r="I721" s="7" t="s">
        <v>10142</v>
      </c>
      <c r="J721" s="7" t="s">
        <v>10144</v>
      </c>
      <c r="K721" s="7" t="s">
        <v>55</v>
      </c>
      <c r="L721" s="7" t="s">
        <v>10145</v>
      </c>
      <c r="M721" s="7" t="s">
        <v>10146</v>
      </c>
      <c r="N721" s="7"/>
      <c r="O721" s="7"/>
      <c r="P721" s="48" t="s">
        <v>10147</v>
      </c>
      <c r="Q721" s="47" t="s">
        <v>653</v>
      </c>
      <c r="R721" s="48" t="s">
        <v>7379</v>
      </c>
      <c r="S721" s="48" t="s">
        <v>172</v>
      </c>
      <c r="T721" s="49" t="s">
        <v>63</v>
      </c>
      <c r="U721" s="49" t="s">
        <v>65</v>
      </c>
      <c r="V721" s="48" t="s">
        <v>212</v>
      </c>
      <c r="W721" s="71">
        <v>3.28</v>
      </c>
      <c r="X721" s="48" t="s">
        <v>10149</v>
      </c>
      <c r="Y721" s="48" t="s">
        <v>3614</v>
      </c>
      <c r="Z721" s="49" t="s">
        <v>10150</v>
      </c>
      <c r="AA721" s="51">
        <v>0.41820000000000002</v>
      </c>
      <c r="AB721" s="71">
        <v>32090</v>
      </c>
      <c r="AC721" s="52" t="s">
        <v>10147</v>
      </c>
      <c r="AD721" s="53" t="str">
        <f t="shared" ref="AD721:AD722" si="581">HYPERLINK("http://www.claflin.edu/academics-research/programs-of-study","Link")</f>
        <v>Link</v>
      </c>
      <c r="AE721" s="54">
        <v>1905</v>
      </c>
      <c r="AF721" s="55"/>
      <c r="AG721" s="48"/>
      <c r="AH721" s="111">
        <v>217873</v>
      </c>
      <c r="AI721" s="59"/>
      <c r="AJ721" s="59"/>
      <c r="AK721" s="56"/>
    </row>
    <row r="722" spans="1:37" ht="15" x14ac:dyDescent="0.2">
      <c r="A722" s="57" t="s">
        <v>5122</v>
      </c>
      <c r="B722" s="31" t="s">
        <v>10047</v>
      </c>
      <c r="C722" s="7" t="s">
        <v>41</v>
      </c>
      <c r="D722" s="7" t="s">
        <v>10156</v>
      </c>
      <c r="E722" s="44">
        <v>5</v>
      </c>
      <c r="F722" s="7"/>
      <c r="G722" s="7"/>
      <c r="H722" s="2" t="s">
        <v>10139</v>
      </c>
      <c r="I722" s="7" t="s">
        <v>2816</v>
      </c>
      <c r="J722" s="7" t="s">
        <v>10157</v>
      </c>
      <c r="K722" s="7" t="s">
        <v>48</v>
      </c>
      <c r="L722" s="7" t="s">
        <v>10159</v>
      </c>
      <c r="M722" s="7" t="s">
        <v>10160</v>
      </c>
      <c r="N722" s="7"/>
      <c r="O722" s="7"/>
      <c r="P722" s="48" t="s">
        <v>10147</v>
      </c>
      <c r="Q722" s="47" t="s">
        <v>653</v>
      </c>
      <c r="R722" s="48" t="s">
        <v>7379</v>
      </c>
      <c r="S722" s="48" t="s">
        <v>172</v>
      </c>
      <c r="T722" s="49" t="s">
        <v>63</v>
      </c>
      <c r="U722" s="49" t="s">
        <v>65</v>
      </c>
      <c r="V722" s="48" t="s">
        <v>212</v>
      </c>
      <c r="W722" s="71">
        <v>3.28</v>
      </c>
      <c r="X722" s="48" t="s">
        <v>10149</v>
      </c>
      <c r="Y722" s="48" t="s">
        <v>3614</v>
      </c>
      <c r="Z722" s="49" t="s">
        <v>10150</v>
      </c>
      <c r="AA722" s="51">
        <v>0.41820000000000002</v>
      </c>
      <c r="AB722" s="71">
        <v>32090</v>
      </c>
      <c r="AC722" s="52" t="s">
        <v>10147</v>
      </c>
      <c r="AD722" s="53" t="str">
        <f t="shared" si="581"/>
        <v>Link</v>
      </c>
      <c r="AE722" s="54">
        <v>1905</v>
      </c>
      <c r="AF722" s="55"/>
      <c r="AG722" s="48"/>
      <c r="AH722" s="56">
        <v>217873</v>
      </c>
      <c r="AI722" s="56"/>
      <c r="AJ722" s="56"/>
      <c r="AK722" s="56"/>
    </row>
    <row r="723" spans="1:37" ht="13" x14ac:dyDescent="0.15">
      <c r="A723" s="57" t="s">
        <v>7828</v>
      </c>
      <c r="B723" s="31" t="s">
        <v>10047</v>
      </c>
      <c r="C723" s="7" t="s">
        <v>41</v>
      </c>
      <c r="D723" s="7" t="s">
        <v>10168</v>
      </c>
      <c r="E723" s="44">
        <v>5</v>
      </c>
      <c r="F723" s="7"/>
      <c r="G723" s="7"/>
      <c r="H723" s="2" t="s">
        <v>10169</v>
      </c>
      <c r="I723" s="7" t="s">
        <v>844</v>
      </c>
      <c r="J723" s="7" t="s">
        <v>7596</v>
      </c>
      <c r="K723" s="7" t="s">
        <v>48</v>
      </c>
      <c r="L723" s="7" t="s">
        <v>10175</v>
      </c>
      <c r="M723" s="7" t="s">
        <v>10177</v>
      </c>
      <c r="N723" s="45" t="str">
        <f t="shared" ref="N723:N724" si="582">HYPERLINK("twitter.com/cokersball","@cokersball")</f>
        <v>@cokersball</v>
      </c>
      <c r="O723" s="74" t="str">
        <f t="shared" ref="O723:O724" si="583">HYPERLINK("https://www.cokercobras.com/information/recruiting/index","Questionnaire")</f>
        <v>Questionnaire</v>
      </c>
      <c r="P723" s="7" t="s">
        <v>10183</v>
      </c>
      <c r="Q723" s="7" t="s">
        <v>653</v>
      </c>
      <c r="R723" s="60" t="s">
        <v>10185</v>
      </c>
      <c r="S723" s="60" t="s">
        <v>205</v>
      </c>
      <c r="T723" s="49" t="s">
        <v>63</v>
      </c>
      <c r="U723" s="49" t="s">
        <v>75</v>
      </c>
      <c r="V723" s="7"/>
      <c r="W723" s="44">
        <v>3.52</v>
      </c>
      <c r="X723" s="7" t="s">
        <v>253</v>
      </c>
      <c r="Y723" s="7" t="s">
        <v>1145</v>
      </c>
      <c r="Z723" s="49" t="s">
        <v>2307</v>
      </c>
      <c r="AA723" s="61">
        <v>0.59</v>
      </c>
      <c r="AB723" s="71">
        <v>38718</v>
      </c>
      <c r="AC723" s="90" t="s">
        <v>10183</v>
      </c>
      <c r="AD723" s="53" t="str">
        <f t="shared" ref="AD723:AD724" si="584">HYPERLINK("https://coker.edu/academic-programs","Link")</f>
        <v>Link</v>
      </c>
      <c r="AE723" s="54">
        <v>1149</v>
      </c>
      <c r="AF723" s="55"/>
      <c r="AG723" s="7"/>
      <c r="AH723" s="56">
        <v>217907</v>
      </c>
      <c r="AI723" s="56"/>
      <c r="AJ723" s="56"/>
      <c r="AK723" s="56"/>
    </row>
    <row r="724" spans="1:37" ht="13" x14ac:dyDescent="0.15">
      <c r="A724" s="57" t="s">
        <v>7828</v>
      </c>
      <c r="B724" s="31" t="s">
        <v>10047</v>
      </c>
      <c r="C724" s="7" t="s">
        <v>41</v>
      </c>
      <c r="D724" s="7" t="s">
        <v>10189</v>
      </c>
      <c r="E724" s="44">
        <v>5</v>
      </c>
      <c r="F724" s="7"/>
      <c r="G724" s="7"/>
      <c r="H724" s="2" t="s">
        <v>10169</v>
      </c>
      <c r="I724" s="7" t="s">
        <v>3865</v>
      </c>
      <c r="J724" s="7" t="s">
        <v>10193</v>
      </c>
      <c r="K724" s="7" t="s">
        <v>55</v>
      </c>
      <c r="L724" s="7" t="s">
        <v>10195</v>
      </c>
      <c r="M724" s="7" t="s">
        <v>10196</v>
      </c>
      <c r="N724" s="45" t="str">
        <f t="shared" si="582"/>
        <v>@cokersball</v>
      </c>
      <c r="O724" s="74" t="str">
        <f t="shared" si="583"/>
        <v>Questionnaire</v>
      </c>
      <c r="P724" s="7" t="s">
        <v>10183</v>
      </c>
      <c r="Q724" s="7" t="s">
        <v>653</v>
      </c>
      <c r="R724" s="60" t="s">
        <v>10185</v>
      </c>
      <c r="S724" s="60" t="s">
        <v>205</v>
      </c>
      <c r="T724" s="49" t="s">
        <v>63</v>
      </c>
      <c r="U724" s="49" t="s">
        <v>75</v>
      </c>
      <c r="V724" s="7"/>
      <c r="W724" s="44">
        <v>3.52</v>
      </c>
      <c r="X724" s="7" t="s">
        <v>253</v>
      </c>
      <c r="Y724" s="7" t="s">
        <v>1145</v>
      </c>
      <c r="Z724" s="49" t="s">
        <v>2307</v>
      </c>
      <c r="AA724" s="61">
        <v>0.59</v>
      </c>
      <c r="AB724" s="71">
        <v>38718</v>
      </c>
      <c r="AC724" s="90" t="s">
        <v>10183</v>
      </c>
      <c r="AD724" s="53" t="str">
        <f t="shared" si="584"/>
        <v>Link</v>
      </c>
      <c r="AE724" s="54">
        <v>1149</v>
      </c>
      <c r="AF724" s="55"/>
      <c r="AG724" s="7"/>
      <c r="AH724" s="56">
        <v>217907</v>
      </c>
      <c r="AI724" s="56"/>
      <c r="AJ724" s="56"/>
      <c r="AK724" s="56"/>
    </row>
    <row r="725" spans="1:37" ht="13" x14ac:dyDescent="0.15">
      <c r="A725" s="57" t="s">
        <v>3712</v>
      </c>
      <c r="B725" s="31" t="s">
        <v>10047</v>
      </c>
      <c r="C725" s="7" t="s">
        <v>41</v>
      </c>
      <c r="D725" s="7" t="s">
        <v>10203</v>
      </c>
      <c r="E725" s="44">
        <v>5</v>
      </c>
      <c r="F725" s="7"/>
      <c r="G725" s="7"/>
      <c r="H725" s="2" t="s">
        <v>10204</v>
      </c>
      <c r="I725" s="7" t="s">
        <v>1092</v>
      </c>
      <c r="J725" s="7" t="s">
        <v>2993</v>
      </c>
      <c r="K725" s="7" t="s">
        <v>48</v>
      </c>
      <c r="L725" s="7" t="s">
        <v>10205</v>
      </c>
      <c r="M725" s="7" t="s">
        <v>10206</v>
      </c>
      <c r="N725" s="45" t="str">
        <f t="shared" ref="N725:N726" si="585">HYPERLINK("twitter.com/valkyriessb","@valkyriessb")</f>
        <v>@valkyriessb</v>
      </c>
      <c r="O725" s="74" t="str">
        <f t="shared" ref="O725:O726" si="586">HYPERLINK("https://govalkyries.com/recruits/prospective_SA","Questionnaire")</f>
        <v>Questionnaire</v>
      </c>
      <c r="P725" s="48" t="s">
        <v>10217</v>
      </c>
      <c r="Q725" s="60" t="s">
        <v>653</v>
      </c>
      <c r="R725" s="48" t="s">
        <v>4164</v>
      </c>
      <c r="S725" s="48" t="s">
        <v>468</v>
      </c>
      <c r="T725" s="49" t="s">
        <v>63</v>
      </c>
      <c r="U725" s="48" t="s">
        <v>75</v>
      </c>
      <c r="V725" s="49" t="s">
        <v>1006</v>
      </c>
      <c r="W725" s="65">
        <v>3.89</v>
      </c>
      <c r="X725" s="49" t="s">
        <v>3341</v>
      </c>
      <c r="Y725" s="49" t="s">
        <v>1144</v>
      </c>
      <c r="Z725" s="49" t="s">
        <v>278</v>
      </c>
      <c r="AA725" s="65">
        <v>0.6</v>
      </c>
      <c r="AB725" s="39">
        <v>33200</v>
      </c>
      <c r="AC725" s="90" t="s">
        <v>10217</v>
      </c>
      <c r="AD725" s="53" t="str">
        <f t="shared" ref="AD725:AD726" si="587">HYPERLINK("https://www.converse.edu/academics/majors-minors-and-tracks/","Link")</f>
        <v>Link</v>
      </c>
      <c r="AE725" s="54">
        <v>870</v>
      </c>
      <c r="AF725" s="55"/>
      <c r="AG725" s="55"/>
      <c r="AH725" s="56">
        <v>217961</v>
      </c>
      <c r="AI725" s="56"/>
      <c r="AJ725" s="56"/>
      <c r="AK725" s="56"/>
    </row>
    <row r="726" spans="1:37" ht="13" x14ac:dyDescent="0.15">
      <c r="A726" s="57" t="s">
        <v>3712</v>
      </c>
      <c r="B726" s="31" t="s">
        <v>10047</v>
      </c>
      <c r="C726" s="7" t="s">
        <v>41</v>
      </c>
      <c r="D726" s="7" t="s">
        <v>10226</v>
      </c>
      <c r="E726" s="44">
        <v>5</v>
      </c>
      <c r="F726" s="7"/>
      <c r="G726" s="7"/>
      <c r="H726" s="2" t="s">
        <v>10204</v>
      </c>
      <c r="I726" s="7" t="s">
        <v>10227</v>
      </c>
      <c r="J726" s="7" t="s">
        <v>2031</v>
      </c>
      <c r="K726" s="7" t="s">
        <v>55</v>
      </c>
      <c r="L726" s="7" t="s">
        <v>10228</v>
      </c>
      <c r="M726" s="7"/>
      <c r="N726" s="69" t="str">
        <f t="shared" si="585"/>
        <v>@valkyriessb</v>
      </c>
      <c r="O726" s="74" t="str">
        <f t="shared" si="586"/>
        <v>Questionnaire</v>
      </c>
      <c r="P726" s="48" t="s">
        <v>10217</v>
      </c>
      <c r="Q726" s="60" t="s">
        <v>653</v>
      </c>
      <c r="R726" s="48" t="s">
        <v>4164</v>
      </c>
      <c r="S726" s="48" t="s">
        <v>468</v>
      </c>
      <c r="T726" s="49" t="s">
        <v>63</v>
      </c>
      <c r="U726" s="48" t="s">
        <v>75</v>
      </c>
      <c r="V726" s="49" t="s">
        <v>1006</v>
      </c>
      <c r="W726" s="65">
        <v>3.89</v>
      </c>
      <c r="X726" s="49" t="s">
        <v>3341</v>
      </c>
      <c r="Y726" s="49" t="s">
        <v>1144</v>
      </c>
      <c r="Z726" s="49" t="s">
        <v>278</v>
      </c>
      <c r="AA726" s="65">
        <v>0.6</v>
      </c>
      <c r="AB726" s="39">
        <v>33200</v>
      </c>
      <c r="AC726" s="90" t="s">
        <v>10217</v>
      </c>
      <c r="AD726" s="53" t="str">
        <f t="shared" si="587"/>
        <v>Link</v>
      </c>
      <c r="AE726" s="54">
        <v>870</v>
      </c>
      <c r="AF726" s="55"/>
      <c r="AG726" s="55"/>
      <c r="AH726" s="56">
        <v>217961</v>
      </c>
      <c r="AI726" s="56"/>
      <c r="AJ726" s="56"/>
      <c r="AK726" s="56"/>
    </row>
    <row r="727" spans="1:37" ht="13" x14ac:dyDescent="0.15">
      <c r="A727" s="57" t="s">
        <v>3712</v>
      </c>
      <c r="B727" s="31" t="s">
        <v>10047</v>
      </c>
      <c r="C727" s="7" t="s">
        <v>41</v>
      </c>
      <c r="D727" s="7" t="s">
        <v>10237</v>
      </c>
      <c r="E727" s="44">
        <v>5</v>
      </c>
      <c r="F727" s="7"/>
      <c r="G727" s="7"/>
      <c r="H727" s="2" t="s">
        <v>10238</v>
      </c>
      <c r="I727" s="7" t="s">
        <v>10239</v>
      </c>
      <c r="J727" s="7" t="s">
        <v>267</v>
      </c>
      <c r="K727" s="7" t="s">
        <v>48</v>
      </c>
      <c r="L727" s="7" t="s">
        <v>10240</v>
      </c>
      <c r="M727" s="7" t="s">
        <v>10241</v>
      </c>
      <c r="N727" s="69" t="str">
        <f t="shared" ref="N727:N728" si="588">HYPERLINK("twitter.com/erskinesoftball","@erskinesoftball")</f>
        <v>@erskinesoftball</v>
      </c>
      <c r="O727" s="74" t="str">
        <f t="shared" ref="O727:O728" si="589">HYPERLINK("https://erskinesports.com/sports/2016/5/11/recruit-questionnaire.aspx","Questionnaire")</f>
        <v>Questionnaire</v>
      </c>
      <c r="P727" s="7" t="s">
        <v>10243</v>
      </c>
      <c r="Q727" s="36" t="s">
        <v>653</v>
      </c>
      <c r="R727" s="48" t="s">
        <v>10244</v>
      </c>
      <c r="S727" s="60" t="s">
        <v>205</v>
      </c>
      <c r="T727" s="49" t="s">
        <v>63</v>
      </c>
      <c r="U727" s="49" t="s">
        <v>10245</v>
      </c>
      <c r="V727" s="7"/>
      <c r="W727" s="44">
        <v>3</v>
      </c>
      <c r="X727" s="7" t="s">
        <v>356</v>
      </c>
      <c r="Y727" s="7" t="s">
        <v>356</v>
      </c>
      <c r="Z727" s="49" t="s">
        <v>278</v>
      </c>
      <c r="AA727" s="61">
        <v>0.76</v>
      </c>
      <c r="AB727" s="71">
        <v>51360</v>
      </c>
      <c r="AC727" s="90" t="s">
        <v>10243</v>
      </c>
      <c r="AD727" s="53" t="str">
        <f t="shared" ref="AD727:AD728" si="590">HYPERLINK("http://www.erskine.edu/academics/majors/american-studies/","Link")</f>
        <v>Link</v>
      </c>
      <c r="AE727" s="54">
        <v>614</v>
      </c>
      <c r="AF727" s="55"/>
      <c r="AG727" s="7"/>
      <c r="AH727" s="56">
        <v>217998</v>
      </c>
      <c r="AI727" s="56"/>
      <c r="AJ727" s="56"/>
      <c r="AK727" s="56"/>
    </row>
    <row r="728" spans="1:37" ht="13" x14ac:dyDescent="0.15">
      <c r="A728" s="57" t="s">
        <v>3712</v>
      </c>
      <c r="B728" s="31" t="s">
        <v>10047</v>
      </c>
      <c r="C728" s="7" t="s">
        <v>41</v>
      </c>
      <c r="D728" s="7" t="s">
        <v>10252</v>
      </c>
      <c r="E728" s="44">
        <v>5</v>
      </c>
      <c r="F728" s="7"/>
      <c r="G728" s="7"/>
      <c r="H728" s="2" t="s">
        <v>10238</v>
      </c>
      <c r="I728" s="7" t="s">
        <v>329</v>
      </c>
      <c r="J728" s="7" t="s">
        <v>10254</v>
      </c>
      <c r="K728" s="7" t="s">
        <v>55</v>
      </c>
      <c r="L728" s="7"/>
      <c r="M728" s="7"/>
      <c r="N728" s="45" t="str">
        <f t="shared" si="588"/>
        <v>@erskinesoftball</v>
      </c>
      <c r="O728" s="74" t="str">
        <f t="shared" si="589"/>
        <v>Questionnaire</v>
      </c>
      <c r="P728" s="7" t="s">
        <v>10243</v>
      </c>
      <c r="Q728" s="36" t="s">
        <v>653</v>
      </c>
      <c r="R728" s="48" t="s">
        <v>10244</v>
      </c>
      <c r="S728" s="60" t="s">
        <v>205</v>
      </c>
      <c r="T728" s="49" t="s">
        <v>63</v>
      </c>
      <c r="U728" s="49" t="s">
        <v>10245</v>
      </c>
      <c r="V728" s="7"/>
      <c r="W728" s="44">
        <v>3</v>
      </c>
      <c r="X728" s="7" t="s">
        <v>356</v>
      </c>
      <c r="Y728" s="7" t="s">
        <v>356</v>
      </c>
      <c r="Z728" s="49" t="s">
        <v>278</v>
      </c>
      <c r="AA728" s="61">
        <v>0.76</v>
      </c>
      <c r="AB728" s="71">
        <v>51360</v>
      </c>
      <c r="AC728" s="90" t="s">
        <v>10243</v>
      </c>
      <c r="AD728" s="53" t="str">
        <f t="shared" si="590"/>
        <v>Link</v>
      </c>
      <c r="AE728" s="54">
        <v>614</v>
      </c>
      <c r="AF728" s="55"/>
      <c r="AG728" s="7"/>
      <c r="AH728" s="56">
        <v>217998</v>
      </c>
      <c r="AI728" s="56"/>
      <c r="AJ728" s="56"/>
      <c r="AK728" s="56"/>
    </row>
    <row r="729" spans="1:37" ht="15" x14ac:dyDescent="0.2">
      <c r="A729" s="57" t="s">
        <v>3001</v>
      </c>
      <c r="B729" s="31" t="s">
        <v>10047</v>
      </c>
      <c r="C729" s="7" t="s">
        <v>41</v>
      </c>
      <c r="D729" s="7" t="s">
        <v>10262</v>
      </c>
      <c r="E729" s="44">
        <v>5</v>
      </c>
      <c r="F729" s="7"/>
      <c r="G729" s="7"/>
      <c r="H729" s="2" t="s">
        <v>10263</v>
      </c>
      <c r="I729" s="7" t="s">
        <v>3088</v>
      </c>
      <c r="J729" s="7" t="s">
        <v>10265</v>
      </c>
      <c r="K729" s="7" t="s">
        <v>48</v>
      </c>
      <c r="L729" s="7" t="s">
        <v>10267</v>
      </c>
      <c r="M729" s="7" t="s">
        <v>10268</v>
      </c>
      <c r="N729" s="45" t="str">
        <f t="shared" ref="N729:N730" si="591">HYPERLINK("twitter.com/fmu_softball","@fmu_softball")</f>
        <v>@fmu_softball</v>
      </c>
      <c r="O729" s="74" t="str">
        <f t="shared" ref="O729:O730" si="592">HYPERLINK("https://www.fmupatriots.com/sports/sball/Recruit_Form","Questionnaire")</f>
        <v>Questionnaire</v>
      </c>
      <c r="P729" s="7" t="s">
        <v>10273</v>
      </c>
      <c r="Q729" s="57" t="s">
        <v>653</v>
      </c>
      <c r="R729" s="48" t="s">
        <v>2486</v>
      </c>
      <c r="S729" s="48" t="s">
        <v>468</v>
      </c>
      <c r="T729" s="49" t="s">
        <v>74</v>
      </c>
      <c r="U729" s="49" t="s">
        <v>75</v>
      </c>
      <c r="V729" s="7"/>
      <c r="W729" s="44">
        <v>3.79</v>
      </c>
      <c r="X729" s="7" t="s">
        <v>3428</v>
      </c>
      <c r="Y729" s="7" t="s">
        <v>1947</v>
      </c>
      <c r="Z729" s="49" t="s">
        <v>1948</v>
      </c>
      <c r="AA729" s="61">
        <v>0.62</v>
      </c>
      <c r="AB729" s="48" t="s">
        <v>10274</v>
      </c>
      <c r="AC729" s="52" t="s">
        <v>10273</v>
      </c>
      <c r="AD729" s="53" t="str">
        <f t="shared" ref="AD729:AD730" si="593">HYPERLINK("http://www.fmarion.edu/academics/","Link")</f>
        <v>Link</v>
      </c>
      <c r="AE729" s="54">
        <v>3559</v>
      </c>
      <c r="AF729" s="55"/>
      <c r="AG729" s="7"/>
      <c r="AH729" s="56">
        <v>218061</v>
      </c>
      <c r="AI729" s="56"/>
      <c r="AJ729" s="56"/>
      <c r="AK729" s="56"/>
    </row>
    <row r="730" spans="1:37" ht="15" x14ac:dyDescent="0.2">
      <c r="A730" s="57" t="s">
        <v>3001</v>
      </c>
      <c r="B730" s="31" t="s">
        <v>10047</v>
      </c>
      <c r="C730" s="7" t="s">
        <v>41</v>
      </c>
      <c r="D730" s="7" t="s">
        <v>10282</v>
      </c>
      <c r="E730" s="44">
        <v>5</v>
      </c>
      <c r="F730" s="7"/>
      <c r="G730" s="7"/>
      <c r="H730" s="2" t="s">
        <v>10263</v>
      </c>
      <c r="I730" s="7" t="s">
        <v>1258</v>
      </c>
      <c r="J730" s="7" t="s">
        <v>10283</v>
      </c>
      <c r="K730" s="7" t="s">
        <v>55</v>
      </c>
      <c r="L730" s="7" t="s">
        <v>10284</v>
      </c>
      <c r="M730" s="7" t="s">
        <v>10285</v>
      </c>
      <c r="N730" s="45" t="str">
        <f t="shared" si="591"/>
        <v>@fmu_softball</v>
      </c>
      <c r="O730" s="74" t="str">
        <f t="shared" si="592"/>
        <v>Questionnaire</v>
      </c>
      <c r="P730" s="7" t="s">
        <v>10273</v>
      </c>
      <c r="Q730" s="57" t="s">
        <v>653</v>
      </c>
      <c r="R730" s="48" t="s">
        <v>2486</v>
      </c>
      <c r="S730" s="48" t="s">
        <v>468</v>
      </c>
      <c r="T730" s="49" t="s">
        <v>74</v>
      </c>
      <c r="U730" s="49" t="s">
        <v>75</v>
      </c>
      <c r="V730" s="7"/>
      <c r="W730" s="44">
        <v>3.79</v>
      </c>
      <c r="X730" s="7" t="s">
        <v>3428</v>
      </c>
      <c r="Y730" s="7" t="s">
        <v>1947</v>
      </c>
      <c r="Z730" s="49" t="s">
        <v>1948</v>
      </c>
      <c r="AA730" s="61">
        <v>0.62</v>
      </c>
      <c r="AB730" s="48" t="s">
        <v>10274</v>
      </c>
      <c r="AC730" s="52" t="s">
        <v>10273</v>
      </c>
      <c r="AD730" s="53" t="str">
        <f t="shared" si="593"/>
        <v>Link</v>
      </c>
      <c r="AE730" s="54">
        <v>3559</v>
      </c>
      <c r="AF730" s="55"/>
      <c r="AG730" s="7"/>
      <c r="AH730" s="56">
        <v>218061</v>
      </c>
      <c r="AI730" s="56"/>
      <c r="AJ730" s="56"/>
      <c r="AK730" s="56"/>
    </row>
    <row r="731" spans="1:37" ht="13" x14ac:dyDescent="0.15">
      <c r="A731" s="57" t="s">
        <v>3001</v>
      </c>
      <c r="B731" s="31" t="s">
        <v>10047</v>
      </c>
      <c r="C731" s="7" t="s">
        <v>41</v>
      </c>
      <c r="D731" s="7" t="s">
        <v>10293</v>
      </c>
      <c r="E731" s="44">
        <v>5</v>
      </c>
      <c r="F731" s="7"/>
      <c r="G731" s="7"/>
      <c r="H731" s="2" t="s">
        <v>10295</v>
      </c>
      <c r="I731" s="7" t="s">
        <v>10297</v>
      </c>
      <c r="J731" s="7" t="s">
        <v>10298</v>
      </c>
      <c r="K731" s="7" t="s">
        <v>48</v>
      </c>
      <c r="L731" s="7" t="s">
        <v>10300</v>
      </c>
      <c r="M731" s="7" t="s">
        <v>10301</v>
      </c>
      <c r="N731" s="45" t="str">
        <f t="shared" ref="N731:N732" si="594">HYPERLINK("twitter.com/landersoftball","@landersoftball")</f>
        <v>@landersoftball</v>
      </c>
      <c r="O731" s="74" t="str">
        <f t="shared" ref="O731:O732" si="595">HYPERLINK("https://landerbearcats.com/athletics/Recruiting_Questionnaire","Questionnaire")</f>
        <v>Questionnaire</v>
      </c>
      <c r="P731" s="7" t="s">
        <v>10310</v>
      </c>
      <c r="Q731" s="36" t="s">
        <v>653</v>
      </c>
      <c r="R731" s="48" t="s">
        <v>10311</v>
      </c>
      <c r="S731" s="48" t="s">
        <v>172</v>
      </c>
      <c r="T731" s="73" t="s">
        <v>74</v>
      </c>
      <c r="U731" s="49" t="s">
        <v>75</v>
      </c>
      <c r="V731" s="7"/>
      <c r="W731" s="44">
        <v>3.66</v>
      </c>
      <c r="X731" s="7" t="s">
        <v>1145</v>
      </c>
      <c r="Y731" s="7" t="s">
        <v>1144</v>
      </c>
      <c r="Z731" s="49" t="s">
        <v>1339</v>
      </c>
      <c r="AA731" s="61">
        <v>0.62</v>
      </c>
      <c r="AB731" s="48" t="s">
        <v>10312</v>
      </c>
      <c r="AC731" s="90" t="s">
        <v>10310</v>
      </c>
      <c r="AD731" s="53" t="str">
        <f t="shared" ref="AD731:AD733" si="596">HYPERLINK("https://las.touro.edu/women/programs-and-majors/","Link")</f>
        <v>Link</v>
      </c>
      <c r="AE731" s="54">
        <v>2734</v>
      </c>
      <c r="AF731" s="55"/>
      <c r="AG731" s="7"/>
      <c r="AH731" s="56">
        <v>218229</v>
      </c>
      <c r="AI731" s="56"/>
      <c r="AJ731" s="56"/>
      <c r="AK731" s="56"/>
    </row>
    <row r="732" spans="1:37" ht="13" x14ac:dyDescent="0.15">
      <c r="A732" s="57" t="s">
        <v>3001</v>
      </c>
      <c r="B732" s="31" t="s">
        <v>10047</v>
      </c>
      <c r="C732" s="7" t="s">
        <v>41</v>
      </c>
      <c r="D732" s="7" t="s">
        <v>10318</v>
      </c>
      <c r="E732" s="44">
        <v>5</v>
      </c>
      <c r="F732" s="7"/>
      <c r="G732" s="7"/>
      <c r="H732" s="2" t="s">
        <v>10295</v>
      </c>
      <c r="I732" s="7" t="s">
        <v>427</v>
      </c>
      <c r="J732" s="7" t="s">
        <v>3953</v>
      </c>
      <c r="K732" s="7" t="s">
        <v>55</v>
      </c>
      <c r="L732" s="7" t="s">
        <v>10319</v>
      </c>
      <c r="M732" s="7" t="s">
        <v>10321</v>
      </c>
      <c r="N732" s="45" t="str">
        <f t="shared" si="594"/>
        <v>@landersoftball</v>
      </c>
      <c r="O732" s="74" t="str">
        <f t="shared" si="595"/>
        <v>Questionnaire</v>
      </c>
      <c r="P732" s="7" t="s">
        <v>10310</v>
      </c>
      <c r="Q732" s="36" t="s">
        <v>653</v>
      </c>
      <c r="R732" s="48" t="s">
        <v>10311</v>
      </c>
      <c r="S732" s="48" t="s">
        <v>172</v>
      </c>
      <c r="T732" s="73" t="s">
        <v>74</v>
      </c>
      <c r="U732" s="49" t="s">
        <v>75</v>
      </c>
      <c r="V732" s="7"/>
      <c r="W732" s="44">
        <v>3.66</v>
      </c>
      <c r="X732" s="7" t="s">
        <v>1145</v>
      </c>
      <c r="Y732" s="7" t="s">
        <v>1144</v>
      </c>
      <c r="Z732" s="49" t="s">
        <v>1339</v>
      </c>
      <c r="AA732" s="61">
        <v>0.62</v>
      </c>
      <c r="AB732" s="48" t="s">
        <v>10312</v>
      </c>
      <c r="AC732" s="90" t="s">
        <v>10310</v>
      </c>
      <c r="AD732" s="53" t="str">
        <f t="shared" si="596"/>
        <v>Link</v>
      </c>
      <c r="AE732" s="54">
        <v>2734</v>
      </c>
      <c r="AF732" s="55"/>
      <c r="AG732" s="7"/>
      <c r="AH732" s="56">
        <v>218229</v>
      </c>
      <c r="AI732" s="56"/>
      <c r="AJ732" s="56"/>
      <c r="AK732" s="56"/>
    </row>
    <row r="733" spans="1:37" ht="13" x14ac:dyDescent="0.15">
      <c r="A733" s="57"/>
      <c r="B733" s="31" t="s">
        <v>10047</v>
      </c>
      <c r="C733" s="7" t="s">
        <v>41</v>
      </c>
      <c r="D733" s="7" t="s">
        <v>10328</v>
      </c>
      <c r="E733" s="44">
        <v>5</v>
      </c>
      <c r="F733" s="7"/>
      <c r="G733" s="7"/>
      <c r="H733" s="2" t="s">
        <v>10295</v>
      </c>
      <c r="I733" s="7" t="s">
        <v>2080</v>
      </c>
      <c r="J733" s="7" t="s">
        <v>10329</v>
      </c>
      <c r="K733" s="7" t="s">
        <v>55</v>
      </c>
      <c r="L733" s="7"/>
      <c r="M733" s="7"/>
      <c r="N733" s="7"/>
      <c r="O733" s="7"/>
      <c r="P733" s="7" t="s">
        <v>10310</v>
      </c>
      <c r="Q733" s="36" t="s">
        <v>653</v>
      </c>
      <c r="R733" s="48" t="s">
        <v>10311</v>
      </c>
      <c r="S733" s="48" t="s">
        <v>172</v>
      </c>
      <c r="T733" s="73" t="s">
        <v>74</v>
      </c>
      <c r="U733" s="49" t="s">
        <v>75</v>
      </c>
      <c r="V733" s="7"/>
      <c r="W733" s="44">
        <v>3.66</v>
      </c>
      <c r="X733" s="7" t="s">
        <v>1145</v>
      </c>
      <c r="Y733" s="7" t="s">
        <v>1144</v>
      </c>
      <c r="Z733" s="49" t="s">
        <v>1339</v>
      </c>
      <c r="AA733" s="61">
        <v>0.62</v>
      </c>
      <c r="AB733" s="48" t="s">
        <v>10312</v>
      </c>
      <c r="AC733" s="90" t="s">
        <v>10310</v>
      </c>
      <c r="AD733" s="53" t="str">
        <f t="shared" si="596"/>
        <v>Link</v>
      </c>
      <c r="AE733" s="54">
        <v>2734</v>
      </c>
      <c r="AF733" s="55"/>
      <c r="AG733" s="7"/>
      <c r="AH733" s="56">
        <v>218229</v>
      </c>
      <c r="AI733" s="85"/>
      <c r="AJ733" s="85"/>
      <c r="AK733" s="85"/>
    </row>
    <row r="734" spans="1:37" ht="13" x14ac:dyDescent="0.15">
      <c r="A734" s="57" t="s">
        <v>7828</v>
      </c>
      <c r="B734" s="31" t="s">
        <v>10047</v>
      </c>
      <c r="C734" s="7" t="s">
        <v>41</v>
      </c>
      <c r="D734" s="7" t="s">
        <v>10339</v>
      </c>
      <c r="E734" s="44">
        <v>5</v>
      </c>
      <c r="F734" s="7"/>
      <c r="G734" s="7"/>
      <c r="H734" s="2" t="s">
        <v>10340</v>
      </c>
      <c r="I734" s="7" t="s">
        <v>206</v>
      </c>
      <c r="J734" s="7" t="s">
        <v>9359</v>
      </c>
      <c r="K734" s="7" t="s">
        <v>48</v>
      </c>
      <c r="L734" s="7" t="s">
        <v>10341</v>
      </c>
      <c r="M734" s="7" t="s">
        <v>10342</v>
      </c>
      <c r="N734" s="45" t="str">
        <f t="shared" ref="N734:N735" si="597">HYPERLINK("twitter.com/limestonesball","@limestonesball")</f>
        <v>@limestonesball</v>
      </c>
      <c r="O734" s="74" t="str">
        <f t="shared" ref="O734:O735" si="598">HYPERLINK("https://golimestonesaints.com/sports/2012/1/9/GEN_0109122947.aspx","Questionnaire")</f>
        <v>Questionnaire</v>
      </c>
      <c r="P734" s="7" t="s">
        <v>10350</v>
      </c>
      <c r="Q734" s="57" t="s">
        <v>653</v>
      </c>
      <c r="R734" s="48" t="s">
        <v>10353</v>
      </c>
      <c r="S734" s="48" t="s">
        <v>172</v>
      </c>
      <c r="T734" s="49" t="s">
        <v>63</v>
      </c>
      <c r="U734" s="49" t="s">
        <v>75</v>
      </c>
      <c r="V734" s="7"/>
      <c r="W734" s="44">
        <v>3.24</v>
      </c>
      <c r="X734" s="7" t="s">
        <v>1578</v>
      </c>
      <c r="Y734" s="7" t="s">
        <v>239</v>
      </c>
      <c r="Z734" s="49" t="s">
        <v>3842</v>
      </c>
      <c r="AA734" s="61">
        <v>0.48</v>
      </c>
      <c r="AB734" s="71">
        <v>39618</v>
      </c>
      <c r="AC734" s="92" t="s">
        <v>10350</v>
      </c>
      <c r="AD734" s="53" t="str">
        <f t="shared" ref="AD734:AD735" si="599">HYPERLINK("https://www.limestone.edu/degrees","Link")</f>
        <v>Link</v>
      </c>
      <c r="AE734" s="54">
        <v>2946</v>
      </c>
      <c r="AF734" s="55"/>
      <c r="AG734" s="7"/>
      <c r="AH734" s="56">
        <v>218238</v>
      </c>
      <c r="AI734" s="56"/>
      <c r="AJ734" s="56"/>
      <c r="AK734" s="56"/>
    </row>
    <row r="735" spans="1:37" ht="13" x14ac:dyDescent="0.15">
      <c r="A735" s="57" t="s">
        <v>7828</v>
      </c>
      <c r="B735" s="31" t="s">
        <v>10047</v>
      </c>
      <c r="C735" s="7" t="s">
        <v>41</v>
      </c>
      <c r="D735" s="7" t="s">
        <v>10360</v>
      </c>
      <c r="E735" s="44">
        <v>5</v>
      </c>
      <c r="F735" s="7"/>
      <c r="G735" s="7"/>
      <c r="H735" s="2" t="s">
        <v>10340</v>
      </c>
      <c r="I735" s="7" t="s">
        <v>1875</v>
      </c>
      <c r="J735" s="7" t="s">
        <v>7417</v>
      </c>
      <c r="K735" s="7" t="s">
        <v>55</v>
      </c>
      <c r="L735" s="7" t="s">
        <v>10364</v>
      </c>
      <c r="M735" s="7" t="s">
        <v>10365</v>
      </c>
      <c r="N735" s="45" t="str">
        <f t="shared" si="597"/>
        <v>@limestonesball</v>
      </c>
      <c r="O735" s="74" t="str">
        <f t="shared" si="598"/>
        <v>Questionnaire</v>
      </c>
      <c r="P735" s="7" t="s">
        <v>10350</v>
      </c>
      <c r="Q735" s="57" t="s">
        <v>653</v>
      </c>
      <c r="R735" s="48" t="s">
        <v>10353</v>
      </c>
      <c r="S735" s="48" t="s">
        <v>172</v>
      </c>
      <c r="T735" s="49" t="s">
        <v>63</v>
      </c>
      <c r="U735" s="49" t="s">
        <v>75</v>
      </c>
      <c r="V735" s="7"/>
      <c r="W735" s="44">
        <v>3.24</v>
      </c>
      <c r="X735" s="7" t="s">
        <v>1578</v>
      </c>
      <c r="Y735" s="7" t="s">
        <v>239</v>
      </c>
      <c r="Z735" s="49" t="s">
        <v>3842</v>
      </c>
      <c r="AA735" s="61">
        <v>0.48</v>
      </c>
      <c r="AB735" s="71">
        <v>39618</v>
      </c>
      <c r="AC735" s="92" t="s">
        <v>10350</v>
      </c>
      <c r="AD735" s="53" t="str">
        <f t="shared" si="599"/>
        <v>Link</v>
      </c>
      <c r="AE735" s="54">
        <v>2946</v>
      </c>
      <c r="AF735" s="55"/>
      <c r="AG735" s="7"/>
      <c r="AH735" s="56">
        <v>218238</v>
      </c>
      <c r="AI735" s="56"/>
      <c r="AJ735" s="56"/>
      <c r="AK735" s="56"/>
    </row>
    <row r="736" spans="1:37" ht="13" x14ac:dyDescent="0.15">
      <c r="A736" s="57" t="s">
        <v>7828</v>
      </c>
      <c r="B736" s="31" t="s">
        <v>10047</v>
      </c>
      <c r="C736" s="7" t="s">
        <v>41</v>
      </c>
      <c r="D736" s="7" t="s">
        <v>10370</v>
      </c>
      <c r="E736" s="44">
        <v>5</v>
      </c>
      <c r="F736" s="7"/>
      <c r="G736" s="7"/>
      <c r="H736" s="2" t="s">
        <v>10373</v>
      </c>
      <c r="I736" s="7" t="s">
        <v>10374</v>
      </c>
      <c r="J736" s="7" t="s">
        <v>10375</v>
      </c>
      <c r="K736" s="7" t="s">
        <v>48</v>
      </c>
      <c r="L736" s="7" t="s">
        <v>10377</v>
      </c>
      <c r="M736" s="7" t="s">
        <v>10379</v>
      </c>
      <c r="N736" s="45" t="str">
        <f t="shared" ref="N736:N737" si="600">HYPERLINK("twitter.com/newberrysb","@newberrysb")</f>
        <v>@newberrysb</v>
      </c>
      <c r="O736" s="74" t="str">
        <f t="shared" ref="O736:O737" si="601">HYPERLINK("https://newberrywolves.com/sb_output.aspx?form=5","Questionnaire")</f>
        <v>Questionnaire</v>
      </c>
      <c r="P736" s="7" t="s">
        <v>10387</v>
      </c>
      <c r="Q736" s="36" t="s">
        <v>653</v>
      </c>
      <c r="R736" s="48" t="s">
        <v>10388</v>
      </c>
      <c r="S736" s="48" t="s">
        <v>172</v>
      </c>
      <c r="T736" s="49" t="s">
        <v>63</v>
      </c>
      <c r="U736" s="49" t="s">
        <v>318</v>
      </c>
      <c r="V736" s="7"/>
      <c r="W736" s="44">
        <v>3.5</v>
      </c>
      <c r="X736" s="7" t="s">
        <v>2709</v>
      </c>
      <c r="Y736" s="7" t="s">
        <v>1338</v>
      </c>
      <c r="Z736" s="49" t="s">
        <v>1339</v>
      </c>
      <c r="AA736" s="61">
        <v>0.6</v>
      </c>
      <c r="AB736" s="71">
        <v>39544</v>
      </c>
      <c r="AC736" s="90" t="s">
        <v>10387</v>
      </c>
      <c r="AD736" s="53" t="str">
        <f t="shared" ref="AD736:AD737" si="602">HYPERLINK("https://www.newberry.edu/catalog","Link")</f>
        <v>Link</v>
      </c>
      <c r="AE736" s="54">
        <v>1070</v>
      </c>
      <c r="AF736" s="55"/>
      <c r="AG736" s="7"/>
      <c r="AH736" s="56">
        <v>218414</v>
      </c>
      <c r="AI736" s="56"/>
      <c r="AJ736" s="56"/>
      <c r="AK736" s="56"/>
    </row>
    <row r="737" spans="1:37" ht="13" x14ac:dyDescent="0.15">
      <c r="A737" s="57" t="s">
        <v>7828</v>
      </c>
      <c r="B737" s="31" t="s">
        <v>10047</v>
      </c>
      <c r="C737" s="7" t="s">
        <v>41</v>
      </c>
      <c r="D737" s="7" t="s">
        <v>10395</v>
      </c>
      <c r="E737" s="44">
        <v>5</v>
      </c>
      <c r="F737" s="7"/>
      <c r="G737" s="7"/>
      <c r="H737" s="2" t="s">
        <v>10373</v>
      </c>
      <c r="I737" s="7" t="s">
        <v>508</v>
      </c>
      <c r="J737" s="7" t="s">
        <v>2919</v>
      </c>
      <c r="K737" s="7" t="s">
        <v>55</v>
      </c>
      <c r="L737" s="7" t="s">
        <v>10396</v>
      </c>
      <c r="M737" s="7" t="s">
        <v>10397</v>
      </c>
      <c r="N737" s="45" t="str">
        <f t="shared" si="600"/>
        <v>@newberrysb</v>
      </c>
      <c r="O737" s="74" t="str">
        <f t="shared" si="601"/>
        <v>Questionnaire</v>
      </c>
      <c r="P737" s="7" t="s">
        <v>10387</v>
      </c>
      <c r="Q737" s="36" t="s">
        <v>653</v>
      </c>
      <c r="R737" s="48" t="s">
        <v>10388</v>
      </c>
      <c r="S737" s="48" t="s">
        <v>172</v>
      </c>
      <c r="T737" s="49" t="s">
        <v>63</v>
      </c>
      <c r="U737" s="49" t="s">
        <v>318</v>
      </c>
      <c r="V737" s="7"/>
      <c r="W737" s="44">
        <v>3.5</v>
      </c>
      <c r="X737" s="7" t="s">
        <v>2709</v>
      </c>
      <c r="Y737" s="7" t="s">
        <v>1338</v>
      </c>
      <c r="Z737" s="49" t="s">
        <v>1339</v>
      </c>
      <c r="AA737" s="61">
        <v>0.6</v>
      </c>
      <c r="AB737" s="71">
        <v>39544</v>
      </c>
      <c r="AC737" s="90" t="s">
        <v>10387</v>
      </c>
      <c r="AD737" s="53" t="str">
        <f t="shared" si="602"/>
        <v>Link</v>
      </c>
      <c r="AE737" s="54">
        <v>1070</v>
      </c>
      <c r="AF737" s="55"/>
      <c r="AG737" s="7"/>
      <c r="AH737" s="56">
        <v>218414</v>
      </c>
      <c r="AI737" s="56"/>
      <c r="AJ737" s="56"/>
      <c r="AK737" s="56"/>
    </row>
    <row r="738" spans="1:37" ht="15" x14ac:dyDescent="0.2">
      <c r="A738" s="7"/>
      <c r="B738" s="31" t="s">
        <v>10047</v>
      </c>
      <c r="C738" s="33" t="s">
        <v>41</v>
      </c>
      <c r="D738" s="7"/>
      <c r="E738" s="112">
        <v>5</v>
      </c>
      <c r="F738" s="7"/>
      <c r="G738" s="7"/>
      <c r="H738" s="2" t="s">
        <v>10404</v>
      </c>
      <c r="I738" s="2" t="s">
        <v>539</v>
      </c>
      <c r="J738" s="2" t="s">
        <v>1267</v>
      </c>
      <c r="K738" s="2" t="s">
        <v>48</v>
      </c>
      <c r="L738" s="2" t="s">
        <v>10405</v>
      </c>
      <c r="M738" s="6" t="s">
        <v>10407</v>
      </c>
      <c r="N738" s="45" t="str">
        <f t="shared" ref="N738:N739" si="603">HYPERLINK("twitter.com/ngusoftball","@ngusoftball")</f>
        <v>@ngusoftball</v>
      </c>
      <c r="O738" s="74" t="str">
        <f t="shared" ref="O738:O739" si="604">HYPERLINK("http://www.nguathletics.com/recruit/recruit-questionnaire/","Questionnaire")</f>
        <v>Questionnaire</v>
      </c>
      <c r="P738" s="48" t="s">
        <v>10415</v>
      </c>
      <c r="Q738" s="60" t="s">
        <v>653</v>
      </c>
      <c r="R738" s="48" t="s">
        <v>10416</v>
      </c>
      <c r="S738" s="60" t="s">
        <v>205</v>
      </c>
      <c r="T738" s="49" t="s">
        <v>63</v>
      </c>
      <c r="U738" s="6" t="s">
        <v>800</v>
      </c>
      <c r="V738" s="49"/>
      <c r="W738" s="65">
        <v>3.5</v>
      </c>
      <c r="X738" s="49" t="s">
        <v>10418</v>
      </c>
      <c r="Y738" s="49" t="s">
        <v>10419</v>
      </c>
      <c r="Z738" s="49" t="s">
        <v>10420</v>
      </c>
      <c r="AA738" s="65">
        <v>0.59</v>
      </c>
      <c r="AB738" s="39">
        <v>34000</v>
      </c>
      <c r="AC738" s="84" t="s">
        <v>10415</v>
      </c>
      <c r="AD738" s="53" t="str">
        <f t="shared" ref="AD738:AD739" si="605">HYPERLINK("https://www.ngu.edu/academics.php","Link")</f>
        <v>Link</v>
      </c>
      <c r="AE738" s="54">
        <v>2341</v>
      </c>
      <c r="AF738" s="55"/>
      <c r="AG738" s="55"/>
      <c r="AH738" s="56">
        <v>218441</v>
      </c>
      <c r="AI738" s="56" t="s">
        <v>2459</v>
      </c>
    </row>
    <row r="739" spans="1:37" ht="15" x14ac:dyDescent="0.2">
      <c r="A739" s="7"/>
      <c r="B739" s="31" t="s">
        <v>10047</v>
      </c>
      <c r="C739" s="33" t="s">
        <v>41</v>
      </c>
      <c r="D739" s="7"/>
      <c r="E739" s="112">
        <v>5</v>
      </c>
      <c r="F739" s="7"/>
      <c r="G739" s="7"/>
      <c r="H739" s="2" t="s">
        <v>10404</v>
      </c>
      <c r="I739" s="2" t="s">
        <v>10427</v>
      </c>
      <c r="J739" s="2" t="s">
        <v>10306</v>
      </c>
      <c r="K739" s="2" t="s">
        <v>55</v>
      </c>
      <c r="L739" s="2" t="s">
        <v>10428</v>
      </c>
      <c r="M739" s="6"/>
      <c r="N739" s="45" t="str">
        <f t="shared" si="603"/>
        <v>@ngusoftball</v>
      </c>
      <c r="O739" s="74" t="str">
        <f t="shared" si="604"/>
        <v>Questionnaire</v>
      </c>
      <c r="P739" s="48" t="s">
        <v>10415</v>
      </c>
      <c r="Q739" s="60" t="s">
        <v>653</v>
      </c>
      <c r="R739" s="48" t="s">
        <v>10416</v>
      </c>
      <c r="S739" s="60" t="s">
        <v>205</v>
      </c>
      <c r="T739" s="49" t="s">
        <v>63</v>
      </c>
      <c r="U739" s="6" t="s">
        <v>800</v>
      </c>
      <c r="V739" s="49"/>
      <c r="W739" s="65">
        <v>3.5</v>
      </c>
      <c r="X739" s="49" t="s">
        <v>10418</v>
      </c>
      <c r="Y739" s="49" t="s">
        <v>10419</v>
      </c>
      <c r="Z739" s="49" t="s">
        <v>10420</v>
      </c>
      <c r="AA739" s="65">
        <v>0.59</v>
      </c>
      <c r="AB739" s="39">
        <v>34000</v>
      </c>
      <c r="AC739" s="84" t="s">
        <v>10415</v>
      </c>
      <c r="AD739" s="53" t="str">
        <f t="shared" si="605"/>
        <v>Link</v>
      </c>
      <c r="AE739" s="54">
        <v>2341</v>
      </c>
      <c r="AF739" s="55"/>
      <c r="AG739" s="55"/>
      <c r="AH739" s="56">
        <v>218441</v>
      </c>
      <c r="AI739" s="56" t="s">
        <v>2459</v>
      </c>
    </row>
    <row r="740" spans="1:37" ht="15" x14ac:dyDescent="0.2">
      <c r="A740" s="57" t="s">
        <v>3001</v>
      </c>
      <c r="B740" s="31" t="s">
        <v>10047</v>
      </c>
      <c r="C740" s="7" t="s">
        <v>41</v>
      </c>
      <c r="D740" s="7" t="s">
        <v>10431</v>
      </c>
      <c r="E740" s="44">
        <v>5</v>
      </c>
      <c r="F740" s="7"/>
      <c r="G740" s="7"/>
      <c r="H740" s="2" t="s">
        <v>10433</v>
      </c>
      <c r="I740" s="7" t="s">
        <v>6305</v>
      </c>
      <c r="J740" s="7" t="s">
        <v>10434</v>
      </c>
      <c r="K740" s="7" t="s">
        <v>48</v>
      </c>
      <c r="L740" s="7" t="s">
        <v>10437</v>
      </c>
      <c r="M740" s="7" t="s">
        <v>10438</v>
      </c>
      <c r="N740" s="7"/>
      <c r="O740" s="7" t="s">
        <v>22</v>
      </c>
      <c r="P740" s="7" t="s">
        <v>10439</v>
      </c>
      <c r="Q740" s="57" t="s">
        <v>653</v>
      </c>
      <c r="R740" s="48" t="s">
        <v>10440</v>
      </c>
      <c r="S740" s="48" t="s">
        <v>468</v>
      </c>
      <c r="T740" s="49" t="s">
        <v>74</v>
      </c>
      <c r="U740" s="49" t="s">
        <v>75</v>
      </c>
      <c r="V740" s="7"/>
      <c r="W740" s="44">
        <v>3.75</v>
      </c>
      <c r="X740" s="7" t="s">
        <v>2257</v>
      </c>
      <c r="Y740" s="7" t="s">
        <v>253</v>
      </c>
      <c r="Z740" s="49" t="s">
        <v>841</v>
      </c>
      <c r="AA740" s="61">
        <v>0.67</v>
      </c>
      <c r="AB740" s="48" t="s">
        <v>10446</v>
      </c>
      <c r="AC740" s="52" t="s">
        <v>10439</v>
      </c>
      <c r="AD740" s="53" t="str">
        <f>HYPERLINK("http://www.usca.edu/academics/majors-minors/major-and-degree-list.dot","Link")</f>
        <v>Link</v>
      </c>
      <c r="AE740" s="54">
        <v>3371</v>
      </c>
      <c r="AF740" s="55"/>
      <c r="AG740" s="7"/>
      <c r="AH740" s="56">
        <v>218645</v>
      </c>
      <c r="AI740" s="56"/>
      <c r="AJ740" s="56"/>
      <c r="AK740" s="56"/>
    </row>
    <row r="741" spans="1:37" ht="13" x14ac:dyDescent="0.15">
      <c r="A741" s="57" t="s">
        <v>3712</v>
      </c>
      <c r="B741" s="31" t="s">
        <v>10047</v>
      </c>
      <c r="C741" s="7" t="s">
        <v>41</v>
      </c>
      <c r="D741" s="7" t="s">
        <v>10457</v>
      </c>
      <c r="E741" s="44">
        <v>5</v>
      </c>
      <c r="F741" s="7"/>
      <c r="G741" s="7"/>
      <c r="H741" s="2" t="s">
        <v>10458</v>
      </c>
      <c r="I741" s="7" t="s">
        <v>10459</v>
      </c>
      <c r="J741" s="7" t="s">
        <v>10460</v>
      </c>
      <c r="K741" s="7" t="s">
        <v>48</v>
      </c>
      <c r="L741" s="7" t="s">
        <v>10461</v>
      </c>
      <c r="M741" s="7" t="s">
        <v>10462</v>
      </c>
      <c r="N741" s="45" t="str">
        <f t="shared" ref="N741:N744" si="606">HYPERLINK("twitter.com/softballswu","@softballswu")</f>
        <v>@softballswu</v>
      </c>
      <c r="O741" s="74" t="str">
        <f t="shared" ref="O741:O744" si="607">HYPERLINK("https://swuathletics.prestosports.com/recruiting/index","Questionnaire")</f>
        <v>Questionnaire</v>
      </c>
      <c r="P741" s="7" t="s">
        <v>10472</v>
      </c>
      <c r="Q741" s="57" t="s">
        <v>653</v>
      </c>
      <c r="R741" s="48" t="s">
        <v>10473</v>
      </c>
      <c r="S741" s="60" t="s">
        <v>205</v>
      </c>
      <c r="T741" s="49" t="s">
        <v>63</v>
      </c>
      <c r="U741" s="49" t="s">
        <v>9196</v>
      </c>
      <c r="V741" s="7"/>
      <c r="W741" s="44">
        <v>3.5</v>
      </c>
      <c r="X741" s="7" t="s">
        <v>1453</v>
      </c>
      <c r="Y741" s="7" t="s">
        <v>1785</v>
      </c>
      <c r="Z741" s="49" t="s">
        <v>2307</v>
      </c>
      <c r="AA741" s="61">
        <v>0.55000000000000004</v>
      </c>
      <c r="AB741" s="71">
        <v>36120</v>
      </c>
      <c r="AC741" s="62" t="s">
        <v>10472</v>
      </c>
      <c r="AD741" s="53" t="str">
        <f t="shared" ref="AD741:AD744" si="608">HYPERLINK("http://www.swu.edu/academics/academic-programs/","Link")</f>
        <v>Link</v>
      </c>
      <c r="AE741" s="54">
        <v>1424</v>
      </c>
      <c r="AF741" s="55"/>
      <c r="AG741" s="7"/>
      <c r="AH741" s="56">
        <v>217776</v>
      </c>
      <c r="AI741" s="56"/>
      <c r="AJ741" s="56"/>
      <c r="AK741" s="56"/>
    </row>
    <row r="742" spans="1:37" ht="13" x14ac:dyDescent="0.15">
      <c r="A742" s="57" t="s">
        <v>3712</v>
      </c>
      <c r="B742" s="31" t="s">
        <v>10047</v>
      </c>
      <c r="C742" s="7" t="s">
        <v>41</v>
      </c>
      <c r="D742" s="7" t="s">
        <v>10481</v>
      </c>
      <c r="E742" s="44">
        <v>5</v>
      </c>
      <c r="F742" s="7"/>
      <c r="G742" s="7"/>
      <c r="H742" s="2" t="s">
        <v>10458</v>
      </c>
      <c r="I742" s="7" t="s">
        <v>94</v>
      </c>
      <c r="J742" s="7" t="s">
        <v>10482</v>
      </c>
      <c r="K742" s="7" t="s">
        <v>55</v>
      </c>
      <c r="L742" s="7"/>
      <c r="M742" s="7"/>
      <c r="N742" s="45" t="str">
        <f t="shared" si="606"/>
        <v>@softballswu</v>
      </c>
      <c r="O742" s="74" t="str">
        <f t="shared" si="607"/>
        <v>Questionnaire</v>
      </c>
      <c r="P742" s="7" t="s">
        <v>10472</v>
      </c>
      <c r="Q742" s="57" t="s">
        <v>653</v>
      </c>
      <c r="R742" s="48" t="s">
        <v>10473</v>
      </c>
      <c r="S742" s="60" t="s">
        <v>205</v>
      </c>
      <c r="T742" s="49" t="s">
        <v>63</v>
      </c>
      <c r="U742" s="49" t="s">
        <v>9196</v>
      </c>
      <c r="V742" s="7"/>
      <c r="W742" s="44">
        <v>3.5</v>
      </c>
      <c r="X742" s="7" t="s">
        <v>1453</v>
      </c>
      <c r="Y742" s="7" t="s">
        <v>1785</v>
      </c>
      <c r="Z742" s="49" t="s">
        <v>2307</v>
      </c>
      <c r="AA742" s="61">
        <v>0.55000000000000004</v>
      </c>
      <c r="AB742" s="71">
        <v>36120</v>
      </c>
      <c r="AC742" s="62" t="s">
        <v>10472</v>
      </c>
      <c r="AD742" s="53" t="str">
        <f t="shared" si="608"/>
        <v>Link</v>
      </c>
      <c r="AE742" s="54">
        <v>1424</v>
      </c>
      <c r="AF742" s="55"/>
      <c r="AG742" s="7"/>
      <c r="AH742" s="56">
        <v>217776</v>
      </c>
      <c r="AI742" s="56"/>
      <c r="AJ742" s="56"/>
      <c r="AK742" s="56"/>
    </row>
    <row r="743" spans="1:37" ht="13" x14ac:dyDescent="0.15">
      <c r="A743" s="57" t="s">
        <v>3712</v>
      </c>
      <c r="B743" s="31" t="s">
        <v>10047</v>
      </c>
      <c r="C743" s="7" t="s">
        <v>41</v>
      </c>
      <c r="D743" s="7" t="s">
        <v>10488</v>
      </c>
      <c r="E743" s="44">
        <v>5</v>
      </c>
      <c r="F743" s="7"/>
      <c r="G743" s="7"/>
      <c r="H743" s="2" t="s">
        <v>10458</v>
      </c>
      <c r="I743" s="7" t="s">
        <v>349</v>
      </c>
      <c r="J743" s="7" t="s">
        <v>263</v>
      </c>
      <c r="K743" s="7" t="s">
        <v>120</v>
      </c>
      <c r="L743" s="7"/>
      <c r="M743" s="7"/>
      <c r="N743" s="45" t="str">
        <f t="shared" si="606"/>
        <v>@softballswu</v>
      </c>
      <c r="O743" s="74" t="str">
        <f t="shared" si="607"/>
        <v>Questionnaire</v>
      </c>
      <c r="P743" s="7" t="s">
        <v>10472</v>
      </c>
      <c r="Q743" s="57" t="s">
        <v>653</v>
      </c>
      <c r="R743" s="48" t="s">
        <v>10473</v>
      </c>
      <c r="S743" s="60" t="s">
        <v>205</v>
      </c>
      <c r="T743" s="49" t="s">
        <v>63</v>
      </c>
      <c r="U743" s="49" t="s">
        <v>9196</v>
      </c>
      <c r="V743" s="7"/>
      <c r="W743" s="44">
        <v>3.5</v>
      </c>
      <c r="X743" s="7" t="s">
        <v>1453</v>
      </c>
      <c r="Y743" s="7" t="s">
        <v>1785</v>
      </c>
      <c r="Z743" s="49" t="s">
        <v>2307</v>
      </c>
      <c r="AA743" s="61">
        <v>0.55000000000000004</v>
      </c>
      <c r="AB743" s="71">
        <v>36120</v>
      </c>
      <c r="AC743" s="62" t="s">
        <v>10472</v>
      </c>
      <c r="AD743" s="53" t="str">
        <f t="shared" si="608"/>
        <v>Link</v>
      </c>
      <c r="AE743" s="54">
        <v>1424</v>
      </c>
      <c r="AF743" s="55"/>
      <c r="AG743" s="7"/>
      <c r="AH743" s="56">
        <v>217776</v>
      </c>
      <c r="AI743" s="56"/>
      <c r="AJ743" s="56"/>
      <c r="AK743" s="56"/>
    </row>
    <row r="744" spans="1:37" ht="13" x14ac:dyDescent="0.15">
      <c r="A744" s="57" t="s">
        <v>3712</v>
      </c>
      <c r="B744" s="31" t="s">
        <v>10047</v>
      </c>
      <c r="C744" s="7" t="s">
        <v>41</v>
      </c>
      <c r="D744" s="7" t="s">
        <v>10501</v>
      </c>
      <c r="E744" s="44">
        <v>5</v>
      </c>
      <c r="F744" s="7"/>
      <c r="G744" s="7"/>
      <c r="H744" s="2" t="s">
        <v>10458</v>
      </c>
      <c r="I744" s="7" t="s">
        <v>4010</v>
      </c>
      <c r="J744" s="7" t="s">
        <v>8744</v>
      </c>
      <c r="K744" s="7" t="s">
        <v>120</v>
      </c>
      <c r="L744" s="7"/>
      <c r="M744" s="7"/>
      <c r="N744" s="45" t="str">
        <f t="shared" si="606"/>
        <v>@softballswu</v>
      </c>
      <c r="O744" s="74" t="str">
        <f t="shared" si="607"/>
        <v>Questionnaire</v>
      </c>
      <c r="P744" s="7" t="s">
        <v>10472</v>
      </c>
      <c r="Q744" s="57" t="s">
        <v>653</v>
      </c>
      <c r="R744" s="48" t="s">
        <v>10473</v>
      </c>
      <c r="S744" s="60" t="s">
        <v>205</v>
      </c>
      <c r="T744" s="49" t="s">
        <v>63</v>
      </c>
      <c r="U744" s="49" t="s">
        <v>9196</v>
      </c>
      <c r="V744" s="7"/>
      <c r="W744" s="44">
        <v>3.5</v>
      </c>
      <c r="X744" s="7" t="s">
        <v>1453</v>
      </c>
      <c r="Y744" s="7" t="s">
        <v>1785</v>
      </c>
      <c r="Z744" s="49" t="s">
        <v>2307</v>
      </c>
      <c r="AA744" s="61">
        <v>0.55000000000000004</v>
      </c>
      <c r="AB744" s="71">
        <v>36120</v>
      </c>
      <c r="AC744" s="62" t="s">
        <v>10472</v>
      </c>
      <c r="AD744" s="53" t="str">
        <f t="shared" si="608"/>
        <v>Link</v>
      </c>
      <c r="AE744" s="54">
        <v>1424</v>
      </c>
      <c r="AF744" s="55"/>
      <c r="AG744" s="7"/>
      <c r="AH744" s="56">
        <v>217776</v>
      </c>
      <c r="AI744" s="56"/>
      <c r="AJ744" s="56"/>
      <c r="AK744" s="56"/>
    </row>
    <row r="745" spans="1:37" ht="15" x14ac:dyDescent="0.2">
      <c r="A745" s="57" t="s">
        <v>4718</v>
      </c>
      <c r="B745" s="31" t="s">
        <v>10507</v>
      </c>
      <c r="C745" s="7" t="s">
        <v>41</v>
      </c>
      <c r="D745" s="7" t="s">
        <v>10508</v>
      </c>
      <c r="E745" s="44">
        <v>5</v>
      </c>
      <c r="F745" s="7"/>
      <c r="G745" s="7"/>
      <c r="H745" s="2" t="s">
        <v>10509</v>
      </c>
      <c r="I745" s="7" t="s">
        <v>10510</v>
      </c>
      <c r="J745" s="7" t="s">
        <v>10512</v>
      </c>
      <c r="K745" s="7" t="s">
        <v>48</v>
      </c>
      <c r="L745" s="7" t="s">
        <v>10513</v>
      </c>
      <c r="M745" s="7" t="s">
        <v>10514</v>
      </c>
      <c r="N745" s="45" t="str">
        <f t="shared" ref="N745:N747" si="609">HYPERLINK("twitter.com/augiesoftball","@augiesoftball")</f>
        <v>@augiesoftball</v>
      </c>
      <c r="O745" s="74" t="str">
        <f t="shared" ref="O745:O747" si="610">HYPERLINK("https://goaugie.com/sports/2005/1/27/24966.aspx","Questionnaire")</f>
        <v>Questionnaire</v>
      </c>
      <c r="P745" s="7" t="s">
        <v>10517</v>
      </c>
      <c r="Q745" s="57" t="s">
        <v>10518</v>
      </c>
      <c r="R745" s="48" t="s">
        <v>10519</v>
      </c>
      <c r="S745" s="48" t="s">
        <v>62</v>
      </c>
      <c r="T745" s="49" t="s">
        <v>63</v>
      </c>
      <c r="U745" s="49" t="s">
        <v>318</v>
      </c>
      <c r="V745" s="7"/>
      <c r="W745" s="44">
        <v>3.69</v>
      </c>
      <c r="X745" s="7" t="s">
        <v>5208</v>
      </c>
      <c r="Y745" s="7" t="s">
        <v>2510</v>
      </c>
      <c r="Z745" s="49" t="s">
        <v>2734</v>
      </c>
      <c r="AA745" s="51">
        <v>0.69120000000000004</v>
      </c>
      <c r="AB745" s="71">
        <v>40824</v>
      </c>
      <c r="AC745" s="52" t="s">
        <v>10517</v>
      </c>
      <c r="AD745" s="53" t="str">
        <f t="shared" ref="AD745:AD747" si="611">HYPERLINK("http://www.augie.edu/academics/majors-and-programs","Link")</f>
        <v>Link</v>
      </c>
      <c r="AE745" s="54">
        <v>1665</v>
      </c>
      <c r="AF745" s="55"/>
      <c r="AG745" s="7"/>
      <c r="AH745" s="56">
        <v>219000</v>
      </c>
      <c r="AI745" s="56"/>
      <c r="AJ745" s="56"/>
      <c r="AK745" s="56"/>
    </row>
    <row r="746" spans="1:37" ht="15" x14ac:dyDescent="0.2">
      <c r="A746" s="57" t="s">
        <v>4718</v>
      </c>
      <c r="B746" s="31" t="s">
        <v>10507</v>
      </c>
      <c r="C746" s="7" t="s">
        <v>41</v>
      </c>
      <c r="D746" s="7" t="s">
        <v>10528</v>
      </c>
      <c r="E746" s="44">
        <v>5</v>
      </c>
      <c r="F746" s="7"/>
      <c r="G746" s="7"/>
      <c r="H746" s="2" t="s">
        <v>10509</v>
      </c>
      <c r="I746" s="7" t="s">
        <v>130</v>
      </c>
      <c r="J746" s="7" t="s">
        <v>2482</v>
      </c>
      <c r="K746" s="7" t="s">
        <v>919</v>
      </c>
      <c r="L746" s="7" t="s">
        <v>10530</v>
      </c>
      <c r="M746" s="7"/>
      <c r="N746" s="45" t="str">
        <f t="shared" si="609"/>
        <v>@augiesoftball</v>
      </c>
      <c r="O746" s="74" t="str">
        <f t="shared" si="610"/>
        <v>Questionnaire</v>
      </c>
      <c r="P746" s="7" t="s">
        <v>10517</v>
      </c>
      <c r="Q746" s="57" t="s">
        <v>10518</v>
      </c>
      <c r="R746" s="48" t="s">
        <v>10519</v>
      </c>
      <c r="S746" s="48" t="s">
        <v>62</v>
      </c>
      <c r="T746" s="49" t="s">
        <v>63</v>
      </c>
      <c r="U746" s="49" t="s">
        <v>318</v>
      </c>
      <c r="V746" s="7"/>
      <c r="W746" s="44">
        <v>3.69</v>
      </c>
      <c r="X746" s="7" t="s">
        <v>5208</v>
      </c>
      <c r="Y746" s="7" t="s">
        <v>2510</v>
      </c>
      <c r="Z746" s="49" t="s">
        <v>2734</v>
      </c>
      <c r="AA746" s="51">
        <v>0.69120000000000004</v>
      </c>
      <c r="AB746" s="71">
        <v>40824</v>
      </c>
      <c r="AC746" s="52" t="s">
        <v>10517</v>
      </c>
      <c r="AD746" s="53" t="str">
        <f t="shared" si="611"/>
        <v>Link</v>
      </c>
      <c r="AE746" s="54">
        <v>1665</v>
      </c>
      <c r="AF746" s="55"/>
      <c r="AG746" s="7"/>
      <c r="AH746" s="56">
        <v>219000</v>
      </c>
      <c r="AI746" s="56"/>
      <c r="AJ746" s="56"/>
      <c r="AK746" s="56"/>
    </row>
    <row r="747" spans="1:37" ht="15" x14ac:dyDescent="0.2">
      <c r="A747" s="57" t="s">
        <v>4718</v>
      </c>
      <c r="B747" s="31" t="s">
        <v>10507</v>
      </c>
      <c r="C747" s="7" t="s">
        <v>41</v>
      </c>
      <c r="D747" s="7" t="s">
        <v>10535</v>
      </c>
      <c r="E747" s="44">
        <v>5</v>
      </c>
      <c r="F747" s="7"/>
      <c r="G747" s="7"/>
      <c r="H747" s="2" t="s">
        <v>10509</v>
      </c>
      <c r="I747" s="7" t="s">
        <v>7674</v>
      </c>
      <c r="J747" s="7" t="s">
        <v>1311</v>
      </c>
      <c r="K747" s="7" t="s">
        <v>120</v>
      </c>
      <c r="L747" s="7"/>
      <c r="M747" s="7"/>
      <c r="N747" s="45" t="str">
        <f t="shared" si="609"/>
        <v>@augiesoftball</v>
      </c>
      <c r="O747" s="74" t="str">
        <f t="shared" si="610"/>
        <v>Questionnaire</v>
      </c>
      <c r="P747" s="7" t="s">
        <v>10517</v>
      </c>
      <c r="Q747" s="57" t="s">
        <v>10518</v>
      </c>
      <c r="R747" s="48" t="s">
        <v>10519</v>
      </c>
      <c r="S747" s="48" t="s">
        <v>62</v>
      </c>
      <c r="T747" s="49" t="s">
        <v>63</v>
      </c>
      <c r="U747" s="49" t="s">
        <v>318</v>
      </c>
      <c r="V747" s="7"/>
      <c r="W747" s="44">
        <v>3.69</v>
      </c>
      <c r="X747" s="7" t="s">
        <v>5208</v>
      </c>
      <c r="Y747" s="7" t="s">
        <v>2510</v>
      </c>
      <c r="Z747" s="49" t="s">
        <v>2734</v>
      </c>
      <c r="AA747" s="51">
        <v>0.69120000000000004</v>
      </c>
      <c r="AB747" s="71">
        <v>40824</v>
      </c>
      <c r="AC747" s="52" t="s">
        <v>10517</v>
      </c>
      <c r="AD747" s="53" t="str">
        <f t="shared" si="611"/>
        <v>Link</v>
      </c>
      <c r="AE747" s="54">
        <v>1665</v>
      </c>
      <c r="AF747" s="55"/>
      <c r="AG747" s="7"/>
      <c r="AH747" s="56">
        <v>219000</v>
      </c>
      <c r="AI747" s="56"/>
      <c r="AJ747" s="56"/>
      <c r="AK747" s="56"/>
    </row>
    <row r="748" spans="1:37" ht="13" x14ac:dyDescent="0.15">
      <c r="A748" s="57" t="s">
        <v>2071</v>
      </c>
      <c r="B748" s="31" t="s">
        <v>10507</v>
      </c>
      <c r="C748" s="7" t="s">
        <v>41</v>
      </c>
      <c r="D748" s="7" t="s">
        <v>10541</v>
      </c>
      <c r="E748" s="44">
        <v>5</v>
      </c>
      <c r="F748" s="7" t="s">
        <v>116</v>
      </c>
      <c r="G748" s="7"/>
      <c r="H748" s="2" t="s">
        <v>10543</v>
      </c>
      <c r="I748" s="7" t="s">
        <v>10544</v>
      </c>
      <c r="J748" s="7" t="s">
        <v>6068</v>
      </c>
      <c r="K748" s="7" t="s">
        <v>1423</v>
      </c>
      <c r="L748" s="7" t="s">
        <v>10545</v>
      </c>
      <c r="M748" s="7"/>
      <c r="N748" s="45" t="str">
        <f t="shared" ref="N748:N749" si="612">HYPERLINK("twitter.com/bhsusball","@bhsusball")</f>
        <v>@bhsusball</v>
      </c>
      <c r="O748" s="74" t="str">
        <f t="shared" ref="O748:O749" si="613">HYPERLINK("https://bhsuathletics.com/sports/2016/10/27/recruit-questionnaires.aspx","Questionnaire")</f>
        <v>Questionnaire</v>
      </c>
      <c r="P748" s="7" t="s">
        <v>10553</v>
      </c>
      <c r="Q748" s="36" t="s">
        <v>10518</v>
      </c>
      <c r="R748" s="6" t="s">
        <v>10554</v>
      </c>
      <c r="S748" s="6" t="s">
        <v>172</v>
      </c>
      <c r="T748" s="4" t="s">
        <v>74</v>
      </c>
      <c r="U748" s="4" t="s">
        <v>75</v>
      </c>
      <c r="V748" s="7"/>
      <c r="W748" s="37">
        <v>3.09</v>
      </c>
      <c r="X748" s="7" t="s">
        <v>3520</v>
      </c>
      <c r="Y748" s="7" t="s">
        <v>2257</v>
      </c>
      <c r="Z748" s="4" t="s">
        <v>125</v>
      </c>
      <c r="AA748" s="38">
        <v>0.79759999999999998</v>
      </c>
      <c r="AB748" s="6" t="s">
        <v>10555</v>
      </c>
      <c r="AC748" s="66" t="s">
        <v>10553</v>
      </c>
      <c r="AD748" s="67" t="str">
        <f t="shared" ref="AD748:AD749" si="614">HYPERLINK("http://www.bhsu.edu/academics","Link")</f>
        <v>Link</v>
      </c>
      <c r="AE748" s="42">
        <v>3812</v>
      </c>
      <c r="AF748" s="55"/>
      <c r="AG748" s="7"/>
      <c r="AH748" s="56">
        <v>219046</v>
      </c>
      <c r="AI748" s="56"/>
      <c r="AJ748" s="56"/>
      <c r="AK748" s="56"/>
    </row>
    <row r="749" spans="1:37" ht="13" x14ac:dyDescent="0.15">
      <c r="A749" s="57" t="s">
        <v>2071</v>
      </c>
      <c r="B749" s="31" t="s">
        <v>10507</v>
      </c>
      <c r="C749" s="7" t="s">
        <v>41</v>
      </c>
      <c r="D749" s="7" t="s">
        <v>10558</v>
      </c>
      <c r="E749" s="44">
        <v>5</v>
      </c>
      <c r="F749" s="7"/>
      <c r="G749" s="7"/>
      <c r="H749" s="2" t="s">
        <v>10543</v>
      </c>
      <c r="I749" s="7" t="s">
        <v>3497</v>
      </c>
      <c r="J749" s="7" t="s">
        <v>6352</v>
      </c>
      <c r="K749" s="7" t="s">
        <v>55</v>
      </c>
      <c r="L749" s="7" t="s">
        <v>10559</v>
      </c>
      <c r="M749" s="7"/>
      <c r="N749" s="45" t="str">
        <f t="shared" si="612"/>
        <v>@bhsusball</v>
      </c>
      <c r="O749" s="74" t="str">
        <f t="shared" si="613"/>
        <v>Questionnaire</v>
      </c>
      <c r="P749" s="7" t="s">
        <v>10553</v>
      </c>
      <c r="Q749" s="36" t="s">
        <v>10518</v>
      </c>
      <c r="R749" s="6" t="s">
        <v>10554</v>
      </c>
      <c r="S749" s="6" t="s">
        <v>172</v>
      </c>
      <c r="T749" s="4" t="s">
        <v>74</v>
      </c>
      <c r="U749" s="4" t="s">
        <v>75</v>
      </c>
      <c r="V749" s="7"/>
      <c r="W749" s="37">
        <v>3.09</v>
      </c>
      <c r="X749" s="7" t="s">
        <v>3520</v>
      </c>
      <c r="Y749" s="7" t="s">
        <v>2257</v>
      </c>
      <c r="Z749" s="4" t="s">
        <v>125</v>
      </c>
      <c r="AA749" s="38">
        <v>0.79759999999999998</v>
      </c>
      <c r="AB749" s="6" t="s">
        <v>10555</v>
      </c>
      <c r="AC749" s="66" t="s">
        <v>10553</v>
      </c>
      <c r="AD749" s="67" t="str">
        <f t="shared" si="614"/>
        <v>Link</v>
      </c>
      <c r="AE749" s="42">
        <v>3812</v>
      </c>
      <c r="AF749" s="55"/>
      <c r="AG749" s="7"/>
      <c r="AH749" s="56">
        <v>219046</v>
      </c>
      <c r="AI749" s="56"/>
      <c r="AJ749" s="56"/>
      <c r="AK749" s="56"/>
    </row>
    <row r="750" spans="1:37" ht="13" x14ac:dyDescent="0.15">
      <c r="A750" s="57" t="s">
        <v>4718</v>
      </c>
      <c r="B750" s="31" t="s">
        <v>10507</v>
      </c>
      <c r="C750" s="7" t="s">
        <v>41</v>
      </c>
      <c r="D750" s="7" t="s">
        <v>10563</v>
      </c>
      <c r="E750" s="44">
        <v>5</v>
      </c>
      <c r="F750" s="7"/>
      <c r="G750" s="7"/>
      <c r="H750" s="2" t="s">
        <v>10565</v>
      </c>
      <c r="I750" s="7" t="s">
        <v>5168</v>
      </c>
      <c r="J750" s="7" t="s">
        <v>3213</v>
      </c>
      <c r="K750" s="7" t="s">
        <v>48</v>
      </c>
      <c r="L750" s="7" t="s">
        <v>10567</v>
      </c>
      <c r="M750" s="7" t="s">
        <v>10568</v>
      </c>
      <c r="N750" s="45" t="str">
        <f t="shared" ref="N750:N752" si="615">HYPERLINK("twitter.com/nsuwolves_sb","@nsuwolves_sb")</f>
        <v>@nsuwolves_sb</v>
      </c>
      <c r="O750" s="74" t="str">
        <f t="shared" ref="O750:O752" si="616">HYPERLINK("https://nsuwolves.com/sb_output.aspx?form=13","Questionnaire")</f>
        <v>Questionnaire</v>
      </c>
      <c r="P750" s="7" t="s">
        <v>10573</v>
      </c>
      <c r="Q750" s="57" t="s">
        <v>10518</v>
      </c>
      <c r="R750" s="48" t="s">
        <v>10574</v>
      </c>
      <c r="S750" s="48" t="s">
        <v>468</v>
      </c>
      <c r="T750" s="49" t="s">
        <v>74</v>
      </c>
      <c r="U750" s="49" t="s">
        <v>75</v>
      </c>
      <c r="V750" s="7"/>
      <c r="W750" s="44">
        <v>3.22</v>
      </c>
      <c r="X750" s="7" t="s">
        <v>2522</v>
      </c>
      <c r="Y750" s="7" t="s">
        <v>3338</v>
      </c>
      <c r="Z750" s="49" t="s">
        <v>4743</v>
      </c>
      <c r="AA750" s="61">
        <v>0.81</v>
      </c>
      <c r="AB750" s="48" t="s">
        <v>10575</v>
      </c>
      <c r="AC750" s="62" t="s">
        <v>10573</v>
      </c>
      <c r="AD750" s="53" t="str">
        <f t="shared" ref="AD750:AD752" si="617">HYPERLINK("http://www.northern.edu/majors-and-minors","Link")</f>
        <v>Link</v>
      </c>
      <c r="AE750" s="54">
        <v>3075</v>
      </c>
      <c r="AF750" s="55"/>
      <c r="AG750" s="7"/>
      <c r="AH750" s="56">
        <v>219259</v>
      </c>
      <c r="AI750" s="56"/>
      <c r="AJ750" s="56"/>
      <c r="AK750" s="56"/>
    </row>
    <row r="751" spans="1:37" ht="13" x14ac:dyDescent="0.15">
      <c r="A751" s="57" t="s">
        <v>4718</v>
      </c>
      <c r="B751" s="31" t="s">
        <v>10507</v>
      </c>
      <c r="C751" s="7" t="s">
        <v>41</v>
      </c>
      <c r="D751" s="7" t="s">
        <v>10586</v>
      </c>
      <c r="E751" s="44">
        <v>5</v>
      </c>
      <c r="F751" s="7"/>
      <c r="G751" s="7"/>
      <c r="H751" s="2" t="s">
        <v>10565</v>
      </c>
      <c r="I751" s="7" t="s">
        <v>2705</v>
      </c>
      <c r="J751" s="7" t="s">
        <v>3213</v>
      </c>
      <c r="K751" s="7" t="s">
        <v>55</v>
      </c>
      <c r="L751" s="7"/>
      <c r="M751" s="7"/>
      <c r="N751" s="45" t="str">
        <f t="shared" si="615"/>
        <v>@nsuwolves_sb</v>
      </c>
      <c r="O751" s="74" t="str">
        <f t="shared" si="616"/>
        <v>Questionnaire</v>
      </c>
      <c r="P751" s="7" t="s">
        <v>10573</v>
      </c>
      <c r="Q751" s="57" t="s">
        <v>10518</v>
      </c>
      <c r="R751" s="48" t="s">
        <v>10574</v>
      </c>
      <c r="S751" s="48" t="s">
        <v>468</v>
      </c>
      <c r="T751" s="49" t="s">
        <v>74</v>
      </c>
      <c r="U751" s="49" t="s">
        <v>75</v>
      </c>
      <c r="V751" s="7"/>
      <c r="W751" s="44">
        <v>3.22</v>
      </c>
      <c r="X751" s="7" t="s">
        <v>2522</v>
      </c>
      <c r="Y751" s="7" t="s">
        <v>3338</v>
      </c>
      <c r="Z751" s="49" t="s">
        <v>4743</v>
      </c>
      <c r="AA751" s="61">
        <v>0.81</v>
      </c>
      <c r="AB751" s="48" t="s">
        <v>10575</v>
      </c>
      <c r="AC751" s="62" t="s">
        <v>10573</v>
      </c>
      <c r="AD751" s="53" t="str">
        <f t="shared" si="617"/>
        <v>Link</v>
      </c>
      <c r="AE751" s="54">
        <v>3075</v>
      </c>
      <c r="AF751" s="55"/>
      <c r="AG751" s="7"/>
      <c r="AH751" s="56">
        <v>219259</v>
      </c>
      <c r="AI751" s="56"/>
      <c r="AJ751" s="56"/>
      <c r="AK751" s="56"/>
    </row>
    <row r="752" spans="1:37" ht="13" x14ac:dyDescent="0.15">
      <c r="A752" s="57" t="s">
        <v>4718</v>
      </c>
      <c r="B752" s="31" t="s">
        <v>10507</v>
      </c>
      <c r="C752" s="7" t="s">
        <v>41</v>
      </c>
      <c r="D752" s="7" t="s">
        <v>10589</v>
      </c>
      <c r="E752" s="44">
        <v>5</v>
      </c>
      <c r="F752" s="7"/>
      <c r="G752" s="7"/>
      <c r="H752" s="2" t="s">
        <v>10565</v>
      </c>
      <c r="I752" s="7" t="s">
        <v>1266</v>
      </c>
      <c r="J752" s="7" t="s">
        <v>10590</v>
      </c>
      <c r="K752" s="7" t="s">
        <v>120</v>
      </c>
      <c r="L752" s="7" t="s">
        <v>10591</v>
      </c>
      <c r="M752" s="7" t="s">
        <v>10568</v>
      </c>
      <c r="N752" s="45" t="str">
        <f t="shared" si="615"/>
        <v>@nsuwolves_sb</v>
      </c>
      <c r="O752" s="74" t="str">
        <f t="shared" si="616"/>
        <v>Questionnaire</v>
      </c>
      <c r="P752" s="7" t="s">
        <v>10573</v>
      </c>
      <c r="Q752" s="57" t="s">
        <v>10518</v>
      </c>
      <c r="R752" s="48" t="s">
        <v>10574</v>
      </c>
      <c r="S752" s="48" t="s">
        <v>468</v>
      </c>
      <c r="T752" s="49" t="s">
        <v>74</v>
      </c>
      <c r="U752" s="49" t="s">
        <v>75</v>
      </c>
      <c r="V752" s="7"/>
      <c r="W752" s="44">
        <v>3.22</v>
      </c>
      <c r="X752" s="7" t="s">
        <v>2522</v>
      </c>
      <c r="Y752" s="7" t="s">
        <v>3338</v>
      </c>
      <c r="Z752" s="49" t="s">
        <v>4743</v>
      </c>
      <c r="AA752" s="61">
        <v>0.81</v>
      </c>
      <c r="AB752" s="48" t="s">
        <v>10575</v>
      </c>
      <c r="AC752" s="62" t="s">
        <v>10573</v>
      </c>
      <c r="AD752" s="53" t="str">
        <f t="shared" si="617"/>
        <v>Link</v>
      </c>
      <c r="AE752" s="54">
        <v>3075</v>
      </c>
      <c r="AF752" s="55"/>
      <c r="AG752" s="7"/>
      <c r="AH752" s="56">
        <v>219259</v>
      </c>
      <c r="AI752" s="56"/>
      <c r="AJ752" s="56"/>
      <c r="AK752" s="56"/>
    </row>
    <row r="753" spans="1:37" ht="15" x14ac:dyDescent="0.2">
      <c r="A753" s="57" t="s">
        <v>4718</v>
      </c>
      <c r="B753" s="31" t="s">
        <v>10507</v>
      </c>
      <c r="C753" s="7" t="s">
        <v>41</v>
      </c>
      <c r="D753" s="7" t="s">
        <v>10596</v>
      </c>
      <c r="E753" s="44">
        <v>5</v>
      </c>
      <c r="F753" s="7"/>
      <c r="G753" s="7"/>
      <c r="H753" s="2" t="s">
        <v>10599</v>
      </c>
      <c r="I753" s="7" t="s">
        <v>1307</v>
      </c>
      <c r="J753" s="7" t="s">
        <v>10601</v>
      </c>
      <c r="K753" s="7" t="s">
        <v>48</v>
      </c>
      <c r="L753" s="7" t="s">
        <v>10605</v>
      </c>
      <c r="M753" s="7" t="s">
        <v>10607</v>
      </c>
      <c r="N753" s="45" t="str">
        <f t="shared" ref="N753:N754" si="618">HYPERLINK("twitter.com/USFCougars_SB","@USFCougars_SB")</f>
        <v>@USFCougars_SB</v>
      </c>
      <c r="O753" s="74" t="str">
        <f t="shared" ref="O753:O754" si="619">HYPERLINK("https://usfcougars.com/sports/2016/5/25/usf-athletics-recruiting-questionnaires.aspx","Questionnaire")</f>
        <v>Questionnaire</v>
      </c>
      <c r="P753" s="7" t="s">
        <v>10519</v>
      </c>
      <c r="Q753" s="57" t="s">
        <v>10518</v>
      </c>
      <c r="R753" s="48" t="s">
        <v>10519</v>
      </c>
      <c r="S753" s="48" t="s">
        <v>62</v>
      </c>
      <c r="T753" s="49" t="s">
        <v>63</v>
      </c>
      <c r="U753" s="49" t="s">
        <v>2715</v>
      </c>
      <c r="V753" s="7"/>
      <c r="W753" s="44">
        <v>3.3</v>
      </c>
      <c r="X753" s="7" t="s">
        <v>1509</v>
      </c>
      <c r="Y753" s="7" t="s">
        <v>2341</v>
      </c>
      <c r="Z753" s="49" t="s">
        <v>1994</v>
      </c>
      <c r="AA753" s="61">
        <v>0.91</v>
      </c>
      <c r="AB753" s="71">
        <v>38785</v>
      </c>
      <c r="AC753" s="52" t="s">
        <v>10519</v>
      </c>
      <c r="AD753" s="53" t="str">
        <f t="shared" ref="AD753:AD754" si="620">HYPERLINK("https://www.usiouxfalls.edu/academics/undergraduate","Link")</f>
        <v>Link</v>
      </c>
      <c r="AE753" s="54">
        <v>1259</v>
      </c>
      <c r="AF753" s="55"/>
      <c r="AG753" s="7"/>
      <c r="AH753" s="56">
        <v>219383</v>
      </c>
      <c r="AI753" s="56"/>
      <c r="AJ753" s="56"/>
      <c r="AK753" s="56"/>
    </row>
    <row r="754" spans="1:37" ht="15" x14ac:dyDescent="0.2">
      <c r="A754" s="57" t="s">
        <v>4718</v>
      </c>
      <c r="B754" s="31" t="s">
        <v>10507</v>
      </c>
      <c r="C754" s="7" t="s">
        <v>41</v>
      </c>
      <c r="D754" s="7" t="s">
        <v>10618</v>
      </c>
      <c r="E754" s="44">
        <v>5</v>
      </c>
      <c r="F754" s="7"/>
      <c r="G754" s="7"/>
      <c r="H754" s="2" t="s">
        <v>10599</v>
      </c>
      <c r="I754" s="7" t="s">
        <v>1492</v>
      </c>
      <c r="J754" s="7" t="s">
        <v>10619</v>
      </c>
      <c r="K754" s="7" t="s">
        <v>55</v>
      </c>
      <c r="L754" s="7" t="s">
        <v>10620</v>
      </c>
      <c r="M754" s="7" t="s">
        <v>10621</v>
      </c>
      <c r="N754" s="45" t="str">
        <f t="shared" si="618"/>
        <v>@USFCougars_SB</v>
      </c>
      <c r="O754" s="74" t="str">
        <f t="shared" si="619"/>
        <v>Questionnaire</v>
      </c>
      <c r="P754" s="7" t="s">
        <v>10519</v>
      </c>
      <c r="Q754" s="57" t="s">
        <v>10518</v>
      </c>
      <c r="R754" s="48" t="s">
        <v>10519</v>
      </c>
      <c r="S754" s="48" t="s">
        <v>62</v>
      </c>
      <c r="T754" s="49" t="s">
        <v>63</v>
      </c>
      <c r="U754" s="49" t="s">
        <v>2715</v>
      </c>
      <c r="V754" s="7"/>
      <c r="W754" s="44">
        <v>3.3</v>
      </c>
      <c r="X754" s="7" t="s">
        <v>1509</v>
      </c>
      <c r="Y754" s="7" t="s">
        <v>2341</v>
      </c>
      <c r="Z754" s="49" t="s">
        <v>1994</v>
      </c>
      <c r="AA754" s="61">
        <v>0.91</v>
      </c>
      <c r="AB754" s="71">
        <v>38785</v>
      </c>
      <c r="AC754" s="52" t="s">
        <v>10519</v>
      </c>
      <c r="AD754" s="53" t="str">
        <f t="shared" si="620"/>
        <v>Link</v>
      </c>
      <c r="AE754" s="54">
        <v>1259</v>
      </c>
      <c r="AF754" s="55"/>
      <c r="AG754" s="7"/>
      <c r="AH754" s="56">
        <v>219383</v>
      </c>
      <c r="AI754" s="56"/>
      <c r="AJ754" s="56"/>
      <c r="AK754" s="56"/>
    </row>
    <row r="755" spans="1:37" ht="15" x14ac:dyDescent="0.2">
      <c r="A755" s="57" t="s">
        <v>7828</v>
      </c>
      <c r="B755" s="31" t="s">
        <v>10627</v>
      </c>
      <c r="C755" s="7" t="s">
        <v>41</v>
      </c>
      <c r="D755" s="7" t="s">
        <v>10629</v>
      </c>
      <c r="E755" s="44">
        <v>5</v>
      </c>
      <c r="F755" s="7"/>
      <c r="G755" s="7"/>
      <c r="H755" s="2" t="s">
        <v>10631</v>
      </c>
      <c r="I755" s="7" t="s">
        <v>1351</v>
      </c>
      <c r="J755" s="7" t="s">
        <v>10633</v>
      </c>
      <c r="K755" s="7" t="s">
        <v>48</v>
      </c>
      <c r="L755" s="7" t="s">
        <v>10634</v>
      </c>
      <c r="M755" s="7" t="s">
        <v>10635</v>
      </c>
      <c r="N755" s="45" t="str">
        <f t="shared" ref="N755:N757" si="621">HYPERLINK("twitter.com/cnsball","@cnsball")</f>
        <v>@cnsball</v>
      </c>
      <c r="O755" s="74" t="str">
        <f t="shared" ref="O755:O757" si="622">HYPERLINK("https://www.cneagles.com/recruiting/index","Questionnaire")</f>
        <v>Questionnaire</v>
      </c>
      <c r="P755" s="7" t="s">
        <v>10641</v>
      </c>
      <c r="Q755" s="57" t="s">
        <v>346</v>
      </c>
      <c r="R755" s="48" t="s">
        <v>6329</v>
      </c>
      <c r="S755" s="48" t="s">
        <v>468</v>
      </c>
      <c r="T755" s="49" t="s">
        <v>63</v>
      </c>
      <c r="U755" s="49" t="s">
        <v>2619</v>
      </c>
      <c r="V755" s="7"/>
      <c r="W755" s="44">
        <v>3.49</v>
      </c>
      <c r="X755" s="7" t="s">
        <v>10642</v>
      </c>
      <c r="Y755" s="7" t="s">
        <v>396</v>
      </c>
      <c r="Z755" s="49" t="s">
        <v>278</v>
      </c>
      <c r="AA755" s="51">
        <v>0.63280000000000003</v>
      </c>
      <c r="AB755" s="71">
        <v>39760</v>
      </c>
      <c r="AC755" s="52" t="s">
        <v>10641</v>
      </c>
      <c r="AD755" s="53" t="str">
        <f t="shared" ref="AD755:AD757" si="623">HYPERLINK("http://www.cn.edu/undergraduate/majors-and-emphases","Link")</f>
        <v>Link</v>
      </c>
      <c r="AE755" s="54">
        <v>1812</v>
      </c>
      <c r="AF755" s="55"/>
      <c r="AG755" s="7"/>
      <c r="AH755" s="56">
        <v>219806</v>
      </c>
      <c r="AI755" s="56"/>
      <c r="AJ755" s="56"/>
      <c r="AK755" s="56"/>
    </row>
    <row r="756" spans="1:37" ht="15" x14ac:dyDescent="0.2">
      <c r="A756" s="57" t="s">
        <v>7828</v>
      </c>
      <c r="B756" s="31" t="s">
        <v>10627</v>
      </c>
      <c r="C756" s="7" t="s">
        <v>41</v>
      </c>
      <c r="D756" s="7" t="s">
        <v>10647</v>
      </c>
      <c r="E756" s="44">
        <v>5</v>
      </c>
      <c r="F756" s="7"/>
      <c r="G756" s="7"/>
      <c r="H756" s="2" t="s">
        <v>10631</v>
      </c>
      <c r="I756" s="7" t="s">
        <v>435</v>
      </c>
      <c r="J756" s="7" t="s">
        <v>10649</v>
      </c>
      <c r="K756" s="7" t="s">
        <v>55</v>
      </c>
      <c r="L756" s="7" t="s">
        <v>10650</v>
      </c>
      <c r="M756" s="7" t="s">
        <v>10651</v>
      </c>
      <c r="N756" s="45" t="str">
        <f t="shared" si="621"/>
        <v>@cnsball</v>
      </c>
      <c r="O756" s="74" t="str">
        <f t="shared" si="622"/>
        <v>Questionnaire</v>
      </c>
      <c r="P756" s="7" t="s">
        <v>10641</v>
      </c>
      <c r="Q756" s="57" t="s">
        <v>346</v>
      </c>
      <c r="R756" s="48" t="s">
        <v>6329</v>
      </c>
      <c r="S756" s="48" t="s">
        <v>468</v>
      </c>
      <c r="T756" s="49" t="s">
        <v>63</v>
      </c>
      <c r="U756" s="49" t="s">
        <v>2619</v>
      </c>
      <c r="V756" s="7"/>
      <c r="W756" s="44">
        <v>3.49</v>
      </c>
      <c r="X756" s="7" t="s">
        <v>10642</v>
      </c>
      <c r="Y756" s="7" t="s">
        <v>396</v>
      </c>
      <c r="Z756" s="49" t="s">
        <v>278</v>
      </c>
      <c r="AA756" s="51">
        <v>0.63280000000000003</v>
      </c>
      <c r="AB756" s="71">
        <v>39760</v>
      </c>
      <c r="AC756" s="52" t="s">
        <v>10641</v>
      </c>
      <c r="AD756" s="53" t="str">
        <f t="shared" si="623"/>
        <v>Link</v>
      </c>
      <c r="AE756" s="54">
        <v>1812</v>
      </c>
      <c r="AF756" s="55"/>
      <c r="AG756" s="7"/>
      <c r="AH756" s="56">
        <v>219806</v>
      </c>
      <c r="AI756" s="56"/>
      <c r="AJ756" s="56"/>
      <c r="AK756" s="56"/>
    </row>
    <row r="757" spans="1:37" ht="15" x14ac:dyDescent="0.2">
      <c r="A757" s="57" t="s">
        <v>7828</v>
      </c>
      <c r="B757" s="31" t="s">
        <v>10627</v>
      </c>
      <c r="C757" s="7" t="s">
        <v>41</v>
      </c>
      <c r="D757" s="7" t="s">
        <v>10661</v>
      </c>
      <c r="E757" s="44">
        <v>5</v>
      </c>
      <c r="F757" s="7"/>
      <c r="G757" s="7"/>
      <c r="H757" s="2" t="s">
        <v>10631</v>
      </c>
      <c r="I757" s="7" t="s">
        <v>2011</v>
      </c>
      <c r="J757" s="7" t="s">
        <v>10662</v>
      </c>
      <c r="K757" s="7" t="s">
        <v>120</v>
      </c>
      <c r="L757" s="7" t="s">
        <v>10663</v>
      </c>
      <c r="M757" s="7" t="s">
        <v>10651</v>
      </c>
      <c r="N757" s="45" t="str">
        <f t="shared" si="621"/>
        <v>@cnsball</v>
      </c>
      <c r="O757" s="74" t="str">
        <f t="shared" si="622"/>
        <v>Questionnaire</v>
      </c>
      <c r="P757" s="7" t="s">
        <v>10641</v>
      </c>
      <c r="Q757" s="57" t="s">
        <v>346</v>
      </c>
      <c r="R757" s="48" t="s">
        <v>6329</v>
      </c>
      <c r="S757" s="48" t="s">
        <v>468</v>
      </c>
      <c r="T757" s="49" t="s">
        <v>63</v>
      </c>
      <c r="U757" s="49" t="s">
        <v>2619</v>
      </c>
      <c r="V757" s="7"/>
      <c r="W757" s="44">
        <v>3.49</v>
      </c>
      <c r="X757" s="7" t="s">
        <v>10642</v>
      </c>
      <c r="Y757" s="7" t="s">
        <v>396</v>
      </c>
      <c r="Z757" s="49" t="s">
        <v>278</v>
      </c>
      <c r="AA757" s="51">
        <v>0.63280000000000003</v>
      </c>
      <c r="AB757" s="71">
        <v>39760</v>
      </c>
      <c r="AC757" s="52" t="s">
        <v>10641</v>
      </c>
      <c r="AD757" s="53" t="str">
        <f t="shared" si="623"/>
        <v>Link</v>
      </c>
      <c r="AE757" s="54">
        <v>1812</v>
      </c>
      <c r="AF757" s="55"/>
      <c r="AG757" s="7"/>
      <c r="AH757" s="56">
        <v>219806</v>
      </c>
      <c r="AI757" s="56"/>
      <c r="AJ757" s="56"/>
      <c r="AK757" s="56"/>
    </row>
    <row r="758" spans="1:37" ht="15" x14ac:dyDescent="0.2">
      <c r="A758" s="57" t="s">
        <v>39</v>
      </c>
      <c r="B758" s="31" t="s">
        <v>10627</v>
      </c>
      <c r="C758" s="7" t="s">
        <v>41</v>
      </c>
      <c r="D758" s="7" t="s">
        <v>10669</v>
      </c>
      <c r="E758" s="44">
        <v>5</v>
      </c>
      <c r="F758" s="7"/>
      <c r="G758" s="7"/>
      <c r="H758" s="2" t="s">
        <v>10670</v>
      </c>
      <c r="I758" s="7" t="s">
        <v>93</v>
      </c>
      <c r="J758" s="7" t="s">
        <v>10671</v>
      </c>
      <c r="K758" s="7" t="s">
        <v>48</v>
      </c>
      <c r="L758" s="7" t="s">
        <v>10672</v>
      </c>
      <c r="M758" s="7" t="s">
        <v>10673</v>
      </c>
      <c r="N758" s="45" t="str">
        <f t="shared" ref="N758:N760" si="624">HYPERLINK("twitter.com/cbu_softball","@cbu_softball")</f>
        <v>@cbu_softball</v>
      </c>
      <c r="O758" s="74" t="str">
        <f t="shared" ref="O758:O760" si="625">HYPERLINK("https://cbubucs.com/sb_output.aspx?form=3","Questionnaire")</f>
        <v>Questionnaire</v>
      </c>
      <c r="P758" s="7" t="s">
        <v>10679</v>
      </c>
      <c r="Q758" s="57" t="s">
        <v>346</v>
      </c>
      <c r="R758" s="48" t="s">
        <v>353</v>
      </c>
      <c r="S758" s="48" t="s">
        <v>354</v>
      </c>
      <c r="T758" s="49" t="s">
        <v>63</v>
      </c>
      <c r="U758" s="49" t="s">
        <v>343</v>
      </c>
      <c r="V758" s="7"/>
      <c r="W758" s="44">
        <v>3.63</v>
      </c>
      <c r="X758" s="7" t="s">
        <v>214</v>
      </c>
      <c r="Y758" s="7" t="s">
        <v>214</v>
      </c>
      <c r="Z758" s="49" t="s">
        <v>320</v>
      </c>
      <c r="AA758" s="51">
        <v>0.52239999999999998</v>
      </c>
      <c r="AB758" s="71">
        <v>43276</v>
      </c>
      <c r="AC758" s="52" t="s">
        <v>10679</v>
      </c>
      <c r="AD758" s="53" t="str">
        <f t="shared" ref="AD758:AD760" si="626">HYPERLINK("https://www.cbu.edu/majors-minors","Link")</f>
        <v>Link</v>
      </c>
      <c r="AE758" s="54">
        <v>1684</v>
      </c>
      <c r="AF758" s="55"/>
      <c r="AG758" s="7"/>
      <c r="AH758" s="56">
        <v>219833</v>
      </c>
      <c r="AI758" s="56"/>
      <c r="AJ758" s="56"/>
      <c r="AK758" s="56"/>
    </row>
    <row r="759" spans="1:37" ht="15" x14ac:dyDescent="0.2">
      <c r="A759" s="57" t="s">
        <v>39</v>
      </c>
      <c r="B759" s="31" t="s">
        <v>10627</v>
      </c>
      <c r="C759" s="7" t="s">
        <v>41</v>
      </c>
      <c r="D759" s="7" t="s">
        <v>10689</v>
      </c>
      <c r="E759" s="44">
        <v>5</v>
      </c>
      <c r="F759" s="7"/>
      <c r="G759" s="7"/>
      <c r="H759" s="2" t="s">
        <v>10670</v>
      </c>
      <c r="I759" s="7" t="s">
        <v>1080</v>
      </c>
      <c r="J759" s="7" t="s">
        <v>8926</v>
      </c>
      <c r="K759" s="7" t="s">
        <v>55</v>
      </c>
      <c r="L759" s="7" t="s">
        <v>10690</v>
      </c>
      <c r="M759" s="7" t="s">
        <v>10673</v>
      </c>
      <c r="N759" s="45" t="str">
        <f t="shared" si="624"/>
        <v>@cbu_softball</v>
      </c>
      <c r="O759" s="74" t="str">
        <f t="shared" si="625"/>
        <v>Questionnaire</v>
      </c>
      <c r="P759" s="7" t="s">
        <v>10679</v>
      </c>
      <c r="Q759" s="57" t="s">
        <v>346</v>
      </c>
      <c r="R759" s="48" t="s">
        <v>353</v>
      </c>
      <c r="S759" s="48" t="s">
        <v>354</v>
      </c>
      <c r="T759" s="49" t="s">
        <v>63</v>
      </c>
      <c r="U759" s="49" t="s">
        <v>343</v>
      </c>
      <c r="V759" s="7"/>
      <c r="W759" s="44">
        <v>3.63</v>
      </c>
      <c r="X759" s="7" t="s">
        <v>214</v>
      </c>
      <c r="Y759" s="7" t="s">
        <v>214</v>
      </c>
      <c r="Z759" s="49" t="s">
        <v>320</v>
      </c>
      <c r="AA759" s="51">
        <v>0.52239999999999998</v>
      </c>
      <c r="AB759" s="71">
        <v>43276</v>
      </c>
      <c r="AC759" s="52" t="s">
        <v>10679</v>
      </c>
      <c r="AD759" s="53" t="str">
        <f t="shared" si="626"/>
        <v>Link</v>
      </c>
      <c r="AE759" s="54">
        <v>1684</v>
      </c>
      <c r="AF759" s="55"/>
      <c r="AG759" s="7"/>
      <c r="AH759" s="56">
        <v>219833</v>
      </c>
      <c r="AI759" s="56"/>
      <c r="AJ759" s="56"/>
      <c r="AK759" s="56"/>
    </row>
    <row r="760" spans="1:37" ht="15" x14ac:dyDescent="0.2">
      <c r="A760" s="57" t="s">
        <v>39</v>
      </c>
      <c r="B760" s="31" t="s">
        <v>10627</v>
      </c>
      <c r="C760" s="7" t="s">
        <v>41</v>
      </c>
      <c r="D760" s="7" t="s">
        <v>10693</v>
      </c>
      <c r="E760" s="44">
        <v>5</v>
      </c>
      <c r="F760" s="7"/>
      <c r="G760" s="7"/>
      <c r="H760" s="2" t="s">
        <v>10670</v>
      </c>
      <c r="I760" s="7" t="s">
        <v>1875</v>
      </c>
      <c r="J760" s="7" t="s">
        <v>10696</v>
      </c>
      <c r="K760" s="7" t="s">
        <v>55</v>
      </c>
      <c r="L760" s="7" t="s">
        <v>10698</v>
      </c>
      <c r="M760" s="7" t="s">
        <v>10673</v>
      </c>
      <c r="N760" s="45" t="str">
        <f t="shared" si="624"/>
        <v>@cbu_softball</v>
      </c>
      <c r="O760" s="74" t="str">
        <f t="shared" si="625"/>
        <v>Questionnaire</v>
      </c>
      <c r="P760" s="7" t="s">
        <v>10679</v>
      </c>
      <c r="Q760" s="57" t="s">
        <v>346</v>
      </c>
      <c r="R760" s="48" t="s">
        <v>353</v>
      </c>
      <c r="S760" s="48" t="s">
        <v>354</v>
      </c>
      <c r="T760" s="49" t="s">
        <v>63</v>
      </c>
      <c r="U760" s="49" t="s">
        <v>343</v>
      </c>
      <c r="V760" s="7"/>
      <c r="W760" s="44">
        <v>3.63</v>
      </c>
      <c r="X760" s="7" t="s">
        <v>214</v>
      </c>
      <c r="Y760" s="7" t="s">
        <v>214</v>
      </c>
      <c r="Z760" s="49" t="s">
        <v>320</v>
      </c>
      <c r="AA760" s="51">
        <v>0.52239999999999998</v>
      </c>
      <c r="AB760" s="71">
        <v>43276</v>
      </c>
      <c r="AC760" s="52" t="s">
        <v>10679</v>
      </c>
      <c r="AD760" s="53" t="str">
        <f t="shared" si="626"/>
        <v>Link</v>
      </c>
      <c r="AE760" s="54">
        <v>1684</v>
      </c>
      <c r="AF760" s="55"/>
      <c r="AG760" s="7"/>
      <c r="AH760" s="56">
        <v>219833</v>
      </c>
      <c r="AI760" s="56"/>
      <c r="AJ760" s="56"/>
      <c r="AK760" s="56"/>
    </row>
    <row r="761" spans="1:37" ht="13" x14ac:dyDescent="0.15">
      <c r="A761" s="57" t="s">
        <v>3712</v>
      </c>
      <c r="B761" s="31" t="s">
        <v>10627</v>
      </c>
      <c r="C761" s="7" t="s">
        <v>41</v>
      </c>
      <c r="D761" s="7" t="s">
        <v>10705</v>
      </c>
      <c r="E761" s="44">
        <v>5</v>
      </c>
      <c r="F761" s="7"/>
      <c r="G761" s="7"/>
      <c r="H761" s="2" t="s">
        <v>10707</v>
      </c>
      <c r="I761" s="7" t="s">
        <v>736</v>
      </c>
      <c r="J761" s="7" t="s">
        <v>10708</v>
      </c>
      <c r="K761" s="7" t="s">
        <v>48</v>
      </c>
      <c r="L761" s="7" t="s">
        <v>10710</v>
      </c>
      <c r="M761" s="7" t="s">
        <v>10712</v>
      </c>
      <c r="N761" s="45" t="str">
        <f t="shared" ref="N761:N762" si="627">HYPERLINK("twitter.com/kingusoftball","@kingusoftball")</f>
        <v>@kingusoftball</v>
      </c>
      <c r="O761" s="74" t="str">
        <f t="shared" ref="O761:O762" si="628">HYPERLINK("https://www.kingtornado.com/Recruiting/recruitingforms","Questionnaire")</f>
        <v>Questionnaire</v>
      </c>
      <c r="P761" s="7" t="s">
        <v>10724</v>
      </c>
      <c r="Q761" s="36" t="s">
        <v>346</v>
      </c>
      <c r="R761" s="48" t="s">
        <v>10725</v>
      </c>
      <c r="S761" s="48" t="s">
        <v>468</v>
      </c>
      <c r="T761" s="49" t="s">
        <v>63</v>
      </c>
      <c r="U761" s="49" t="s">
        <v>248</v>
      </c>
      <c r="V761" s="7"/>
      <c r="W761" s="44">
        <v>3.58</v>
      </c>
      <c r="X761" s="7" t="s">
        <v>1145</v>
      </c>
      <c r="Y761" s="7" t="s">
        <v>10727</v>
      </c>
      <c r="Z761" s="49" t="s">
        <v>125</v>
      </c>
      <c r="AA761" s="61">
        <v>0.51</v>
      </c>
      <c r="AB761" s="71">
        <v>40342</v>
      </c>
      <c r="AC761" s="62" t="s">
        <v>10724</v>
      </c>
      <c r="AD761" s="53" t="str">
        <f t="shared" ref="AD761:AD762" si="629">HYPERLINK("http://www.king.edu/admissions/transfer/majors-concentrations.aspx","Link")</f>
        <v>Link</v>
      </c>
      <c r="AE761" s="54">
        <v>2343</v>
      </c>
      <c r="AF761" s="55"/>
      <c r="AG761" s="7"/>
      <c r="AH761" s="56">
        <v>220516</v>
      </c>
      <c r="AI761" s="56"/>
      <c r="AJ761" s="56"/>
      <c r="AK761" s="56"/>
    </row>
    <row r="762" spans="1:37" ht="13" x14ac:dyDescent="0.15">
      <c r="A762" s="57" t="s">
        <v>3712</v>
      </c>
      <c r="B762" s="31" t="s">
        <v>10627</v>
      </c>
      <c r="C762" s="7" t="s">
        <v>41</v>
      </c>
      <c r="D762" s="7" t="s">
        <v>10728</v>
      </c>
      <c r="E762" s="44">
        <v>5</v>
      </c>
      <c r="F762" s="7"/>
      <c r="G762" s="7"/>
      <c r="H762" s="2" t="s">
        <v>10707</v>
      </c>
      <c r="I762" s="7" t="s">
        <v>1629</v>
      </c>
      <c r="J762" s="7" t="s">
        <v>2919</v>
      </c>
      <c r="K762" s="7" t="s">
        <v>55</v>
      </c>
      <c r="L762" s="7" t="s">
        <v>10732</v>
      </c>
      <c r="M762" s="7" t="s">
        <v>10733</v>
      </c>
      <c r="N762" s="45" t="str">
        <f t="shared" si="627"/>
        <v>@kingusoftball</v>
      </c>
      <c r="O762" s="74" t="str">
        <f t="shared" si="628"/>
        <v>Questionnaire</v>
      </c>
      <c r="P762" s="7" t="s">
        <v>10724</v>
      </c>
      <c r="Q762" s="36" t="s">
        <v>346</v>
      </c>
      <c r="R762" s="48" t="s">
        <v>10725</v>
      </c>
      <c r="S762" s="48" t="s">
        <v>468</v>
      </c>
      <c r="T762" s="49" t="s">
        <v>63</v>
      </c>
      <c r="U762" s="49" t="s">
        <v>248</v>
      </c>
      <c r="V762" s="7"/>
      <c r="W762" s="44">
        <v>3.58</v>
      </c>
      <c r="X762" s="7" t="s">
        <v>1145</v>
      </c>
      <c r="Y762" s="7" t="s">
        <v>10727</v>
      </c>
      <c r="Z762" s="49" t="s">
        <v>125</v>
      </c>
      <c r="AA762" s="61">
        <v>0.51</v>
      </c>
      <c r="AB762" s="71">
        <v>40342</v>
      </c>
      <c r="AC762" s="62" t="s">
        <v>10724</v>
      </c>
      <c r="AD762" s="53" t="str">
        <f t="shared" si="629"/>
        <v>Link</v>
      </c>
      <c r="AE762" s="54">
        <v>2343</v>
      </c>
      <c r="AF762" s="55"/>
      <c r="AG762" s="7"/>
      <c r="AH762" s="56">
        <v>220516</v>
      </c>
      <c r="AI762" s="56"/>
      <c r="AJ762" s="56"/>
      <c r="AK762" s="56"/>
    </row>
    <row r="763" spans="1:37" ht="13" x14ac:dyDescent="0.15">
      <c r="A763" s="57" t="s">
        <v>182</v>
      </c>
      <c r="B763" s="31" t="s">
        <v>10627</v>
      </c>
      <c r="C763" s="7" t="s">
        <v>41</v>
      </c>
      <c r="D763" s="7" t="s">
        <v>10740</v>
      </c>
      <c r="E763" s="44">
        <v>5</v>
      </c>
      <c r="F763" s="7"/>
      <c r="G763" s="7"/>
      <c r="H763" s="2" t="s">
        <v>10741</v>
      </c>
      <c r="I763" s="7" t="s">
        <v>789</v>
      </c>
      <c r="J763" s="7" t="s">
        <v>10742</v>
      </c>
      <c r="K763" s="7" t="s">
        <v>48</v>
      </c>
      <c r="L763" s="7" t="s">
        <v>10743</v>
      </c>
      <c r="M763" s="7"/>
      <c r="N763" s="7"/>
      <c r="O763" s="74" t="str">
        <f t="shared" ref="O763:O764" si="630">HYPERLINK("https://golcdragons.com/sb_output.aspx?form=3","Questionnaire")</f>
        <v>Questionnaire</v>
      </c>
      <c r="P763" s="7" t="s">
        <v>10747</v>
      </c>
      <c r="Q763" s="36" t="s">
        <v>3670</v>
      </c>
      <c r="R763" s="6" t="s">
        <v>773</v>
      </c>
      <c r="S763" s="48" t="s">
        <v>62</v>
      </c>
      <c r="T763" s="49" t="s">
        <v>74</v>
      </c>
      <c r="U763" s="49" t="s">
        <v>75</v>
      </c>
      <c r="V763" s="7" t="s">
        <v>3678</v>
      </c>
      <c r="W763" s="7" t="s">
        <v>214</v>
      </c>
      <c r="X763" s="7" t="s">
        <v>214</v>
      </c>
      <c r="Y763" s="7" t="s">
        <v>214</v>
      </c>
      <c r="Z763" s="49" t="s">
        <v>214</v>
      </c>
      <c r="AA763" s="55" t="s">
        <v>214</v>
      </c>
      <c r="AB763" s="48" t="s">
        <v>10749</v>
      </c>
      <c r="AC763" s="90" t="s">
        <v>10750</v>
      </c>
      <c r="AD763" s="53" t="str">
        <f t="shared" ref="AD763:AD764" si="631">HYPERLINK("https://www.lanecc.edu/collegecatalog/degrees-and-certificates","Link")</f>
        <v>Link</v>
      </c>
      <c r="AE763" s="54">
        <v>9042</v>
      </c>
      <c r="AF763" s="55"/>
      <c r="AG763" s="7"/>
      <c r="AH763" s="56">
        <v>220598</v>
      </c>
      <c r="AI763" s="56"/>
      <c r="AJ763" s="56"/>
      <c r="AK763" s="56"/>
    </row>
    <row r="764" spans="1:37" ht="13" x14ac:dyDescent="0.15">
      <c r="A764" s="57" t="s">
        <v>182</v>
      </c>
      <c r="B764" s="31" t="s">
        <v>10627</v>
      </c>
      <c r="C764" s="7" t="s">
        <v>41</v>
      </c>
      <c r="D764" s="7" t="s">
        <v>10755</v>
      </c>
      <c r="E764" s="44">
        <v>5</v>
      </c>
      <c r="F764" s="7"/>
      <c r="G764" s="7"/>
      <c r="H764" s="2" t="s">
        <v>10741</v>
      </c>
      <c r="I764" s="7" t="s">
        <v>10730</v>
      </c>
      <c r="J764" s="7" t="s">
        <v>5619</v>
      </c>
      <c r="K764" s="7" t="s">
        <v>55</v>
      </c>
      <c r="L764" s="7"/>
      <c r="M764" s="7"/>
      <c r="N764" s="7"/>
      <c r="O764" s="74" t="str">
        <f t="shared" si="630"/>
        <v>Questionnaire</v>
      </c>
      <c r="P764" s="7" t="s">
        <v>10747</v>
      </c>
      <c r="Q764" s="36" t="s">
        <v>3670</v>
      </c>
      <c r="R764" s="6" t="s">
        <v>773</v>
      </c>
      <c r="S764" s="48" t="s">
        <v>62</v>
      </c>
      <c r="T764" s="49" t="s">
        <v>74</v>
      </c>
      <c r="U764" s="49" t="s">
        <v>75</v>
      </c>
      <c r="V764" s="7" t="s">
        <v>3678</v>
      </c>
      <c r="W764" s="7" t="s">
        <v>214</v>
      </c>
      <c r="X764" s="7" t="s">
        <v>214</v>
      </c>
      <c r="Y764" s="7" t="s">
        <v>214</v>
      </c>
      <c r="Z764" s="49" t="s">
        <v>214</v>
      </c>
      <c r="AA764" s="55" t="s">
        <v>214</v>
      </c>
      <c r="AB764" s="48" t="s">
        <v>10749</v>
      </c>
      <c r="AC764" s="90" t="s">
        <v>10750</v>
      </c>
      <c r="AD764" s="53" t="str">
        <f t="shared" si="631"/>
        <v>Link</v>
      </c>
      <c r="AE764" s="54">
        <v>9042</v>
      </c>
      <c r="AF764" s="55"/>
      <c r="AG764" s="7"/>
      <c r="AH764" s="56">
        <v>220598</v>
      </c>
      <c r="AI764" s="56"/>
      <c r="AJ764" s="56"/>
      <c r="AK764" s="56"/>
    </row>
    <row r="765" spans="1:37" ht="13" x14ac:dyDescent="0.15">
      <c r="A765" s="57" t="s">
        <v>39</v>
      </c>
      <c r="B765" s="31" t="s">
        <v>10627</v>
      </c>
      <c r="C765" s="7" t="s">
        <v>41</v>
      </c>
      <c r="D765" s="7" t="s">
        <v>10765</v>
      </c>
      <c r="E765" s="44">
        <v>5</v>
      </c>
      <c r="F765" s="7"/>
      <c r="G765" s="7"/>
      <c r="H765" s="2" t="s">
        <v>10766</v>
      </c>
      <c r="I765" s="7" t="s">
        <v>143</v>
      </c>
      <c r="J765" s="7" t="s">
        <v>3077</v>
      </c>
      <c r="K765" s="7" t="s">
        <v>48</v>
      </c>
      <c r="L765" s="7" t="s">
        <v>10767</v>
      </c>
      <c r="M765" s="7" t="s">
        <v>10768</v>
      </c>
      <c r="N765" s="45" t="str">
        <f t="shared" ref="N765:N768" si="632">HYPERLINK("twitter.com/leeusoftball","@leeusoftball")</f>
        <v>@leeusoftball</v>
      </c>
      <c r="O765" s="74" t="str">
        <f t="shared" ref="O765:O768" si="633">HYPERLINK("https://questionnaire.acsathletics.com/Questionnaire/Questionnaire.aspx?q=1249&amp;s=8719&amp;o=189","Questionnaire")</f>
        <v>Questionnaire</v>
      </c>
      <c r="P765" s="7" t="s">
        <v>10771</v>
      </c>
      <c r="Q765" s="36" t="s">
        <v>346</v>
      </c>
      <c r="R765" s="48" t="s">
        <v>6150</v>
      </c>
      <c r="S765" s="48" t="s">
        <v>468</v>
      </c>
      <c r="T765" s="49" t="s">
        <v>63</v>
      </c>
      <c r="U765" s="49" t="s">
        <v>2615</v>
      </c>
      <c r="V765" s="7"/>
      <c r="W765" s="44">
        <v>3.56</v>
      </c>
      <c r="X765" s="7" t="s">
        <v>2310</v>
      </c>
      <c r="Y765" s="7" t="s">
        <v>1622</v>
      </c>
      <c r="Z765" s="49" t="s">
        <v>803</v>
      </c>
      <c r="AA765" s="61">
        <v>0.87</v>
      </c>
      <c r="AB765" s="71">
        <v>30000</v>
      </c>
      <c r="AC765" s="62" t="s">
        <v>10771</v>
      </c>
      <c r="AD765" s="53" t="str">
        <f t="shared" ref="AD765:AD768" si="634">HYPERLINK("http://catalog.leeuniversity.edu/content.php?catoid=9&amp;navoid=4220","Link")</f>
        <v>Link</v>
      </c>
      <c r="AE765" s="54">
        <v>4821</v>
      </c>
      <c r="AF765" s="55"/>
      <c r="AG765" s="7"/>
      <c r="AH765" s="56">
        <v>220613</v>
      </c>
      <c r="AI765" s="56"/>
      <c r="AJ765" s="56"/>
      <c r="AK765" s="56"/>
    </row>
    <row r="766" spans="1:37" ht="13" x14ac:dyDescent="0.15">
      <c r="A766" s="57" t="s">
        <v>39</v>
      </c>
      <c r="B766" s="31" t="s">
        <v>10627</v>
      </c>
      <c r="C766" s="7" t="s">
        <v>41</v>
      </c>
      <c r="D766" s="7" t="s">
        <v>10778</v>
      </c>
      <c r="E766" s="44">
        <v>5</v>
      </c>
      <c r="F766" s="7"/>
      <c r="G766" s="7"/>
      <c r="H766" s="2" t="s">
        <v>10766</v>
      </c>
      <c r="I766" s="7" t="s">
        <v>349</v>
      </c>
      <c r="J766" s="7" t="s">
        <v>10779</v>
      </c>
      <c r="K766" s="7" t="s">
        <v>55</v>
      </c>
      <c r="L766" s="7" t="s">
        <v>10780</v>
      </c>
      <c r="M766" s="7" t="s">
        <v>10781</v>
      </c>
      <c r="N766" s="45" t="str">
        <f t="shared" si="632"/>
        <v>@leeusoftball</v>
      </c>
      <c r="O766" s="74" t="str">
        <f t="shared" si="633"/>
        <v>Questionnaire</v>
      </c>
      <c r="P766" s="7" t="s">
        <v>10771</v>
      </c>
      <c r="Q766" s="36" t="s">
        <v>346</v>
      </c>
      <c r="R766" s="48" t="s">
        <v>6150</v>
      </c>
      <c r="S766" s="48" t="s">
        <v>468</v>
      </c>
      <c r="T766" s="49" t="s">
        <v>63</v>
      </c>
      <c r="U766" s="49" t="s">
        <v>2615</v>
      </c>
      <c r="V766" s="7"/>
      <c r="W766" s="44">
        <v>3.56</v>
      </c>
      <c r="X766" s="7" t="s">
        <v>2310</v>
      </c>
      <c r="Y766" s="7" t="s">
        <v>1622</v>
      </c>
      <c r="Z766" s="49" t="s">
        <v>803</v>
      </c>
      <c r="AA766" s="61">
        <v>0.87</v>
      </c>
      <c r="AB766" s="71">
        <v>30000</v>
      </c>
      <c r="AC766" s="62" t="s">
        <v>10771</v>
      </c>
      <c r="AD766" s="53" t="str">
        <f t="shared" si="634"/>
        <v>Link</v>
      </c>
      <c r="AE766" s="54">
        <v>4821</v>
      </c>
      <c r="AF766" s="55"/>
      <c r="AG766" s="7"/>
      <c r="AH766" s="56">
        <v>220613</v>
      </c>
      <c r="AI766" s="56"/>
      <c r="AJ766" s="56"/>
      <c r="AK766" s="56"/>
    </row>
    <row r="767" spans="1:37" ht="13" x14ac:dyDescent="0.15">
      <c r="A767" s="57" t="s">
        <v>39</v>
      </c>
      <c r="B767" s="31" t="s">
        <v>10627</v>
      </c>
      <c r="C767" s="7" t="s">
        <v>41</v>
      </c>
      <c r="D767" s="7" t="s">
        <v>10787</v>
      </c>
      <c r="E767" s="44">
        <v>5</v>
      </c>
      <c r="F767" s="7"/>
      <c r="G767" s="7"/>
      <c r="H767" s="2" t="s">
        <v>10766</v>
      </c>
      <c r="I767" s="7" t="s">
        <v>201</v>
      </c>
      <c r="J767" s="7" t="s">
        <v>4888</v>
      </c>
      <c r="K767" s="7" t="s">
        <v>139</v>
      </c>
      <c r="L767" s="7" t="s">
        <v>10789</v>
      </c>
      <c r="M767" s="7" t="s">
        <v>10791</v>
      </c>
      <c r="N767" s="45" t="str">
        <f t="shared" si="632"/>
        <v>@leeusoftball</v>
      </c>
      <c r="O767" s="74" t="str">
        <f t="shared" si="633"/>
        <v>Questionnaire</v>
      </c>
      <c r="P767" s="7" t="s">
        <v>10771</v>
      </c>
      <c r="Q767" s="36" t="s">
        <v>346</v>
      </c>
      <c r="R767" s="48" t="s">
        <v>6150</v>
      </c>
      <c r="S767" s="48" t="s">
        <v>468</v>
      </c>
      <c r="T767" s="49" t="s">
        <v>63</v>
      </c>
      <c r="U767" s="49" t="s">
        <v>2615</v>
      </c>
      <c r="V767" s="7"/>
      <c r="W767" s="44">
        <v>3.56</v>
      </c>
      <c r="X767" s="7" t="s">
        <v>2310</v>
      </c>
      <c r="Y767" s="7" t="s">
        <v>1622</v>
      </c>
      <c r="Z767" s="49" t="s">
        <v>803</v>
      </c>
      <c r="AA767" s="61">
        <v>0.87</v>
      </c>
      <c r="AB767" s="71">
        <v>30000</v>
      </c>
      <c r="AC767" s="62" t="s">
        <v>10771</v>
      </c>
      <c r="AD767" s="53" t="str">
        <f t="shared" si="634"/>
        <v>Link</v>
      </c>
      <c r="AE767" s="54">
        <v>4821</v>
      </c>
      <c r="AF767" s="55"/>
      <c r="AG767" s="7"/>
      <c r="AH767" s="56">
        <v>220613</v>
      </c>
      <c r="AI767" s="56"/>
      <c r="AJ767" s="56"/>
      <c r="AK767" s="56"/>
    </row>
    <row r="768" spans="1:37" ht="13" x14ac:dyDescent="0.15">
      <c r="A768" s="57" t="s">
        <v>39</v>
      </c>
      <c r="B768" s="31" t="s">
        <v>10627</v>
      </c>
      <c r="C768" s="7" t="s">
        <v>41</v>
      </c>
      <c r="D768" s="7" t="s">
        <v>10803</v>
      </c>
      <c r="E768" s="44">
        <v>5</v>
      </c>
      <c r="F768" s="7"/>
      <c r="G768" s="7"/>
      <c r="H768" s="2" t="s">
        <v>10766</v>
      </c>
      <c r="I768" s="7" t="s">
        <v>981</v>
      </c>
      <c r="J768" s="7" t="s">
        <v>10804</v>
      </c>
      <c r="K768" s="7" t="s">
        <v>55</v>
      </c>
      <c r="L768" s="7"/>
      <c r="M768" s="7"/>
      <c r="N768" s="45" t="str">
        <f t="shared" si="632"/>
        <v>@leeusoftball</v>
      </c>
      <c r="O768" s="74" t="str">
        <f t="shared" si="633"/>
        <v>Questionnaire</v>
      </c>
      <c r="P768" s="7" t="s">
        <v>10771</v>
      </c>
      <c r="Q768" s="36" t="s">
        <v>346</v>
      </c>
      <c r="R768" s="48" t="s">
        <v>6150</v>
      </c>
      <c r="S768" s="48" t="s">
        <v>468</v>
      </c>
      <c r="T768" s="49" t="s">
        <v>63</v>
      </c>
      <c r="U768" s="49" t="s">
        <v>2615</v>
      </c>
      <c r="V768" s="7"/>
      <c r="W768" s="44">
        <v>3.56</v>
      </c>
      <c r="X768" s="7" t="s">
        <v>2310</v>
      </c>
      <c r="Y768" s="7" t="s">
        <v>1622</v>
      </c>
      <c r="Z768" s="49" t="s">
        <v>803</v>
      </c>
      <c r="AA768" s="61">
        <v>0.87</v>
      </c>
      <c r="AB768" s="71">
        <v>30000</v>
      </c>
      <c r="AC768" s="62" t="s">
        <v>10771</v>
      </c>
      <c r="AD768" s="53" t="str">
        <f t="shared" si="634"/>
        <v>Link</v>
      </c>
      <c r="AE768" s="54">
        <v>4821</v>
      </c>
      <c r="AF768" s="55"/>
      <c r="AG768" s="7"/>
      <c r="AH768" s="56">
        <v>220613</v>
      </c>
      <c r="AI768" s="56"/>
      <c r="AJ768" s="56"/>
      <c r="AK768" s="56"/>
    </row>
    <row r="769" spans="1:37" ht="13" x14ac:dyDescent="0.15">
      <c r="A769" s="57" t="s">
        <v>182</v>
      </c>
      <c r="B769" s="31" t="s">
        <v>10627</v>
      </c>
      <c r="C769" s="7" t="s">
        <v>41</v>
      </c>
      <c r="D769" s="7" t="s">
        <v>10814</v>
      </c>
      <c r="E769" s="44">
        <v>5</v>
      </c>
      <c r="F769" s="7"/>
      <c r="G769" s="7"/>
      <c r="H769" s="2" t="s">
        <v>10815</v>
      </c>
      <c r="I769" s="7" t="s">
        <v>8187</v>
      </c>
      <c r="J769" s="7" t="s">
        <v>2470</v>
      </c>
      <c r="K769" s="7" t="s">
        <v>48</v>
      </c>
      <c r="L769" s="7" t="s">
        <v>10816</v>
      </c>
      <c r="M769" s="7" t="s">
        <v>10817</v>
      </c>
      <c r="N769" s="7"/>
      <c r="O769" s="74" t="str">
        <f>HYPERLINK("https://athletics.loc.edu/sb_output.aspx?form=3","Questionnaire")</f>
        <v>Questionnaire</v>
      </c>
      <c r="P769" s="7" t="s">
        <v>10818</v>
      </c>
      <c r="Q769" s="57" t="s">
        <v>346</v>
      </c>
      <c r="R769" s="48" t="s">
        <v>353</v>
      </c>
      <c r="S769" s="48" t="s">
        <v>354</v>
      </c>
      <c r="T769" s="49" t="s">
        <v>63</v>
      </c>
      <c r="U769" s="49" t="s">
        <v>10820</v>
      </c>
      <c r="V769" s="7" t="s">
        <v>212</v>
      </c>
      <c r="W769" s="44">
        <v>2.5</v>
      </c>
      <c r="X769" s="7" t="s">
        <v>214</v>
      </c>
      <c r="Y769" s="7" t="s">
        <v>214</v>
      </c>
      <c r="Z769" s="49" t="s">
        <v>3929</v>
      </c>
      <c r="AA769" s="61">
        <v>1</v>
      </c>
      <c r="AB769" s="71">
        <v>18980</v>
      </c>
      <c r="AC769" s="62" t="s">
        <v>10818</v>
      </c>
      <c r="AD769" s="53" t="str">
        <f>HYPERLINK("http://www.loc.edu/academic-affairs/divisions/default.asp","Link")</f>
        <v>Link</v>
      </c>
      <c r="AE769" s="54">
        <v>959</v>
      </c>
      <c r="AF769" s="55"/>
      <c r="AG769" s="7"/>
      <c r="AH769" s="56">
        <v>220604</v>
      </c>
      <c r="AI769" s="56"/>
      <c r="AJ769" s="56"/>
      <c r="AK769" s="56"/>
    </row>
    <row r="770" spans="1:37" ht="15" x14ac:dyDescent="0.2">
      <c r="A770" s="57" t="s">
        <v>7828</v>
      </c>
      <c r="B770" s="31" t="s">
        <v>10627</v>
      </c>
      <c r="C770" s="7" t="s">
        <v>41</v>
      </c>
      <c r="D770" s="7" t="s">
        <v>10828</v>
      </c>
      <c r="E770" s="44">
        <v>5</v>
      </c>
      <c r="F770" s="7"/>
      <c r="G770" s="7"/>
      <c r="H770" s="2" t="s">
        <v>10830</v>
      </c>
      <c r="I770" s="7" t="s">
        <v>10832</v>
      </c>
      <c r="J770" s="7" t="s">
        <v>3974</v>
      </c>
      <c r="K770" s="7" t="s">
        <v>48</v>
      </c>
      <c r="L770" s="7" t="s">
        <v>10833</v>
      </c>
      <c r="M770" s="7" t="s">
        <v>10834</v>
      </c>
      <c r="N770" s="45" t="str">
        <f t="shared" ref="N770:N772" si="635">HYPERLINK("twitter.com/lmu_softball","@lmu_softball")</f>
        <v>@lmu_softball</v>
      </c>
      <c r="O770" s="74" t="str">
        <f t="shared" ref="O770:O772" si="636">HYPERLINK("https://www.scoutforce.com/auth/register/athlete?programId=213","Questionnaire")</f>
        <v>Questionnaire</v>
      </c>
      <c r="P770" s="7" t="s">
        <v>10839</v>
      </c>
      <c r="Q770" s="57" t="s">
        <v>346</v>
      </c>
      <c r="R770" s="48" t="s">
        <v>10841</v>
      </c>
      <c r="S770" s="60" t="s">
        <v>205</v>
      </c>
      <c r="T770" s="49" t="s">
        <v>63</v>
      </c>
      <c r="U770" s="49" t="s">
        <v>75</v>
      </c>
      <c r="V770" s="7"/>
      <c r="W770" s="44">
        <v>3.41</v>
      </c>
      <c r="X770" s="7" t="s">
        <v>397</v>
      </c>
      <c r="Y770" s="7" t="s">
        <v>396</v>
      </c>
      <c r="Z770" s="49" t="s">
        <v>125</v>
      </c>
      <c r="AA770" s="61">
        <v>0.5</v>
      </c>
      <c r="AB770" s="71">
        <v>37801</v>
      </c>
      <c r="AC770" s="52" t="s">
        <v>10839</v>
      </c>
      <c r="AD770" s="53" t="str">
        <f t="shared" ref="AD770:AD772" si="637">HYPERLINK("https://www.lmunet.edu/academics/degree-list","Link")</f>
        <v>Link</v>
      </c>
      <c r="AE770" s="54">
        <v>1659</v>
      </c>
      <c r="AF770" s="55"/>
      <c r="AG770" s="7"/>
      <c r="AH770" s="56">
        <v>220631</v>
      </c>
      <c r="AI770" s="56"/>
      <c r="AJ770" s="56"/>
      <c r="AK770" s="56"/>
    </row>
    <row r="771" spans="1:37" ht="15" x14ac:dyDescent="0.2">
      <c r="A771" s="57" t="s">
        <v>7828</v>
      </c>
      <c r="B771" s="31" t="s">
        <v>10627</v>
      </c>
      <c r="C771" s="7" t="s">
        <v>41</v>
      </c>
      <c r="D771" s="7" t="s">
        <v>10851</v>
      </c>
      <c r="E771" s="44">
        <v>5</v>
      </c>
      <c r="F771" s="7"/>
      <c r="G771" s="7"/>
      <c r="H771" s="2" t="s">
        <v>10830</v>
      </c>
      <c r="I771" s="7" t="s">
        <v>844</v>
      </c>
      <c r="J771" s="7" t="s">
        <v>3984</v>
      </c>
      <c r="K771" s="7" t="s">
        <v>55</v>
      </c>
      <c r="L771" s="7" t="s">
        <v>10854</v>
      </c>
      <c r="M771" s="7"/>
      <c r="N771" s="45" t="str">
        <f t="shared" si="635"/>
        <v>@lmu_softball</v>
      </c>
      <c r="O771" s="74" t="str">
        <f t="shared" si="636"/>
        <v>Questionnaire</v>
      </c>
      <c r="P771" s="7" t="s">
        <v>10839</v>
      </c>
      <c r="Q771" s="57" t="s">
        <v>346</v>
      </c>
      <c r="R771" s="48" t="s">
        <v>10841</v>
      </c>
      <c r="S771" s="60" t="s">
        <v>205</v>
      </c>
      <c r="T771" s="49" t="s">
        <v>63</v>
      </c>
      <c r="U771" s="49" t="s">
        <v>75</v>
      </c>
      <c r="V771" s="7"/>
      <c r="W771" s="44">
        <v>3.41</v>
      </c>
      <c r="X771" s="7" t="s">
        <v>397</v>
      </c>
      <c r="Y771" s="7" t="s">
        <v>396</v>
      </c>
      <c r="Z771" s="49" t="s">
        <v>125</v>
      </c>
      <c r="AA771" s="61">
        <v>0.5</v>
      </c>
      <c r="AB771" s="71">
        <v>37801</v>
      </c>
      <c r="AC771" s="52" t="s">
        <v>10839</v>
      </c>
      <c r="AD771" s="53" t="str">
        <f t="shared" si="637"/>
        <v>Link</v>
      </c>
      <c r="AE771" s="54">
        <v>1659</v>
      </c>
      <c r="AF771" s="55"/>
      <c r="AG771" s="7"/>
      <c r="AH771" s="56">
        <v>220631</v>
      </c>
      <c r="AI771" s="56"/>
      <c r="AJ771" s="56"/>
      <c r="AK771" s="56"/>
    </row>
    <row r="772" spans="1:37" ht="15" x14ac:dyDescent="0.2">
      <c r="A772" s="57" t="s">
        <v>7828</v>
      </c>
      <c r="B772" s="31" t="s">
        <v>10627</v>
      </c>
      <c r="C772" s="7" t="s">
        <v>41</v>
      </c>
      <c r="D772" s="7" t="s">
        <v>10863</v>
      </c>
      <c r="E772" s="44">
        <v>5</v>
      </c>
      <c r="F772" s="7"/>
      <c r="G772" s="7"/>
      <c r="H772" s="2" t="s">
        <v>10830</v>
      </c>
      <c r="I772" s="7" t="s">
        <v>10864</v>
      </c>
      <c r="J772" s="7" t="s">
        <v>5388</v>
      </c>
      <c r="K772" s="7" t="s">
        <v>120</v>
      </c>
      <c r="L772" s="7" t="s">
        <v>10865</v>
      </c>
      <c r="M772" s="7"/>
      <c r="N772" s="45" t="str">
        <f t="shared" si="635"/>
        <v>@lmu_softball</v>
      </c>
      <c r="O772" s="74" t="str">
        <f t="shared" si="636"/>
        <v>Questionnaire</v>
      </c>
      <c r="P772" s="7" t="s">
        <v>10839</v>
      </c>
      <c r="Q772" s="57" t="s">
        <v>346</v>
      </c>
      <c r="R772" s="48" t="s">
        <v>10841</v>
      </c>
      <c r="S772" s="60" t="s">
        <v>205</v>
      </c>
      <c r="T772" s="49" t="s">
        <v>63</v>
      </c>
      <c r="U772" s="49" t="s">
        <v>75</v>
      </c>
      <c r="V772" s="7"/>
      <c r="W772" s="44">
        <v>3.41</v>
      </c>
      <c r="X772" s="7" t="s">
        <v>397</v>
      </c>
      <c r="Y772" s="7" t="s">
        <v>396</v>
      </c>
      <c r="Z772" s="49" t="s">
        <v>125</v>
      </c>
      <c r="AA772" s="61">
        <v>0.5</v>
      </c>
      <c r="AB772" s="71">
        <v>37801</v>
      </c>
      <c r="AC772" s="52" t="s">
        <v>10839</v>
      </c>
      <c r="AD772" s="53" t="str">
        <f t="shared" si="637"/>
        <v>Link</v>
      </c>
      <c r="AE772" s="54">
        <v>1659</v>
      </c>
      <c r="AF772" s="55"/>
      <c r="AG772" s="7"/>
      <c r="AH772" s="56">
        <v>220631</v>
      </c>
      <c r="AI772" s="56"/>
      <c r="AJ772" s="56"/>
      <c r="AK772" s="56"/>
    </row>
    <row r="773" spans="1:37" ht="15" x14ac:dyDescent="0.2">
      <c r="A773" s="7"/>
      <c r="B773" s="31" t="s">
        <v>10627</v>
      </c>
      <c r="C773" s="33" t="s">
        <v>41</v>
      </c>
      <c r="D773" s="7"/>
      <c r="E773" s="112">
        <v>5</v>
      </c>
      <c r="F773" s="7"/>
      <c r="G773" s="7"/>
      <c r="H773" s="2" t="s">
        <v>10874</v>
      </c>
      <c r="I773" s="2" t="s">
        <v>3197</v>
      </c>
      <c r="J773" s="2" t="s">
        <v>10875</v>
      </c>
      <c r="K773" s="2" t="s">
        <v>48</v>
      </c>
      <c r="L773" s="2" t="s">
        <v>10877</v>
      </c>
      <c r="M773" s="6" t="s">
        <v>10878</v>
      </c>
      <c r="N773" s="45" t="str">
        <f t="shared" ref="N773:N777" si="638">HYPERLINK("twitter.com/tnusoftball","@tnusoftball")</f>
        <v>@tnusoftball</v>
      </c>
      <c r="O773" s="74" t="str">
        <f t="shared" ref="O773:O777" si="639">HYPERLINK("http://www.tnutrojans.com/recruiting.php","Questionnaire")</f>
        <v>Questionnaire</v>
      </c>
      <c r="P773" s="48" t="s">
        <v>10883</v>
      </c>
      <c r="Q773" s="60" t="s">
        <v>346</v>
      </c>
      <c r="R773" s="48" t="s">
        <v>2450</v>
      </c>
      <c r="S773" s="48" t="s">
        <v>354</v>
      </c>
      <c r="T773" s="49" t="s">
        <v>63</v>
      </c>
      <c r="U773" s="6" t="s">
        <v>4316</v>
      </c>
      <c r="V773" s="49"/>
      <c r="W773" s="65">
        <v>3.37</v>
      </c>
      <c r="X773" s="49" t="s">
        <v>522</v>
      </c>
      <c r="Y773" s="49" t="s">
        <v>720</v>
      </c>
      <c r="Z773" s="49" t="s">
        <v>746</v>
      </c>
      <c r="AA773" s="65">
        <v>0.72</v>
      </c>
      <c r="AB773" s="39">
        <v>38248</v>
      </c>
      <c r="AC773" s="52" t="s">
        <v>10883</v>
      </c>
      <c r="AD773" s="53" t="str">
        <f t="shared" ref="AD773:AD777" si="640">HYPERLINK("https://www.trevecca.edu/academics/undergraduate","Link")</f>
        <v>Link</v>
      </c>
      <c r="AE773" s="54">
        <v>2092</v>
      </c>
      <c r="AF773" s="55"/>
      <c r="AG773" s="55"/>
      <c r="AH773" s="56">
        <v>221892</v>
      </c>
      <c r="AI773" s="56" t="s">
        <v>2459</v>
      </c>
    </row>
    <row r="774" spans="1:37" ht="15" x14ac:dyDescent="0.2">
      <c r="A774" s="7"/>
      <c r="B774" s="31" t="s">
        <v>10627</v>
      </c>
      <c r="C774" s="33" t="s">
        <v>41</v>
      </c>
      <c r="D774" s="7"/>
      <c r="E774" s="112">
        <v>5</v>
      </c>
      <c r="F774" s="7"/>
      <c r="G774" s="7"/>
      <c r="H774" s="2" t="s">
        <v>10874</v>
      </c>
      <c r="I774" s="2" t="s">
        <v>539</v>
      </c>
      <c r="J774" s="2" t="s">
        <v>10891</v>
      </c>
      <c r="K774" s="2" t="s">
        <v>55</v>
      </c>
      <c r="L774" s="2" t="s">
        <v>10892</v>
      </c>
      <c r="M774" s="6"/>
      <c r="N774" s="45" t="str">
        <f t="shared" si="638"/>
        <v>@tnusoftball</v>
      </c>
      <c r="O774" s="74" t="str">
        <f t="shared" si="639"/>
        <v>Questionnaire</v>
      </c>
      <c r="P774" s="48" t="s">
        <v>10883</v>
      </c>
      <c r="Q774" s="60" t="s">
        <v>346</v>
      </c>
      <c r="R774" s="48" t="s">
        <v>2450</v>
      </c>
      <c r="S774" s="48" t="s">
        <v>354</v>
      </c>
      <c r="T774" s="49" t="s">
        <v>63</v>
      </c>
      <c r="U774" s="6" t="s">
        <v>4316</v>
      </c>
      <c r="V774" s="49"/>
      <c r="W774" s="65">
        <v>3.37</v>
      </c>
      <c r="X774" s="49" t="s">
        <v>522</v>
      </c>
      <c r="Y774" s="49" t="s">
        <v>720</v>
      </c>
      <c r="Z774" s="49" t="s">
        <v>746</v>
      </c>
      <c r="AA774" s="65">
        <v>0.72</v>
      </c>
      <c r="AB774" s="39">
        <v>38248</v>
      </c>
      <c r="AC774" s="52" t="s">
        <v>10883</v>
      </c>
      <c r="AD774" s="53" t="str">
        <f t="shared" si="640"/>
        <v>Link</v>
      </c>
      <c r="AE774" s="54">
        <v>2092</v>
      </c>
      <c r="AF774" s="55"/>
      <c r="AG774" s="55"/>
      <c r="AH774" s="56">
        <v>221892</v>
      </c>
      <c r="AI774" s="56" t="s">
        <v>2459</v>
      </c>
    </row>
    <row r="775" spans="1:37" ht="15" x14ac:dyDescent="0.2">
      <c r="A775" s="7"/>
      <c r="B775" s="31" t="s">
        <v>10627</v>
      </c>
      <c r="C775" s="33" t="s">
        <v>41</v>
      </c>
      <c r="D775" s="7"/>
      <c r="E775" s="112">
        <v>5</v>
      </c>
      <c r="F775" s="7"/>
      <c r="G775" s="7"/>
      <c r="H775" s="2" t="s">
        <v>10874</v>
      </c>
      <c r="I775" s="2" t="s">
        <v>10897</v>
      </c>
      <c r="J775" s="2" t="s">
        <v>10898</v>
      </c>
      <c r="K775" s="2" t="s">
        <v>55</v>
      </c>
      <c r="L775" s="2" t="s">
        <v>10899</v>
      </c>
      <c r="M775" s="6"/>
      <c r="N775" s="45" t="str">
        <f t="shared" si="638"/>
        <v>@tnusoftball</v>
      </c>
      <c r="O775" s="74" t="str">
        <f t="shared" si="639"/>
        <v>Questionnaire</v>
      </c>
      <c r="P775" s="48" t="s">
        <v>10883</v>
      </c>
      <c r="Q775" s="60" t="s">
        <v>346</v>
      </c>
      <c r="R775" s="48" t="s">
        <v>2450</v>
      </c>
      <c r="S775" s="48" t="s">
        <v>354</v>
      </c>
      <c r="T775" s="49" t="s">
        <v>63</v>
      </c>
      <c r="U775" s="6" t="s">
        <v>4316</v>
      </c>
      <c r="V775" s="49"/>
      <c r="W775" s="65">
        <v>3.37</v>
      </c>
      <c r="X775" s="49" t="s">
        <v>522</v>
      </c>
      <c r="Y775" s="49" t="s">
        <v>720</v>
      </c>
      <c r="Z775" s="49" t="s">
        <v>746</v>
      </c>
      <c r="AA775" s="65">
        <v>0.72</v>
      </c>
      <c r="AB775" s="39">
        <v>38248</v>
      </c>
      <c r="AC775" s="52" t="s">
        <v>10883</v>
      </c>
      <c r="AD775" s="53" t="str">
        <f t="shared" si="640"/>
        <v>Link</v>
      </c>
      <c r="AE775" s="54">
        <v>2092</v>
      </c>
      <c r="AF775" s="55"/>
      <c r="AG775" s="55"/>
      <c r="AH775" s="56">
        <v>221892</v>
      </c>
      <c r="AI775" s="56" t="s">
        <v>2459</v>
      </c>
    </row>
    <row r="776" spans="1:37" ht="15" x14ac:dyDescent="0.2">
      <c r="A776" s="57" t="s">
        <v>5090</v>
      </c>
      <c r="B776" s="31" t="s">
        <v>10627</v>
      </c>
      <c r="C776" s="33" t="s">
        <v>41</v>
      </c>
      <c r="D776" s="7" t="s">
        <v>10904</v>
      </c>
      <c r="E776" s="112">
        <v>5</v>
      </c>
      <c r="F776" s="7"/>
      <c r="G776" s="7"/>
      <c r="H776" s="2" t="s">
        <v>10874</v>
      </c>
      <c r="I776" s="2" t="s">
        <v>3197</v>
      </c>
      <c r="J776" s="2" t="s">
        <v>10875</v>
      </c>
      <c r="K776" s="2" t="s">
        <v>48</v>
      </c>
      <c r="L776" s="2" t="s">
        <v>10877</v>
      </c>
      <c r="M776" s="6" t="s">
        <v>10878</v>
      </c>
      <c r="N776" s="45" t="str">
        <f t="shared" si="638"/>
        <v>@tnusoftball</v>
      </c>
      <c r="O776" s="74" t="str">
        <f t="shared" si="639"/>
        <v>Questionnaire</v>
      </c>
      <c r="P776" s="48" t="s">
        <v>10883</v>
      </c>
      <c r="Q776" s="60" t="s">
        <v>346</v>
      </c>
      <c r="R776" s="48" t="s">
        <v>2450</v>
      </c>
      <c r="S776" s="48" t="s">
        <v>354</v>
      </c>
      <c r="T776" s="49" t="s">
        <v>63</v>
      </c>
      <c r="U776" s="6" t="s">
        <v>4316</v>
      </c>
      <c r="V776" s="49"/>
      <c r="W776" s="65">
        <v>3.37</v>
      </c>
      <c r="X776" s="49" t="s">
        <v>522</v>
      </c>
      <c r="Y776" s="49" t="s">
        <v>720</v>
      </c>
      <c r="Z776" s="49" t="s">
        <v>746</v>
      </c>
      <c r="AA776" s="65">
        <v>0.72</v>
      </c>
      <c r="AB776" s="39">
        <v>38248</v>
      </c>
      <c r="AC776" s="52" t="s">
        <v>10883</v>
      </c>
      <c r="AD776" s="53" t="str">
        <f t="shared" si="640"/>
        <v>Link</v>
      </c>
      <c r="AE776" s="54">
        <v>2092</v>
      </c>
      <c r="AF776" s="55"/>
      <c r="AG776" s="55"/>
      <c r="AH776" s="56">
        <v>221892</v>
      </c>
      <c r="AI776" s="56"/>
      <c r="AJ776" s="56"/>
      <c r="AK776" s="7"/>
    </row>
    <row r="777" spans="1:37" ht="15" x14ac:dyDescent="0.2">
      <c r="A777" s="57" t="s">
        <v>5090</v>
      </c>
      <c r="B777" s="31" t="s">
        <v>10627</v>
      </c>
      <c r="C777" s="33" t="s">
        <v>41</v>
      </c>
      <c r="D777" s="7" t="s">
        <v>10908</v>
      </c>
      <c r="E777" s="112">
        <v>5</v>
      </c>
      <c r="F777" s="7" t="s">
        <v>116</v>
      </c>
      <c r="G777" s="7"/>
      <c r="H777" s="2" t="s">
        <v>10874</v>
      </c>
      <c r="I777" s="2" t="s">
        <v>539</v>
      </c>
      <c r="J777" s="2" t="s">
        <v>10891</v>
      </c>
      <c r="K777" s="2" t="s">
        <v>55</v>
      </c>
      <c r="L777" s="2" t="s">
        <v>10915</v>
      </c>
      <c r="M777" s="6" t="s">
        <v>10878</v>
      </c>
      <c r="N777" s="45" t="str">
        <f t="shared" si="638"/>
        <v>@tnusoftball</v>
      </c>
      <c r="O777" s="74" t="str">
        <f t="shared" si="639"/>
        <v>Questionnaire</v>
      </c>
      <c r="P777" s="48" t="s">
        <v>10883</v>
      </c>
      <c r="Q777" s="60" t="s">
        <v>346</v>
      </c>
      <c r="R777" s="48" t="s">
        <v>2450</v>
      </c>
      <c r="S777" s="48" t="s">
        <v>354</v>
      </c>
      <c r="T777" s="49" t="s">
        <v>63</v>
      </c>
      <c r="U777" s="6" t="s">
        <v>4316</v>
      </c>
      <c r="V777" s="49"/>
      <c r="W777" s="65">
        <v>3.37</v>
      </c>
      <c r="X777" s="49" t="s">
        <v>522</v>
      </c>
      <c r="Y777" s="49" t="s">
        <v>720</v>
      </c>
      <c r="Z777" s="49" t="s">
        <v>746</v>
      </c>
      <c r="AA777" s="65">
        <v>0.72</v>
      </c>
      <c r="AB777" s="39">
        <v>38248</v>
      </c>
      <c r="AC777" s="52" t="s">
        <v>10883</v>
      </c>
      <c r="AD777" s="53" t="str">
        <f t="shared" si="640"/>
        <v>Link</v>
      </c>
      <c r="AE777" s="54">
        <v>2092</v>
      </c>
      <c r="AF777" s="55"/>
      <c r="AG777" s="55"/>
      <c r="AH777" s="56">
        <v>221892</v>
      </c>
      <c r="AI777" s="56"/>
      <c r="AJ777" s="56"/>
      <c r="AK777" s="7"/>
    </row>
    <row r="778" spans="1:37" ht="13" x14ac:dyDescent="0.15">
      <c r="A778" s="57" t="s">
        <v>7828</v>
      </c>
      <c r="B778" s="31" t="s">
        <v>10627</v>
      </c>
      <c r="C778" s="7" t="s">
        <v>41</v>
      </c>
      <c r="D778" s="7" t="s">
        <v>10921</v>
      </c>
      <c r="E778" s="44">
        <v>5</v>
      </c>
      <c r="F778" s="7"/>
      <c r="G778" s="7"/>
      <c r="H778" s="2" t="s">
        <v>10922</v>
      </c>
      <c r="I778" s="7" t="s">
        <v>3235</v>
      </c>
      <c r="J778" s="7" t="s">
        <v>10923</v>
      </c>
      <c r="K778" s="7" t="s">
        <v>48</v>
      </c>
      <c r="L778" s="7" t="s">
        <v>10924</v>
      </c>
      <c r="M778" s="7" t="s">
        <v>10925</v>
      </c>
      <c r="N778" s="45" t="str">
        <f t="shared" ref="N778:N781" si="641">HYPERLINK("twitter.com/tusculumsb","@tusculumsb")</f>
        <v>@tusculumsb</v>
      </c>
      <c r="O778" s="74" t="str">
        <f t="shared" ref="O778:O781" si="642">HYPERLINK("http://www.tusculumpioneers.com/information/recruiting-form/index","Questionnaire")</f>
        <v>Questionnaire</v>
      </c>
      <c r="P778" s="7" t="s">
        <v>10934</v>
      </c>
      <c r="Q778" s="57" t="s">
        <v>346</v>
      </c>
      <c r="R778" s="48" t="s">
        <v>10934</v>
      </c>
      <c r="S778" s="60" t="s">
        <v>205</v>
      </c>
      <c r="T778" s="49" t="s">
        <v>63</v>
      </c>
      <c r="U778" s="49" t="s">
        <v>248</v>
      </c>
      <c r="V778" s="7"/>
      <c r="W778" s="44">
        <v>3.17</v>
      </c>
      <c r="X778" s="7" t="s">
        <v>10935</v>
      </c>
      <c r="Y778" s="7" t="s">
        <v>1453</v>
      </c>
      <c r="Z778" s="49" t="s">
        <v>449</v>
      </c>
      <c r="AA778" s="61">
        <v>0.74</v>
      </c>
      <c r="AB778" s="71">
        <v>36745</v>
      </c>
      <c r="AC778" s="92" t="s">
        <v>10934</v>
      </c>
      <c r="AD778" s="53" t="str">
        <f t="shared" ref="AD778:AD781" si="643">HYPERLINK("https://web.tusculum.edu/academics/majors-minors/","Link")</f>
        <v>Link</v>
      </c>
      <c r="AE778" s="54">
        <v>1585</v>
      </c>
      <c r="AF778" s="55"/>
      <c r="AG778" s="7"/>
      <c r="AH778" s="56">
        <v>221953</v>
      </c>
      <c r="AI778" s="56"/>
      <c r="AJ778" s="56"/>
      <c r="AK778" s="56"/>
    </row>
    <row r="779" spans="1:37" ht="13" x14ac:dyDescent="0.15">
      <c r="A779" s="57" t="s">
        <v>7828</v>
      </c>
      <c r="B779" s="31" t="s">
        <v>10627</v>
      </c>
      <c r="C779" s="7" t="s">
        <v>41</v>
      </c>
      <c r="D779" s="7" t="s">
        <v>10938</v>
      </c>
      <c r="E779" s="44">
        <v>5</v>
      </c>
      <c r="F779" s="7"/>
      <c r="G779" s="7"/>
      <c r="H779" s="2" t="s">
        <v>10922</v>
      </c>
      <c r="I779" s="7" t="s">
        <v>234</v>
      </c>
      <c r="J779" s="7" t="s">
        <v>10939</v>
      </c>
      <c r="K779" s="7" t="s">
        <v>55</v>
      </c>
      <c r="L779" s="7" t="s">
        <v>10941</v>
      </c>
      <c r="M779" s="7"/>
      <c r="N779" s="45" t="str">
        <f t="shared" si="641"/>
        <v>@tusculumsb</v>
      </c>
      <c r="O779" s="74" t="str">
        <f t="shared" si="642"/>
        <v>Questionnaire</v>
      </c>
      <c r="P779" s="7" t="s">
        <v>10934</v>
      </c>
      <c r="Q779" s="57" t="s">
        <v>346</v>
      </c>
      <c r="R779" s="48" t="s">
        <v>10934</v>
      </c>
      <c r="S779" s="60" t="s">
        <v>205</v>
      </c>
      <c r="T779" s="49" t="s">
        <v>63</v>
      </c>
      <c r="U779" s="49" t="s">
        <v>248</v>
      </c>
      <c r="V779" s="7"/>
      <c r="W779" s="44">
        <v>3.17</v>
      </c>
      <c r="X779" s="7" t="s">
        <v>10935</v>
      </c>
      <c r="Y779" s="7" t="s">
        <v>1453</v>
      </c>
      <c r="Z779" s="49" t="s">
        <v>449</v>
      </c>
      <c r="AA779" s="61">
        <v>0.74</v>
      </c>
      <c r="AB779" s="71">
        <v>36745</v>
      </c>
      <c r="AC779" s="92" t="s">
        <v>10934</v>
      </c>
      <c r="AD779" s="53" t="str">
        <f t="shared" si="643"/>
        <v>Link</v>
      </c>
      <c r="AE779" s="54">
        <v>1585</v>
      </c>
      <c r="AF779" s="55"/>
      <c r="AG779" s="7"/>
      <c r="AH779" s="56">
        <v>221953</v>
      </c>
      <c r="AI779" s="56"/>
      <c r="AJ779" s="56"/>
      <c r="AK779" s="56"/>
    </row>
    <row r="780" spans="1:37" ht="13" x14ac:dyDescent="0.15">
      <c r="A780" s="57" t="s">
        <v>7828</v>
      </c>
      <c r="B780" s="31" t="s">
        <v>10627</v>
      </c>
      <c r="C780" s="7" t="s">
        <v>41</v>
      </c>
      <c r="D780" s="7" t="s">
        <v>10944</v>
      </c>
      <c r="E780" s="44">
        <v>5</v>
      </c>
      <c r="F780" s="7"/>
      <c r="G780" s="7" t="s">
        <v>126</v>
      </c>
      <c r="H780" s="2" t="s">
        <v>10922</v>
      </c>
      <c r="I780" s="7" t="s">
        <v>10945</v>
      </c>
      <c r="J780" s="7"/>
      <c r="K780" s="7"/>
      <c r="L780" s="7"/>
      <c r="M780" s="7"/>
      <c r="N780" s="45" t="str">
        <f t="shared" si="641"/>
        <v>@tusculumsb</v>
      </c>
      <c r="O780" s="74" t="str">
        <f t="shared" si="642"/>
        <v>Questionnaire</v>
      </c>
      <c r="P780" s="7" t="s">
        <v>10934</v>
      </c>
      <c r="Q780" s="57" t="s">
        <v>346</v>
      </c>
      <c r="R780" s="48" t="s">
        <v>10934</v>
      </c>
      <c r="S780" s="60" t="s">
        <v>205</v>
      </c>
      <c r="T780" s="49" t="s">
        <v>63</v>
      </c>
      <c r="U780" s="49" t="s">
        <v>248</v>
      </c>
      <c r="V780" s="7"/>
      <c r="W780" s="44">
        <v>3.17</v>
      </c>
      <c r="X780" s="7" t="s">
        <v>10935</v>
      </c>
      <c r="Y780" s="7" t="s">
        <v>1453</v>
      </c>
      <c r="Z780" s="49" t="s">
        <v>449</v>
      </c>
      <c r="AA780" s="61">
        <v>0.74</v>
      </c>
      <c r="AB780" s="71">
        <v>36745</v>
      </c>
      <c r="AC780" s="92" t="s">
        <v>10934</v>
      </c>
      <c r="AD780" s="53" t="str">
        <f t="shared" si="643"/>
        <v>Link</v>
      </c>
      <c r="AE780" s="54">
        <v>1585</v>
      </c>
      <c r="AF780" s="55"/>
      <c r="AG780" s="7"/>
      <c r="AH780" s="56">
        <v>221953</v>
      </c>
      <c r="AI780" s="56"/>
      <c r="AJ780" s="56"/>
      <c r="AK780" s="56"/>
    </row>
    <row r="781" spans="1:37" ht="13" x14ac:dyDescent="0.15">
      <c r="A781" s="57" t="s">
        <v>7828</v>
      </c>
      <c r="B781" s="31" t="s">
        <v>10627</v>
      </c>
      <c r="C781" s="7" t="s">
        <v>41</v>
      </c>
      <c r="D781" s="7" t="s">
        <v>10953</v>
      </c>
      <c r="E781" s="58">
        <v>5</v>
      </c>
      <c r="F781" s="7" t="s">
        <v>116</v>
      </c>
      <c r="G781" s="7"/>
      <c r="H781" s="2" t="s">
        <v>10922</v>
      </c>
      <c r="I781" s="7" t="s">
        <v>2747</v>
      </c>
      <c r="J781" s="7" t="s">
        <v>10954</v>
      </c>
      <c r="K781" s="7" t="s">
        <v>120</v>
      </c>
      <c r="L781" s="7"/>
      <c r="M781" s="7"/>
      <c r="N781" s="45" t="str">
        <f t="shared" si="641"/>
        <v>@tusculumsb</v>
      </c>
      <c r="O781" s="74" t="str">
        <f t="shared" si="642"/>
        <v>Questionnaire</v>
      </c>
      <c r="P781" s="7" t="s">
        <v>10934</v>
      </c>
      <c r="Q781" s="57" t="s">
        <v>346</v>
      </c>
      <c r="R781" s="48" t="s">
        <v>10934</v>
      </c>
      <c r="S781" s="60" t="s">
        <v>205</v>
      </c>
      <c r="T781" s="49" t="s">
        <v>63</v>
      </c>
      <c r="U781" s="49" t="s">
        <v>248</v>
      </c>
      <c r="V781" s="7"/>
      <c r="W781" s="44">
        <v>3.17</v>
      </c>
      <c r="X781" s="7" t="s">
        <v>10935</v>
      </c>
      <c r="Y781" s="7" t="s">
        <v>1453</v>
      </c>
      <c r="Z781" s="49" t="s">
        <v>449</v>
      </c>
      <c r="AA781" s="61">
        <v>0.74</v>
      </c>
      <c r="AB781" s="71">
        <v>36745</v>
      </c>
      <c r="AC781" s="92" t="s">
        <v>10934</v>
      </c>
      <c r="AD781" s="53" t="str">
        <f t="shared" si="643"/>
        <v>Link</v>
      </c>
      <c r="AE781" s="54">
        <v>1585</v>
      </c>
      <c r="AF781" s="55"/>
      <c r="AG781" s="7"/>
      <c r="AH781" s="111">
        <v>221953</v>
      </c>
      <c r="AI781" s="59"/>
      <c r="AJ781" s="59"/>
      <c r="AK781" s="56"/>
    </row>
    <row r="782" spans="1:37" ht="13" x14ac:dyDescent="0.15">
      <c r="A782" s="57" t="s">
        <v>39</v>
      </c>
      <c r="B782" s="31" t="s">
        <v>10627</v>
      </c>
      <c r="C782" s="7" t="s">
        <v>41</v>
      </c>
      <c r="D782" s="7" t="s">
        <v>10957</v>
      </c>
      <c r="E782" s="44">
        <v>5</v>
      </c>
      <c r="F782" s="7"/>
      <c r="G782" s="7"/>
      <c r="H782" s="2" t="s">
        <v>10959</v>
      </c>
      <c r="I782" s="7" t="s">
        <v>3865</v>
      </c>
      <c r="J782" s="7" t="s">
        <v>10960</v>
      </c>
      <c r="K782" s="7" t="s">
        <v>48</v>
      </c>
      <c r="L782" s="7" t="s">
        <v>10961</v>
      </c>
      <c r="M782" s="7" t="s">
        <v>10963</v>
      </c>
      <c r="N782" s="45" t="s">
        <v>10964</v>
      </c>
      <c r="O782" s="74" t="str">
        <f t="shared" ref="O782:O786" si="644">HYPERLINK("https://uuathletics.com/sb_output.aspx?form=3","Questionnaire")</f>
        <v>Questionnaire</v>
      </c>
      <c r="P782" s="7" t="s">
        <v>10969</v>
      </c>
      <c r="Q782" s="36" t="s">
        <v>346</v>
      </c>
      <c r="R782" s="48" t="s">
        <v>773</v>
      </c>
      <c r="S782" s="48" t="s">
        <v>186</v>
      </c>
      <c r="T782" s="49" t="s">
        <v>63</v>
      </c>
      <c r="U782" s="49" t="s">
        <v>800</v>
      </c>
      <c r="V782" s="7"/>
      <c r="W782" s="44">
        <v>3.76</v>
      </c>
      <c r="X782" s="7" t="s">
        <v>2672</v>
      </c>
      <c r="Y782" s="7" t="s">
        <v>2528</v>
      </c>
      <c r="Z782" s="49" t="s">
        <v>10666</v>
      </c>
      <c r="AA782" s="61">
        <v>0.63</v>
      </c>
      <c r="AB782" s="71">
        <v>49840</v>
      </c>
      <c r="AC782" s="62" t="s">
        <v>10969</v>
      </c>
      <c r="AD782" s="53" t="str">
        <f t="shared" ref="AD782:AD786" si="645">HYPERLINK("https://www.uu.edu/academics/programs-of-study/","Link")</f>
        <v>Link</v>
      </c>
      <c r="AE782" s="54">
        <v>2286</v>
      </c>
      <c r="AF782" s="54">
        <v>176</v>
      </c>
      <c r="AG782" s="7"/>
      <c r="AH782" s="56">
        <v>221971</v>
      </c>
      <c r="AI782" s="56"/>
      <c r="AJ782" s="56"/>
      <c r="AK782" s="56"/>
    </row>
    <row r="783" spans="1:37" ht="13" x14ac:dyDescent="0.15">
      <c r="A783" s="57" t="s">
        <v>39</v>
      </c>
      <c r="B783" s="31" t="s">
        <v>10627</v>
      </c>
      <c r="C783" s="7" t="s">
        <v>41</v>
      </c>
      <c r="D783" s="7" t="s">
        <v>10971</v>
      </c>
      <c r="E783" s="44">
        <v>5</v>
      </c>
      <c r="F783" s="7"/>
      <c r="G783" s="7"/>
      <c r="H783" s="2" t="s">
        <v>10959</v>
      </c>
      <c r="I783" s="7" t="s">
        <v>2747</v>
      </c>
      <c r="J783" s="7" t="s">
        <v>7334</v>
      </c>
      <c r="K783" s="7" t="s">
        <v>55</v>
      </c>
      <c r="L783" s="7" t="s">
        <v>10974</v>
      </c>
      <c r="M783" s="7" t="s">
        <v>10975</v>
      </c>
      <c r="N783" s="45" t="str">
        <f t="shared" ref="N783:N786" si="646">HYPERLINK("twitter.com/uuathleticssb","@uuathleticssb")</f>
        <v>@uuathleticssb</v>
      </c>
      <c r="O783" s="74" t="str">
        <f t="shared" si="644"/>
        <v>Questionnaire</v>
      </c>
      <c r="P783" s="7" t="s">
        <v>10969</v>
      </c>
      <c r="Q783" s="36" t="s">
        <v>346</v>
      </c>
      <c r="R783" s="48" t="s">
        <v>773</v>
      </c>
      <c r="S783" s="48" t="s">
        <v>186</v>
      </c>
      <c r="T783" s="49" t="s">
        <v>63</v>
      </c>
      <c r="U783" s="49" t="s">
        <v>800</v>
      </c>
      <c r="V783" s="7"/>
      <c r="W783" s="44">
        <v>3.76</v>
      </c>
      <c r="X783" s="7" t="s">
        <v>2672</v>
      </c>
      <c r="Y783" s="7" t="s">
        <v>2528</v>
      </c>
      <c r="Z783" s="49" t="s">
        <v>10666</v>
      </c>
      <c r="AA783" s="61">
        <v>0.63</v>
      </c>
      <c r="AB783" s="71">
        <v>49840</v>
      </c>
      <c r="AC783" s="62" t="s">
        <v>10969</v>
      </c>
      <c r="AD783" s="53" t="str">
        <f t="shared" si="645"/>
        <v>Link</v>
      </c>
      <c r="AE783" s="54">
        <v>2286</v>
      </c>
      <c r="AF783" s="54">
        <v>176</v>
      </c>
      <c r="AG783" s="7"/>
      <c r="AH783" s="56">
        <v>221971</v>
      </c>
      <c r="AI783" s="56"/>
      <c r="AJ783" s="56"/>
      <c r="AK783" s="56"/>
    </row>
    <row r="784" spans="1:37" ht="13" x14ac:dyDescent="0.15">
      <c r="A784" s="57" t="s">
        <v>39</v>
      </c>
      <c r="B784" s="31" t="s">
        <v>10627</v>
      </c>
      <c r="C784" s="7" t="s">
        <v>41</v>
      </c>
      <c r="D784" s="7" t="s">
        <v>10978</v>
      </c>
      <c r="E784" s="44">
        <v>5</v>
      </c>
      <c r="F784" s="7"/>
      <c r="G784" s="7"/>
      <c r="H784" s="2" t="s">
        <v>10959</v>
      </c>
      <c r="I784" s="7" t="s">
        <v>644</v>
      </c>
      <c r="J784" s="7" t="s">
        <v>10981</v>
      </c>
      <c r="K784" s="7" t="s">
        <v>55</v>
      </c>
      <c r="L784" s="7" t="s">
        <v>10983</v>
      </c>
      <c r="M784" s="7" t="s">
        <v>10984</v>
      </c>
      <c r="N784" s="45" t="str">
        <f t="shared" si="646"/>
        <v>@uuathleticssb</v>
      </c>
      <c r="O784" s="74" t="str">
        <f t="shared" si="644"/>
        <v>Questionnaire</v>
      </c>
      <c r="P784" s="7" t="s">
        <v>10969</v>
      </c>
      <c r="Q784" s="36" t="s">
        <v>346</v>
      </c>
      <c r="R784" s="48" t="s">
        <v>773</v>
      </c>
      <c r="S784" s="48" t="s">
        <v>186</v>
      </c>
      <c r="T784" s="49" t="s">
        <v>63</v>
      </c>
      <c r="U784" s="49" t="s">
        <v>800</v>
      </c>
      <c r="V784" s="7"/>
      <c r="W784" s="44">
        <v>3.76</v>
      </c>
      <c r="X784" s="7" t="s">
        <v>2672</v>
      </c>
      <c r="Y784" s="7" t="s">
        <v>2528</v>
      </c>
      <c r="Z784" s="49" t="s">
        <v>10666</v>
      </c>
      <c r="AA784" s="61">
        <v>0.63</v>
      </c>
      <c r="AB784" s="71">
        <v>49840</v>
      </c>
      <c r="AC784" s="62" t="s">
        <v>10969</v>
      </c>
      <c r="AD784" s="53" t="str">
        <f t="shared" si="645"/>
        <v>Link</v>
      </c>
      <c r="AE784" s="54">
        <v>2286</v>
      </c>
      <c r="AF784" s="54">
        <v>176</v>
      </c>
      <c r="AG784" s="7"/>
      <c r="AH784" s="56">
        <v>221971</v>
      </c>
      <c r="AI784" s="56"/>
      <c r="AJ784" s="56"/>
      <c r="AK784" s="56"/>
    </row>
    <row r="785" spans="1:37" ht="13" x14ac:dyDescent="0.15">
      <c r="A785" s="57" t="s">
        <v>39</v>
      </c>
      <c r="B785" s="31" t="s">
        <v>10627</v>
      </c>
      <c r="C785" s="7" t="s">
        <v>41</v>
      </c>
      <c r="D785" s="7" t="s">
        <v>10991</v>
      </c>
      <c r="E785" s="44">
        <v>5</v>
      </c>
      <c r="F785" s="7"/>
      <c r="G785" s="7"/>
      <c r="H785" s="2" t="s">
        <v>10959</v>
      </c>
      <c r="I785" s="7" t="s">
        <v>10992</v>
      </c>
      <c r="J785" s="7" t="s">
        <v>10993</v>
      </c>
      <c r="K785" s="7" t="s">
        <v>139</v>
      </c>
      <c r="L785" s="7"/>
      <c r="M785" s="7"/>
      <c r="N785" s="45" t="str">
        <f t="shared" si="646"/>
        <v>@uuathleticssb</v>
      </c>
      <c r="O785" s="74" t="str">
        <f t="shared" si="644"/>
        <v>Questionnaire</v>
      </c>
      <c r="P785" s="7" t="s">
        <v>10969</v>
      </c>
      <c r="Q785" s="36" t="s">
        <v>346</v>
      </c>
      <c r="R785" s="48" t="s">
        <v>773</v>
      </c>
      <c r="S785" s="48" t="s">
        <v>186</v>
      </c>
      <c r="T785" s="49" t="s">
        <v>63</v>
      </c>
      <c r="U785" s="49" t="s">
        <v>800</v>
      </c>
      <c r="V785" s="7"/>
      <c r="W785" s="44">
        <v>3.76</v>
      </c>
      <c r="X785" s="7" t="s">
        <v>2672</v>
      </c>
      <c r="Y785" s="7" t="s">
        <v>2528</v>
      </c>
      <c r="Z785" s="49" t="s">
        <v>10666</v>
      </c>
      <c r="AA785" s="61">
        <v>0.63</v>
      </c>
      <c r="AB785" s="71">
        <v>49840</v>
      </c>
      <c r="AC785" s="62" t="s">
        <v>10969</v>
      </c>
      <c r="AD785" s="53" t="str">
        <f t="shared" si="645"/>
        <v>Link</v>
      </c>
      <c r="AE785" s="54">
        <v>2286</v>
      </c>
      <c r="AF785" s="54">
        <v>176</v>
      </c>
      <c r="AG785" s="7"/>
      <c r="AH785" s="56">
        <v>221971</v>
      </c>
      <c r="AI785" s="56"/>
      <c r="AJ785" s="56"/>
      <c r="AK785" s="56"/>
    </row>
    <row r="786" spans="1:37" ht="13" x14ac:dyDescent="0.15">
      <c r="A786" s="57" t="s">
        <v>39</v>
      </c>
      <c r="B786" s="31" t="s">
        <v>10627</v>
      </c>
      <c r="C786" s="7" t="s">
        <v>41</v>
      </c>
      <c r="D786" s="7" t="s">
        <v>11001</v>
      </c>
      <c r="E786" s="44">
        <v>5</v>
      </c>
      <c r="F786" s="7" t="s">
        <v>116</v>
      </c>
      <c r="G786" s="7"/>
      <c r="H786" s="2" t="s">
        <v>10922</v>
      </c>
      <c r="I786" s="7" t="s">
        <v>11002</v>
      </c>
      <c r="J786" s="7" t="s">
        <v>9442</v>
      </c>
      <c r="K786" s="7" t="s">
        <v>55</v>
      </c>
      <c r="L786" s="7"/>
      <c r="M786" s="7"/>
      <c r="N786" s="45" t="str">
        <f t="shared" si="646"/>
        <v>@uuathleticssb</v>
      </c>
      <c r="O786" s="74" t="str">
        <f t="shared" si="644"/>
        <v>Questionnaire</v>
      </c>
      <c r="P786" s="7" t="s">
        <v>10969</v>
      </c>
      <c r="Q786" s="36" t="s">
        <v>346</v>
      </c>
      <c r="R786" s="48" t="s">
        <v>773</v>
      </c>
      <c r="S786" s="48" t="s">
        <v>186</v>
      </c>
      <c r="T786" s="49" t="s">
        <v>63</v>
      </c>
      <c r="U786" s="49" t="s">
        <v>800</v>
      </c>
      <c r="V786" s="7"/>
      <c r="W786" s="44">
        <v>3.76</v>
      </c>
      <c r="X786" s="7" t="s">
        <v>2672</v>
      </c>
      <c r="Y786" s="7" t="s">
        <v>2528</v>
      </c>
      <c r="Z786" s="49" t="s">
        <v>10666</v>
      </c>
      <c r="AA786" s="61">
        <v>0.63</v>
      </c>
      <c r="AB786" s="71">
        <v>49840</v>
      </c>
      <c r="AC786" s="62" t="s">
        <v>10969</v>
      </c>
      <c r="AD786" s="53" t="str">
        <f t="shared" si="645"/>
        <v>Link</v>
      </c>
      <c r="AE786" s="54">
        <v>2286</v>
      </c>
      <c r="AF786" s="54">
        <v>176</v>
      </c>
      <c r="AG786" s="7"/>
      <c r="AH786" s="56">
        <v>221971</v>
      </c>
      <c r="AI786" s="56"/>
      <c r="AJ786" s="56"/>
      <c r="AK786" s="56"/>
    </row>
    <row r="787" spans="1:37" ht="15" x14ac:dyDescent="0.2">
      <c r="A787" s="57" t="s">
        <v>7181</v>
      </c>
      <c r="B787" s="31" t="s">
        <v>2922</v>
      </c>
      <c r="C787" s="7" t="s">
        <v>41</v>
      </c>
      <c r="D787" s="7" t="s">
        <v>11009</v>
      </c>
      <c r="E787" s="44">
        <v>5</v>
      </c>
      <c r="F787" s="7"/>
      <c r="G787" s="7"/>
      <c r="H787" s="2" t="s">
        <v>11011</v>
      </c>
      <c r="I787" s="7" t="s">
        <v>844</v>
      </c>
      <c r="J787" s="7" t="s">
        <v>2031</v>
      </c>
      <c r="K787" s="7" t="s">
        <v>48</v>
      </c>
      <c r="L787" s="7" t="s">
        <v>11012</v>
      </c>
      <c r="M787" s="7" t="s">
        <v>11013</v>
      </c>
      <c r="N787" s="45" t="str">
        <f>HYPERLINK("twitter.com/coachscottasu","@coachscottasu")</f>
        <v>@coachscottasu</v>
      </c>
      <c r="O787" s="74" t="str">
        <f t="shared" ref="O787:O789" si="647">HYPERLINK("https://angelosports.com/sb_output.aspx?form=3","Questionnaire")</f>
        <v>Questionnaire</v>
      </c>
      <c r="P787" s="7" t="s">
        <v>11019</v>
      </c>
      <c r="Q787" s="57" t="s">
        <v>280</v>
      </c>
      <c r="R787" s="48" t="s">
        <v>11020</v>
      </c>
      <c r="S787" s="48" t="s">
        <v>238</v>
      </c>
      <c r="T787" s="49" t="s">
        <v>74</v>
      </c>
      <c r="U787" s="49" t="s">
        <v>75</v>
      </c>
      <c r="V787" s="7"/>
      <c r="W787" s="44">
        <v>3.47</v>
      </c>
      <c r="X787" s="7" t="s">
        <v>253</v>
      </c>
      <c r="Y787" s="7" t="s">
        <v>2257</v>
      </c>
      <c r="Z787" s="49" t="s">
        <v>841</v>
      </c>
      <c r="AA787" s="51">
        <v>0.74370000000000003</v>
      </c>
      <c r="AB787" s="48" t="s">
        <v>11025</v>
      </c>
      <c r="AC787" s="52" t="s">
        <v>11019</v>
      </c>
      <c r="AD787" s="53" t="str">
        <f t="shared" ref="AD787:AD790" si="648">HYPERLINK("https://www.angelo.edu/academics/","Link")</f>
        <v>Link</v>
      </c>
      <c r="AE787" s="54">
        <v>8032</v>
      </c>
      <c r="AF787" s="55"/>
      <c r="AG787" s="7"/>
      <c r="AH787" s="56">
        <v>222831</v>
      </c>
      <c r="AI787" s="56"/>
      <c r="AJ787" s="56"/>
      <c r="AK787" s="56"/>
    </row>
    <row r="788" spans="1:37" ht="15" x14ac:dyDescent="0.2">
      <c r="A788" s="57" t="s">
        <v>7181</v>
      </c>
      <c r="B788" s="31" t="s">
        <v>2922</v>
      </c>
      <c r="C788" s="7" t="s">
        <v>41</v>
      </c>
      <c r="D788" s="7" t="s">
        <v>11028</v>
      </c>
      <c r="E788" s="44">
        <v>5</v>
      </c>
      <c r="F788" s="7"/>
      <c r="G788" s="7"/>
      <c r="H788" s="2" t="s">
        <v>11011</v>
      </c>
      <c r="I788" s="7" t="s">
        <v>234</v>
      </c>
      <c r="J788" s="7" t="s">
        <v>2031</v>
      </c>
      <c r="K788" s="7" t="s">
        <v>55</v>
      </c>
      <c r="L788" s="7" t="s">
        <v>11032</v>
      </c>
      <c r="M788" s="7" t="s">
        <v>11033</v>
      </c>
      <c r="N788" s="48"/>
      <c r="O788" s="74" t="str">
        <f t="shared" si="647"/>
        <v>Questionnaire</v>
      </c>
      <c r="P788" s="7" t="s">
        <v>11019</v>
      </c>
      <c r="Q788" s="57" t="s">
        <v>280</v>
      </c>
      <c r="R788" s="48" t="s">
        <v>11020</v>
      </c>
      <c r="S788" s="48" t="s">
        <v>238</v>
      </c>
      <c r="T788" s="49" t="s">
        <v>74</v>
      </c>
      <c r="U788" s="49" t="s">
        <v>75</v>
      </c>
      <c r="V788" s="7"/>
      <c r="W788" s="44">
        <v>3.47</v>
      </c>
      <c r="X788" s="7" t="s">
        <v>253</v>
      </c>
      <c r="Y788" s="7" t="s">
        <v>2257</v>
      </c>
      <c r="Z788" s="49" t="s">
        <v>841</v>
      </c>
      <c r="AA788" s="51">
        <v>0.74370000000000003</v>
      </c>
      <c r="AB788" s="48" t="s">
        <v>11025</v>
      </c>
      <c r="AC788" s="52" t="s">
        <v>11019</v>
      </c>
      <c r="AD788" s="53" t="str">
        <f t="shared" si="648"/>
        <v>Link</v>
      </c>
      <c r="AE788" s="54">
        <v>8032</v>
      </c>
      <c r="AF788" s="55"/>
      <c r="AG788" s="7"/>
      <c r="AH788" s="56">
        <v>222831</v>
      </c>
      <c r="AI788" s="56"/>
      <c r="AJ788" s="56"/>
      <c r="AK788" s="56"/>
    </row>
    <row r="789" spans="1:37" ht="15" x14ac:dyDescent="0.2">
      <c r="A789" s="57" t="s">
        <v>7181</v>
      </c>
      <c r="B789" s="31" t="s">
        <v>2922</v>
      </c>
      <c r="C789" s="7" t="s">
        <v>41</v>
      </c>
      <c r="D789" s="7" t="s">
        <v>11039</v>
      </c>
      <c r="E789" s="44">
        <v>5</v>
      </c>
      <c r="F789" s="7"/>
      <c r="G789" s="7"/>
      <c r="H789" s="2" t="s">
        <v>11011</v>
      </c>
      <c r="I789" s="7" t="s">
        <v>878</v>
      </c>
      <c r="J789" s="7" t="s">
        <v>11040</v>
      </c>
      <c r="K789" s="7" t="s">
        <v>120</v>
      </c>
      <c r="L789" s="7"/>
      <c r="M789" s="7"/>
      <c r="N789" s="7"/>
      <c r="O789" s="74" t="str">
        <f t="shared" si="647"/>
        <v>Questionnaire</v>
      </c>
      <c r="P789" s="7" t="s">
        <v>11019</v>
      </c>
      <c r="Q789" s="57" t="s">
        <v>280</v>
      </c>
      <c r="R789" s="48" t="s">
        <v>11020</v>
      </c>
      <c r="S789" s="48" t="s">
        <v>238</v>
      </c>
      <c r="T789" s="49" t="s">
        <v>74</v>
      </c>
      <c r="U789" s="49" t="s">
        <v>75</v>
      </c>
      <c r="V789" s="7"/>
      <c r="W789" s="44">
        <v>3.47</v>
      </c>
      <c r="X789" s="7" t="s">
        <v>253</v>
      </c>
      <c r="Y789" s="7" t="s">
        <v>2257</v>
      </c>
      <c r="Z789" s="49" t="s">
        <v>841</v>
      </c>
      <c r="AA789" s="51">
        <v>0.74370000000000003</v>
      </c>
      <c r="AB789" s="48" t="s">
        <v>11025</v>
      </c>
      <c r="AC789" s="52" t="s">
        <v>11019</v>
      </c>
      <c r="AD789" s="53" t="str">
        <f t="shared" si="648"/>
        <v>Link</v>
      </c>
      <c r="AE789" s="54">
        <v>8032</v>
      </c>
      <c r="AF789" s="55"/>
      <c r="AG789" s="7"/>
      <c r="AH789" s="56">
        <v>222831</v>
      </c>
      <c r="AI789" s="56"/>
      <c r="AJ789" s="56"/>
      <c r="AK789" s="56"/>
    </row>
    <row r="790" spans="1:37" ht="15" x14ac:dyDescent="0.2">
      <c r="A790" s="57"/>
      <c r="B790" s="31" t="s">
        <v>2922</v>
      </c>
      <c r="C790" s="7" t="s">
        <v>41</v>
      </c>
      <c r="D790" s="7" t="s">
        <v>11045</v>
      </c>
      <c r="E790" s="44">
        <v>5</v>
      </c>
      <c r="F790" s="7"/>
      <c r="G790" s="7"/>
      <c r="H790" s="2" t="s">
        <v>11011</v>
      </c>
      <c r="I790" s="7" t="s">
        <v>11047</v>
      </c>
      <c r="J790" s="7" t="s">
        <v>4954</v>
      </c>
      <c r="K790" s="7" t="s">
        <v>120</v>
      </c>
      <c r="L790" s="7"/>
      <c r="M790" s="7"/>
      <c r="N790" s="7"/>
      <c r="O790" s="7"/>
      <c r="P790" s="7" t="s">
        <v>11019</v>
      </c>
      <c r="Q790" s="57" t="s">
        <v>280</v>
      </c>
      <c r="R790" s="48" t="s">
        <v>11020</v>
      </c>
      <c r="S790" s="48" t="s">
        <v>238</v>
      </c>
      <c r="T790" s="49" t="s">
        <v>74</v>
      </c>
      <c r="U790" s="49" t="s">
        <v>75</v>
      </c>
      <c r="V790" s="7"/>
      <c r="W790" s="44">
        <v>3.47</v>
      </c>
      <c r="X790" s="7" t="s">
        <v>253</v>
      </c>
      <c r="Y790" s="7" t="s">
        <v>2257</v>
      </c>
      <c r="Z790" s="49" t="s">
        <v>841</v>
      </c>
      <c r="AA790" s="51">
        <v>0.74370000000000003</v>
      </c>
      <c r="AB790" s="48" t="s">
        <v>11025</v>
      </c>
      <c r="AC790" s="52" t="s">
        <v>11019</v>
      </c>
      <c r="AD790" s="53" t="str">
        <f t="shared" si="648"/>
        <v>Link</v>
      </c>
      <c r="AE790" s="54">
        <v>8032</v>
      </c>
      <c r="AF790" s="55"/>
      <c r="AG790" s="7"/>
      <c r="AH790" s="56">
        <v>222831</v>
      </c>
      <c r="AI790" s="85"/>
      <c r="AJ790" s="85"/>
      <c r="AK790" s="85"/>
    </row>
    <row r="791" spans="1:37" ht="13" x14ac:dyDescent="0.15">
      <c r="A791" s="57" t="s">
        <v>7181</v>
      </c>
      <c r="B791" s="31" t="s">
        <v>2922</v>
      </c>
      <c r="C791" s="7" t="s">
        <v>41</v>
      </c>
      <c r="D791" s="7" t="s">
        <v>11050</v>
      </c>
      <c r="E791" s="44">
        <v>5</v>
      </c>
      <c r="F791" s="7"/>
      <c r="G791" s="7"/>
      <c r="H791" s="2" t="s">
        <v>11053</v>
      </c>
      <c r="I791" s="7" t="s">
        <v>11055</v>
      </c>
      <c r="J791" s="7" t="s">
        <v>2158</v>
      </c>
      <c r="K791" s="7" t="s">
        <v>48</v>
      </c>
      <c r="L791" s="7" t="s">
        <v>11058</v>
      </c>
      <c r="M791" s="7" t="s">
        <v>11059</v>
      </c>
      <c r="N791" s="45" t="str">
        <f t="shared" ref="N791:N792" si="649">HYPERLINK("twitter.com/lcusoftball","@lcusoftball")</f>
        <v>@lcusoftball</v>
      </c>
      <c r="O791" s="74" t="str">
        <f t="shared" ref="O791:O793" si="650">HYPERLINK("https://lcuchaps.com/sports/2014/7/17/Prospective%20Athlete%20Form.aspx","Questionnaire")</f>
        <v>Questionnaire</v>
      </c>
      <c r="P791" s="7" t="s">
        <v>11065</v>
      </c>
      <c r="Q791" s="57" t="s">
        <v>280</v>
      </c>
      <c r="R791" s="48" t="s">
        <v>2973</v>
      </c>
      <c r="S791" s="48" t="s">
        <v>62</v>
      </c>
      <c r="T791" s="73" t="s">
        <v>63</v>
      </c>
      <c r="U791" s="49" t="s">
        <v>686</v>
      </c>
      <c r="V791" s="7"/>
      <c r="W791" s="44">
        <v>3.46</v>
      </c>
      <c r="X791" s="7" t="s">
        <v>6282</v>
      </c>
      <c r="Y791" s="7" t="s">
        <v>1029</v>
      </c>
      <c r="Z791" s="49" t="s">
        <v>746</v>
      </c>
      <c r="AA791" s="61">
        <v>0.95</v>
      </c>
      <c r="AB791" s="71">
        <v>34184</v>
      </c>
      <c r="AC791" s="62" t="s">
        <v>11065</v>
      </c>
      <c r="AD791" s="53" t="str">
        <f t="shared" ref="AD791:AD793" si="651">HYPERLINK("https://lcu.edu/majors-programs/bachelors-degree/","Link")</f>
        <v>Link</v>
      </c>
      <c r="AE791" s="54">
        <v>1471</v>
      </c>
      <c r="AF791" s="55"/>
      <c r="AG791" s="7"/>
      <c r="AH791" s="56">
        <v>226383</v>
      </c>
      <c r="AI791" s="56"/>
      <c r="AJ791" s="56"/>
      <c r="AK791" s="56"/>
    </row>
    <row r="792" spans="1:37" ht="13" x14ac:dyDescent="0.15">
      <c r="A792" s="57" t="s">
        <v>7181</v>
      </c>
      <c r="B792" s="31" t="s">
        <v>2922</v>
      </c>
      <c r="C792" s="7" t="s">
        <v>41</v>
      </c>
      <c r="D792" s="7" t="s">
        <v>11073</v>
      </c>
      <c r="E792" s="44">
        <v>5</v>
      </c>
      <c r="F792" s="7"/>
      <c r="G792" s="7"/>
      <c r="H792" s="2" t="s">
        <v>11053</v>
      </c>
      <c r="I792" s="7" t="s">
        <v>531</v>
      </c>
      <c r="J792" s="7" t="s">
        <v>2158</v>
      </c>
      <c r="K792" s="7" t="s">
        <v>139</v>
      </c>
      <c r="L792" s="7"/>
      <c r="M792" s="7"/>
      <c r="N792" s="45" t="str">
        <f t="shared" si="649"/>
        <v>@lcusoftball</v>
      </c>
      <c r="O792" s="74" t="str">
        <f t="shared" si="650"/>
        <v>Questionnaire</v>
      </c>
      <c r="P792" s="7" t="s">
        <v>11065</v>
      </c>
      <c r="Q792" s="57" t="s">
        <v>280</v>
      </c>
      <c r="R792" s="48" t="s">
        <v>2973</v>
      </c>
      <c r="S792" s="48" t="s">
        <v>62</v>
      </c>
      <c r="T792" s="73" t="s">
        <v>63</v>
      </c>
      <c r="U792" s="49" t="s">
        <v>686</v>
      </c>
      <c r="V792" s="7"/>
      <c r="W792" s="44">
        <v>3.46</v>
      </c>
      <c r="X792" s="7" t="s">
        <v>6282</v>
      </c>
      <c r="Y792" s="7" t="s">
        <v>1029</v>
      </c>
      <c r="Z792" s="49" t="s">
        <v>746</v>
      </c>
      <c r="AA792" s="61">
        <v>0.95</v>
      </c>
      <c r="AB792" s="71">
        <v>34184</v>
      </c>
      <c r="AC792" s="62" t="s">
        <v>11065</v>
      </c>
      <c r="AD792" s="53" t="str">
        <f t="shared" si="651"/>
        <v>Link</v>
      </c>
      <c r="AE792" s="54">
        <v>1471</v>
      </c>
      <c r="AF792" s="55"/>
      <c r="AG792" s="7"/>
      <c r="AH792" s="56">
        <v>226383</v>
      </c>
      <c r="AI792" s="56"/>
      <c r="AJ792" s="56"/>
      <c r="AK792" s="56"/>
    </row>
    <row r="793" spans="1:37" ht="13" x14ac:dyDescent="0.15">
      <c r="A793" s="57" t="s">
        <v>7181</v>
      </c>
      <c r="B793" s="31" t="s">
        <v>2922</v>
      </c>
      <c r="C793" s="7" t="s">
        <v>41</v>
      </c>
      <c r="D793" s="7" t="s">
        <v>11077</v>
      </c>
      <c r="E793" s="44">
        <v>5</v>
      </c>
      <c r="F793" s="7"/>
      <c r="G793" s="7"/>
      <c r="H793" s="2" t="s">
        <v>11053</v>
      </c>
      <c r="I793" s="7" t="s">
        <v>7768</v>
      </c>
      <c r="J793" s="7" t="s">
        <v>2587</v>
      </c>
      <c r="K793" s="7" t="s">
        <v>139</v>
      </c>
      <c r="L793" s="7" t="s">
        <v>11081</v>
      </c>
      <c r="M793" s="7" t="s">
        <v>11059</v>
      </c>
      <c r="N793" s="45" t="s">
        <v>11082</v>
      </c>
      <c r="O793" s="74" t="str">
        <f t="shared" si="650"/>
        <v>Questionnaire</v>
      </c>
      <c r="P793" s="7" t="s">
        <v>11065</v>
      </c>
      <c r="Q793" s="57" t="s">
        <v>280</v>
      </c>
      <c r="R793" s="48" t="s">
        <v>2973</v>
      </c>
      <c r="S793" s="48" t="s">
        <v>62</v>
      </c>
      <c r="T793" s="73" t="s">
        <v>63</v>
      </c>
      <c r="U793" s="49" t="s">
        <v>686</v>
      </c>
      <c r="V793" s="7"/>
      <c r="W793" s="44">
        <v>3.46</v>
      </c>
      <c r="X793" s="7" t="s">
        <v>6282</v>
      </c>
      <c r="Y793" s="7" t="s">
        <v>1029</v>
      </c>
      <c r="Z793" s="49" t="s">
        <v>746</v>
      </c>
      <c r="AA793" s="61">
        <v>0.95</v>
      </c>
      <c r="AB793" s="71">
        <v>34184</v>
      </c>
      <c r="AC793" s="62" t="s">
        <v>11065</v>
      </c>
      <c r="AD793" s="53" t="str">
        <f t="shared" si="651"/>
        <v>Link</v>
      </c>
      <c r="AE793" s="54">
        <v>1471</v>
      </c>
      <c r="AF793" s="55"/>
      <c r="AG793" s="7"/>
      <c r="AH793" s="56">
        <v>226383</v>
      </c>
      <c r="AI793" s="56"/>
      <c r="AJ793" s="56"/>
      <c r="AK793" s="56"/>
    </row>
    <row r="794" spans="1:37" ht="13" x14ac:dyDescent="0.15">
      <c r="A794" s="57" t="s">
        <v>7181</v>
      </c>
      <c r="B794" s="31" t="s">
        <v>2922</v>
      </c>
      <c r="C794" s="7" t="s">
        <v>41</v>
      </c>
      <c r="D794" s="7" t="s">
        <v>11087</v>
      </c>
      <c r="E794" s="44">
        <v>5</v>
      </c>
      <c r="F794" s="7"/>
      <c r="G794" s="7"/>
      <c r="H794" s="2" t="s">
        <v>11088</v>
      </c>
      <c r="I794" s="7" t="s">
        <v>904</v>
      </c>
      <c r="J794" s="7" t="s">
        <v>11089</v>
      </c>
      <c r="K794" s="7" t="s">
        <v>48</v>
      </c>
      <c r="L794" s="7" t="s">
        <v>11091</v>
      </c>
      <c r="M794" s="7" t="s">
        <v>11092</v>
      </c>
      <c r="N794" s="7"/>
      <c r="O794" s="74" t="str">
        <f t="shared" ref="O794:O795" si="652">HYPERLINK("https://msumustangs.com/sb_output.aspx?form=3","Questionnaire")</f>
        <v>Questionnaire</v>
      </c>
      <c r="P794" s="7" t="s">
        <v>11094</v>
      </c>
      <c r="Q794" s="36" t="s">
        <v>280</v>
      </c>
      <c r="R794" s="6" t="s">
        <v>11097</v>
      </c>
      <c r="S794" s="6" t="s">
        <v>238</v>
      </c>
      <c r="T794" s="4" t="s">
        <v>74</v>
      </c>
      <c r="U794" s="4" t="s">
        <v>75</v>
      </c>
      <c r="V794" s="7"/>
      <c r="W794" s="37">
        <v>3.44</v>
      </c>
      <c r="X794" s="7" t="s">
        <v>1453</v>
      </c>
      <c r="Y794" s="7" t="s">
        <v>1145</v>
      </c>
      <c r="Z794" s="4" t="s">
        <v>449</v>
      </c>
      <c r="AA794" s="65">
        <v>0.74</v>
      </c>
      <c r="AB794" s="6" t="s">
        <v>11098</v>
      </c>
      <c r="AC794" s="76" t="s">
        <v>11094</v>
      </c>
      <c r="AD794" s="67" t="str">
        <f t="shared" ref="AD794:AD795" si="653">HYPERLINK("https://mwsu.edu/academics/undergraduate-majors-and-programs.php","Link")</f>
        <v>Link</v>
      </c>
      <c r="AE794" s="42">
        <v>5319</v>
      </c>
      <c r="AF794" s="55"/>
      <c r="AG794" s="7"/>
      <c r="AH794" s="56">
        <v>226833</v>
      </c>
      <c r="AI794" s="56"/>
      <c r="AJ794" s="56"/>
      <c r="AK794" s="56"/>
    </row>
    <row r="795" spans="1:37" ht="13" x14ac:dyDescent="0.15">
      <c r="A795" s="57" t="s">
        <v>7181</v>
      </c>
      <c r="B795" s="31" t="s">
        <v>2922</v>
      </c>
      <c r="C795" s="7" t="s">
        <v>41</v>
      </c>
      <c r="D795" s="7" t="s">
        <v>11105</v>
      </c>
      <c r="E795" s="44">
        <v>5</v>
      </c>
      <c r="F795" s="7"/>
      <c r="G795" s="7"/>
      <c r="H795" s="2" t="s">
        <v>11088</v>
      </c>
      <c r="I795" s="7" t="s">
        <v>1875</v>
      </c>
      <c r="J795" s="7" t="s">
        <v>4003</v>
      </c>
      <c r="K795" s="7" t="s">
        <v>55</v>
      </c>
      <c r="L795" s="7" t="s">
        <v>11106</v>
      </c>
      <c r="M795" s="7" t="s">
        <v>11092</v>
      </c>
      <c r="N795" s="7"/>
      <c r="O795" s="74" t="str">
        <f t="shared" si="652"/>
        <v>Questionnaire</v>
      </c>
      <c r="P795" s="7" t="s">
        <v>11094</v>
      </c>
      <c r="Q795" s="36" t="s">
        <v>280</v>
      </c>
      <c r="R795" s="6" t="s">
        <v>11097</v>
      </c>
      <c r="S795" s="6" t="s">
        <v>238</v>
      </c>
      <c r="T795" s="4" t="s">
        <v>74</v>
      </c>
      <c r="U795" s="4" t="s">
        <v>75</v>
      </c>
      <c r="V795" s="7"/>
      <c r="W795" s="37">
        <v>3.44</v>
      </c>
      <c r="X795" s="7" t="s">
        <v>1453</v>
      </c>
      <c r="Y795" s="7" t="s">
        <v>1145</v>
      </c>
      <c r="Z795" s="4" t="s">
        <v>449</v>
      </c>
      <c r="AA795" s="65">
        <v>0.74</v>
      </c>
      <c r="AB795" s="6" t="s">
        <v>11098</v>
      </c>
      <c r="AC795" s="76" t="s">
        <v>11094</v>
      </c>
      <c r="AD795" s="67" t="str">
        <f t="shared" si="653"/>
        <v>Link</v>
      </c>
      <c r="AE795" s="42">
        <v>5319</v>
      </c>
      <c r="AF795" s="55"/>
      <c r="AG795" s="7"/>
      <c r="AH795" s="56">
        <v>226833</v>
      </c>
      <c r="AI795" s="56"/>
      <c r="AJ795" s="56"/>
      <c r="AK795" s="56"/>
    </row>
    <row r="796" spans="1:37" ht="15" x14ac:dyDescent="0.2">
      <c r="A796" s="57" t="s">
        <v>7181</v>
      </c>
      <c r="B796" s="31" t="s">
        <v>2922</v>
      </c>
      <c r="C796" s="7" t="s">
        <v>41</v>
      </c>
      <c r="D796" s="7" t="s">
        <v>11112</v>
      </c>
      <c r="E796" s="44">
        <v>5</v>
      </c>
      <c r="F796" s="7"/>
      <c r="G796" s="7"/>
      <c r="H796" s="2" t="s">
        <v>11113</v>
      </c>
      <c r="I796" s="7" t="s">
        <v>2580</v>
      </c>
      <c r="J796" s="7" t="s">
        <v>11114</v>
      </c>
      <c r="K796" s="7" t="s">
        <v>48</v>
      </c>
      <c r="L796" s="7" t="s">
        <v>11116</v>
      </c>
      <c r="M796" s="7" t="s">
        <v>11117</v>
      </c>
      <c r="N796" s="45" t="str">
        <f t="shared" ref="N796:N797" si="654">HYPERLINK("twitter.com/seusoftball","@seusoftball")</f>
        <v>@seusoftball</v>
      </c>
      <c r="O796" s="74" t="str">
        <f t="shared" ref="O796:O797" si="655">HYPERLINK("https://gohilltoppers.com/sports/2016/9/27/seu-softball-recruit-questionnaire.aspx","Questionnaire")</f>
        <v>Questionnaire</v>
      </c>
      <c r="P796" s="7" t="s">
        <v>11121</v>
      </c>
      <c r="Q796" s="57" t="s">
        <v>280</v>
      </c>
      <c r="R796" s="48" t="s">
        <v>2924</v>
      </c>
      <c r="S796" s="48" t="s">
        <v>354</v>
      </c>
      <c r="T796" s="49" t="s">
        <v>63</v>
      </c>
      <c r="U796" s="49" t="s">
        <v>343</v>
      </c>
      <c r="V796" s="7"/>
      <c r="W796" s="44">
        <v>3.47</v>
      </c>
      <c r="X796" s="7" t="s">
        <v>291</v>
      </c>
      <c r="Y796" s="7" t="s">
        <v>345</v>
      </c>
      <c r="Z796" s="49" t="s">
        <v>320</v>
      </c>
      <c r="AA796" s="80">
        <v>0.74</v>
      </c>
      <c r="AB796" s="71">
        <v>55800</v>
      </c>
      <c r="AC796" s="62" t="s">
        <v>11121</v>
      </c>
      <c r="AD796" s="53" t="str">
        <f t="shared" ref="AD796:AD797" si="656">HYPERLINK("https://www.stedwards.edu/undergraduate/majors-minors","Link")</f>
        <v>Link</v>
      </c>
      <c r="AE796" s="54">
        <v>4056</v>
      </c>
      <c r="AF796" s="55"/>
      <c r="AG796" s="7"/>
      <c r="AH796" s="56">
        <v>227845</v>
      </c>
      <c r="AI796" s="56"/>
      <c r="AJ796" s="56"/>
      <c r="AK796" s="56"/>
    </row>
    <row r="797" spans="1:37" ht="15" x14ac:dyDescent="0.2">
      <c r="A797" s="57" t="s">
        <v>7181</v>
      </c>
      <c r="B797" s="31" t="s">
        <v>2922</v>
      </c>
      <c r="C797" s="7" t="s">
        <v>41</v>
      </c>
      <c r="D797" s="7" t="s">
        <v>11128</v>
      </c>
      <c r="E797" s="44">
        <v>5</v>
      </c>
      <c r="F797" s="7"/>
      <c r="G797" s="7"/>
      <c r="H797" s="2" t="s">
        <v>11113</v>
      </c>
      <c r="I797" s="7" t="s">
        <v>3966</v>
      </c>
      <c r="J797" s="7" t="s">
        <v>11131</v>
      </c>
      <c r="K797" s="7" t="s">
        <v>55</v>
      </c>
      <c r="L797" s="7" t="s">
        <v>11132</v>
      </c>
      <c r="M797" s="7" t="s">
        <v>11133</v>
      </c>
      <c r="N797" s="45" t="str">
        <f t="shared" si="654"/>
        <v>@seusoftball</v>
      </c>
      <c r="O797" s="74" t="str">
        <f t="shared" si="655"/>
        <v>Questionnaire</v>
      </c>
      <c r="P797" s="7" t="s">
        <v>11121</v>
      </c>
      <c r="Q797" s="57" t="s">
        <v>280</v>
      </c>
      <c r="R797" s="48" t="s">
        <v>2924</v>
      </c>
      <c r="S797" s="48" t="s">
        <v>354</v>
      </c>
      <c r="T797" s="49" t="s">
        <v>63</v>
      </c>
      <c r="U797" s="49" t="s">
        <v>343</v>
      </c>
      <c r="V797" s="7"/>
      <c r="W797" s="44">
        <v>3.47</v>
      </c>
      <c r="X797" s="7" t="s">
        <v>291</v>
      </c>
      <c r="Y797" s="7" t="s">
        <v>345</v>
      </c>
      <c r="Z797" s="49" t="s">
        <v>320</v>
      </c>
      <c r="AA797" s="80">
        <v>0.74</v>
      </c>
      <c r="AB797" s="71">
        <v>55800</v>
      </c>
      <c r="AC797" s="62" t="s">
        <v>11121</v>
      </c>
      <c r="AD797" s="53" t="str">
        <f t="shared" si="656"/>
        <v>Link</v>
      </c>
      <c r="AE797" s="54">
        <v>4056</v>
      </c>
      <c r="AF797" s="55"/>
      <c r="AG797" s="7"/>
      <c r="AH797" s="56">
        <v>227845</v>
      </c>
      <c r="AI797" s="56"/>
      <c r="AJ797" s="56"/>
      <c r="AK797" s="56"/>
    </row>
    <row r="798" spans="1:37" ht="15" x14ac:dyDescent="0.2">
      <c r="A798" s="57" t="s">
        <v>7181</v>
      </c>
      <c r="B798" s="31" t="s">
        <v>2922</v>
      </c>
      <c r="C798" s="7" t="s">
        <v>41</v>
      </c>
      <c r="D798" s="7" t="s">
        <v>11139</v>
      </c>
      <c r="E798" s="44">
        <v>5</v>
      </c>
      <c r="F798" s="7"/>
      <c r="G798" s="7"/>
      <c r="H798" s="2" t="s">
        <v>11140</v>
      </c>
      <c r="I798" s="7" t="s">
        <v>819</v>
      </c>
      <c r="J798" s="7" t="s">
        <v>11141</v>
      </c>
      <c r="K798" s="7" t="s">
        <v>48</v>
      </c>
      <c r="L798" s="7" t="s">
        <v>11143</v>
      </c>
      <c r="M798" s="7" t="s">
        <v>11144</v>
      </c>
      <c r="N798" s="45" t="str">
        <f t="shared" ref="N798:N802" si="657">HYPERLINK("twitter.com/stmusoftball","@stmusoftball")</f>
        <v>@stmusoftball</v>
      </c>
      <c r="O798" s="74" t="str">
        <f t="shared" ref="O798:O802" si="658">HYPERLINK("https://rattlerathletics.com/sb_output.aspx?form=5","Questionnaire")</f>
        <v>Questionnaire</v>
      </c>
      <c r="P798" s="7" t="s">
        <v>11150</v>
      </c>
      <c r="Q798" s="57" t="s">
        <v>280</v>
      </c>
      <c r="R798" s="48" t="s">
        <v>6568</v>
      </c>
      <c r="S798" s="48" t="s">
        <v>288</v>
      </c>
      <c r="T798" s="49" t="s">
        <v>63</v>
      </c>
      <c r="U798" s="49" t="s">
        <v>343</v>
      </c>
      <c r="V798" s="7"/>
      <c r="W798" s="44">
        <v>3.44</v>
      </c>
      <c r="X798" s="7" t="s">
        <v>1453</v>
      </c>
      <c r="Y798" s="7" t="s">
        <v>1144</v>
      </c>
      <c r="Z798" s="49" t="s">
        <v>125</v>
      </c>
      <c r="AA798" s="61">
        <v>0.49</v>
      </c>
      <c r="AB798" s="71">
        <v>39043</v>
      </c>
      <c r="AC798" s="52" t="s">
        <v>11150</v>
      </c>
      <c r="AD798" s="53" t="str">
        <f t="shared" ref="AD798:AD802" si="659">HYPERLINK("https://www.stmarytx.edu/academics/programs/","Link")</f>
        <v>Link</v>
      </c>
      <c r="AE798" s="54">
        <v>1810</v>
      </c>
      <c r="AF798" s="55"/>
      <c r="AG798" s="7"/>
      <c r="AH798" s="56">
        <v>228149</v>
      </c>
      <c r="AI798" s="56"/>
      <c r="AJ798" s="56"/>
      <c r="AK798" s="56"/>
    </row>
    <row r="799" spans="1:37" ht="15" x14ac:dyDescent="0.2">
      <c r="A799" s="57" t="s">
        <v>7181</v>
      </c>
      <c r="B799" s="31" t="s">
        <v>2922</v>
      </c>
      <c r="C799" s="7" t="s">
        <v>41</v>
      </c>
      <c r="D799" s="7" t="s">
        <v>11158</v>
      </c>
      <c r="E799" s="44">
        <v>5</v>
      </c>
      <c r="F799" s="7"/>
      <c r="G799" s="7"/>
      <c r="H799" s="2" t="s">
        <v>11140</v>
      </c>
      <c r="I799" s="7" t="s">
        <v>10136</v>
      </c>
      <c r="J799" s="7" t="s">
        <v>11159</v>
      </c>
      <c r="K799" s="7" t="s">
        <v>55</v>
      </c>
      <c r="L799" s="7" t="s">
        <v>11160</v>
      </c>
      <c r="M799" s="7" t="s">
        <v>11161</v>
      </c>
      <c r="N799" s="45" t="str">
        <f t="shared" si="657"/>
        <v>@stmusoftball</v>
      </c>
      <c r="O799" s="74" t="str">
        <f t="shared" si="658"/>
        <v>Questionnaire</v>
      </c>
      <c r="P799" s="7" t="s">
        <v>11150</v>
      </c>
      <c r="Q799" s="57" t="s">
        <v>280</v>
      </c>
      <c r="R799" s="48" t="s">
        <v>6568</v>
      </c>
      <c r="S799" s="48" t="s">
        <v>288</v>
      </c>
      <c r="T799" s="49" t="s">
        <v>63</v>
      </c>
      <c r="U799" s="49" t="s">
        <v>343</v>
      </c>
      <c r="V799" s="7"/>
      <c r="W799" s="44">
        <v>3.44</v>
      </c>
      <c r="X799" s="7" t="s">
        <v>1453</v>
      </c>
      <c r="Y799" s="7" t="s">
        <v>1144</v>
      </c>
      <c r="Z799" s="49" t="s">
        <v>125</v>
      </c>
      <c r="AA799" s="61">
        <v>0.49</v>
      </c>
      <c r="AB799" s="71">
        <v>39043</v>
      </c>
      <c r="AC799" s="52" t="s">
        <v>11150</v>
      </c>
      <c r="AD799" s="53" t="str">
        <f t="shared" si="659"/>
        <v>Link</v>
      </c>
      <c r="AE799" s="54">
        <v>1810</v>
      </c>
      <c r="AF799" s="55"/>
      <c r="AG799" s="7"/>
      <c r="AH799" s="56">
        <v>228149</v>
      </c>
      <c r="AI799" s="56"/>
      <c r="AJ799" s="56"/>
      <c r="AK799" s="56"/>
    </row>
    <row r="800" spans="1:37" ht="15" x14ac:dyDescent="0.2">
      <c r="A800" s="57" t="s">
        <v>7181</v>
      </c>
      <c r="B800" s="31" t="s">
        <v>2922</v>
      </c>
      <c r="C800" s="7" t="s">
        <v>41</v>
      </c>
      <c r="D800" s="7" t="s">
        <v>11169</v>
      </c>
      <c r="E800" s="44">
        <v>5</v>
      </c>
      <c r="F800" s="7"/>
      <c r="G800" s="7"/>
      <c r="H800" s="2" t="s">
        <v>11140</v>
      </c>
      <c r="I800" s="7" t="s">
        <v>11171</v>
      </c>
      <c r="J800" s="7" t="s">
        <v>11173</v>
      </c>
      <c r="K800" s="7" t="s">
        <v>139</v>
      </c>
      <c r="L800" s="7" t="s">
        <v>11174</v>
      </c>
      <c r="M800" s="7"/>
      <c r="N800" s="45" t="str">
        <f t="shared" si="657"/>
        <v>@stmusoftball</v>
      </c>
      <c r="O800" s="74" t="str">
        <f t="shared" si="658"/>
        <v>Questionnaire</v>
      </c>
      <c r="P800" s="7" t="s">
        <v>11150</v>
      </c>
      <c r="Q800" s="57" t="s">
        <v>280</v>
      </c>
      <c r="R800" s="48" t="s">
        <v>6568</v>
      </c>
      <c r="S800" s="48" t="s">
        <v>288</v>
      </c>
      <c r="T800" s="49" t="s">
        <v>63</v>
      </c>
      <c r="U800" s="49" t="s">
        <v>343</v>
      </c>
      <c r="V800" s="7"/>
      <c r="W800" s="44">
        <v>3.44</v>
      </c>
      <c r="X800" s="7" t="s">
        <v>1453</v>
      </c>
      <c r="Y800" s="7" t="s">
        <v>1144</v>
      </c>
      <c r="Z800" s="49" t="s">
        <v>125</v>
      </c>
      <c r="AA800" s="61">
        <v>0.49</v>
      </c>
      <c r="AB800" s="71">
        <v>39043</v>
      </c>
      <c r="AC800" s="52" t="s">
        <v>11150</v>
      </c>
      <c r="AD800" s="53" t="str">
        <f t="shared" si="659"/>
        <v>Link</v>
      </c>
      <c r="AE800" s="54">
        <v>1810</v>
      </c>
      <c r="AF800" s="55"/>
      <c r="AG800" s="7"/>
      <c r="AH800" s="56">
        <v>228149</v>
      </c>
      <c r="AI800" s="56"/>
      <c r="AJ800" s="56"/>
      <c r="AK800" s="56"/>
    </row>
    <row r="801" spans="1:37" ht="15" x14ac:dyDescent="0.2">
      <c r="A801" s="57" t="s">
        <v>7181</v>
      </c>
      <c r="B801" s="31" t="s">
        <v>2922</v>
      </c>
      <c r="C801" s="7" t="s">
        <v>41</v>
      </c>
      <c r="D801" s="7" t="s">
        <v>11176</v>
      </c>
      <c r="E801" s="44">
        <v>5</v>
      </c>
      <c r="F801" s="7"/>
      <c r="G801" s="7" t="s">
        <v>126</v>
      </c>
      <c r="H801" s="2" t="s">
        <v>11140</v>
      </c>
      <c r="I801" s="7" t="s">
        <v>11178</v>
      </c>
      <c r="J801" s="7"/>
      <c r="K801" s="7"/>
      <c r="L801" s="7"/>
      <c r="M801" s="7"/>
      <c r="N801" s="45" t="str">
        <f t="shared" si="657"/>
        <v>@stmusoftball</v>
      </c>
      <c r="O801" s="74" t="str">
        <f t="shared" si="658"/>
        <v>Questionnaire</v>
      </c>
      <c r="P801" s="7" t="s">
        <v>11150</v>
      </c>
      <c r="Q801" s="57" t="s">
        <v>280</v>
      </c>
      <c r="R801" s="48" t="s">
        <v>6568</v>
      </c>
      <c r="S801" s="48" t="s">
        <v>288</v>
      </c>
      <c r="T801" s="49" t="s">
        <v>63</v>
      </c>
      <c r="U801" s="49" t="s">
        <v>343</v>
      </c>
      <c r="V801" s="7"/>
      <c r="W801" s="44">
        <v>3.44</v>
      </c>
      <c r="X801" s="7" t="s">
        <v>1453</v>
      </c>
      <c r="Y801" s="7" t="s">
        <v>1144</v>
      </c>
      <c r="Z801" s="49" t="s">
        <v>125</v>
      </c>
      <c r="AA801" s="61">
        <v>0.49</v>
      </c>
      <c r="AB801" s="71">
        <v>39043</v>
      </c>
      <c r="AC801" s="52" t="s">
        <v>11150</v>
      </c>
      <c r="AD801" s="53" t="str">
        <f t="shared" si="659"/>
        <v>Link</v>
      </c>
      <c r="AE801" s="54">
        <v>1810</v>
      </c>
      <c r="AF801" s="55"/>
      <c r="AG801" s="7"/>
      <c r="AH801" s="56">
        <v>228149</v>
      </c>
      <c r="AI801" s="56"/>
      <c r="AJ801" s="56"/>
      <c r="AK801" s="56"/>
    </row>
    <row r="802" spans="1:37" ht="15" x14ac:dyDescent="0.2">
      <c r="A802" s="57" t="s">
        <v>7181</v>
      </c>
      <c r="B802" s="31" t="s">
        <v>2922</v>
      </c>
      <c r="C802" s="7" t="s">
        <v>41</v>
      </c>
      <c r="D802" s="7" t="s">
        <v>11185</v>
      </c>
      <c r="E802" s="44">
        <v>5</v>
      </c>
      <c r="F802" s="7" t="s">
        <v>116</v>
      </c>
      <c r="G802" s="7"/>
      <c r="H802" s="2" t="s">
        <v>11140</v>
      </c>
      <c r="I802" s="7" t="s">
        <v>811</v>
      </c>
      <c r="J802" s="7" t="s">
        <v>11187</v>
      </c>
      <c r="K802" s="7" t="s">
        <v>139</v>
      </c>
      <c r="L802" s="7" t="s">
        <v>11188</v>
      </c>
      <c r="M802" s="7"/>
      <c r="N802" s="45" t="str">
        <f t="shared" si="657"/>
        <v>@stmusoftball</v>
      </c>
      <c r="O802" s="74" t="str">
        <f t="shared" si="658"/>
        <v>Questionnaire</v>
      </c>
      <c r="P802" s="7" t="s">
        <v>11150</v>
      </c>
      <c r="Q802" s="57" t="s">
        <v>280</v>
      </c>
      <c r="R802" s="48" t="s">
        <v>6568</v>
      </c>
      <c r="S802" s="48" t="s">
        <v>288</v>
      </c>
      <c r="T802" s="49" t="s">
        <v>63</v>
      </c>
      <c r="U802" s="49" t="s">
        <v>343</v>
      </c>
      <c r="V802" s="7"/>
      <c r="W802" s="44">
        <v>3.44</v>
      </c>
      <c r="X802" s="7" t="s">
        <v>1453</v>
      </c>
      <c r="Y802" s="7" t="s">
        <v>1144</v>
      </c>
      <c r="Z802" s="49" t="s">
        <v>125</v>
      </c>
      <c r="AA802" s="61">
        <v>0.49</v>
      </c>
      <c r="AB802" s="71">
        <v>39043</v>
      </c>
      <c r="AC802" s="52" t="s">
        <v>11150</v>
      </c>
      <c r="AD802" s="53" t="str">
        <f t="shared" si="659"/>
        <v>Link</v>
      </c>
      <c r="AE802" s="54">
        <v>1810</v>
      </c>
      <c r="AF802" s="55"/>
      <c r="AG802" s="7"/>
      <c r="AH802" s="56">
        <v>228149</v>
      </c>
      <c r="AI802" s="56"/>
      <c r="AJ802" s="56"/>
      <c r="AK802" s="56"/>
    </row>
    <row r="803" spans="1:37" ht="13" x14ac:dyDescent="0.15">
      <c r="A803" s="57" t="s">
        <v>7181</v>
      </c>
      <c r="B803" s="31" t="s">
        <v>2922</v>
      </c>
      <c r="C803" s="7" t="s">
        <v>41</v>
      </c>
      <c r="D803" s="7" t="s">
        <v>11197</v>
      </c>
      <c r="E803" s="44">
        <v>5</v>
      </c>
      <c r="F803" s="7"/>
      <c r="G803" s="7"/>
      <c r="H803" s="2" t="s">
        <v>11198</v>
      </c>
      <c r="I803" s="7" t="s">
        <v>904</v>
      </c>
      <c r="J803" s="7" t="s">
        <v>11199</v>
      </c>
      <c r="K803" s="7" t="s">
        <v>48</v>
      </c>
      <c r="L803" s="7" t="s">
        <v>11200</v>
      </c>
      <c r="M803" s="7" t="s">
        <v>11201</v>
      </c>
      <c r="N803" s="45" t="str">
        <f>HYPERLINK("twitter.com/@cump_mark","@cump_mark")</f>
        <v>@cump_mark</v>
      </c>
      <c r="O803" s="74" t="str">
        <f t="shared" ref="O803:O805" si="660">HYPERLINK("https://tarletonsports.com/sports/2013/9/16/GEN_0916132205.aspx","Questionnaire")</f>
        <v>Questionnaire</v>
      </c>
      <c r="P803" s="7" t="s">
        <v>11206</v>
      </c>
      <c r="Q803" s="57" t="s">
        <v>280</v>
      </c>
      <c r="R803" s="48" t="s">
        <v>11207</v>
      </c>
      <c r="S803" s="48" t="s">
        <v>172</v>
      </c>
      <c r="T803" s="73" t="s">
        <v>74</v>
      </c>
      <c r="U803" s="49" t="s">
        <v>75</v>
      </c>
      <c r="V803" s="7"/>
      <c r="W803" s="44">
        <v>3.14</v>
      </c>
      <c r="X803" s="7" t="s">
        <v>1785</v>
      </c>
      <c r="Y803" s="7" t="s">
        <v>253</v>
      </c>
      <c r="Z803" s="49" t="s">
        <v>449</v>
      </c>
      <c r="AA803" s="61">
        <v>0.5</v>
      </c>
      <c r="AB803" s="48" t="s">
        <v>11208</v>
      </c>
      <c r="AC803" s="62" t="s">
        <v>11206</v>
      </c>
      <c r="AD803" s="53" t="str">
        <f t="shared" ref="AD803:AD805" si="661">HYPERLINK("https://www.tarleton.edu/degrees/index.html","Link")</f>
        <v>Link</v>
      </c>
      <c r="AE803" s="54">
        <v>11463</v>
      </c>
      <c r="AF803" s="55"/>
      <c r="AG803" s="7"/>
      <c r="AH803" s="56">
        <v>228529</v>
      </c>
      <c r="AI803" s="56"/>
      <c r="AJ803" s="56"/>
      <c r="AK803" s="56"/>
    </row>
    <row r="804" spans="1:37" ht="13" x14ac:dyDescent="0.15">
      <c r="A804" s="57" t="s">
        <v>7181</v>
      </c>
      <c r="B804" s="31" t="s">
        <v>2922</v>
      </c>
      <c r="C804" s="7" t="s">
        <v>41</v>
      </c>
      <c r="D804" s="7" t="s">
        <v>11212</v>
      </c>
      <c r="E804" s="44">
        <v>5</v>
      </c>
      <c r="F804" s="7"/>
      <c r="G804" s="7"/>
      <c r="H804" s="2" t="s">
        <v>11198</v>
      </c>
      <c r="I804" s="7" t="s">
        <v>11214</v>
      </c>
      <c r="J804" s="7" t="s">
        <v>8372</v>
      </c>
      <c r="K804" s="7" t="s">
        <v>55</v>
      </c>
      <c r="L804" s="7" t="s">
        <v>11217</v>
      </c>
      <c r="M804" s="7" t="s">
        <v>11218</v>
      </c>
      <c r="N804" s="45" t="str">
        <f t="shared" ref="N804:N805" si="662">HYPERLINK("twitter.com/@tarleton_sb","@tarleton_sb")</f>
        <v>@tarleton_sb</v>
      </c>
      <c r="O804" s="74" t="str">
        <f t="shared" si="660"/>
        <v>Questionnaire</v>
      </c>
      <c r="P804" s="7" t="s">
        <v>11206</v>
      </c>
      <c r="Q804" s="57" t="s">
        <v>280</v>
      </c>
      <c r="R804" s="48" t="s">
        <v>11207</v>
      </c>
      <c r="S804" s="48" t="s">
        <v>172</v>
      </c>
      <c r="T804" s="73" t="s">
        <v>74</v>
      </c>
      <c r="U804" s="49" t="s">
        <v>75</v>
      </c>
      <c r="V804" s="7"/>
      <c r="W804" s="44">
        <v>3.14</v>
      </c>
      <c r="X804" s="7" t="s">
        <v>1785</v>
      </c>
      <c r="Y804" s="7" t="s">
        <v>253</v>
      </c>
      <c r="Z804" s="49" t="s">
        <v>449</v>
      </c>
      <c r="AA804" s="61">
        <v>0.5</v>
      </c>
      <c r="AB804" s="48" t="s">
        <v>11208</v>
      </c>
      <c r="AC804" s="62" t="s">
        <v>11206</v>
      </c>
      <c r="AD804" s="53" t="str">
        <f t="shared" si="661"/>
        <v>Link</v>
      </c>
      <c r="AE804" s="54">
        <v>11463</v>
      </c>
      <c r="AF804" s="55"/>
      <c r="AG804" s="7"/>
      <c r="AH804" s="56">
        <v>228529</v>
      </c>
      <c r="AI804" s="56"/>
      <c r="AJ804" s="56"/>
      <c r="AK804" s="56"/>
    </row>
    <row r="805" spans="1:37" ht="13" x14ac:dyDescent="0.15">
      <c r="A805" s="57" t="s">
        <v>7181</v>
      </c>
      <c r="B805" s="31" t="s">
        <v>2922</v>
      </c>
      <c r="C805" s="7" t="s">
        <v>41</v>
      </c>
      <c r="D805" s="7" t="s">
        <v>11226</v>
      </c>
      <c r="E805" s="44">
        <v>5</v>
      </c>
      <c r="F805" s="7"/>
      <c r="G805" s="7"/>
      <c r="H805" s="2" t="s">
        <v>11198</v>
      </c>
      <c r="I805" s="7" t="s">
        <v>11227</v>
      </c>
      <c r="J805" s="7" t="s">
        <v>7256</v>
      </c>
      <c r="K805" s="7" t="s">
        <v>120</v>
      </c>
      <c r="L805" s="7" t="s">
        <v>11228</v>
      </c>
      <c r="M805" s="7" t="s">
        <v>11218</v>
      </c>
      <c r="N805" s="45" t="str">
        <f t="shared" si="662"/>
        <v>@tarleton_sb</v>
      </c>
      <c r="O805" s="74" t="str">
        <f t="shared" si="660"/>
        <v>Questionnaire</v>
      </c>
      <c r="P805" s="7" t="s">
        <v>11206</v>
      </c>
      <c r="Q805" s="57" t="s">
        <v>280</v>
      </c>
      <c r="R805" s="48" t="s">
        <v>11207</v>
      </c>
      <c r="S805" s="48" t="s">
        <v>172</v>
      </c>
      <c r="T805" s="73" t="s">
        <v>74</v>
      </c>
      <c r="U805" s="49" t="s">
        <v>75</v>
      </c>
      <c r="V805" s="7"/>
      <c r="W805" s="44">
        <v>3.14</v>
      </c>
      <c r="X805" s="7" t="s">
        <v>1785</v>
      </c>
      <c r="Y805" s="7" t="s">
        <v>253</v>
      </c>
      <c r="Z805" s="49" t="s">
        <v>449</v>
      </c>
      <c r="AA805" s="61">
        <v>0.5</v>
      </c>
      <c r="AB805" s="48" t="s">
        <v>11208</v>
      </c>
      <c r="AC805" s="62" t="s">
        <v>11206</v>
      </c>
      <c r="AD805" s="53" t="str">
        <f t="shared" si="661"/>
        <v>Link</v>
      </c>
      <c r="AE805" s="54">
        <v>11463</v>
      </c>
      <c r="AF805" s="55"/>
      <c r="AG805" s="7"/>
      <c r="AH805" s="56">
        <v>228529</v>
      </c>
      <c r="AI805" s="56"/>
      <c r="AJ805" s="56"/>
      <c r="AK805" s="56"/>
    </row>
    <row r="806" spans="1:37" ht="13" x14ac:dyDescent="0.15">
      <c r="A806" s="57" t="s">
        <v>7181</v>
      </c>
      <c r="B806" s="31" t="s">
        <v>2922</v>
      </c>
      <c r="C806" s="7" t="s">
        <v>41</v>
      </c>
      <c r="D806" s="7" t="s">
        <v>11231</v>
      </c>
      <c r="E806" s="44">
        <v>5</v>
      </c>
      <c r="F806" s="7"/>
      <c r="G806" s="7"/>
      <c r="H806" s="2" t="s">
        <v>11234</v>
      </c>
      <c r="I806" s="7" t="s">
        <v>11236</v>
      </c>
      <c r="J806" s="7" t="s">
        <v>11237</v>
      </c>
      <c r="K806" s="7" t="s">
        <v>48</v>
      </c>
      <c r="L806" s="7" t="s">
        <v>11238</v>
      </c>
      <c r="M806" s="7" t="s">
        <v>11239</v>
      </c>
      <c r="N806" s="45" t="str">
        <f>HYPERLINK("twitter.com/@CoachBruister","@CoachBruister")</f>
        <v>@CoachBruister</v>
      </c>
      <c r="O806" s="74" t="str">
        <f t="shared" ref="O806:O808" si="663">HYPERLINK("https://lionathletics.com/sb_output.aspx?form=3","Questionnaire")</f>
        <v>Questionnaire</v>
      </c>
      <c r="P806" s="7" t="s">
        <v>11244</v>
      </c>
      <c r="Q806" s="36" t="s">
        <v>280</v>
      </c>
      <c r="R806" s="6" t="s">
        <v>11245</v>
      </c>
      <c r="S806" s="60" t="s">
        <v>205</v>
      </c>
      <c r="T806" s="4" t="s">
        <v>74</v>
      </c>
      <c r="U806" s="4" t="s">
        <v>75</v>
      </c>
      <c r="V806" s="7"/>
      <c r="W806" s="37">
        <v>3.32</v>
      </c>
      <c r="X806" s="7" t="s">
        <v>1453</v>
      </c>
      <c r="Y806" s="7" t="s">
        <v>1145</v>
      </c>
      <c r="Z806" s="4" t="s">
        <v>449</v>
      </c>
      <c r="AA806" s="65">
        <v>0.46</v>
      </c>
      <c r="AB806" s="6" t="s">
        <v>11246</v>
      </c>
      <c r="AC806" s="66" t="s">
        <v>11244</v>
      </c>
      <c r="AD806" s="67" t="str">
        <f t="shared" ref="AD806:AD808" si="664">HYPERLINK("http://www.tamuc.edu/academics/colleges/educationHumanServices/majors.aspx","Link")</f>
        <v>Link</v>
      </c>
      <c r="AE806" s="42">
        <v>8318</v>
      </c>
      <c r="AF806" s="55"/>
      <c r="AG806" s="7"/>
      <c r="AH806" s="56">
        <v>224554</v>
      </c>
      <c r="AI806" s="56"/>
      <c r="AJ806" s="56"/>
      <c r="AK806" s="56"/>
    </row>
    <row r="807" spans="1:37" ht="13" x14ac:dyDescent="0.15">
      <c r="A807" s="57" t="s">
        <v>7181</v>
      </c>
      <c r="B807" s="31" t="s">
        <v>2922</v>
      </c>
      <c r="C807" s="7" t="s">
        <v>41</v>
      </c>
      <c r="D807" s="7" t="s">
        <v>11248</v>
      </c>
      <c r="E807" s="44">
        <v>5</v>
      </c>
      <c r="F807" s="7"/>
      <c r="G807" s="7"/>
      <c r="H807" s="2" t="s">
        <v>11234</v>
      </c>
      <c r="I807" s="7" t="s">
        <v>11249</v>
      </c>
      <c r="J807" s="7" t="s">
        <v>11250</v>
      </c>
      <c r="K807" s="7" t="s">
        <v>55</v>
      </c>
      <c r="L807" s="7" t="s">
        <v>11251</v>
      </c>
      <c r="M807" s="7" t="s">
        <v>11252</v>
      </c>
      <c r="N807" s="45" t="str">
        <f>HYPERLINK("twitter.com/@Coach_McNutt","@Coach_McNutt")</f>
        <v>@Coach_McNutt</v>
      </c>
      <c r="O807" s="74" t="str">
        <f t="shared" si="663"/>
        <v>Questionnaire</v>
      </c>
      <c r="P807" s="7" t="s">
        <v>11244</v>
      </c>
      <c r="Q807" s="36" t="s">
        <v>280</v>
      </c>
      <c r="R807" s="6" t="s">
        <v>11245</v>
      </c>
      <c r="S807" s="60" t="s">
        <v>205</v>
      </c>
      <c r="T807" s="4" t="s">
        <v>74</v>
      </c>
      <c r="U807" s="4" t="s">
        <v>75</v>
      </c>
      <c r="V807" s="7"/>
      <c r="W807" s="37">
        <v>3.32</v>
      </c>
      <c r="X807" s="7" t="s">
        <v>1453</v>
      </c>
      <c r="Y807" s="7" t="s">
        <v>1145</v>
      </c>
      <c r="Z807" s="4" t="s">
        <v>449</v>
      </c>
      <c r="AA807" s="65">
        <v>0.46</v>
      </c>
      <c r="AB807" s="6" t="s">
        <v>11246</v>
      </c>
      <c r="AC807" s="66" t="s">
        <v>11244</v>
      </c>
      <c r="AD807" s="67" t="str">
        <f t="shared" si="664"/>
        <v>Link</v>
      </c>
      <c r="AE807" s="42">
        <v>8318</v>
      </c>
      <c r="AF807" s="55"/>
      <c r="AG807" s="7"/>
      <c r="AH807" s="56">
        <v>224554</v>
      </c>
      <c r="AI807" s="56"/>
      <c r="AJ807" s="56"/>
      <c r="AK807" s="56"/>
    </row>
    <row r="808" spans="1:37" ht="13" x14ac:dyDescent="0.15">
      <c r="A808" s="57" t="s">
        <v>7181</v>
      </c>
      <c r="B808" s="31" t="s">
        <v>2922</v>
      </c>
      <c r="C808" s="7" t="s">
        <v>41</v>
      </c>
      <c r="D808" s="7" t="s">
        <v>11266</v>
      </c>
      <c r="E808" s="44">
        <v>5</v>
      </c>
      <c r="F808" s="7"/>
      <c r="G808" s="7"/>
      <c r="H808" s="2" t="s">
        <v>11234</v>
      </c>
      <c r="I808" s="7" t="s">
        <v>11270</v>
      </c>
      <c r="J808" s="7" t="s">
        <v>5995</v>
      </c>
      <c r="K808" s="7" t="s">
        <v>120</v>
      </c>
      <c r="L808" s="7"/>
      <c r="M808" s="7"/>
      <c r="N808" s="7"/>
      <c r="O808" s="74" t="str">
        <f t="shared" si="663"/>
        <v>Questionnaire</v>
      </c>
      <c r="P808" s="7" t="s">
        <v>11244</v>
      </c>
      <c r="Q808" s="36" t="s">
        <v>280</v>
      </c>
      <c r="R808" s="6" t="s">
        <v>11245</v>
      </c>
      <c r="S808" s="60" t="s">
        <v>205</v>
      </c>
      <c r="T808" s="4" t="s">
        <v>74</v>
      </c>
      <c r="U808" s="4" t="s">
        <v>75</v>
      </c>
      <c r="V808" s="7"/>
      <c r="W808" s="37">
        <v>3.32</v>
      </c>
      <c r="X808" s="7" t="s">
        <v>1453</v>
      </c>
      <c r="Y808" s="7" t="s">
        <v>1145</v>
      </c>
      <c r="Z808" s="4" t="s">
        <v>449</v>
      </c>
      <c r="AA808" s="65">
        <v>0.46</v>
      </c>
      <c r="AB808" s="6" t="s">
        <v>11246</v>
      </c>
      <c r="AC808" s="66" t="s">
        <v>11244</v>
      </c>
      <c r="AD808" s="67" t="str">
        <f t="shared" si="664"/>
        <v>Link</v>
      </c>
      <c r="AE808" s="42">
        <v>8318</v>
      </c>
      <c r="AF808" s="55"/>
      <c r="AG808" s="7"/>
      <c r="AH808" s="56">
        <v>224554</v>
      </c>
      <c r="AI808" s="56"/>
      <c r="AJ808" s="56"/>
      <c r="AK808" s="56"/>
    </row>
    <row r="809" spans="1:37" ht="13" x14ac:dyDescent="0.15">
      <c r="A809" s="57" t="s">
        <v>7181</v>
      </c>
      <c r="B809" s="31" t="s">
        <v>2922</v>
      </c>
      <c r="C809" s="7" t="s">
        <v>41</v>
      </c>
      <c r="D809" s="7" t="s">
        <v>11274</v>
      </c>
      <c r="E809" s="44">
        <v>5</v>
      </c>
      <c r="F809" s="7"/>
      <c r="G809" s="7"/>
      <c r="H809" s="2" t="s">
        <v>11276</v>
      </c>
      <c r="I809" s="7" t="s">
        <v>2031</v>
      </c>
      <c r="J809" s="7" t="s">
        <v>5820</v>
      </c>
      <c r="K809" s="7" t="s">
        <v>48</v>
      </c>
      <c r="L809" s="7" t="s">
        <v>11278</v>
      </c>
      <c r="M809" s="7" t="s">
        <v>11279</v>
      </c>
      <c r="N809" s="45" t="str">
        <f t="shared" ref="N809:N811" si="665">HYPERLINK("twitter.com/tamiu_sb","@tamiu_sb")</f>
        <v>@tamiu_sb</v>
      </c>
      <c r="O809" s="74" t="str">
        <f t="shared" ref="O809:O811" si="666">HYPERLINK("https://godustdevils.com/sports/2017/3/20/recruiting-questionnaire.aspx","Questionnaire")</f>
        <v>Questionnaire</v>
      </c>
      <c r="P809" s="7" t="s">
        <v>11285</v>
      </c>
      <c r="Q809" s="57" t="s">
        <v>280</v>
      </c>
      <c r="R809" s="48" t="s">
        <v>11286</v>
      </c>
      <c r="S809" s="48" t="s">
        <v>62</v>
      </c>
      <c r="T809" s="49" t="s">
        <v>74</v>
      </c>
      <c r="U809" s="49" t="s">
        <v>75</v>
      </c>
      <c r="V809" s="7"/>
      <c r="W809" s="44">
        <v>3.6</v>
      </c>
      <c r="X809" s="7" t="s">
        <v>3892</v>
      </c>
      <c r="Y809" s="7" t="s">
        <v>1785</v>
      </c>
      <c r="Z809" s="49" t="s">
        <v>1302</v>
      </c>
      <c r="AA809" s="61">
        <v>0.53</v>
      </c>
      <c r="AB809" s="48" t="s">
        <v>11292</v>
      </c>
      <c r="AC809" s="90" t="s">
        <v>11285</v>
      </c>
      <c r="AD809" s="53" t="str">
        <f t="shared" ref="AD809:AD811" si="667">HYPERLINK("http://www.tamiu.edu/prospect/degreeprograms.shtml","Link")</f>
        <v>Link</v>
      </c>
      <c r="AE809" s="54">
        <v>6591</v>
      </c>
      <c r="AF809" s="55"/>
      <c r="AG809" s="7"/>
      <c r="AH809" s="56">
        <v>226152</v>
      </c>
      <c r="AI809" s="56"/>
      <c r="AJ809" s="56"/>
      <c r="AK809" s="56"/>
    </row>
    <row r="810" spans="1:37" ht="13" x14ac:dyDescent="0.15">
      <c r="A810" s="57" t="s">
        <v>7181</v>
      </c>
      <c r="B810" s="31" t="s">
        <v>2922</v>
      </c>
      <c r="C810" s="7" t="s">
        <v>41</v>
      </c>
      <c r="D810" s="7" t="s">
        <v>11299</v>
      </c>
      <c r="E810" s="44">
        <v>5</v>
      </c>
      <c r="F810" s="7"/>
      <c r="G810" s="7"/>
      <c r="H810" s="2" t="s">
        <v>11276</v>
      </c>
      <c r="I810" s="7" t="s">
        <v>11300</v>
      </c>
      <c r="J810" s="7" t="s">
        <v>11301</v>
      </c>
      <c r="K810" s="7" t="s">
        <v>55</v>
      </c>
      <c r="L810" s="7" t="s">
        <v>11304</v>
      </c>
      <c r="M810" s="7" t="s">
        <v>11305</v>
      </c>
      <c r="N810" s="45" t="str">
        <f t="shared" si="665"/>
        <v>@tamiu_sb</v>
      </c>
      <c r="O810" s="74" t="str">
        <f t="shared" si="666"/>
        <v>Questionnaire</v>
      </c>
      <c r="P810" s="7" t="s">
        <v>11285</v>
      </c>
      <c r="Q810" s="57" t="s">
        <v>280</v>
      </c>
      <c r="R810" s="48" t="s">
        <v>11286</v>
      </c>
      <c r="S810" s="48" t="s">
        <v>62</v>
      </c>
      <c r="T810" s="49" t="s">
        <v>74</v>
      </c>
      <c r="U810" s="49" t="s">
        <v>75</v>
      </c>
      <c r="V810" s="7"/>
      <c r="W810" s="44">
        <v>3.6</v>
      </c>
      <c r="X810" s="7" t="s">
        <v>3892</v>
      </c>
      <c r="Y810" s="7" t="s">
        <v>1785</v>
      </c>
      <c r="Z810" s="49" t="s">
        <v>1302</v>
      </c>
      <c r="AA810" s="61">
        <v>0.53</v>
      </c>
      <c r="AB810" s="48" t="s">
        <v>11292</v>
      </c>
      <c r="AC810" s="90" t="s">
        <v>11285</v>
      </c>
      <c r="AD810" s="53" t="str">
        <f t="shared" si="667"/>
        <v>Link</v>
      </c>
      <c r="AE810" s="54">
        <v>6591</v>
      </c>
      <c r="AF810" s="55"/>
      <c r="AG810" s="7"/>
      <c r="AH810" s="56">
        <v>226152</v>
      </c>
      <c r="AI810" s="56"/>
      <c r="AJ810" s="56"/>
      <c r="AK810" s="56"/>
    </row>
    <row r="811" spans="1:37" ht="13" x14ac:dyDescent="0.15">
      <c r="A811" s="57" t="s">
        <v>7181</v>
      </c>
      <c r="B811" s="31" t="s">
        <v>2922</v>
      </c>
      <c r="C811" s="7" t="s">
        <v>41</v>
      </c>
      <c r="D811" s="7" t="s">
        <v>11310</v>
      </c>
      <c r="E811" s="44">
        <v>5</v>
      </c>
      <c r="F811" s="7"/>
      <c r="G811" s="7"/>
      <c r="H811" s="2" t="s">
        <v>11276</v>
      </c>
      <c r="I811" s="7" t="s">
        <v>2289</v>
      </c>
      <c r="J811" s="7" t="s">
        <v>11312</v>
      </c>
      <c r="K811" s="7" t="s">
        <v>55</v>
      </c>
      <c r="L811" s="7" t="s">
        <v>11315</v>
      </c>
      <c r="M811" s="7" t="s">
        <v>11279</v>
      </c>
      <c r="N811" s="45" t="str">
        <f t="shared" si="665"/>
        <v>@tamiu_sb</v>
      </c>
      <c r="O811" s="74" t="str">
        <f t="shared" si="666"/>
        <v>Questionnaire</v>
      </c>
      <c r="P811" s="7" t="s">
        <v>11285</v>
      </c>
      <c r="Q811" s="57" t="s">
        <v>280</v>
      </c>
      <c r="R811" s="48" t="s">
        <v>11286</v>
      </c>
      <c r="S811" s="48" t="s">
        <v>62</v>
      </c>
      <c r="T811" s="49" t="s">
        <v>74</v>
      </c>
      <c r="U811" s="49" t="s">
        <v>75</v>
      </c>
      <c r="V811" s="7"/>
      <c r="W811" s="44">
        <v>3.6</v>
      </c>
      <c r="X811" s="7" t="s">
        <v>3892</v>
      </c>
      <c r="Y811" s="7" t="s">
        <v>1785</v>
      </c>
      <c r="Z811" s="49" t="s">
        <v>1302</v>
      </c>
      <c r="AA811" s="61">
        <v>0.53</v>
      </c>
      <c r="AB811" s="48" t="s">
        <v>11292</v>
      </c>
      <c r="AC811" s="90" t="s">
        <v>11285</v>
      </c>
      <c r="AD811" s="53" t="str">
        <f t="shared" si="667"/>
        <v>Link</v>
      </c>
      <c r="AE811" s="54">
        <v>6591</v>
      </c>
      <c r="AF811" s="55"/>
      <c r="AG811" s="7"/>
      <c r="AH811" s="56">
        <v>226152</v>
      </c>
      <c r="AI811" s="56"/>
      <c r="AJ811" s="56"/>
      <c r="AK811" s="56"/>
    </row>
    <row r="812" spans="1:37" ht="15" x14ac:dyDescent="0.2">
      <c r="A812" s="57" t="s">
        <v>7181</v>
      </c>
      <c r="B812" s="31" t="s">
        <v>2922</v>
      </c>
      <c r="C812" s="7" t="s">
        <v>41</v>
      </c>
      <c r="D812" s="7" t="s">
        <v>11320</v>
      </c>
      <c r="E812" s="44">
        <v>5</v>
      </c>
      <c r="F812" s="7"/>
      <c r="G812" s="7"/>
      <c r="H812" s="2" t="s">
        <v>11321</v>
      </c>
      <c r="I812" s="7" t="s">
        <v>6721</v>
      </c>
      <c r="J812" s="7" t="s">
        <v>8621</v>
      </c>
      <c r="K812" s="7" t="s">
        <v>48</v>
      </c>
      <c r="L812" s="7" t="s">
        <v>11325</v>
      </c>
      <c r="M812" s="7" t="s">
        <v>11327</v>
      </c>
      <c r="N812" s="45" t="str">
        <f t="shared" ref="N812:N814" si="668">HYPERLINK("twitter.com/tamuksb","@tamuksb")</f>
        <v>@tamuksb</v>
      </c>
      <c r="O812" s="74" t="str">
        <f t="shared" ref="O812:O814" si="669">HYPERLINK("https://javelinaathletics.com/sb_output.aspx?form=11","Questionnaire")</f>
        <v>Questionnaire</v>
      </c>
      <c r="P812" s="7" t="s">
        <v>11335</v>
      </c>
      <c r="Q812" s="57" t="s">
        <v>280</v>
      </c>
      <c r="R812" s="48" t="s">
        <v>11336</v>
      </c>
      <c r="S812" s="48" t="s">
        <v>468</v>
      </c>
      <c r="T812" s="49" t="s">
        <v>74</v>
      </c>
      <c r="U812" s="49" t="s">
        <v>75</v>
      </c>
      <c r="V812" s="7"/>
      <c r="W812" s="44">
        <v>3.33</v>
      </c>
      <c r="X812" s="7" t="s">
        <v>1785</v>
      </c>
      <c r="Y812" s="7" t="s">
        <v>1453</v>
      </c>
      <c r="Z812" s="49" t="s">
        <v>1339</v>
      </c>
      <c r="AA812" s="61">
        <v>0.82</v>
      </c>
      <c r="AB812" s="48" t="s">
        <v>11339</v>
      </c>
      <c r="AC812" s="52" t="s">
        <v>11335</v>
      </c>
      <c r="AD812" s="53" t="str">
        <f t="shared" ref="AD812:AD814" si="670">HYPERLINK("http://www.tamuk.edu/academics/","Link")</f>
        <v>Link</v>
      </c>
      <c r="AE812" s="54">
        <v>6811</v>
      </c>
      <c r="AF812" s="55"/>
      <c r="AG812" s="7"/>
      <c r="AH812" s="56">
        <v>228705</v>
      </c>
      <c r="AI812" s="56"/>
      <c r="AJ812" s="56"/>
      <c r="AK812" s="56"/>
    </row>
    <row r="813" spans="1:37" ht="15" x14ac:dyDescent="0.2">
      <c r="A813" s="57" t="s">
        <v>7181</v>
      </c>
      <c r="B813" s="31" t="s">
        <v>2922</v>
      </c>
      <c r="C813" s="7" t="s">
        <v>41</v>
      </c>
      <c r="D813" s="7" t="s">
        <v>11345</v>
      </c>
      <c r="E813" s="44">
        <v>5</v>
      </c>
      <c r="F813" s="7"/>
      <c r="G813" s="7"/>
      <c r="H813" s="2" t="s">
        <v>11321</v>
      </c>
      <c r="I813" s="7" t="s">
        <v>562</v>
      </c>
      <c r="J813" s="7" t="s">
        <v>11349</v>
      </c>
      <c r="K813" s="7" t="s">
        <v>55</v>
      </c>
      <c r="L813" s="7" t="s">
        <v>11350</v>
      </c>
      <c r="M813" s="7"/>
      <c r="N813" s="45" t="str">
        <f t="shared" si="668"/>
        <v>@tamuksb</v>
      </c>
      <c r="O813" s="74" t="str">
        <f t="shared" si="669"/>
        <v>Questionnaire</v>
      </c>
      <c r="P813" s="7" t="s">
        <v>11335</v>
      </c>
      <c r="Q813" s="57" t="s">
        <v>280</v>
      </c>
      <c r="R813" s="48" t="s">
        <v>11336</v>
      </c>
      <c r="S813" s="48" t="s">
        <v>468</v>
      </c>
      <c r="T813" s="49" t="s">
        <v>74</v>
      </c>
      <c r="U813" s="49" t="s">
        <v>75</v>
      </c>
      <c r="V813" s="7"/>
      <c r="W813" s="44">
        <v>3.33</v>
      </c>
      <c r="X813" s="7" t="s">
        <v>1785</v>
      </c>
      <c r="Y813" s="7" t="s">
        <v>1453</v>
      </c>
      <c r="Z813" s="49" t="s">
        <v>1339</v>
      </c>
      <c r="AA813" s="61">
        <v>0.82</v>
      </c>
      <c r="AB813" s="48" t="s">
        <v>11339</v>
      </c>
      <c r="AC813" s="52" t="s">
        <v>11335</v>
      </c>
      <c r="AD813" s="53" t="str">
        <f t="shared" si="670"/>
        <v>Link</v>
      </c>
      <c r="AE813" s="54">
        <v>6811</v>
      </c>
      <c r="AF813" s="55"/>
      <c r="AG813" s="7"/>
      <c r="AH813" s="56">
        <v>228705</v>
      </c>
      <c r="AI813" s="56"/>
      <c r="AJ813" s="56"/>
      <c r="AK813" s="56"/>
    </row>
    <row r="814" spans="1:37" ht="15" x14ac:dyDescent="0.2">
      <c r="A814" s="57" t="s">
        <v>7181</v>
      </c>
      <c r="B814" s="31" t="s">
        <v>2922</v>
      </c>
      <c r="C814" s="7" t="s">
        <v>41</v>
      </c>
      <c r="D814" s="7" t="s">
        <v>11358</v>
      </c>
      <c r="E814" s="44">
        <v>5</v>
      </c>
      <c r="F814" s="7"/>
      <c r="G814" s="7"/>
      <c r="H814" s="2" t="s">
        <v>11321</v>
      </c>
      <c r="I814" s="7" t="s">
        <v>694</v>
      </c>
      <c r="J814" s="7" t="s">
        <v>11361</v>
      </c>
      <c r="K814" s="7" t="s">
        <v>120</v>
      </c>
      <c r="L814" s="7"/>
      <c r="M814" s="7"/>
      <c r="N814" s="45" t="str">
        <f t="shared" si="668"/>
        <v>@tamuksb</v>
      </c>
      <c r="O814" s="74" t="str">
        <f t="shared" si="669"/>
        <v>Questionnaire</v>
      </c>
      <c r="P814" s="7" t="s">
        <v>11335</v>
      </c>
      <c r="Q814" s="57" t="s">
        <v>280</v>
      </c>
      <c r="R814" s="48" t="s">
        <v>11336</v>
      </c>
      <c r="S814" s="48" t="s">
        <v>468</v>
      </c>
      <c r="T814" s="49" t="s">
        <v>74</v>
      </c>
      <c r="U814" s="49" t="s">
        <v>75</v>
      </c>
      <c r="V814" s="7"/>
      <c r="W814" s="44">
        <v>3.33</v>
      </c>
      <c r="X814" s="7" t="s">
        <v>1785</v>
      </c>
      <c r="Y814" s="7" t="s">
        <v>1453</v>
      </c>
      <c r="Z814" s="49" t="s">
        <v>1339</v>
      </c>
      <c r="AA814" s="61">
        <v>0.82</v>
      </c>
      <c r="AB814" s="48" t="s">
        <v>11339</v>
      </c>
      <c r="AC814" s="52" t="s">
        <v>11335</v>
      </c>
      <c r="AD814" s="53" t="str">
        <f t="shared" si="670"/>
        <v>Link</v>
      </c>
      <c r="AE814" s="54">
        <v>6811</v>
      </c>
      <c r="AF814" s="55"/>
      <c r="AG814" s="7"/>
      <c r="AH814" s="56">
        <v>228705</v>
      </c>
      <c r="AI814" s="56"/>
      <c r="AJ814" s="56"/>
      <c r="AK814" s="56"/>
    </row>
    <row r="815" spans="1:37" ht="13" x14ac:dyDescent="0.15">
      <c r="A815" s="57" t="s">
        <v>7181</v>
      </c>
      <c r="B815" s="31" t="s">
        <v>2922</v>
      </c>
      <c r="C815" s="7" t="s">
        <v>41</v>
      </c>
      <c r="D815" s="7" t="s">
        <v>11373</v>
      </c>
      <c r="E815" s="44">
        <v>5</v>
      </c>
      <c r="F815" s="7"/>
      <c r="G815" s="7"/>
      <c r="H815" s="2" t="s">
        <v>11374</v>
      </c>
      <c r="I815" s="7" t="s">
        <v>4599</v>
      </c>
      <c r="J815" s="7" t="s">
        <v>11375</v>
      </c>
      <c r="K815" s="7" t="s">
        <v>48</v>
      </c>
      <c r="L815" s="7" t="s">
        <v>11377</v>
      </c>
      <c r="M815" s="7" t="s">
        <v>11379</v>
      </c>
      <c r="N815" s="45" t="str">
        <f t="shared" ref="N815:N818" si="671">HYPERLINK("twitter.com/twusoftball","@twusoftball")</f>
        <v>@twusoftball</v>
      </c>
      <c r="O815" s="74" t="str">
        <f t="shared" ref="O815:O818" si="672">HYPERLINK("https://twuathletics.com/sb_output.aspx?form=4","Questionnaire")</f>
        <v>Questionnaire</v>
      </c>
      <c r="P815" s="48" t="s">
        <v>11374</v>
      </c>
      <c r="Q815" s="60" t="s">
        <v>280</v>
      </c>
      <c r="R815" s="48" t="s">
        <v>6355</v>
      </c>
      <c r="S815" s="48" t="s">
        <v>238</v>
      </c>
      <c r="T815" s="49" t="s">
        <v>74</v>
      </c>
      <c r="U815" s="48" t="s">
        <v>75</v>
      </c>
      <c r="V815" s="49" t="s">
        <v>1006</v>
      </c>
      <c r="W815" s="65">
        <v>3.1</v>
      </c>
      <c r="X815" s="49" t="s">
        <v>3428</v>
      </c>
      <c r="Y815" s="49" t="s">
        <v>1338</v>
      </c>
      <c r="Z815" s="49" t="s">
        <v>1339</v>
      </c>
      <c r="AA815" s="65">
        <v>0.86</v>
      </c>
      <c r="AB815" s="48" t="s">
        <v>11390</v>
      </c>
      <c r="AC815" s="90" t="s">
        <v>11374</v>
      </c>
      <c r="AD815" s="53" t="str">
        <f t="shared" ref="AD815:AD818" si="673">HYPERLINK("https://twu.edu/programs-majors/","Link")</f>
        <v>Link</v>
      </c>
      <c r="AE815" s="54">
        <v>10407</v>
      </c>
      <c r="AF815" s="55"/>
      <c r="AG815" s="55"/>
      <c r="AH815" s="56">
        <v>229179</v>
      </c>
      <c r="AI815" s="56"/>
      <c r="AJ815" s="56"/>
      <c r="AK815" s="56"/>
    </row>
    <row r="816" spans="1:37" ht="13" x14ac:dyDescent="0.15">
      <c r="A816" s="57" t="s">
        <v>7181</v>
      </c>
      <c r="B816" s="31" t="s">
        <v>2922</v>
      </c>
      <c r="C816" s="7" t="s">
        <v>41</v>
      </c>
      <c r="D816" s="7" t="s">
        <v>11394</v>
      </c>
      <c r="E816" s="44">
        <v>5</v>
      </c>
      <c r="F816" s="7"/>
      <c r="G816" s="7"/>
      <c r="H816" s="2" t="s">
        <v>11374</v>
      </c>
      <c r="I816" s="7" t="s">
        <v>11397</v>
      </c>
      <c r="J816" s="7" t="s">
        <v>11399</v>
      </c>
      <c r="K816" s="7" t="s">
        <v>55</v>
      </c>
      <c r="L816" s="7" t="s">
        <v>11401</v>
      </c>
      <c r="M816" s="7" t="s">
        <v>11403</v>
      </c>
      <c r="N816" s="45" t="str">
        <f t="shared" si="671"/>
        <v>@twusoftball</v>
      </c>
      <c r="O816" s="74" t="str">
        <f t="shared" si="672"/>
        <v>Questionnaire</v>
      </c>
      <c r="P816" s="48" t="s">
        <v>11374</v>
      </c>
      <c r="Q816" s="60" t="s">
        <v>280</v>
      </c>
      <c r="R816" s="48" t="s">
        <v>6355</v>
      </c>
      <c r="S816" s="48" t="s">
        <v>238</v>
      </c>
      <c r="T816" s="49" t="s">
        <v>74</v>
      </c>
      <c r="U816" s="48" t="s">
        <v>75</v>
      </c>
      <c r="V816" s="49" t="s">
        <v>1006</v>
      </c>
      <c r="W816" s="65">
        <v>3.1</v>
      </c>
      <c r="X816" s="49" t="s">
        <v>3428</v>
      </c>
      <c r="Y816" s="49" t="s">
        <v>1338</v>
      </c>
      <c r="Z816" s="49" t="s">
        <v>1339</v>
      </c>
      <c r="AA816" s="65">
        <v>0.86</v>
      </c>
      <c r="AB816" s="48" t="s">
        <v>11390</v>
      </c>
      <c r="AC816" s="90" t="s">
        <v>11374</v>
      </c>
      <c r="AD816" s="53" t="str">
        <f t="shared" si="673"/>
        <v>Link</v>
      </c>
      <c r="AE816" s="54">
        <v>10407</v>
      </c>
      <c r="AF816" s="55"/>
      <c r="AG816" s="55"/>
      <c r="AH816" s="56">
        <v>229179</v>
      </c>
      <c r="AI816" s="56"/>
      <c r="AJ816" s="56"/>
      <c r="AK816" s="56"/>
    </row>
    <row r="817" spans="1:37" ht="13" x14ac:dyDescent="0.15">
      <c r="A817" s="57"/>
      <c r="B817" s="31" t="s">
        <v>2922</v>
      </c>
      <c r="C817" s="7" t="s">
        <v>41</v>
      </c>
      <c r="D817" s="7" t="s">
        <v>11410</v>
      </c>
      <c r="E817" s="44">
        <v>5</v>
      </c>
      <c r="F817" s="7"/>
      <c r="G817" s="7"/>
      <c r="H817" s="2" t="s">
        <v>11374</v>
      </c>
      <c r="I817" s="7" t="s">
        <v>11411</v>
      </c>
      <c r="J817" s="7" t="s">
        <v>11412</v>
      </c>
      <c r="K817" s="7" t="s">
        <v>120</v>
      </c>
      <c r="L817" s="7"/>
      <c r="M817" s="7"/>
      <c r="N817" s="45" t="str">
        <f t="shared" si="671"/>
        <v>@twusoftball</v>
      </c>
      <c r="O817" s="74" t="str">
        <f t="shared" si="672"/>
        <v>Questionnaire</v>
      </c>
      <c r="P817" s="48" t="s">
        <v>11374</v>
      </c>
      <c r="Q817" s="60" t="s">
        <v>280</v>
      </c>
      <c r="R817" s="48" t="s">
        <v>6355</v>
      </c>
      <c r="S817" s="48" t="s">
        <v>238</v>
      </c>
      <c r="T817" s="49" t="s">
        <v>74</v>
      </c>
      <c r="U817" s="48" t="s">
        <v>75</v>
      </c>
      <c r="V817" s="49" t="s">
        <v>1006</v>
      </c>
      <c r="W817" s="65">
        <v>3.1</v>
      </c>
      <c r="X817" s="49" t="s">
        <v>3428</v>
      </c>
      <c r="Y817" s="49" t="s">
        <v>1338</v>
      </c>
      <c r="Z817" s="49" t="s">
        <v>1339</v>
      </c>
      <c r="AA817" s="65">
        <v>0.86</v>
      </c>
      <c r="AB817" s="48" t="s">
        <v>11390</v>
      </c>
      <c r="AC817" s="90" t="s">
        <v>11374</v>
      </c>
      <c r="AD817" s="53" t="str">
        <f t="shared" si="673"/>
        <v>Link</v>
      </c>
      <c r="AE817" s="54">
        <v>10407</v>
      </c>
      <c r="AF817" s="55"/>
      <c r="AG817" s="55"/>
      <c r="AH817" s="56">
        <v>229179</v>
      </c>
      <c r="AI817" s="85"/>
      <c r="AJ817" s="85"/>
      <c r="AK817" s="85"/>
    </row>
    <row r="818" spans="1:37" ht="13" x14ac:dyDescent="0.15">
      <c r="A818" s="57"/>
      <c r="B818" s="31" t="s">
        <v>2922</v>
      </c>
      <c r="C818" s="7" t="s">
        <v>41</v>
      </c>
      <c r="D818" s="7" t="s">
        <v>11425</v>
      </c>
      <c r="E818" s="58">
        <v>5</v>
      </c>
      <c r="F818" s="7" t="s">
        <v>116</v>
      </c>
      <c r="G818" s="7"/>
      <c r="H818" s="2" t="s">
        <v>11374</v>
      </c>
      <c r="I818" s="7" t="s">
        <v>111</v>
      </c>
      <c r="J818" s="7" t="s">
        <v>11426</v>
      </c>
      <c r="K818" s="7" t="s">
        <v>55</v>
      </c>
      <c r="L818" s="7"/>
      <c r="M818" s="7"/>
      <c r="N818" s="45" t="str">
        <f t="shared" si="671"/>
        <v>@twusoftball</v>
      </c>
      <c r="O818" s="74" t="str">
        <f t="shared" si="672"/>
        <v>Questionnaire</v>
      </c>
      <c r="P818" s="48" t="s">
        <v>11374</v>
      </c>
      <c r="Q818" s="60" t="s">
        <v>280</v>
      </c>
      <c r="R818" s="48" t="s">
        <v>6355</v>
      </c>
      <c r="S818" s="48" t="s">
        <v>238</v>
      </c>
      <c r="T818" s="49" t="s">
        <v>74</v>
      </c>
      <c r="U818" s="48" t="s">
        <v>75</v>
      </c>
      <c r="V818" s="49" t="s">
        <v>1006</v>
      </c>
      <c r="W818" s="65">
        <v>3.1</v>
      </c>
      <c r="X818" s="49" t="s">
        <v>3428</v>
      </c>
      <c r="Y818" s="49" t="s">
        <v>1338</v>
      </c>
      <c r="Z818" s="49" t="s">
        <v>1339</v>
      </c>
      <c r="AA818" s="65">
        <v>0.86</v>
      </c>
      <c r="AB818" s="48" t="s">
        <v>11390</v>
      </c>
      <c r="AC818" s="90" t="s">
        <v>11374</v>
      </c>
      <c r="AD818" s="53" t="str">
        <f t="shared" si="673"/>
        <v>Link</v>
      </c>
      <c r="AE818" s="54">
        <v>10407</v>
      </c>
      <c r="AF818" s="55"/>
      <c r="AG818" s="55"/>
      <c r="AH818" s="111">
        <v>229179</v>
      </c>
      <c r="AI818" s="59"/>
      <c r="AJ818" s="59"/>
      <c r="AK818" s="56"/>
    </row>
    <row r="819" spans="1:37" ht="13" x14ac:dyDescent="0.15">
      <c r="A819" s="57" t="s">
        <v>7181</v>
      </c>
      <c r="B819" s="31" t="s">
        <v>2922</v>
      </c>
      <c r="C819" s="7" t="s">
        <v>41</v>
      </c>
      <c r="D819" s="7" t="s">
        <v>11438</v>
      </c>
      <c r="E819" s="44">
        <v>5</v>
      </c>
      <c r="F819" s="7"/>
      <c r="G819" s="7"/>
      <c r="H819" s="2" t="s">
        <v>11443</v>
      </c>
      <c r="I819" s="7" t="s">
        <v>11444</v>
      </c>
      <c r="J819" s="7" t="s">
        <v>11445</v>
      </c>
      <c r="K819" s="7" t="s">
        <v>48</v>
      </c>
      <c r="L819" s="7" t="s">
        <v>11446</v>
      </c>
      <c r="M819" s="7" t="s">
        <v>11447</v>
      </c>
      <c r="N819" s="45" t="str">
        <f t="shared" ref="N819:N820" si="674">HYPERLINK("twitter.com/UTPBSoftball","@UTPBSoftball")</f>
        <v>@UTPBSoftball</v>
      </c>
      <c r="O819" s="74" t="str">
        <f t="shared" ref="O819:O820" si="675">HYPERLINK("https://utpbfalcons.com/sb_output.aspx?form=4","Questionnaire")</f>
        <v>Questionnaire</v>
      </c>
      <c r="P819" s="7" t="s">
        <v>11452</v>
      </c>
      <c r="Q819" s="57" t="s">
        <v>280</v>
      </c>
      <c r="R819" s="48" t="s">
        <v>11453</v>
      </c>
      <c r="S819" s="48" t="s">
        <v>238</v>
      </c>
      <c r="T819" s="49" t="s">
        <v>74</v>
      </c>
      <c r="U819" s="49" t="s">
        <v>75</v>
      </c>
      <c r="V819" s="7"/>
      <c r="W819" s="44">
        <v>3.21</v>
      </c>
      <c r="X819" s="7" t="s">
        <v>1338</v>
      </c>
      <c r="Y819" s="7" t="s">
        <v>253</v>
      </c>
      <c r="Z819" s="49" t="s">
        <v>2307</v>
      </c>
      <c r="AA819" s="61">
        <v>0.81</v>
      </c>
      <c r="AB819" s="48" t="s">
        <v>11456</v>
      </c>
      <c r="AC819" s="90" t="s">
        <v>11452</v>
      </c>
      <c r="AD819" s="53" t="str">
        <f t="shared" ref="AD819:AD820" si="676">HYPERLINK("https://www.utpb.edu/cas/undergraduate-majors","Link")</f>
        <v>Link</v>
      </c>
      <c r="AE819" s="54">
        <v>5755</v>
      </c>
      <c r="AF819" s="55"/>
      <c r="AG819" s="7"/>
      <c r="AH819" s="56">
        <v>229018</v>
      </c>
      <c r="AI819" s="56"/>
      <c r="AJ819" s="56"/>
      <c r="AK819" s="56"/>
    </row>
    <row r="820" spans="1:37" ht="13" x14ac:dyDescent="0.15">
      <c r="A820" s="57" t="s">
        <v>7181</v>
      </c>
      <c r="B820" s="31" t="s">
        <v>2922</v>
      </c>
      <c r="C820" s="7" t="s">
        <v>41</v>
      </c>
      <c r="D820" s="7" t="s">
        <v>11463</v>
      </c>
      <c r="E820" s="44">
        <v>5</v>
      </c>
      <c r="F820" s="7"/>
      <c r="G820" s="7"/>
      <c r="H820" s="2" t="s">
        <v>11443</v>
      </c>
      <c r="I820" s="7" t="s">
        <v>11468</v>
      </c>
      <c r="J820" s="7" t="s">
        <v>805</v>
      </c>
      <c r="K820" s="7" t="s">
        <v>55</v>
      </c>
      <c r="L820" s="7" t="s">
        <v>11471</v>
      </c>
      <c r="M820" s="7"/>
      <c r="N820" s="45" t="str">
        <f t="shared" si="674"/>
        <v>@UTPBSoftball</v>
      </c>
      <c r="O820" s="74" t="str">
        <f t="shared" si="675"/>
        <v>Questionnaire</v>
      </c>
      <c r="P820" s="7" t="s">
        <v>11452</v>
      </c>
      <c r="Q820" s="57" t="s">
        <v>280</v>
      </c>
      <c r="R820" s="48" t="s">
        <v>11453</v>
      </c>
      <c r="S820" s="48" t="s">
        <v>238</v>
      </c>
      <c r="T820" s="49" t="s">
        <v>74</v>
      </c>
      <c r="U820" s="49" t="s">
        <v>75</v>
      </c>
      <c r="V820" s="7"/>
      <c r="W820" s="44">
        <v>3.21</v>
      </c>
      <c r="X820" s="7" t="s">
        <v>1338</v>
      </c>
      <c r="Y820" s="7" t="s">
        <v>253</v>
      </c>
      <c r="Z820" s="49" t="s">
        <v>2307</v>
      </c>
      <c r="AA820" s="61">
        <v>0.81</v>
      </c>
      <c r="AB820" s="48" t="s">
        <v>11456</v>
      </c>
      <c r="AC820" s="90" t="s">
        <v>11452</v>
      </c>
      <c r="AD820" s="53" t="str">
        <f t="shared" si="676"/>
        <v>Link</v>
      </c>
      <c r="AE820" s="54">
        <v>5755</v>
      </c>
      <c r="AF820" s="55"/>
      <c r="AG820" s="7"/>
      <c r="AH820" s="56">
        <v>229018</v>
      </c>
      <c r="AI820" s="56"/>
      <c r="AJ820" s="56"/>
      <c r="AK820" s="56"/>
    </row>
    <row r="821" spans="1:37" ht="13" x14ac:dyDescent="0.15">
      <c r="A821" s="57" t="s">
        <v>7181</v>
      </c>
      <c r="B821" s="31" t="s">
        <v>2922</v>
      </c>
      <c r="C821" s="7" t="s">
        <v>41</v>
      </c>
      <c r="D821" s="7" t="s">
        <v>11478</v>
      </c>
      <c r="E821" s="44">
        <v>5</v>
      </c>
      <c r="F821" s="7"/>
      <c r="G821" s="7"/>
      <c r="H821" s="2" t="s">
        <v>11480</v>
      </c>
      <c r="I821" s="7" t="s">
        <v>1351</v>
      </c>
      <c r="J821" s="7" t="s">
        <v>11482</v>
      </c>
      <c r="K821" s="7" t="s">
        <v>48</v>
      </c>
      <c r="L821" s="7" t="s">
        <v>11484</v>
      </c>
      <c r="M821" s="7" t="s">
        <v>11486</v>
      </c>
      <c r="N821" s="45" t="str">
        <f t="shared" ref="N821:N822" si="677">HYPERLINK("twitter.com/WTSoftball","@WTSoftball")</f>
        <v>@WTSoftball</v>
      </c>
      <c r="O821" s="74" t="str">
        <f t="shared" ref="O821:O822" si="678">HYPERLINK("https://college.jumpforward.com/questionnaire.aspx?iid=418&amp;sportid=31","Questionnaire")</f>
        <v>Questionnaire</v>
      </c>
      <c r="P821" s="7" t="s">
        <v>11496</v>
      </c>
      <c r="Q821" s="57" t="s">
        <v>280</v>
      </c>
      <c r="R821" s="48" t="s">
        <v>11497</v>
      </c>
      <c r="S821" s="48" t="s">
        <v>172</v>
      </c>
      <c r="T821" s="49" t="s">
        <v>74</v>
      </c>
      <c r="U821" s="49" t="s">
        <v>75</v>
      </c>
      <c r="V821" s="7"/>
      <c r="W821" s="44">
        <v>3.2</v>
      </c>
      <c r="X821" s="7" t="s">
        <v>1338</v>
      </c>
      <c r="Y821" s="7" t="s">
        <v>253</v>
      </c>
      <c r="Z821" s="49" t="s">
        <v>841</v>
      </c>
      <c r="AA821" s="61">
        <v>0.6</v>
      </c>
      <c r="AB821" s="48" t="s">
        <v>11498</v>
      </c>
      <c r="AC821" s="62" t="s">
        <v>11496</v>
      </c>
      <c r="AD821" s="53" t="str">
        <f t="shared" ref="AD821:AD822" si="679">HYPERLINK("http://www.wtamu.edu/advising/list-of-degree-programs-by-college-and-department.aspx","Link")</f>
        <v>Link</v>
      </c>
      <c r="AE821" s="54">
        <v>7389</v>
      </c>
      <c r="AF821" s="55"/>
      <c r="AG821" s="7"/>
      <c r="AH821" s="56">
        <v>229814</v>
      </c>
      <c r="AI821" s="56"/>
      <c r="AJ821" s="56"/>
      <c r="AK821" s="56"/>
    </row>
    <row r="822" spans="1:37" ht="13" x14ac:dyDescent="0.15">
      <c r="A822" s="57" t="s">
        <v>7181</v>
      </c>
      <c r="B822" s="31" t="s">
        <v>2922</v>
      </c>
      <c r="C822" s="7" t="s">
        <v>41</v>
      </c>
      <c r="D822" s="7" t="s">
        <v>11509</v>
      </c>
      <c r="E822" s="44">
        <v>5</v>
      </c>
      <c r="F822" s="7"/>
      <c r="G822" s="7"/>
      <c r="H822" s="2" t="s">
        <v>11480</v>
      </c>
      <c r="I822" s="7" t="s">
        <v>11510</v>
      </c>
      <c r="J822" s="7" t="s">
        <v>11511</v>
      </c>
      <c r="K822" s="7" t="s">
        <v>55</v>
      </c>
      <c r="L822" s="7" t="s">
        <v>11514</v>
      </c>
      <c r="M822" s="7" t="s">
        <v>11515</v>
      </c>
      <c r="N822" s="45" t="str">
        <f t="shared" si="677"/>
        <v>@WTSoftball</v>
      </c>
      <c r="O822" s="74" t="str">
        <f t="shared" si="678"/>
        <v>Questionnaire</v>
      </c>
      <c r="P822" s="7" t="s">
        <v>11496</v>
      </c>
      <c r="Q822" s="57" t="s">
        <v>280</v>
      </c>
      <c r="R822" s="48" t="s">
        <v>11497</v>
      </c>
      <c r="S822" s="48" t="s">
        <v>172</v>
      </c>
      <c r="T822" s="49" t="s">
        <v>74</v>
      </c>
      <c r="U822" s="49" t="s">
        <v>75</v>
      </c>
      <c r="V822" s="7"/>
      <c r="W822" s="44">
        <v>3.2</v>
      </c>
      <c r="X822" s="7" t="s">
        <v>1338</v>
      </c>
      <c r="Y822" s="7" t="s">
        <v>253</v>
      </c>
      <c r="Z822" s="49" t="s">
        <v>841</v>
      </c>
      <c r="AA822" s="61">
        <v>0.6</v>
      </c>
      <c r="AB822" s="48" t="s">
        <v>11498</v>
      </c>
      <c r="AC822" s="62" t="s">
        <v>11496</v>
      </c>
      <c r="AD822" s="53" t="str">
        <f t="shared" si="679"/>
        <v>Link</v>
      </c>
      <c r="AE822" s="54">
        <v>7389</v>
      </c>
      <c r="AF822" s="55"/>
      <c r="AG822" s="7"/>
      <c r="AH822" s="56">
        <v>229814</v>
      </c>
      <c r="AI822" s="56"/>
      <c r="AJ822" s="56"/>
      <c r="AK822" s="56"/>
    </row>
    <row r="823" spans="1:37" ht="13" x14ac:dyDescent="0.15">
      <c r="A823" s="57" t="s">
        <v>2071</v>
      </c>
      <c r="B823" s="31" t="s">
        <v>11071</v>
      </c>
      <c r="C823" s="7" t="s">
        <v>41</v>
      </c>
      <c r="D823" s="7" t="s">
        <v>11521</v>
      </c>
      <c r="E823" s="44">
        <v>5</v>
      </c>
      <c r="F823" s="7"/>
      <c r="G823" s="7"/>
      <c r="H823" s="2" t="s">
        <v>11522</v>
      </c>
      <c r="I823" s="7" t="s">
        <v>3497</v>
      </c>
      <c r="J823" s="7" t="s">
        <v>11525</v>
      </c>
      <c r="K823" s="7" t="s">
        <v>48</v>
      </c>
      <c r="L823" s="7" t="s">
        <v>11528</v>
      </c>
      <c r="M823" s="7" t="s">
        <v>11529</v>
      </c>
      <c r="N823" s="45" t="str">
        <f t="shared" ref="N823:N827" si="680">HYPERLINK("twitter.com/dixiestatesb","@dixiestatesb")</f>
        <v>@dixiestatesb</v>
      </c>
      <c r="O823" s="74" t="str">
        <f t="shared" ref="O823:O827" si="681">HYPERLINK("https://dixiestateathletics.com/sb_output.aspx?form=3","Questionnaire")</f>
        <v>Questionnaire</v>
      </c>
      <c r="P823" s="7" t="s">
        <v>11533</v>
      </c>
      <c r="Q823" s="36" t="s">
        <v>3719</v>
      </c>
      <c r="R823" s="48" t="s">
        <v>11535</v>
      </c>
      <c r="S823" s="48" t="s">
        <v>238</v>
      </c>
      <c r="T823" s="49" t="s">
        <v>74</v>
      </c>
      <c r="U823" s="49" t="s">
        <v>75</v>
      </c>
      <c r="V823" s="7"/>
      <c r="W823" s="44">
        <v>3.26</v>
      </c>
      <c r="X823" s="7" t="s">
        <v>214</v>
      </c>
      <c r="Y823" s="7" t="s">
        <v>214</v>
      </c>
      <c r="Z823" s="49" t="s">
        <v>214</v>
      </c>
      <c r="AA823" s="55" t="s">
        <v>214</v>
      </c>
      <c r="AB823" s="48" t="s">
        <v>11536</v>
      </c>
      <c r="AC823" s="62" t="s">
        <v>11533</v>
      </c>
      <c r="AD823" s="53" t="str">
        <f t="shared" ref="AD823:AD827" si="682">HYPERLINK("http://catalog.dixie.edu/programs/","Link")</f>
        <v>Link</v>
      </c>
      <c r="AE823" s="54">
        <v>8993</v>
      </c>
      <c r="AF823" s="55"/>
      <c r="AG823" s="7"/>
      <c r="AH823" s="56">
        <v>230171</v>
      </c>
      <c r="AI823" s="56"/>
      <c r="AJ823" s="56"/>
      <c r="AK823" s="56"/>
    </row>
    <row r="824" spans="1:37" ht="13" x14ac:dyDescent="0.15">
      <c r="A824" s="57" t="s">
        <v>2071</v>
      </c>
      <c r="B824" s="31" t="s">
        <v>11071</v>
      </c>
      <c r="C824" s="7" t="s">
        <v>41</v>
      </c>
      <c r="D824" s="7" t="s">
        <v>11544</v>
      </c>
      <c r="E824" s="44">
        <v>5</v>
      </c>
      <c r="F824" s="7"/>
      <c r="G824" s="7"/>
      <c r="H824" s="2" t="s">
        <v>11522</v>
      </c>
      <c r="I824" s="7" t="s">
        <v>790</v>
      </c>
      <c r="J824" s="7" t="s">
        <v>11545</v>
      </c>
      <c r="K824" s="7" t="s">
        <v>55</v>
      </c>
      <c r="L824" s="7"/>
      <c r="M824" s="7"/>
      <c r="N824" s="45" t="str">
        <f t="shared" si="680"/>
        <v>@dixiestatesb</v>
      </c>
      <c r="O824" s="74" t="str">
        <f t="shared" si="681"/>
        <v>Questionnaire</v>
      </c>
      <c r="P824" s="7" t="s">
        <v>11533</v>
      </c>
      <c r="Q824" s="36" t="s">
        <v>3719</v>
      </c>
      <c r="R824" s="48" t="s">
        <v>11535</v>
      </c>
      <c r="S824" s="48" t="s">
        <v>238</v>
      </c>
      <c r="T824" s="49" t="s">
        <v>74</v>
      </c>
      <c r="U824" s="49" t="s">
        <v>75</v>
      </c>
      <c r="V824" s="7"/>
      <c r="W824" s="44">
        <v>3.26</v>
      </c>
      <c r="X824" s="7" t="s">
        <v>214</v>
      </c>
      <c r="Y824" s="7" t="s">
        <v>214</v>
      </c>
      <c r="Z824" s="49" t="s">
        <v>214</v>
      </c>
      <c r="AA824" s="55" t="s">
        <v>214</v>
      </c>
      <c r="AB824" s="48" t="s">
        <v>11536</v>
      </c>
      <c r="AC824" s="62" t="s">
        <v>11533</v>
      </c>
      <c r="AD824" s="53" t="str">
        <f t="shared" si="682"/>
        <v>Link</v>
      </c>
      <c r="AE824" s="54">
        <v>8993</v>
      </c>
      <c r="AF824" s="55"/>
      <c r="AG824" s="7"/>
      <c r="AH824" s="56">
        <v>230171</v>
      </c>
      <c r="AI824" s="56"/>
      <c r="AJ824" s="56"/>
      <c r="AK824" s="56"/>
    </row>
    <row r="825" spans="1:37" ht="13" x14ac:dyDescent="0.15">
      <c r="A825" s="57" t="s">
        <v>2071</v>
      </c>
      <c r="B825" s="31" t="s">
        <v>11071</v>
      </c>
      <c r="C825" s="7" t="s">
        <v>41</v>
      </c>
      <c r="D825" s="7" t="s">
        <v>11550</v>
      </c>
      <c r="E825" s="44">
        <v>5</v>
      </c>
      <c r="F825" s="7"/>
      <c r="G825" s="7"/>
      <c r="H825" s="2" t="s">
        <v>11522</v>
      </c>
      <c r="I825" s="7" t="s">
        <v>266</v>
      </c>
      <c r="J825" s="7" t="s">
        <v>11552</v>
      </c>
      <c r="K825" s="7" t="s">
        <v>55</v>
      </c>
      <c r="L825" s="7" t="s">
        <v>11554</v>
      </c>
      <c r="M825" s="7"/>
      <c r="N825" s="45" t="str">
        <f t="shared" si="680"/>
        <v>@dixiestatesb</v>
      </c>
      <c r="O825" s="74" t="str">
        <f t="shared" si="681"/>
        <v>Questionnaire</v>
      </c>
      <c r="P825" s="7" t="s">
        <v>11533</v>
      </c>
      <c r="Q825" s="36" t="s">
        <v>3719</v>
      </c>
      <c r="R825" s="48" t="s">
        <v>11535</v>
      </c>
      <c r="S825" s="48" t="s">
        <v>238</v>
      </c>
      <c r="T825" s="49" t="s">
        <v>74</v>
      </c>
      <c r="U825" s="49" t="s">
        <v>75</v>
      </c>
      <c r="V825" s="7"/>
      <c r="W825" s="44">
        <v>3.26</v>
      </c>
      <c r="X825" s="7" t="s">
        <v>214</v>
      </c>
      <c r="Y825" s="7" t="s">
        <v>214</v>
      </c>
      <c r="Z825" s="49" t="s">
        <v>214</v>
      </c>
      <c r="AA825" s="55" t="s">
        <v>214</v>
      </c>
      <c r="AB825" s="48" t="s">
        <v>11536</v>
      </c>
      <c r="AC825" s="62" t="s">
        <v>11533</v>
      </c>
      <c r="AD825" s="53" t="str">
        <f t="shared" si="682"/>
        <v>Link</v>
      </c>
      <c r="AE825" s="54">
        <v>8993</v>
      </c>
      <c r="AF825" s="55"/>
      <c r="AG825" s="7"/>
      <c r="AH825" s="56">
        <v>230171</v>
      </c>
      <c r="AI825" s="56"/>
      <c r="AJ825" s="56"/>
      <c r="AK825" s="56"/>
    </row>
    <row r="826" spans="1:37" ht="13" x14ac:dyDescent="0.15">
      <c r="A826" s="57" t="s">
        <v>2071</v>
      </c>
      <c r="B826" s="31" t="s">
        <v>11071</v>
      </c>
      <c r="C826" s="7" t="s">
        <v>41</v>
      </c>
      <c r="D826" s="7" t="s">
        <v>11560</v>
      </c>
      <c r="E826" s="44">
        <v>5</v>
      </c>
      <c r="F826" s="7"/>
      <c r="G826" s="7"/>
      <c r="H826" s="2" t="s">
        <v>11522</v>
      </c>
      <c r="I826" s="7" t="s">
        <v>1454</v>
      </c>
      <c r="J826" s="7" t="s">
        <v>9115</v>
      </c>
      <c r="K826" s="7" t="s">
        <v>55</v>
      </c>
      <c r="L826" s="7"/>
      <c r="M826" s="7"/>
      <c r="N826" s="45" t="str">
        <f t="shared" si="680"/>
        <v>@dixiestatesb</v>
      </c>
      <c r="O826" s="74" t="str">
        <f t="shared" si="681"/>
        <v>Questionnaire</v>
      </c>
      <c r="P826" s="7" t="s">
        <v>11533</v>
      </c>
      <c r="Q826" s="36" t="s">
        <v>3719</v>
      </c>
      <c r="R826" s="48" t="s">
        <v>11535</v>
      </c>
      <c r="S826" s="48" t="s">
        <v>238</v>
      </c>
      <c r="T826" s="49" t="s">
        <v>74</v>
      </c>
      <c r="U826" s="49" t="s">
        <v>75</v>
      </c>
      <c r="V826" s="7"/>
      <c r="W826" s="44">
        <v>3.26</v>
      </c>
      <c r="X826" s="7" t="s">
        <v>214</v>
      </c>
      <c r="Y826" s="7" t="s">
        <v>214</v>
      </c>
      <c r="Z826" s="49" t="s">
        <v>214</v>
      </c>
      <c r="AA826" s="55" t="s">
        <v>214</v>
      </c>
      <c r="AB826" s="48" t="s">
        <v>11536</v>
      </c>
      <c r="AC826" s="62" t="s">
        <v>11533</v>
      </c>
      <c r="AD826" s="53" t="str">
        <f t="shared" si="682"/>
        <v>Link</v>
      </c>
      <c r="AE826" s="54">
        <v>8993</v>
      </c>
      <c r="AF826" s="55"/>
      <c r="AG826" s="7"/>
      <c r="AH826" s="56">
        <v>230171</v>
      </c>
      <c r="AI826" s="56"/>
      <c r="AJ826" s="56"/>
      <c r="AK826" s="56"/>
    </row>
    <row r="827" spans="1:37" ht="13" x14ac:dyDescent="0.15">
      <c r="A827" s="57" t="s">
        <v>2071</v>
      </c>
      <c r="B827" s="31" t="s">
        <v>11071</v>
      </c>
      <c r="C827" s="7" t="s">
        <v>41</v>
      </c>
      <c r="D827" s="7" t="s">
        <v>11566</v>
      </c>
      <c r="E827" s="44">
        <v>5</v>
      </c>
      <c r="F827" s="7"/>
      <c r="G827" s="7"/>
      <c r="H827" s="2" t="s">
        <v>11522</v>
      </c>
      <c r="I827" s="7" t="s">
        <v>1954</v>
      </c>
      <c r="J827" s="7" t="s">
        <v>11567</v>
      </c>
      <c r="K827" s="7" t="s">
        <v>1558</v>
      </c>
      <c r="L827" s="7" t="s">
        <v>11568</v>
      </c>
      <c r="M827" s="7"/>
      <c r="N827" s="45" t="str">
        <f t="shared" si="680"/>
        <v>@dixiestatesb</v>
      </c>
      <c r="O827" s="74" t="str">
        <f t="shared" si="681"/>
        <v>Questionnaire</v>
      </c>
      <c r="P827" s="7" t="s">
        <v>11533</v>
      </c>
      <c r="Q827" s="36" t="s">
        <v>3719</v>
      </c>
      <c r="R827" s="48" t="s">
        <v>11535</v>
      </c>
      <c r="S827" s="48" t="s">
        <v>238</v>
      </c>
      <c r="T827" s="49" t="s">
        <v>74</v>
      </c>
      <c r="U827" s="49" t="s">
        <v>75</v>
      </c>
      <c r="V827" s="7"/>
      <c r="W827" s="44">
        <v>3.26</v>
      </c>
      <c r="X827" s="7" t="s">
        <v>214</v>
      </c>
      <c r="Y827" s="7" t="s">
        <v>214</v>
      </c>
      <c r="Z827" s="49" t="s">
        <v>214</v>
      </c>
      <c r="AA827" s="55" t="s">
        <v>214</v>
      </c>
      <c r="AB827" s="48" t="s">
        <v>11536</v>
      </c>
      <c r="AC827" s="62" t="s">
        <v>11533</v>
      </c>
      <c r="AD827" s="53" t="str">
        <f t="shared" si="682"/>
        <v>Link</v>
      </c>
      <c r="AE827" s="54">
        <v>8993</v>
      </c>
      <c r="AF827" s="55"/>
      <c r="AG827" s="7"/>
      <c r="AH827" s="56">
        <v>230171</v>
      </c>
      <c r="AI827" s="56"/>
      <c r="AJ827" s="56"/>
      <c r="AK827" s="56"/>
    </row>
    <row r="828" spans="1:37" ht="13" x14ac:dyDescent="0.15">
      <c r="A828" s="57" t="s">
        <v>2694</v>
      </c>
      <c r="B828" s="31" t="s">
        <v>11575</v>
      </c>
      <c r="C828" s="7" t="s">
        <v>41</v>
      </c>
      <c r="D828" s="7" t="s">
        <v>11576</v>
      </c>
      <c r="E828" s="44">
        <v>5</v>
      </c>
      <c r="F828" s="7"/>
      <c r="G828" s="7"/>
      <c r="H828" s="2" t="s">
        <v>11577</v>
      </c>
      <c r="I828" s="7" t="s">
        <v>3444</v>
      </c>
      <c r="J828" s="7" t="s">
        <v>11578</v>
      </c>
      <c r="K828" s="7" t="s">
        <v>48</v>
      </c>
      <c r="L828" s="7" t="s">
        <v>11579</v>
      </c>
      <c r="M828" s="7" t="s">
        <v>11580</v>
      </c>
      <c r="N828" s="45" t="str">
        <f t="shared" ref="N828:N830" si="683">HYPERLINK("twitter.com/smcsoftball","@smcsoftball")</f>
        <v>@smcsoftball</v>
      </c>
      <c r="O828" s="74" t="str">
        <f t="shared" ref="O828:O830" si="684">HYPERLINK("https://www.smcathletics.com/information/prospective/index","Questionnaire")</f>
        <v>Questionnaire</v>
      </c>
      <c r="P828" s="7" t="s">
        <v>11588</v>
      </c>
      <c r="Q828" s="57" t="s">
        <v>11589</v>
      </c>
      <c r="R828" s="48" t="s">
        <v>11591</v>
      </c>
      <c r="S828" s="48" t="s">
        <v>172</v>
      </c>
      <c r="T828" s="49" t="s">
        <v>63</v>
      </c>
      <c r="U828" s="49" t="s">
        <v>343</v>
      </c>
      <c r="V828" s="7"/>
      <c r="W828" s="44">
        <v>3.18</v>
      </c>
      <c r="X828" s="7" t="s">
        <v>833</v>
      </c>
      <c r="Y828" s="7" t="s">
        <v>85</v>
      </c>
      <c r="Z828" s="49" t="s">
        <v>1408</v>
      </c>
      <c r="AA828" s="61">
        <v>0.77</v>
      </c>
      <c r="AB828" s="71">
        <v>55455</v>
      </c>
      <c r="AC828" s="62" t="s">
        <v>11588</v>
      </c>
      <c r="AD828" s="53" t="str">
        <f t="shared" ref="AD828:AD830" si="685">HYPERLINK("http://www.smcvt.edu/academics/majors-minors-and-curriculum/majors-minors-programs.aspx","Link")</f>
        <v>Link</v>
      </c>
      <c r="AE828" s="54">
        <v>1902</v>
      </c>
      <c r="AF828" s="55"/>
      <c r="AG828" s="44">
        <v>106</v>
      </c>
      <c r="AH828" s="56">
        <v>231059</v>
      </c>
      <c r="AI828" s="56"/>
      <c r="AJ828" s="56"/>
      <c r="AK828" s="56"/>
    </row>
    <row r="829" spans="1:37" ht="13" x14ac:dyDescent="0.15">
      <c r="A829" s="57" t="s">
        <v>2694</v>
      </c>
      <c r="B829" s="31" t="s">
        <v>11575</v>
      </c>
      <c r="C829" s="7" t="s">
        <v>41</v>
      </c>
      <c r="D829" s="7" t="s">
        <v>11593</v>
      </c>
      <c r="E829" s="44">
        <v>5</v>
      </c>
      <c r="F829" s="7"/>
      <c r="G829" s="7"/>
      <c r="H829" s="2" t="s">
        <v>11577</v>
      </c>
      <c r="I829" s="7" t="s">
        <v>3905</v>
      </c>
      <c r="J829" s="7" t="s">
        <v>11595</v>
      </c>
      <c r="K829" s="7" t="s">
        <v>55</v>
      </c>
      <c r="L829" s="7"/>
      <c r="M829" s="7"/>
      <c r="N829" s="45" t="str">
        <f t="shared" si="683"/>
        <v>@smcsoftball</v>
      </c>
      <c r="O829" s="74" t="str">
        <f t="shared" si="684"/>
        <v>Questionnaire</v>
      </c>
      <c r="P829" s="7" t="s">
        <v>11588</v>
      </c>
      <c r="Q829" s="57" t="s">
        <v>11589</v>
      </c>
      <c r="R829" s="48" t="s">
        <v>11591</v>
      </c>
      <c r="S829" s="48" t="s">
        <v>172</v>
      </c>
      <c r="T829" s="49" t="s">
        <v>63</v>
      </c>
      <c r="U829" s="49" t="s">
        <v>343</v>
      </c>
      <c r="V829" s="7"/>
      <c r="W829" s="44">
        <v>3.18</v>
      </c>
      <c r="X829" s="7" t="s">
        <v>833</v>
      </c>
      <c r="Y829" s="7" t="s">
        <v>85</v>
      </c>
      <c r="Z829" s="49" t="s">
        <v>1408</v>
      </c>
      <c r="AA829" s="61">
        <v>0.77</v>
      </c>
      <c r="AB829" s="71">
        <v>55455</v>
      </c>
      <c r="AC829" s="62" t="s">
        <v>11588</v>
      </c>
      <c r="AD829" s="53" t="str">
        <f t="shared" si="685"/>
        <v>Link</v>
      </c>
      <c r="AE829" s="54">
        <v>1902</v>
      </c>
      <c r="AF829" s="55"/>
      <c r="AG829" s="44">
        <v>106</v>
      </c>
      <c r="AH829" s="56">
        <v>231059</v>
      </c>
      <c r="AI829" s="56"/>
      <c r="AJ829" s="56"/>
      <c r="AK829" s="56"/>
    </row>
    <row r="830" spans="1:37" ht="13" x14ac:dyDescent="0.15">
      <c r="A830" s="57" t="s">
        <v>2694</v>
      </c>
      <c r="B830" s="31" t="s">
        <v>11575</v>
      </c>
      <c r="C830" s="7" t="s">
        <v>41</v>
      </c>
      <c r="D830" s="7" t="s">
        <v>11600</v>
      </c>
      <c r="E830" s="44">
        <v>5</v>
      </c>
      <c r="F830" s="7"/>
      <c r="G830" s="7"/>
      <c r="H830" s="2" t="s">
        <v>11577</v>
      </c>
      <c r="I830" s="7" t="s">
        <v>1726</v>
      </c>
      <c r="J830" s="7" t="s">
        <v>196</v>
      </c>
      <c r="K830" s="7" t="s">
        <v>55</v>
      </c>
      <c r="L830" s="7"/>
      <c r="M830" s="7"/>
      <c r="N830" s="45" t="str">
        <f t="shared" si="683"/>
        <v>@smcsoftball</v>
      </c>
      <c r="O830" s="74" t="str">
        <f t="shared" si="684"/>
        <v>Questionnaire</v>
      </c>
      <c r="P830" s="7" t="s">
        <v>11588</v>
      </c>
      <c r="Q830" s="57" t="s">
        <v>11589</v>
      </c>
      <c r="R830" s="48" t="s">
        <v>11591</v>
      </c>
      <c r="S830" s="48" t="s">
        <v>172</v>
      </c>
      <c r="T830" s="49" t="s">
        <v>63</v>
      </c>
      <c r="U830" s="49" t="s">
        <v>343</v>
      </c>
      <c r="V830" s="7"/>
      <c r="W830" s="44">
        <v>3.18</v>
      </c>
      <c r="X830" s="7" t="s">
        <v>833</v>
      </c>
      <c r="Y830" s="7" t="s">
        <v>85</v>
      </c>
      <c r="Z830" s="49" t="s">
        <v>1408</v>
      </c>
      <c r="AA830" s="61">
        <v>0.77</v>
      </c>
      <c r="AB830" s="71">
        <v>55455</v>
      </c>
      <c r="AC830" s="62" t="s">
        <v>11588</v>
      </c>
      <c r="AD830" s="53" t="str">
        <f t="shared" si="685"/>
        <v>Link</v>
      </c>
      <c r="AE830" s="54">
        <v>1902</v>
      </c>
      <c r="AF830" s="55"/>
      <c r="AG830" s="44">
        <v>106</v>
      </c>
      <c r="AH830" s="56">
        <v>231059</v>
      </c>
      <c r="AI830" s="56"/>
      <c r="AJ830" s="56"/>
      <c r="AK830" s="56"/>
    </row>
    <row r="831" spans="1:37" ht="13" x14ac:dyDescent="0.15">
      <c r="A831" s="57" t="s">
        <v>5122</v>
      </c>
      <c r="B831" s="31" t="s">
        <v>1374</v>
      </c>
      <c r="C831" s="7" t="s">
        <v>41</v>
      </c>
      <c r="D831" s="7" t="s">
        <v>11612</v>
      </c>
      <c r="E831" s="44">
        <v>5</v>
      </c>
      <c r="F831" s="7"/>
      <c r="G831" s="7"/>
      <c r="H831" s="2" t="s">
        <v>11613</v>
      </c>
      <c r="I831" s="7" t="s">
        <v>11615</v>
      </c>
      <c r="J831" s="7" t="s">
        <v>11616</v>
      </c>
      <c r="K831" s="7" t="s">
        <v>48</v>
      </c>
      <c r="L831" s="7" t="s">
        <v>11617</v>
      </c>
      <c r="M831" s="7" t="s">
        <v>11618</v>
      </c>
      <c r="N831" s="7"/>
      <c r="O831" s="74" t="str">
        <f t="shared" ref="O831:O833" si="686">HYPERLINK("https://govsutrojans.com/documents/2016/5/20//Athletics_Interest_Form_Fillable_UPDATE_87.pdf?id=353","Questionnaire")</f>
        <v>Questionnaire</v>
      </c>
      <c r="P831" s="7" t="s">
        <v>11624</v>
      </c>
      <c r="Q831" s="57" t="s">
        <v>1361</v>
      </c>
      <c r="R831" s="48" t="s">
        <v>11625</v>
      </c>
      <c r="S831" s="48" t="s">
        <v>468</v>
      </c>
      <c r="T831" s="49" t="s">
        <v>74</v>
      </c>
      <c r="U831" s="49" t="s">
        <v>75</v>
      </c>
      <c r="V831" s="7" t="s">
        <v>212</v>
      </c>
      <c r="W831" s="44">
        <v>2.85</v>
      </c>
      <c r="X831" s="7" t="s">
        <v>8938</v>
      </c>
      <c r="Y831" s="7" t="s">
        <v>7880</v>
      </c>
      <c r="Z831" s="49" t="s">
        <v>3784</v>
      </c>
      <c r="AA831" s="61">
        <v>0.94</v>
      </c>
      <c r="AB831" s="48" t="s">
        <v>11627</v>
      </c>
      <c r="AC831" s="62" t="s">
        <v>11624</v>
      </c>
      <c r="AD831" s="53" t="str">
        <f t="shared" ref="AD831:AD833" si="687">HYPERLINK("http://www.vsu.edu/academics/degree-programs.php","Link")</f>
        <v>Link</v>
      </c>
      <c r="AE831" s="54">
        <v>4165</v>
      </c>
      <c r="AF831" s="55"/>
      <c r="AG831" s="7"/>
      <c r="AH831" s="56">
        <v>234155</v>
      </c>
      <c r="AI831" s="56"/>
      <c r="AJ831" s="56"/>
      <c r="AK831" s="56"/>
    </row>
    <row r="832" spans="1:37" ht="13" x14ac:dyDescent="0.15">
      <c r="A832" s="57" t="s">
        <v>5122</v>
      </c>
      <c r="B832" s="31" t="s">
        <v>1374</v>
      </c>
      <c r="C832" s="7" t="s">
        <v>41</v>
      </c>
      <c r="D832" s="7" t="s">
        <v>11634</v>
      </c>
      <c r="E832" s="44">
        <v>5</v>
      </c>
      <c r="F832" s="7"/>
      <c r="G832" s="7"/>
      <c r="H832" s="2" t="s">
        <v>11613</v>
      </c>
      <c r="I832" s="7" t="s">
        <v>819</v>
      </c>
      <c r="J832" s="7" t="s">
        <v>11635</v>
      </c>
      <c r="K832" s="7" t="s">
        <v>55</v>
      </c>
      <c r="L832" s="7" t="s">
        <v>11636</v>
      </c>
      <c r="M832" s="7" t="s">
        <v>11637</v>
      </c>
      <c r="N832" s="7"/>
      <c r="O832" s="74" t="str">
        <f t="shared" si="686"/>
        <v>Questionnaire</v>
      </c>
      <c r="P832" s="7" t="s">
        <v>11624</v>
      </c>
      <c r="Q832" s="57" t="s">
        <v>1361</v>
      </c>
      <c r="R832" s="48" t="s">
        <v>11625</v>
      </c>
      <c r="S832" s="48" t="s">
        <v>468</v>
      </c>
      <c r="T832" s="49" t="s">
        <v>74</v>
      </c>
      <c r="U832" s="49" t="s">
        <v>75</v>
      </c>
      <c r="V832" s="7" t="s">
        <v>212</v>
      </c>
      <c r="W832" s="44">
        <v>2.85</v>
      </c>
      <c r="X832" s="7" t="s">
        <v>8938</v>
      </c>
      <c r="Y832" s="7" t="s">
        <v>7880</v>
      </c>
      <c r="Z832" s="49" t="s">
        <v>3784</v>
      </c>
      <c r="AA832" s="61">
        <v>0.94</v>
      </c>
      <c r="AB832" s="48" t="s">
        <v>11627</v>
      </c>
      <c r="AC832" s="62" t="s">
        <v>11624</v>
      </c>
      <c r="AD832" s="53" t="str">
        <f t="shared" si="687"/>
        <v>Link</v>
      </c>
      <c r="AE832" s="54">
        <v>4165</v>
      </c>
      <c r="AF832" s="55"/>
      <c r="AG832" s="7"/>
      <c r="AH832" s="56">
        <v>234155</v>
      </c>
      <c r="AI832" s="56"/>
      <c r="AJ832" s="56"/>
      <c r="AK832" s="56"/>
    </row>
    <row r="833" spans="1:37" ht="13" x14ac:dyDescent="0.15">
      <c r="A833" s="57" t="s">
        <v>5122</v>
      </c>
      <c r="B833" s="31" t="s">
        <v>1374</v>
      </c>
      <c r="C833" s="7" t="s">
        <v>41</v>
      </c>
      <c r="D833" s="7" t="s">
        <v>11642</v>
      </c>
      <c r="E833" s="44">
        <v>5</v>
      </c>
      <c r="F833" s="7"/>
      <c r="G833" s="7"/>
      <c r="H833" s="2" t="s">
        <v>11613</v>
      </c>
      <c r="I833" s="7" t="s">
        <v>11644</v>
      </c>
      <c r="J833" s="7" t="s">
        <v>4134</v>
      </c>
      <c r="K833" s="7" t="s">
        <v>55</v>
      </c>
      <c r="L833" s="7" t="s">
        <v>11647</v>
      </c>
      <c r="M833" s="7" t="s">
        <v>11618</v>
      </c>
      <c r="N833" s="7"/>
      <c r="O833" s="74" t="str">
        <f t="shared" si="686"/>
        <v>Questionnaire</v>
      </c>
      <c r="P833" s="7" t="s">
        <v>11624</v>
      </c>
      <c r="Q833" s="57" t="s">
        <v>1361</v>
      </c>
      <c r="R833" s="48" t="s">
        <v>11625</v>
      </c>
      <c r="S833" s="48" t="s">
        <v>468</v>
      </c>
      <c r="T833" s="49" t="s">
        <v>74</v>
      </c>
      <c r="U833" s="49" t="s">
        <v>75</v>
      </c>
      <c r="V833" s="7" t="s">
        <v>212</v>
      </c>
      <c r="W833" s="44">
        <v>2.85</v>
      </c>
      <c r="X833" s="7" t="s">
        <v>8938</v>
      </c>
      <c r="Y833" s="7" t="s">
        <v>7880</v>
      </c>
      <c r="Z833" s="49" t="s">
        <v>3784</v>
      </c>
      <c r="AA833" s="61">
        <v>0.94</v>
      </c>
      <c r="AB833" s="48" t="s">
        <v>11627</v>
      </c>
      <c r="AC833" s="62" t="s">
        <v>11624</v>
      </c>
      <c r="AD833" s="53" t="str">
        <f t="shared" si="687"/>
        <v>Link</v>
      </c>
      <c r="AE833" s="54">
        <v>4165</v>
      </c>
      <c r="AF833" s="55"/>
      <c r="AG833" s="7"/>
      <c r="AH833" s="56">
        <v>234155</v>
      </c>
      <c r="AI833" s="56"/>
      <c r="AJ833" s="56"/>
      <c r="AK833" s="56"/>
    </row>
    <row r="834" spans="1:37" ht="13" x14ac:dyDescent="0.15">
      <c r="A834" s="57" t="s">
        <v>5122</v>
      </c>
      <c r="B834" s="31" t="s">
        <v>1374</v>
      </c>
      <c r="C834" s="7" t="s">
        <v>41</v>
      </c>
      <c r="D834" s="7" t="s">
        <v>11650</v>
      </c>
      <c r="E834" s="44">
        <v>5</v>
      </c>
      <c r="F834" s="7"/>
      <c r="G834" s="7"/>
      <c r="H834" s="2" t="s">
        <v>11651</v>
      </c>
      <c r="I834" s="7" t="s">
        <v>11652</v>
      </c>
      <c r="J834" s="7" t="s">
        <v>11653</v>
      </c>
      <c r="K834" s="7" t="s">
        <v>48</v>
      </c>
      <c r="L834" s="7" t="s">
        <v>11655</v>
      </c>
      <c r="M834" s="7" t="s">
        <v>11657</v>
      </c>
      <c r="N834" s="48"/>
      <c r="O834" s="74" t="str">
        <f t="shared" ref="O834:O835" si="688">HYPERLINK("https://vuusports.com/sb_output.aspx?form=3","Questionnaire")</f>
        <v>Questionnaire</v>
      </c>
      <c r="P834" s="7" t="s">
        <v>11659</v>
      </c>
      <c r="Q834" s="36" t="s">
        <v>1361</v>
      </c>
      <c r="R834" s="6" t="s">
        <v>10344</v>
      </c>
      <c r="S834" s="6" t="s">
        <v>62</v>
      </c>
      <c r="T834" s="4" t="s">
        <v>63</v>
      </c>
      <c r="U834" s="4" t="s">
        <v>2619</v>
      </c>
      <c r="V834" s="7" t="s">
        <v>212</v>
      </c>
      <c r="W834" s="37">
        <v>2.71</v>
      </c>
      <c r="X834" s="7" t="s">
        <v>11660</v>
      </c>
      <c r="Y834" s="7" t="s">
        <v>8963</v>
      </c>
      <c r="Z834" s="4" t="s">
        <v>11661</v>
      </c>
      <c r="AA834" s="65">
        <v>0.41</v>
      </c>
      <c r="AB834" s="39">
        <v>30386</v>
      </c>
      <c r="AC834" s="76" t="s">
        <v>11659</v>
      </c>
      <c r="AD834" s="67" t="str">
        <f t="shared" ref="AD834:AD835" si="689">HYPERLINK("https://www.vuu.edu/academics/schools/school-of-humanities-social-sciences/academic-majors","Link")</f>
        <v>Link</v>
      </c>
      <c r="AE834" s="42">
        <v>1393</v>
      </c>
      <c r="AF834" s="55"/>
      <c r="AG834" s="7"/>
      <c r="AH834" s="56">
        <v>234164</v>
      </c>
      <c r="AI834" s="56"/>
      <c r="AJ834" s="56"/>
      <c r="AK834" s="56"/>
    </row>
    <row r="835" spans="1:37" ht="13" x14ac:dyDescent="0.15">
      <c r="A835" s="57" t="s">
        <v>5122</v>
      </c>
      <c r="B835" s="31" t="s">
        <v>1374</v>
      </c>
      <c r="C835" s="7" t="s">
        <v>41</v>
      </c>
      <c r="D835" s="7" t="s">
        <v>11667</v>
      </c>
      <c r="E835" s="44">
        <v>5</v>
      </c>
      <c r="F835" s="7"/>
      <c r="G835" s="7"/>
      <c r="H835" s="2" t="s">
        <v>11651</v>
      </c>
      <c r="I835" s="7" t="s">
        <v>11668</v>
      </c>
      <c r="J835" s="7" t="s">
        <v>571</v>
      </c>
      <c r="K835" s="7" t="s">
        <v>55</v>
      </c>
      <c r="L835" s="7" t="s">
        <v>11669</v>
      </c>
      <c r="M835" s="7" t="s">
        <v>11657</v>
      </c>
      <c r="N835" s="48"/>
      <c r="O835" s="74" t="str">
        <f t="shared" si="688"/>
        <v>Questionnaire</v>
      </c>
      <c r="P835" s="7" t="s">
        <v>11659</v>
      </c>
      <c r="Q835" s="36" t="s">
        <v>1361</v>
      </c>
      <c r="R835" s="6" t="s">
        <v>10344</v>
      </c>
      <c r="S835" s="6" t="s">
        <v>62</v>
      </c>
      <c r="T835" s="4" t="s">
        <v>63</v>
      </c>
      <c r="U835" s="4" t="s">
        <v>2619</v>
      </c>
      <c r="V835" s="7" t="s">
        <v>212</v>
      </c>
      <c r="W835" s="37">
        <v>2.71</v>
      </c>
      <c r="X835" s="7" t="s">
        <v>11660</v>
      </c>
      <c r="Y835" s="7" t="s">
        <v>8963</v>
      </c>
      <c r="Z835" s="4" t="s">
        <v>11661</v>
      </c>
      <c r="AA835" s="65">
        <v>0.41</v>
      </c>
      <c r="AB835" s="39">
        <v>30386</v>
      </c>
      <c r="AC835" s="76" t="s">
        <v>11659</v>
      </c>
      <c r="AD835" s="67" t="str">
        <f t="shared" si="689"/>
        <v>Link</v>
      </c>
      <c r="AE835" s="42">
        <v>1393</v>
      </c>
      <c r="AF835" s="55"/>
      <c r="AG835" s="7"/>
      <c r="AH835" s="56">
        <v>234164</v>
      </c>
      <c r="AI835" s="56"/>
      <c r="AJ835" s="56"/>
      <c r="AK835" s="56"/>
    </row>
    <row r="836" spans="1:37" ht="13" x14ac:dyDescent="0.15">
      <c r="A836" s="57" t="s">
        <v>8540</v>
      </c>
      <c r="B836" s="31" t="s">
        <v>1374</v>
      </c>
      <c r="C836" s="7" t="s">
        <v>41</v>
      </c>
      <c r="D836" s="7" t="s">
        <v>11674</v>
      </c>
      <c r="E836" s="44">
        <v>5</v>
      </c>
      <c r="F836" s="7"/>
      <c r="G836" s="7"/>
      <c r="H836" s="2" t="s">
        <v>11675</v>
      </c>
      <c r="I836" s="7" t="s">
        <v>3444</v>
      </c>
      <c r="J836" s="7" t="s">
        <v>11677</v>
      </c>
      <c r="K836" s="7" t="s">
        <v>3999</v>
      </c>
      <c r="L836" s="7" t="s">
        <v>11678</v>
      </c>
      <c r="M836" s="7" t="s">
        <v>11680</v>
      </c>
      <c r="N836" s="45" t="str">
        <f t="shared" ref="N836:N837" si="690">HYPERLINK("twitter.com/UVaWiseSB","@UVaWiseSB")</f>
        <v>@UVaWiseSB</v>
      </c>
      <c r="O836" s="74" t="str">
        <f t="shared" ref="O836:O837" si="691">HYPERLINK("https://questionnaires.armssoftware.com/971c96979670","Questionnaire")</f>
        <v>Questionnaire</v>
      </c>
      <c r="P836" s="7" t="s">
        <v>11691</v>
      </c>
      <c r="Q836" s="57" t="s">
        <v>1361</v>
      </c>
      <c r="R836" s="48" t="s">
        <v>11692</v>
      </c>
      <c r="S836" s="60" t="s">
        <v>205</v>
      </c>
      <c r="T836" s="73" t="s">
        <v>74</v>
      </c>
      <c r="U836" s="49" t="s">
        <v>75</v>
      </c>
      <c r="V836" s="7"/>
      <c r="W836" s="44">
        <v>3.42</v>
      </c>
      <c r="X836" s="7" t="s">
        <v>1453</v>
      </c>
      <c r="Y836" s="7" t="s">
        <v>1338</v>
      </c>
      <c r="Z836" s="49" t="s">
        <v>449</v>
      </c>
      <c r="AA836" s="61">
        <v>0.78</v>
      </c>
      <c r="AB836" s="48" t="s">
        <v>11693</v>
      </c>
      <c r="AC836" s="62" t="s">
        <v>11691</v>
      </c>
      <c r="AD836" s="53" t="str">
        <f t="shared" ref="AD836:AD837" si="692">HYPERLINK("https://www.uvawise.edu/academics/majors-departments/","Link")</f>
        <v>Link</v>
      </c>
      <c r="AE836" s="54">
        <v>2212</v>
      </c>
      <c r="AF836" s="55"/>
      <c r="AG836" s="7"/>
      <c r="AH836" s="56">
        <v>233897</v>
      </c>
      <c r="AI836" s="56"/>
      <c r="AJ836" s="56"/>
      <c r="AK836" s="56"/>
    </row>
    <row r="837" spans="1:37" ht="13" x14ac:dyDescent="0.15">
      <c r="A837" s="57" t="s">
        <v>8540</v>
      </c>
      <c r="B837" s="31" t="s">
        <v>1374</v>
      </c>
      <c r="C837" s="7" t="s">
        <v>41</v>
      </c>
      <c r="D837" s="7" t="s">
        <v>11704</v>
      </c>
      <c r="E837" s="44">
        <v>5</v>
      </c>
      <c r="F837" s="7"/>
      <c r="G837" s="7"/>
      <c r="H837" s="2" t="s">
        <v>11675</v>
      </c>
      <c r="I837" s="7" t="s">
        <v>6745</v>
      </c>
      <c r="J837" s="7" t="s">
        <v>11677</v>
      </c>
      <c r="K837" s="7" t="s">
        <v>3999</v>
      </c>
      <c r="L837" s="7" t="s">
        <v>11705</v>
      </c>
      <c r="M837" s="7" t="s">
        <v>11680</v>
      </c>
      <c r="N837" s="45" t="str">
        <f t="shared" si="690"/>
        <v>@UVaWiseSB</v>
      </c>
      <c r="O837" s="74" t="str">
        <f t="shared" si="691"/>
        <v>Questionnaire</v>
      </c>
      <c r="P837" s="7" t="s">
        <v>11691</v>
      </c>
      <c r="Q837" s="57" t="s">
        <v>1361</v>
      </c>
      <c r="R837" s="48" t="s">
        <v>11692</v>
      </c>
      <c r="S837" s="60" t="s">
        <v>205</v>
      </c>
      <c r="T837" s="73" t="s">
        <v>74</v>
      </c>
      <c r="U837" s="49" t="s">
        <v>75</v>
      </c>
      <c r="V837" s="7"/>
      <c r="W837" s="44">
        <v>3.42</v>
      </c>
      <c r="X837" s="7" t="s">
        <v>1453</v>
      </c>
      <c r="Y837" s="7" t="s">
        <v>1338</v>
      </c>
      <c r="Z837" s="49" t="s">
        <v>449</v>
      </c>
      <c r="AA837" s="61">
        <v>0.78</v>
      </c>
      <c r="AB837" s="48" t="s">
        <v>11693</v>
      </c>
      <c r="AC837" s="62" t="s">
        <v>11691</v>
      </c>
      <c r="AD837" s="53" t="str">
        <f t="shared" si="692"/>
        <v>Link</v>
      </c>
      <c r="AE837" s="54">
        <v>2212</v>
      </c>
      <c r="AF837" s="55"/>
      <c r="AG837" s="7"/>
      <c r="AH837" s="56">
        <v>233897</v>
      </c>
      <c r="AI837" s="56"/>
      <c r="AJ837" s="56"/>
      <c r="AK837" s="56"/>
    </row>
    <row r="838" spans="1:37" ht="15" x14ac:dyDescent="0.2">
      <c r="A838" s="57" t="s">
        <v>906</v>
      </c>
      <c r="B838" s="31" t="s">
        <v>1434</v>
      </c>
      <c r="C838" s="7" t="s">
        <v>41</v>
      </c>
      <c r="D838" s="7" t="s">
        <v>11712</v>
      </c>
      <c r="E838" s="44">
        <v>5</v>
      </c>
      <c r="F838" s="7"/>
      <c r="G838" s="7"/>
      <c r="H838" s="2" t="s">
        <v>11713</v>
      </c>
      <c r="I838" s="7" t="s">
        <v>11714</v>
      </c>
      <c r="J838" s="7" t="s">
        <v>1448</v>
      </c>
      <c r="K838" s="7" t="s">
        <v>55</v>
      </c>
      <c r="L838" s="7" t="s">
        <v>11716</v>
      </c>
      <c r="M838" s="7"/>
      <c r="N838" s="45" t="str">
        <f t="shared" ref="N838:N841" si="693">HYPERLINK("twitter.com/cwusoftball","@cwusoftball")</f>
        <v>@cwusoftball</v>
      </c>
      <c r="O838" s="74" t="str">
        <f t="shared" ref="O838:O841" si="694">HYPERLINK("https://wildcatsports.com/sb_output.aspx?form=3","Questionnaire")</f>
        <v>Questionnaire</v>
      </c>
      <c r="P838" s="7" t="s">
        <v>11724</v>
      </c>
      <c r="Q838" s="57" t="s">
        <v>11124</v>
      </c>
      <c r="R838" s="48" t="s">
        <v>11727</v>
      </c>
      <c r="S838" s="48" t="s">
        <v>172</v>
      </c>
      <c r="T838" s="49" t="s">
        <v>74</v>
      </c>
      <c r="U838" s="49" t="s">
        <v>75</v>
      </c>
      <c r="V838" s="7"/>
      <c r="W838" s="44">
        <v>3.2</v>
      </c>
      <c r="X838" s="7" t="s">
        <v>2141</v>
      </c>
      <c r="Y838" s="7" t="s">
        <v>895</v>
      </c>
      <c r="Z838" s="49" t="s">
        <v>841</v>
      </c>
      <c r="AA838" s="51">
        <v>0.79710000000000003</v>
      </c>
      <c r="AB838" s="48" t="s">
        <v>11730</v>
      </c>
      <c r="AC838" s="52" t="s">
        <v>11724</v>
      </c>
      <c r="AD838" s="53" t="str">
        <f t="shared" ref="AD838:AD841" si="695">HYPERLINK("http://www.cwu.edu/4-year-degree-programs","Link")</f>
        <v>Link</v>
      </c>
      <c r="AE838" s="54">
        <v>11119</v>
      </c>
      <c r="AF838" s="55"/>
      <c r="AG838" s="7"/>
      <c r="AH838" s="56">
        <v>234827</v>
      </c>
      <c r="AI838" s="56"/>
      <c r="AJ838" s="56"/>
      <c r="AK838" s="56"/>
    </row>
    <row r="839" spans="1:37" ht="15" x14ac:dyDescent="0.2">
      <c r="A839" s="57" t="s">
        <v>906</v>
      </c>
      <c r="B839" s="31" t="s">
        <v>1434</v>
      </c>
      <c r="C839" s="7" t="s">
        <v>41</v>
      </c>
      <c r="D839" s="7" t="s">
        <v>11734</v>
      </c>
      <c r="E839" s="44">
        <v>5</v>
      </c>
      <c r="F839" s="7"/>
      <c r="G839" s="7"/>
      <c r="H839" s="2" t="s">
        <v>11713</v>
      </c>
      <c r="I839" s="7" t="s">
        <v>2402</v>
      </c>
      <c r="J839" s="7" t="s">
        <v>11737</v>
      </c>
      <c r="K839" s="7" t="s">
        <v>55</v>
      </c>
      <c r="L839" s="7"/>
      <c r="M839" s="7"/>
      <c r="N839" s="45" t="str">
        <f t="shared" si="693"/>
        <v>@cwusoftball</v>
      </c>
      <c r="O839" s="74" t="str">
        <f t="shared" si="694"/>
        <v>Questionnaire</v>
      </c>
      <c r="P839" s="7" t="s">
        <v>11724</v>
      </c>
      <c r="Q839" s="57" t="s">
        <v>11124</v>
      </c>
      <c r="R839" s="48" t="s">
        <v>11727</v>
      </c>
      <c r="S839" s="48" t="s">
        <v>172</v>
      </c>
      <c r="T839" s="49" t="s">
        <v>74</v>
      </c>
      <c r="U839" s="49" t="s">
        <v>75</v>
      </c>
      <c r="V839" s="7"/>
      <c r="W839" s="44">
        <v>3.2</v>
      </c>
      <c r="X839" s="7" t="s">
        <v>2141</v>
      </c>
      <c r="Y839" s="7" t="s">
        <v>895</v>
      </c>
      <c r="Z839" s="49" t="s">
        <v>841</v>
      </c>
      <c r="AA839" s="51">
        <v>0.79710000000000003</v>
      </c>
      <c r="AB839" s="48" t="s">
        <v>11730</v>
      </c>
      <c r="AC839" s="52" t="s">
        <v>11724</v>
      </c>
      <c r="AD839" s="53" t="str">
        <f t="shared" si="695"/>
        <v>Link</v>
      </c>
      <c r="AE839" s="54">
        <v>11119</v>
      </c>
      <c r="AF839" s="55"/>
      <c r="AG839" s="7"/>
      <c r="AH839" s="56">
        <v>234827</v>
      </c>
      <c r="AI839" s="56"/>
      <c r="AJ839" s="56"/>
      <c r="AK839" s="56"/>
    </row>
    <row r="840" spans="1:37" ht="15" x14ac:dyDescent="0.2">
      <c r="A840" s="57" t="s">
        <v>906</v>
      </c>
      <c r="B840" s="31" t="s">
        <v>1434</v>
      </c>
      <c r="C840" s="7" t="s">
        <v>41</v>
      </c>
      <c r="D840" s="7" t="s">
        <v>11751</v>
      </c>
      <c r="E840" s="58">
        <v>5</v>
      </c>
      <c r="F840" s="7" t="s">
        <v>116</v>
      </c>
      <c r="G840" s="7"/>
      <c r="H840" s="2" t="s">
        <v>11713</v>
      </c>
      <c r="I840" s="7" t="s">
        <v>588</v>
      </c>
      <c r="J840" s="7" t="s">
        <v>11755</v>
      </c>
      <c r="K840" s="7" t="s">
        <v>48</v>
      </c>
      <c r="L840" s="7" t="s">
        <v>11756</v>
      </c>
      <c r="M840" s="7"/>
      <c r="N840" s="45" t="str">
        <f t="shared" si="693"/>
        <v>@cwusoftball</v>
      </c>
      <c r="O840" s="74" t="str">
        <f t="shared" si="694"/>
        <v>Questionnaire</v>
      </c>
      <c r="P840" s="7" t="s">
        <v>11724</v>
      </c>
      <c r="Q840" s="57" t="s">
        <v>11124</v>
      </c>
      <c r="R840" s="48" t="s">
        <v>11727</v>
      </c>
      <c r="S840" s="48" t="s">
        <v>172</v>
      </c>
      <c r="T840" s="49" t="s">
        <v>74</v>
      </c>
      <c r="U840" s="49" t="s">
        <v>75</v>
      </c>
      <c r="V840" s="7"/>
      <c r="W840" s="44">
        <v>3.2</v>
      </c>
      <c r="X840" s="7" t="s">
        <v>2141</v>
      </c>
      <c r="Y840" s="7" t="s">
        <v>895</v>
      </c>
      <c r="Z840" s="49" t="s">
        <v>841</v>
      </c>
      <c r="AA840" s="51">
        <v>0.79710000000000003</v>
      </c>
      <c r="AB840" s="48" t="s">
        <v>11730</v>
      </c>
      <c r="AC840" s="52" t="s">
        <v>11724</v>
      </c>
      <c r="AD840" s="53" t="str">
        <f t="shared" si="695"/>
        <v>Link</v>
      </c>
      <c r="AE840" s="54">
        <v>11119</v>
      </c>
      <c r="AF840" s="55"/>
      <c r="AG840" s="7"/>
      <c r="AH840" s="111">
        <v>234827</v>
      </c>
      <c r="AI840" s="59"/>
      <c r="AJ840" s="59"/>
      <c r="AK840" s="56"/>
    </row>
    <row r="841" spans="1:37" ht="15" x14ac:dyDescent="0.2">
      <c r="A841" s="57" t="s">
        <v>906</v>
      </c>
      <c r="B841" s="31" t="s">
        <v>1434</v>
      </c>
      <c r="C841" s="7" t="s">
        <v>41</v>
      </c>
      <c r="D841" s="7" t="s">
        <v>11765</v>
      </c>
      <c r="E841" s="58">
        <v>5</v>
      </c>
      <c r="F841" s="7" t="s">
        <v>116</v>
      </c>
      <c r="G841" s="7"/>
      <c r="H841" s="2" t="s">
        <v>11713</v>
      </c>
      <c r="I841" s="7" t="s">
        <v>11766</v>
      </c>
      <c r="J841" s="7" t="s">
        <v>11768</v>
      </c>
      <c r="K841" s="7" t="s">
        <v>55</v>
      </c>
      <c r="L841" s="7" t="s">
        <v>11769</v>
      </c>
      <c r="M841" s="7"/>
      <c r="N841" s="45" t="str">
        <f t="shared" si="693"/>
        <v>@cwusoftball</v>
      </c>
      <c r="O841" s="74" t="str">
        <f t="shared" si="694"/>
        <v>Questionnaire</v>
      </c>
      <c r="P841" s="7" t="s">
        <v>11724</v>
      </c>
      <c r="Q841" s="57" t="s">
        <v>11124</v>
      </c>
      <c r="R841" s="48" t="s">
        <v>11727</v>
      </c>
      <c r="S841" s="48" t="s">
        <v>172</v>
      </c>
      <c r="T841" s="49" t="s">
        <v>74</v>
      </c>
      <c r="U841" s="49" t="s">
        <v>75</v>
      </c>
      <c r="V841" s="7"/>
      <c r="W841" s="44">
        <v>3.2</v>
      </c>
      <c r="X841" s="7" t="s">
        <v>2141</v>
      </c>
      <c r="Y841" s="7" t="s">
        <v>895</v>
      </c>
      <c r="Z841" s="49" t="s">
        <v>841</v>
      </c>
      <c r="AA841" s="51">
        <v>0.79710000000000003</v>
      </c>
      <c r="AB841" s="48" t="s">
        <v>11730</v>
      </c>
      <c r="AC841" s="52" t="s">
        <v>11724</v>
      </c>
      <c r="AD841" s="53" t="str">
        <f t="shared" si="695"/>
        <v>Link</v>
      </c>
      <c r="AE841" s="54">
        <v>11119</v>
      </c>
      <c r="AF841" s="55"/>
      <c r="AG841" s="7"/>
      <c r="AH841" s="111">
        <v>234827</v>
      </c>
      <c r="AI841" s="59"/>
      <c r="AJ841" s="59"/>
      <c r="AK841" s="56"/>
    </row>
    <row r="842" spans="1:37" ht="13" x14ac:dyDescent="0.15">
      <c r="A842" s="57" t="s">
        <v>906</v>
      </c>
      <c r="B842" s="31" t="s">
        <v>1434</v>
      </c>
      <c r="C842" s="7" t="s">
        <v>41</v>
      </c>
      <c r="D842" s="7" t="s">
        <v>11780</v>
      </c>
      <c r="E842" s="44">
        <v>5</v>
      </c>
      <c r="F842" s="7"/>
      <c r="G842" s="7"/>
      <c r="H842" s="2" t="s">
        <v>11781</v>
      </c>
      <c r="I842" s="7" t="s">
        <v>991</v>
      </c>
      <c r="J842" s="7" t="s">
        <v>1792</v>
      </c>
      <c r="K842" s="7" t="s">
        <v>48</v>
      </c>
      <c r="L842" s="7" t="s">
        <v>11782</v>
      </c>
      <c r="M842" s="7" t="s">
        <v>11784</v>
      </c>
      <c r="N842" s="45" t="str">
        <f t="shared" ref="N842:N844" si="696">HYPERLINK("twitter.com/SMUSaints_sb","@SMUSaints_sb")</f>
        <v>@SMUSaints_sb</v>
      </c>
      <c r="O842" s="74" t="str">
        <f t="shared" ref="O842:O844" si="697">HYPERLINK("https://smusaints.com/sb_output.aspx?form=12","Questionnaire")</f>
        <v>Questionnaire</v>
      </c>
      <c r="P842" s="7" t="s">
        <v>11793</v>
      </c>
      <c r="Q842" s="36" t="s">
        <v>11124</v>
      </c>
      <c r="R842" s="48" t="s">
        <v>4428</v>
      </c>
      <c r="S842" s="48" t="s">
        <v>468</v>
      </c>
      <c r="T842" s="49" t="s">
        <v>63</v>
      </c>
      <c r="U842" s="49" t="s">
        <v>343</v>
      </c>
      <c r="V842" s="7"/>
      <c r="W842" s="44">
        <v>3.4</v>
      </c>
      <c r="X842" s="7" t="s">
        <v>11794</v>
      </c>
      <c r="Y842" s="7" t="s">
        <v>1622</v>
      </c>
      <c r="Z842" s="49" t="s">
        <v>1994</v>
      </c>
      <c r="AA842" s="61">
        <v>0.95</v>
      </c>
      <c r="AB842" s="71">
        <v>49056</v>
      </c>
      <c r="AC842" s="62" t="s">
        <v>11793</v>
      </c>
      <c r="AD842" s="53" t="str">
        <f t="shared" ref="AD842:AD844" si="698">HYPERLINK("https://www.stmartin.edu/academics/programs-schools","Link")</f>
        <v>Link</v>
      </c>
      <c r="AE842" s="54">
        <v>1282</v>
      </c>
      <c r="AF842" s="55"/>
      <c r="AG842" s="7"/>
      <c r="AH842" s="56">
        <v>236452</v>
      </c>
      <c r="AI842" s="56"/>
      <c r="AJ842" s="56"/>
      <c r="AK842" s="56"/>
    </row>
    <row r="843" spans="1:37" ht="13" x14ac:dyDescent="0.15">
      <c r="A843" s="57" t="s">
        <v>906</v>
      </c>
      <c r="B843" s="31" t="s">
        <v>1434</v>
      </c>
      <c r="C843" s="7" t="s">
        <v>41</v>
      </c>
      <c r="D843" s="7" t="s">
        <v>11803</v>
      </c>
      <c r="E843" s="44">
        <v>5</v>
      </c>
      <c r="F843" s="7"/>
      <c r="G843" s="7"/>
      <c r="H843" s="2" t="s">
        <v>11781</v>
      </c>
      <c r="I843" s="7" t="s">
        <v>644</v>
      </c>
      <c r="J843" s="7" t="s">
        <v>11806</v>
      </c>
      <c r="K843" s="7" t="s">
        <v>55</v>
      </c>
      <c r="L843" s="7" t="s">
        <v>11808</v>
      </c>
      <c r="M843" s="7" t="s">
        <v>11784</v>
      </c>
      <c r="N843" s="45" t="str">
        <f t="shared" si="696"/>
        <v>@SMUSaints_sb</v>
      </c>
      <c r="O843" s="74" t="str">
        <f t="shared" si="697"/>
        <v>Questionnaire</v>
      </c>
      <c r="P843" s="7" t="s">
        <v>11793</v>
      </c>
      <c r="Q843" s="36" t="s">
        <v>11124</v>
      </c>
      <c r="R843" s="48" t="s">
        <v>4428</v>
      </c>
      <c r="S843" s="48" t="s">
        <v>468</v>
      </c>
      <c r="T843" s="49" t="s">
        <v>63</v>
      </c>
      <c r="U843" s="49" t="s">
        <v>343</v>
      </c>
      <c r="V843" s="7"/>
      <c r="W843" s="44">
        <v>3.4</v>
      </c>
      <c r="X843" s="7" t="s">
        <v>11794</v>
      </c>
      <c r="Y843" s="7" t="s">
        <v>1622</v>
      </c>
      <c r="Z843" s="49" t="s">
        <v>1994</v>
      </c>
      <c r="AA843" s="61">
        <v>0.95</v>
      </c>
      <c r="AB843" s="71">
        <v>49056</v>
      </c>
      <c r="AC843" s="62" t="s">
        <v>11793</v>
      </c>
      <c r="AD843" s="53" t="str">
        <f t="shared" si="698"/>
        <v>Link</v>
      </c>
      <c r="AE843" s="54">
        <v>1282</v>
      </c>
      <c r="AF843" s="55"/>
      <c r="AG843" s="7"/>
      <c r="AH843" s="56">
        <v>236452</v>
      </c>
      <c r="AI843" s="56"/>
      <c r="AJ843" s="56"/>
      <c r="AK843" s="56"/>
    </row>
    <row r="844" spans="1:37" ht="13" x14ac:dyDescent="0.15">
      <c r="A844" s="57" t="s">
        <v>906</v>
      </c>
      <c r="B844" s="31" t="s">
        <v>1434</v>
      </c>
      <c r="C844" s="7" t="s">
        <v>41</v>
      </c>
      <c r="D844" s="7" t="s">
        <v>11811</v>
      </c>
      <c r="E844" s="44">
        <v>5</v>
      </c>
      <c r="F844" s="7"/>
      <c r="G844" s="7"/>
      <c r="H844" s="2" t="s">
        <v>11781</v>
      </c>
      <c r="I844" s="7" t="s">
        <v>4599</v>
      </c>
      <c r="J844" s="7" t="s">
        <v>11815</v>
      </c>
      <c r="K844" s="7" t="s">
        <v>55</v>
      </c>
      <c r="L844" s="7" t="s">
        <v>11818</v>
      </c>
      <c r="M844" s="7"/>
      <c r="N844" s="45" t="str">
        <f t="shared" si="696"/>
        <v>@SMUSaints_sb</v>
      </c>
      <c r="O844" s="74" t="str">
        <f t="shared" si="697"/>
        <v>Questionnaire</v>
      </c>
      <c r="P844" s="7" t="s">
        <v>11793</v>
      </c>
      <c r="Q844" s="36" t="s">
        <v>11124</v>
      </c>
      <c r="R844" s="48" t="s">
        <v>4428</v>
      </c>
      <c r="S844" s="48" t="s">
        <v>468</v>
      </c>
      <c r="T844" s="49" t="s">
        <v>63</v>
      </c>
      <c r="U844" s="49" t="s">
        <v>343</v>
      </c>
      <c r="V844" s="7"/>
      <c r="W844" s="44">
        <v>3.4</v>
      </c>
      <c r="X844" s="7" t="s">
        <v>11794</v>
      </c>
      <c r="Y844" s="7" t="s">
        <v>1622</v>
      </c>
      <c r="Z844" s="49" t="s">
        <v>1994</v>
      </c>
      <c r="AA844" s="61">
        <v>0.95</v>
      </c>
      <c r="AB844" s="71">
        <v>49056</v>
      </c>
      <c r="AC844" s="62" t="s">
        <v>11793</v>
      </c>
      <c r="AD844" s="53" t="str">
        <f t="shared" si="698"/>
        <v>Link</v>
      </c>
      <c r="AE844" s="54">
        <v>1282</v>
      </c>
      <c r="AF844" s="55"/>
      <c r="AG844" s="7"/>
      <c r="AH844" s="56">
        <v>236452</v>
      </c>
      <c r="AI844" s="56"/>
      <c r="AJ844" s="56"/>
      <c r="AK844" s="56"/>
    </row>
    <row r="845" spans="1:37" ht="13" x14ac:dyDescent="0.15">
      <c r="A845" s="57" t="s">
        <v>906</v>
      </c>
      <c r="B845" s="110" t="s">
        <v>1434</v>
      </c>
      <c r="C845" s="7" t="s">
        <v>41</v>
      </c>
      <c r="D845" s="7" t="s">
        <v>11821</v>
      </c>
      <c r="E845" s="44">
        <v>5</v>
      </c>
      <c r="F845" s="7"/>
      <c r="G845" s="7"/>
      <c r="H845" s="2" t="s">
        <v>11822</v>
      </c>
      <c r="I845" s="7" t="s">
        <v>11823</v>
      </c>
      <c r="J845" s="7" t="s">
        <v>11825</v>
      </c>
      <c r="K845" s="7" t="s">
        <v>48</v>
      </c>
      <c r="L845" s="7" t="s">
        <v>11826</v>
      </c>
      <c r="M845" s="7" t="s">
        <v>11827</v>
      </c>
      <c r="N845" s="45" t="str">
        <f t="shared" ref="N845:N847" si="699">HYPERLINK("twitter.com/wwu_softball","@wwu_softball")</f>
        <v>@wwu_softball</v>
      </c>
      <c r="O845" s="74" t="str">
        <f t="shared" ref="O845:O847" si="700">HYPERLINK("https://wwuvikings.com/sports/2018/6/4/information-for-prospective-student-athletes.aspx","Questionnaire")</f>
        <v>Questionnaire</v>
      </c>
      <c r="P845" s="48" t="s">
        <v>11832</v>
      </c>
      <c r="Q845" s="60" t="s">
        <v>11124</v>
      </c>
      <c r="R845" s="48" t="s">
        <v>11833</v>
      </c>
      <c r="S845" s="48" t="s">
        <v>238</v>
      </c>
      <c r="T845" s="4" t="s">
        <v>74</v>
      </c>
      <c r="U845" s="7" t="s">
        <v>75</v>
      </c>
      <c r="V845" s="7"/>
      <c r="W845" s="37">
        <v>3.41</v>
      </c>
      <c r="X845" s="49" t="s">
        <v>956</v>
      </c>
      <c r="Y845" s="49" t="s">
        <v>676</v>
      </c>
      <c r="Z845" s="49" t="s">
        <v>78</v>
      </c>
      <c r="AA845" s="65">
        <v>0.83</v>
      </c>
      <c r="AB845" s="48" t="s">
        <v>11834</v>
      </c>
      <c r="AC845" s="90" t="s">
        <v>11832</v>
      </c>
      <c r="AD845" s="53" t="str">
        <f t="shared" ref="AD845:AD847" si="701">HYPERLINK("https://www.wwu.edu/majors/","Link")</f>
        <v>Link</v>
      </c>
      <c r="AE845" s="42">
        <v>14592</v>
      </c>
      <c r="AF845" s="55"/>
      <c r="AG845" s="7"/>
      <c r="AH845" s="56">
        <v>237011</v>
      </c>
      <c r="AI845" s="56"/>
      <c r="AJ845" s="56"/>
      <c r="AK845" s="56"/>
    </row>
    <row r="846" spans="1:37" ht="13" x14ac:dyDescent="0.15">
      <c r="A846" s="57" t="s">
        <v>906</v>
      </c>
      <c r="B846" s="110" t="s">
        <v>1434</v>
      </c>
      <c r="C846" s="7" t="s">
        <v>41</v>
      </c>
      <c r="D846" s="7" t="s">
        <v>11838</v>
      </c>
      <c r="E846" s="44">
        <v>5</v>
      </c>
      <c r="F846" s="7"/>
      <c r="G846" s="7" t="s">
        <v>126</v>
      </c>
      <c r="H846" s="2" t="s">
        <v>11822</v>
      </c>
      <c r="I846" s="7" t="s">
        <v>3097</v>
      </c>
      <c r="J846" s="7"/>
      <c r="K846" s="7"/>
      <c r="L846" s="7"/>
      <c r="M846" s="7"/>
      <c r="N846" s="45" t="str">
        <f t="shared" si="699"/>
        <v>@wwu_softball</v>
      </c>
      <c r="O846" s="74" t="str">
        <f t="shared" si="700"/>
        <v>Questionnaire</v>
      </c>
      <c r="P846" s="48" t="s">
        <v>11832</v>
      </c>
      <c r="Q846" s="60" t="s">
        <v>11124</v>
      </c>
      <c r="R846" s="48" t="s">
        <v>11833</v>
      </c>
      <c r="S846" s="48" t="s">
        <v>238</v>
      </c>
      <c r="T846" s="4" t="s">
        <v>74</v>
      </c>
      <c r="U846" s="7" t="s">
        <v>75</v>
      </c>
      <c r="V846" s="7"/>
      <c r="W846" s="37">
        <v>3.41</v>
      </c>
      <c r="X846" s="49" t="s">
        <v>956</v>
      </c>
      <c r="Y846" s="49" t="s">
        <v>676</v>
      </c>
      <c r="Z846" s="49" t="s">
        <v>78</v>
      </c>
      <c r="AA846" s="65">
        <v>0.83</v>
      </c>
      <c r="AB846" s="48" t="s">
        <v>11834</v>
      </c>
      <c r="AC846" s="90" t="s">
        <v>11832</v>
      </c>
      <c r="AD846" s="53" t="str">
        <f t="shared" si="701"/>
        <v>Link</v>
      </c>
      <c r="AE846" s="42">
        <v>14592</v>
      </c>
      <c r="AF846" s="55"/>
      <c r="AG846" s="7"/>
      <c r="AH846" s="56">
        <v>237011</v>
      </c>
      <c r="AI846" s="56"/>
      <c r="AJ846" s="56"/>
      <c r="AK846" s="56"/>
    </row>
    <row r="847" spans="1:37" ht="13" x14ac:dyDescent="0.15">
      <c r="A847" s="57" t="s">
        <v>906</v>
      </c>
      <c r="B847" s="110" t="s">
        <v>1434</v>
      </c>
      <c r="C847" s="7" t="s">
        <v>41</v>
      </c>
      <c r="D847" s="7" t="s">
        <v>11846</v>
      </c>
      <c r="E847" s="58">
        <v>5</v>
      </c>
      <c r="F847" s="7" t="s">
        <v>116</v>
      </c>
      <c r="G847" s="7"/>
      <c r="H847" s="2" t="s">
        <v>11822</v>
      </c>
      <c r="I847" s="7" t="s">
        <v>143</v>
      </c>
      <c r="J847" s="7" t="s">
        <v>11847</v>
      </c>
      <c r="K847" s="7" t="s">
        <v>55</v>
      </c>
      <c r="L847" s="7"/>
      <c r="M847" s="7"/>
      <c r="N847" s="45" t="str">
        <f t="shared" si="699"/>
        <v>@wwu_softball</v>
      </c>
      <c r="O847" s="74" t="str">
        <f t="shared" si="700"/>
        <v>Questionnaire</v>
      </c>
      <c r="P847" s="48" t="s">
        <v>11832</v>
      </c>
      <c r="Q847" s="60" t="s">
        <v>11124</v>
      </c>
      <c r="R847" s="48" t="s">
        <v>11833</v>
      </c>
      <c r="S847" s="48" t="s">
        <v>238</v>
      </c>
      <c r="T847" s="4" t="s">
        <v>74</v>
      </c>
      <c r="U847" s="49" t="s">
        <v>75</v>
      </c>
      <c r="V847" s="7"/>
      <c r="W847" s="37">
        <v>3.41</v>
      </c>
      <c r="X847" s="49" t="s">
        <v>956</v>
      </c>
      <c r="Y847" s="49" t="s">
        <v>676</v>
      </c>
      <c r="Z847" s="49" t="s">
        <v>78</v>
      </c>
      <c r="AA847" s="65">
        <v>0.83</v>
      </c>
      <c r="AB847" s="48" t="s">
        <v>11834</v>
      </c>
      <c r="AC847" s="90" t="s">
        <v>11832</v>
      </c>
      <c r="AD847" s="53" t="str">
        <f t="shared" si="701"/>
        <v>Link</v>
      </c>
      <c r="AE847" s="42">
        <v>14592</v>
      </c>
      <c r="AF847" s="55"/>
      <c r="AG847" s="7"/>
      <c r="AH847" s="111">
        <v>237011</v>
      </c>
      <c r="AI847" s="59"/>
      <c r="AJ847" s="59"/>
      <c r="AK847" s="56"/>
    </row>
    <row r="848" spans="1:37" ht="15" x14ac:dyDescent="0.2">
      <c r="A848" s="57" t="s">
        <v>5090</v>
      </c>
      <c r="B848" s="31" t="s">
        <v>11856</v>
      </c>
      <c r="C848" s="7" t="s">
        <v>41</v>
      </c>
      <c r="D848" s="7" t="s">
        <v>11858</v>
      </c>
      <c r="E848" s="44">
        <v>5</v>
      </c>
      <c r="F848" s="7"/>
      <c r="G848" s="7"/>
      <c r="H848" s="2" t="s">
        <v>11860</v>
      </c>
      <c r="I848" s="7" t="s">
        <v>8646</v>
      </c>
      <c r="J848" s="7" t="s">
        <v>1197</v>
      </c>
      <c r="K848" s="7" t="s">
        <v>48</v>
      </c>
      <c r="L848" s="7" t="s">
        <v>11862</v>
      </c>
      <c r="M848" s="7" t="s">
        <v>11864</v>
      </c>
      <c r="N848" s="45" t="str">
        <f t="shared" ref="N848:N849" si="702">HYPERLINK("twitter.com/abusoftball","@abusoftball")</f>
        <v>@abusoftball</v>
      </c>
      <c r="O848" s="74" t="str">
        <f t="shared" ref="O848:O849" si="703">HYPERLINK("https://gobattlers.com/sports/2014/8/27/Recruiting%20Questionnairs.aspx","Questionnaire")</f>
        <v>Questionnaire</v>
      </c>
      <c r="P848" s="7" t="s">
        <v>11872</v>
      </c>
      <c r="Q848" s="57" t="s">
        <v>6197</v>
      </c>
      <c r="R848" s="48" t="s">
        <v>11874</v>
      </c>
      <c r="S848" s="60" t="s">
        <v>205</v>
      </c>
      <c r="T848" s="73" t="s">
        <v>63</v>
      </c>
      <c r="U848" s="49" t="s">
        <v>10058</v>
      </c>
      <c r="V848" s="7"/>
      <c r="W848" s="44">
        <v>3.2</v>
      </c>
      <c r="X848" s="7" t="s">
        <v>2878</v>
      </c>
      <c r="Y848" s="7" t="s">
        <v>447</v>
      </c>
      <c r="Z848" s="49" t="s">
        <v>449</v>
      </c>
      <c r="AA848" s="51">
        <v>0.4138</v>
      </c>
      <c r="AB848" s="48" t="s">
        <v>11876</v>
      </c>
      <c r="AC848" s="52" t="s">
        <v>11872</v>
      </c>
      <c r="AD848" s="53" t="str">
        <f t="shared" ref="AD848:AD849" si="704">HYPERLINK("http://ab.edu/academics/degrees-majors-minors/","Link")</f>
        <v>Link</v>
      </c>
      <c r="AE848" s="54">
        <v>981</v>
      </c>
      <c r="AF848" s="55"/>
      <c r="AG848" s="7"/>
      <c r="AH848" s="56">
        <v>237118</v>
      </c>
      <c r="AI848" s="56"/>
      <c r="AJ848" s="56"/>
      <c r="AK848" s="56"/>
    </row>
    <row r="849" spans="1:37" ht="15" x14ac:dyDescent="0.2">
      <c r="A849" s="57" t="s">
        <v>5090</v>
      </c>
      <c r="B849" s="31" t="s">
        <v>11856</v>
      </c>
      <c r="C849" s="7" t="s">
        <v>41</v>
      </c>
      <c r="D849" s="7" t="s">
        <v>11882</v>
      </c>
      <c r="E849" s="58">
        <v>5</v>
      </c>
      <c r="F849" s="7" t="s">
        <v>116</v>
      </c>
      <c r="G849" s="7"/>
      <c r="H849" s="2" t="s">
        <v>11860</v>
      </c>
      <c r="I849" s="7" t="s">
        <v>435</v>
      </c>
      <c r="J849" s="7" t="s">
        <v>267</v>
      </c>
      <c r="K849" s="7" t="s">
        <v>55</v>
      </c>
      <c r="L849" s="7"/>
      <c r="M849" s="7"/>
      <c r="N849" s="45" t="str">
        <f t="shared" si="702"/>
        <v>@abusoftball</v>
      </c>
      <c r="O849" s="74" t="str">
        <f t="shared" si="703"/>
        <v>Questionnaire</v>
      </c>
      <c r="P849" s="7" t="s">
        <v>11872</v>
      </c>
      <c r="Q849" s="57" t="s">
        <v>6197</v>
      </c>
      <c r="R849" s="48" t="s">
        <v>11874</v>
      </c>
      <c r="S849" s="60" t="s">
        <v>205</v>
      </c>
      <c r="T849" s="73" t="s">
        <v>63</v>
      </c>
      <c r="U849" s="49" t="s">
        <v>10058</v>
      </c>
      <c r="V849" s="7"/>
      <c r="W849" s="44">
        <v>3.2</v>
      </c>
      <c r="X849" s="7" t="s">
        <v>2878</v>
      </c>
      <c r="Y849" s="7" t="s">
        <v>447</v>
      </c>
      <c r="Z849" s="49" t="s">
        <v>449</v>
      </c>
      <c r="AA849" s="51">
        <v>0.4138</v>
      </c>
      <c r="AB849" s="48" t="s">
        <v>11876</v>
      </c>
      <c r="AC849" s="52" t="s">
        <v>11872</v>
      </c>
      <c r="AD849" s="53" t="str">
        <f t="shared" si="704"/>
        <v>Link</v>
      </c>
      <c r="AE849" s="54">
        <v>981</v>
      </c>
      <c r="AF849" s="55"/>
      <c r="AG849" s="7"/>
      <c r="AH849" s="111">
        <v>237118</v>
      </c>
      <c r="AI849" s="59"/>
      <c r="AJ849" s="59"/>
      <c r="AK849" s="56"/>
    </row>
    <row r="850" spans="1:37" ht="15" x14ac:dyDescent="0.2">
      <c r="A850" s="57" t="s">
        <v>4544</v>
      </c>
      <c r="B850" s="31" t="s">
        <v>11856</v>
      </c>
      <c r="C850" s="7" t="s">
        <v>41</v>
      </c>
      <c r="D850" s="7" t="s">
        <v>11895</v>
      </c>
      <c r="E850" s="44">
        <v>5</v>
      </c>
      <c r="F850" s="7" t="s">
        <v>116</v>
      </c>
      <c r="G850" s="7"/>
      <c r="H850" s="2" t="s">
        <v>11896</v>
      </c>
      <c r="I850" s="7" t="s">
        <v>11898</v>
      </c>
      <c r="J850" s="7" t="s">
        <v>11899</v>
      </c>
      <c r="K850" s="7" t="s">
        <v>48</v>
      </c>
      <c r="L850" s="7" t="s">
        <v>11902</v>
      </c>
      <c r="M850" s="7" t="s">
        <v>11903</v>
      </c>
      <c r="N850" s="7"/>
      <c r="O850" s="74" t="str">
        <f>HYPERLINK("http://go-bstate.com/landing/Recruit","Questionnaire")</f>
        <v>Questionnaire</v>
      </c>
      <c r="P850" s="7" t="s">
        <v>11909</v>
      </c>
      <c r="Q850" s="57" t="s">
        <v>6197</v>
      </c>
      <c r="R850" s="48" t="s">
        <v>11912</v>
      </c>
      <c r="S850" s="48" t="s">
        <v>172</v>
      </c>
      <c r="T850" s="49" t="s">
        <v>74</v>
      </c>
      <c r="U850" s="49" t="s">
        <v>75</v>
      </c>
      <c r="V850" s="7" t="s">
        <v>212</v>
      </c>
      <c r="W850" s="44">
        <v>3.36</v>
      </c>
      <c r="X850" s="7" t="s">
        <v>1338</v>
      </c>
      <c r="Y850" s="7" t="s">
        <v>3338</v>
      </c>
      <c r="Z850" s="49" t="s">
        <v>1948</v>
      </c>
      <c r="AA850" s="51">
        <v>0.83299999999999996</v>
      </c>
      <c r="AB850" s="48" t="s">
        <v>11915</v>
      </c>
      <c r="AC850" s="52" t="s">
        <v>11909</v>
      </c>
      <c r="AD850" s="53" t="str">
        <f>HYPERLINK("https://www.bluefieldstate.edu/academics/degrees","Link")</f>
        <v>Link</v>
      </c>
      <c r="AE850" s="54">
        <v>1362</v>
      </c>
      <c r="AF850" s="55"/>
      <c r="AG850" s="7"/>
      <c r="AH850" s="56">
        <v>237215</v>
      </c>
      <c r="AI850" s="85"/>
      <c r="AJ850" s="85"/>
      <c r="AK850" s="85"/>
    </row>
    <row r="851" spans="1:37" ht="15" x14ac:dyDescent="0.2">
      <c r="A851" s="57" t="s">
        <v>8540</v>
      </c>
      <c r="B851" s="31" t="s">
        <v>11856</v>
      </c>
      <c r="C851" s="7" t="s">
        <v>41</v>
      </c>
      <c r="D851" s="7" t="s">
        <v>11927</v>
      </c>
      <c r="E851" s="44">
        <v>5</v>
      </c>
      <c r="F851" s="7"/>
      <c r="G851" s="7"/>
      <c r="H851" s="2" t="s">
        <v>11928</v>
      </c>
      <c r="I851" s="7" t="s">
        <v>11929</v>
      </c>
      <c r="J851" s="7" t="s">
        <v>11930</v>
      </c>
      <c r="K851" s="7" t="s">
        <v>48</v>
      </c>
      <c r="L851" s="7" t="s">
        <v>11931</v>
      </c>
      <c r="M851" s="7" t="s">
        <v>11932</v>
      </c>
      <c r="N851" s="45" t="str">
        <f t="shared" ref="N851:N852" si="705">HYPERLINK("twitter.com/ucwv_softball","@ucwv_softball")</f>
        <v>@ucwv_softball</v>
      </c>
      <c r="O851" s="74" t="str">
        <f t="shared" ref="O851:O852" si="706">HYPERLINK("https://ucgoldeneagles.com/sb_output.aspx?form=3","Questionnaire")</f>
        <v>Questionnaire</v>
      </c>
      <c r="P851" s="7" t="s">
        <v>11941</v>
      </c>
      <c r="Q851" s="57" t="s">
        <v>6197</v>
      </c>
      <c r="R851" s="48" t="s">
        <v>3887</v>
      </c>
      <c r="S851" s="48" t="s">
        <v>468</v>
      </c>
      <c r="T851" s="49" t="s">
        <v>63</v>
      </c>
      <c r="U851" s="49" t="s">
        <v>75</v>
      </c>
      <c r="V851" s="7"/>
      <c r="W851" s="44">
        <v>3.37</v>
      </c>
      <c r="X851" s="7" t="s">
        <v>448</v>
      </c>
      <c r="Y851" s="7" t="s">
        <v>11942</v>
      </c>
      <c r="Z851" s="49" t="s">
        <v>841</v>
      </c>
      <c r="AA851" s="51">
        <v>0.51859999999999995</v>
      </c>
      <c r="AB851" s="71">
        <v>43400</v>
      </c>
      <c r="AC851" s="52" t="s">
        <v>11941</v>
      </c>
      <c r="AD851" s="53" t="str">
        <f t="shared" ref="AD851:AD852" si="707">HYPERLINK("http://www.ucwv.edu/Academics/Degree-Programs/Undergraduate-Programs/","Link")</f>
        <v>Link</v>
      </c>
      <c r="AE851" s="54">
        <v>1761</v>
      </c>
      <c r="AF851" s="55"/>
      <c r="AG851" s="7"/>
      <c r="AH851" s="56">
        <v>237312</v>
      </c>
      <c r="AI851" s="56"/>
      <c r="AJ851" s="56"/>
      <c r="AK851" s="56"/>
    </row>
    <row r="852" spans="1:37" ht="15" x14ac:dyDescent="0.2">
      <c r="A852" s="57" t="s">
        <v>8540</v>
      </c>
      <c r="B852" s="31" t="s">
        <v>11856</v>
      </c>
      <c r="C852" s="7" t="s">
        <v>41</v>
      </c>
      <c r="D852" s="7" t="s">
        <v>11949</v>
      </c>
      <c r="E852" s="44">
        <v>5</v>
      </c>
      <c r="F852" s="7"/>
      <c r="G852" s="7"/>
      <c r="H852" s="2" t="s">
        <v>11928</v>
      </c>
      <c r="I852" s="7" t="s">
        <v>11950</v>
      </c>
      <c r="J852" s="7" t="s">
        <v>11952</v>
      </c>
      <c r="K852" s="7" t="s">
        <v>120</v>
      </c>
      <c r="L852" s="7" t="s">
        <v>11953</v>
      </c>
      <c r="M852" s="7"/>
      <c r="N852" s="45" t="str">
        <f t="shared" si="705"/>
        <v>@ucwv_softball</v>
      </c>
      <c r="O852" s="74" t="str">
        <f t="shared" si="706"/>
        <v>Questionnaire</v>
      </c>
      <c r="P852" s="7" t="s">
        <v>11941</v>
      </c>
      <c r="Q852" s="57" t="s">
        <v>6197</v>
      </c>
      <c r="R852" s="48" t="s">
        <v>3887</v>
      </c>
      <c r="S852" s="48" t="s">
        <v>468</v>
      </c>
      <c r="T852" s="49" t="s">
        <v>63</v>
      </c>
      <c r="U852" s="49" t="s">
        <v>75</v>
      </c>
      <c r="V852" s="7"/>
      <c r="W852" s="44">
        <v>3.37</v>
      </c>
      <c r="X852" s="7" t="s">
        <v>448</v>
      </c>
      <c r="Y852" s="7" t="s">
        <v>11942</v>
      </c>
      <c r="Z852" s="49" t="s">
        <v>841</v>
      </c>
      <c r="AA852" s="51">
        <v>0.51859999999999995</v>
      </c>
      <c r="AB852" s="71">
        <v>43400</v>
      </c>
      <c r="AC852" s="52" t="s">
        <v>11941</v>
      </c>
      <c r="AD852" s="53" t="str">
        <f t="shared" si="707"/>
        <v>Link</v>
      </c>
      <c r="AE852" s="54">
        <v>1761</v>
      </c>
      <c r="AF852" s="55"/>
      <c r="AG852" s="7"/>
      <c r="AH852" s="56">
        <v>237312</v>
      </c>
      <c r="AI852" s="56"/>
      <c r="AJ852" s="56"/>
      <c r="AK852" s="56"/>
    </row>
    <row r="853" spans="1:37" ht="13" x14ac:dyDescent="0.15">
      <c r="A853" s="57" t="s">
        <v>8540</v>
      </c>
      <c r="B853" s="31" t="s">
        <v>11856</v>
      </c>
      <c r="C853" s="7" t="s">
        <v>41</v>
      </c>
      <c r="D853" s="7" t="s">
        <v>11961</v>
      </c>
      <c r="E853" s="44">
        <v>5</v>
      </c>
      <c r="F853" s="7"/>
      <c r="G853" s="7"/>
      <c r="H853" s="2" t="s">
        <v>11963</v>
      </c>
      <c r="I853" s="7" t="s">
        <v>4959</v>
      </c>
      <c r="J853" s="7" t="s">
        <v>11964</v>
      </c>
      <c r="K853" s="7" t="s">
        <v>48</v>
      </c>
      <c r="L853" s="7" t="s">
        <v>11966</v>
      </c>
      <c r="M853" s="7" t="s">
        <v>11968</v>
      </c>
      <c r="N853" s="45" t="str">
        <f t="shared" ref="N853:N854" si="708">HYPERLINK("twitter.com/mtnlionsoftball","@mtnlionsoftball")</f>
        <v>@mtnlionsoftball</v>
      </c>
      <c r="O853" s="74" t="str">
        <f t="shared" ref="O853:O854" si="709">HYPERLINK("https://cumountainlions.com/sb_output.aspx?form=12","Questionnaire")</f>
        <v>Questionnaire</v>
      </c>
      <c r="P853" s="7" t="s">
        <v>11978</v>
      </c>
      <c r="Q853" s="57" t="s">
        <v>6197</v>
      </c>
      <c r="R853" s="48" t="s">
        <v>7762</v>
      </c>
      <c r="S853" s="60" t="s">
        <v>205</v>
      </c>
      <c r="T853" s="49" t="s">
        <v>74</v>
      </c>
      <c r="U853" s="49" t="s">
        <v>75</v>
      </c>
      <c r="V853" s="7"/>
      <c r="W853" s="44">
        <v>3.39</v>
      </c>
      <c r="X853" s="7" t="s">
        <v>1144</v>
      </c>
      <c r="Y853" s="7" t="s">
        <v>1453</v>
      </c>
      <c r="Z853" s="49" t="s">
        <v>449</v>
      </c>
      <c r="AA853" s="61">
        <v>0.81</v>
      </c>
      <c r="AB853" s="48" t="s">
        <v>11981</v>
      </c>
      <c r="AC853" s="62" t="s">
        <v>11978</v>
      </c>
      <c r="AD853" s="53" t="str">
        <f t="shared" ref="AD853:AD854" si="710">HYPERLINK("http://catalog.concord.edu/content.php?catoid=3&amp;navoid=147","Link")</f>
        <v>Link</v>
      </c>
      <c r="AE853" s="54">
        <v>2102</v>
      </c>
      <c r="AF853" s="55"/>
      <c r="AG853" s="7"/>
      <c r="AH853" s="56">
        <v>237330</v>
      </c>
      <c r="AI853" s="56"/>
      <c r="AJ853" s="56"/>
      <c r="AK853" s="56"/>
    </row>
    <row r="854" spans="1:37" ht="13" x14ac:dyDescent="0.15">
      <c r="A854" s="57" t="s">
        <v>8540</v>
      </c>
      <c r="B854" s="31" t="s">
        <v>11856</v>
      </c>
      <c r="C854" s="7" t="s">
        <v>41</v>
      </c>
      <c r="D854" s="7" t="s">
        <v>11989</v>
      </c>
      <c r="E854" s="58">
        <v>5</v>
      </c>
      <c r="F854" s="7" t="s">
        <v>116</v>
      </c>
      <c r="G854" s="7"/>
      <c r="H854" s="2" t="s">
        <v>11963</v>
      </c>
      <c r="I854" s="7" t="s">
        <v>4049</v>
      </c>
      <c r="J854" s="7" t="s">
        <v>11991</v>
      </c>
      <c r="K854" s="7" t="s">
        <v>55</v>
      </c>
      <c r="L854" s="7" t="s">
        <v>11992</v>
      </c>
      <c r="M854" s="7"/>
      <c r="N854" s="45" t="str">
        <f t="shared" si="708"/>
        <v>@mtnlionsoftball</v>
      </c>
      <c r="O854" s="74" t="str">
        <f t="shared" si="709"/>
        <v>Questionnaire</v>
      </c>
      <c r="P854" s="7" t="s">
        <v>11978</v>
      </c>
      <c r="Q854" s="57" t="s">
        <v>6197</v>
      </c>
      <c r="R854" s="48" t="s">
        <v>7762</v>
      </c>
      <c r="S854" s="60" t="s">
        <v>205</v>
      </c>
      <c r="T854" s="49" t="s">
        <v>74</v>
      </c>
      <c r="U854" s="49" t="s">
        <v>75</v>
      </c>
      <c r="V854" s="7"/>
      <c r="W854" s="44">
        <v>3.39</v>
      </c>
      <c r="X854" s="7" t="s">
        <v>1144</v>
      </c>
      <c r="Y854" s="7" t="s">
        <v>1453</v>
      </c>
      <c r="Z854" s="49" t="s">
        <v>449</v>
      </c>
      <c r="AA854" s="61">
        <v>0.81</v>
      </c>
      <c r="AB854" s="48" t="s">
        <v>11981</v>
      </c>
      <c r="AC854" s="62" t="s">
        <v>11978</v>
      </c>
      <c r="AD854" s="53" t="str">
        <f t="shared" si="710"/>
        <v>Link</v>
      </c>
      <c r="AE854" s="54">
        <v>2102</v>
      </c>
      <c r="AF854" s="55"/>
      <c r="AG854" s="7"/>
      <c r="AH854" s="111">
        <v>237330</v>
      </c>
      <c r="AI854" s="59"/>
      <c r="AJ854" s="59"/>
      <c r="AK854" s="56"/>
    </row>
    <row r="855" spans="1:37" ht="13" x14ac:dyDescent="0.15">
      <c r="A855" s="57" t="s">
        <v>8540</v>
      </c>
      <c r="B855" s="31" t="s">
        <v>11856</v>
      </c>
      <c r="C855" s="7" t="s">
        <v>41</v>
      </c>
      <c r="D855" s="7" t="s">
        <v>12000</v>
      </c>
      <c r="E855" s="44">
        <v>5</v>
      </c>
      <c r="F855" s="7"/>
      <c r="G855" s="7"/>
      <c r="H855" s="2" t="s">
        <v>12002</v>
      </c>
      <c r="I855" s="7" t="s">
        <v>93</v>
      </c>
      <c r="J855" s="7" t="s">
        <v>3082</v>
      </c>
      <c r="K855" s="7" t="s">
        <v>48</v>
      </c>
      <c r="L855" s="7" t="s">
        <v>12004</v>
      </c>
      <c r="M855" s="7" t="s">
        <v>12005</v>
      </c>
      <c r="N855" s="45" t="str">
        <f t="shared" ref="N855:N856" si="711">HYPERLINK("twitter.com/senatorssb","@senatorssb")</f>
        <v>@senatorssb</v>
      </c>
      <c r="O855" s="74" t="str">
        <f t="shared" ref="O855:O856" si="712">HYPERLINK("https://dewv-uga.edu.185r.net/survey/?id=113","Questionnaire")</f>
        <v>Questionnaire</v>
      </c>
      <c r="P855" s="7" t="s">
        <v>12013</v>
      </c>
      <c r="Q855" s="57" t="s">
        <v>6197</v>
      </c>
      <c r="R855" s="48" t="s">
        <v>317</v>
      </c>
      <c r="S855" s="60" t="s">
        <v>205</v>
      </c>
      <c r="T855" s="49" t="s">
        <v>63</v>
      </c>
      <c r="U855" s="49" t="s">
        <v>248</v>
      </c>
      <c r="V855" s="7"/>
      <c r="W855" s="44">
        <v>2.9</v>
      </c>
      <c r="X855" s="7" t="s">
        <v>1338</v>
      </c>
      <c r="Y855" s="7" t="s">
        <v>2257</v>
      </c>
      <c r="Z855" s="49" t="s">
        <v>1339</v>
      </c>
      <c r="AA855" s="61">
        <v>0.5</v>
      </c>
      <c r="AB855" s="71">
        <v>42750</v>
      </c>
      <c r="AC855" s="62" t="s">
        <v>12013</v>
      </c>
      <c r="AD855" s="53" t="str">
        <f t="shared" ref="AD855:AD857" si="713">HYPERLINK("https://www.dewv.edu/academics/academic-programs","Link")</f>
        <v>Link</v>
      </c>
      <c r="AE855" s="54">
        <v>805</v>
      </c>
      <c r="AF855" s="55"/>
      <c r="AG855" s="7"/>
      <c r="AH855" s="56">
        <v>237358</v>
      </c>
      <c r="AI855" s="56"/>
      <c r="AJ855" s="56"/>
      <c r="AK855" s="56"/>
    </row>
    <row r="856" spans="1:37" ht="13" x14ac:dyDescent="0.15">
      <c r="A856" s="57" t="s">
        <v>8540</v>
      </c>
      <c r="B856" s="31" t="s">
        <v>11856</v>
      </c>
      <c r="C856" s="7" t="s">
        <v>41</v>
      </c>
      <c r="D856" s="7" t="s">
        <v>12021</v>
      </c>
      <c r="E856" s="44">
        <v>5</v>
      </c>
      <c r="F856" s="7"/>
      <c r="G856" s="7"/>
      <c r="H856" s="2" t="s">
        <v>12002</v>
      </c>
      <c r="I856" s="7" t="s">
        <v>130</v>
      </c>
      <c r="J856" s="7" t="s">
        <v>12023</v>
      </c>
      <c r="K856" s="7" t="s">
        <v>55</v>
      </c>
      <c r="L856" s="7" t="s">
        <v>12025</v>
      </c>
      <c r="M856" s="7"/>
      <c r="N856" s="45" t="str">
        <f t="shared" si="711"/>
        <v>@senatorssb</v>
      </c>
      <c r="O856" s="74" t="str">
        <f t="shared" si="712"/>
        <v>Questionnaire</v>
      </c>
      <c r="P856" s="7" t="s">
        <v>12013</v>
      </c>
      <c r="Q856" s="57" t="s">
        <v>6197</v>
      </c>
      <c r="R856" s="48" t="s">
        <v>317</v>
      </c>
      <c r="S856" s="60" t="s">
        <v>205</v>
      </c>
      <c r="T856" s="49" t="s">
        <v>63</v>
      </c>
      <c r="U856" s="49" t="s">
        <v>248</v>
      </c>
      <c r="V856" s="7"/>
      <c r="W856" s="44">
        <v>2.9</v>
      </c>
      <c r="X856" s="7" t="s">
        <v>1338</v>
      </c>
      <c r="Y856" s="7" t="s">
        <v>2257</v>
      </c>
      <c r="Z856" s="49" t="s">
        <v>1339</v>
      </c>
      <c r="AA856" s="61">
        <v>0.5</v>
      </c>
      <c r="AB856" s="71">
        <v>42750</v>
      </c>
      <c r="AC856" s="62" t="s">
        <v>12013</v>
      </c>
      <c r="AD856" s="53" t="str">
        <f t="shared" si="713"/>
        <v>Link</v>
      </c>
      <c r="AE856" s="54">
        <v>805</v>
      </c>
      <c r="AF856" s="55"/>
      <c r="AG856" s="7"/>
      <c r="AH856" s="56">
        <v>237358</v>
      </c>
      <c r="AI856" s="56"/>
      <c r="AJ856" s="56"/>
      <c r="AK856" s="56"/>
    </row>
    <row r="857" spans="1:37" ht="13" x14ac:dyDescent="0.15">
      <c r="A857" s="57" t="s">
        <v>8540</v>
      </c>
      <c r="B857" s="31" t="s">
        <v>11856</v>
      </c>
      <c r="C857" s="7" t="s">
        <v>41</v>
      </c>
      <c r="D857" s="7" t="s">
        <v>12036</v>
      </c>
      <c r="E857" s="44">
        <v>5</v>
      </c>
      <c r="F857" s="7"/>
      <c r="G857" s="7" t="s">
        <v>126</v>
      </c>
      <c r="H857" s="2" t="s">
        <v>12002</v>
      </c>
      <c r="I857" s="7" t="s">
        <v>12037</v>
      </c>
      <c r="J857" s="7"/>
      <c r="K857" s="7"/>
      <c r="L857" s="7"/>
      <c r="M857" s="7"/>
      <c r="N857" s="7"/>
      <c r="O857" s="7"/>
      <c r="P857" s="7" t="s">
        <v>12013</v>
      </c>
      <c r="Q857" s="57" t="s">
        <v>6197</v>
      </c>
      <c r="R857" s="48" t="s">
        <v>317</v>
      </c>
      <c r="S857" s="60" t="s">
        <v>205</v>
      </c>
      <c r="T857" s="49" t="s">
        <v>63</v>
      </c>
      <c r="U857" s="49" t="s">
        <v>248</v>
      </c>
      <c r="V857" s="7"/>
      <c r="W857" s="44">
        <v>2.9</v>
      </c>
      <c r="X857" s="7" t="s">
        <v>1338</v>
      </c>
      <c r="Y857" s="7" t="s">
        <v>2257</v>
      </c>
      <c r="Z857" s="49" t="s">
        <v>1339</v>
      </c>
      <c r="AA857" s="61">
        <v>0.5</v>
      </c>
      <c r="AB857" s="71">
        <v>42750</v>
      </c>
      <c r="AC857" s="62" t="s">
        <v>12013</v>
      </c>
      <c r="AD857" s="53" t="str">
        <f t="shared" si="713"/>
        <v>Link</v>
      </c>
      <c r="AE857" s="54">
        <v>805</v>
      </c>
      <c r="AF857" s="55"/>
      <c r="AG857" s="7"/>
      <c r="AH857" s="56">
        <v>237358</v>
      </c>
      <c r="AI857" s="85"/>
      <c r="AJ857" s="85"/>
      <c r="AK857" s="85"/>
    </row>
    <row r="858" spans="1:37" ht="13" x14ac:dyDescent="0.15">
      <c r="A858" s="57" t="s">
        <v>8540</v>
      </c>
      <c r="B858" s="31" t="s">
        <v>11856</v>
      </c>
      <c r="C858" s="7" t="s">
        <v>41</v>
      </c>
      <c r="D858" s="7" t="s">
        <v>12042</v>
      </c>
      <c r="E858" s="44">
        <v>5</v>
      </c>
      <c r="F858" s="7"/>
      <c r="G858" s="7"/>
      <c r="H858" s="2" t="s">
        <v>12044</v>
      </c>
      <c r="I858" s="7" t="s">
        <v>658</v>
      </c>
      <c r="J858" s="7" t="s">
        <v>12045</v>
      </c>
      <c r="K858" s="7" t="s">
        <v>48</v>
      </c>
      <c r="L858" s="7" t="s">
        <v>12047</v>
      </c>
      <c r="M858" s="7" t="s">
        <v>12048</v>
      </c>
      <c r="N858" s="45" t="str">
        <f t="shared" ref="N858:N860" si="714">HYPERLINK("twitter.com/fsufalconsftbll","@fsufalconsftbll")</f>
        <v>@fsufalconsftbll</v>
      </c>
      <c r="O858" s="74" t="str">
        <f t="shared" ref="O858:O860" si="715">HYPERLINK("https://fightingfalcons.com/sports/2017/10/17/psa-forms.aspx","Questionnaire")</f>
        <v>Questionnaire</v>
      </c>
      <c r="P858" s="7" t="s">
        <v>12055</v>
      </c>
      <c r="Q858" s="57" t="s">
        <v>6197</v>
      </c>
      <c r="R858" s="48" t="s">
        <v>12056</v>
      </c>
      <c r="S858" s="48" t="s">
        <v>172</v>
      </c>
      <c r="T858" s="49" t="s">
        <v>74</v>
      </c>
      <c r="U858" s="49" t="s">
        <v>75</v>
      </c>
      <c r="V858" s="7"/>
      <c r="W858" s="44">
        <v>3.29</v>
      </c>
      <c r="X858" s="7" t="s">
        <v>2709</v>
      </c>
      <c r="Y858" s="7" t="s">
        <v>2709</v>
      </c>
      <c r="Z858" s="49" t="s">
        <v>449</v>
      </c>
      <c r="AA858" s="61">
        <v>0.65</v>
      </c>
      <c r="AB858" s="48" t="s">
        <v>12059</v>
      </c>
      <c r="AC858" s="62" t="s">
        <v>12055</v>
      </c>
      <c r="AD858" s="53" t="str">
        <f t="shared" ref="AD858:AD860" si="716">HYPERLINK("https://www.fairmontstate.edu/academic-programs-listing","Link")</f>
        <v>Link</v>
      </c>
      <c r="AE858" s="54">
        <v>3804</v>
      </c>
      <c r="AF858" s="55"/>
      <c r="AG858" s="7"/>
      <c r="AH858" s="56">
        <v>237367</v>
      </c>
      <c r="AI858" s="56"/>
      <c r="AJ858" s="56"/>
      <c r="AK858" s="56"/>
    </row>
    <row r="859" spans="1:37" ht="13" x14ac:dyDescent="0.15">
      <c r="A859" s="57" t="s">
        <v>8540</v>
      </c>
      <c r="B859" s="31" t="s">
        <v>11856</v>
      </c>
      <c r="C859" s="7" t="s">
        <v>41</v>
      </c>
      <c r="D859" s="7" t="s">
        <v>12075</v>
      </c>
      <c r="E859" s="44">
        <v>5</v>
      </c>
      <c r="F859" s="7"/>
      <c r="G859" s="7"/>
      <c r="H859" s="2" t="s">
        <v>12044</v>
      </c>
      <c r="I859" s="7" t="s">
        <v>439</v>
      </c>
      <c r="J859" s="7" t="s">
        <v>8951</v>
      </c>
      <c r="K859" s="7" t="s">
        <v>919</v>
      </c>
      <c r="L859" s="7"/>
      <c r="M859" s="7"/>
      <c r="N859" s="45" t="str">
        <f t="shared" si="714"/>
        <v>@fsufalconsftbll</v>
      </c>
      <c r="O859" s="74" t="str">
        <f t="shared" si="715"/>
        <v>Questionnaire</v>
      </c>
      <c r="P859" s="7" t="s">
        <v>12055</v>
      </c>
      <c r="Q859" s="57" t="s">
        <v>6197</v>
      </c>
      <c r="R859" s="48" t="s">
        <v>12056</v>
      </c>
      <c r="S859" s="48" t="s">
        <v>172</v>
      </c>
      <c r="T859" s="49" t="s">
        <v>74</v>
      </c>
      <c r="U859" s="49" t="s">
        <v>75</v>
      </c>
      <c r="V859" s="7"/>
      <c r="W859" s="44">
        <v>3.29</v>
      </c>
      <c r="X859" s="7" t="s">
        <v>2709</v>
      </c>
      <c r="Y859" s="7" t="s">
        <v>2709</v>
      </c>
      <c r="Z859" s="49" t="s">
        <v>449</v>
      </c>
      <c r="AA859" s="61">
        <v>0.65</v>
      </c>
      <c r="AB859" s="48" t="s">
        <v>12059</v>
      </c>
      <c r="AC859" s="62" t="s">
        <v>12055</v>
      </c>
      <c r="AD859" s="53" t="str">
        <f t="shared" si="716"/>
        <v>Link</v>
      </c>
      <c r="AE859" s="54">
        <v>3804</v>
      </c>
      <c r="AF859" s="55"/>
      <c r="AG859" s="7"/>
      <c r="AH859" s="56">
        <v>237367</v>
      </c>
      <c r="AI859" s="56"/>
      <c r="AJ859" s="56"/>
      <c r="AK859" s="56"/>
    </row>
    <row r="860" spans="1:37" ht="13" x14ac:dyDescent="0.15">
      <c r="A860" s="57" t="s">
        <v>8540</v>
      </c>
      <c r="B860" s="31" t="s">
        <v>11856</v>
      </c>
      <c r="C860" s="7" t="s">
        <v>41</v>
      </c>
      <c r="D860" s="7" t="s">
        <v>12088</v>
      </c>
      <c r="E860" s="44">
        <v>5</v>
      </c>
      <c r="F860" s="7"/>
      <c r="G860" s="7"/>
      <c r="H860" s="2" t="s">
        <v>12044</v>
      </c>
      <c r="I860" s="7" t="s">
        <v>222</v>
      </c>
      <c r="J860" s="7" t="s">
        <v>12090</v>
      </c>
      <c r="K860" s="7" t="s">
        <v>120</v>
      </c>
      <c r="L860" s="7" t="s">
        <v>12093</v>
      </c>
      <c r="M860" s="7"/>
      <c r="N860" s="45" t="str">
        <f t="shared" si="714"/>
        <v>@fsufalconsftbll</v>
      </c>
      <c r="O860" s="74" t="str">
        <f t="shared" si="715"/>
        <v>Questionnaire</v>
      </c>
      <c r="P860" s="7" t="s">
        <v>12055</v>
      </c>
      <c r="Q860" s="57" t="s">
        <v>6197</v>
      </c>
      <c r="R860" s="48" t="s">
        <v>12056</v>
      </c>
      <c r="S860" s="48" t="s">
        <v>172</v>
      </c>
      <c r="T860" s="49" t="s">
        <v>74</v>
      </c>
      <c r="U860" s="49" t="s">
        <v>75</v>
      </c>
      <c r="V860" s="7"/>
      <c r="W860" s="44">
        <v>3.29</v>
      </c>
      <c r="X860" s="7" t="s">
        <v>2709</v>
      </c>
      <c r="Y860" s="7" t="s">
        <v>2709</v>
      </c>
      <c r="Z860" s="49" t="s">
        <v>449</v>
      </c>
      <c r="AA860" s="61">
        <v>0.65</v>
      </c>
      <c r="AB860" s="48" t="s">
        <v>12059</v>
      </c>
      <c r="AC860" s="62" t="s">
        <v>12055</v>
      </c>
      <c r="AD860" s="53" t="str">
        <f t="shared" si="716"/>
        <v>Link</v>
      </c>
      <c r="AE860" s="54">
        <v>3804</v>
      </c>
      <c r="AF860" s="55"/>
      <c r="AG860" s="7"/>
      <c r="AH860" s="56">
        <v>237367</v>
      </c>
      <c r="AI860" s="56"/>
      <c r="AJ860" s="56"/>
      <c r="AK860" s="56"/>
    </row>
    <row r="861" spans="1:37" ht="13" x14ac:dyDescent="0.15">
      <c r="A861" s="57" t="s">
        <v>8540</v>
      </c>
      <c r="B861" s="31" t="s">
        <v>11856</v>
      </c>
      <c r="C861" s="7" t="s">
        <v>41</v>
      </c>
      <c r="D861" s="7" t="s">
        <v>12102</v>
      </c>
      <c r="E861" s="44">
        <v>5</v>
      </c>
      <c r="F861" s="7"/>
      <c r="G861" s="7"/>
      <c r="H861" s="2" t="s">
        <v>12103</v>
      </c>
      <c r="I861" s="7" t="s">
        <v>435</v>
      </c>
      <c r="J861" s="7" t="s">
        <v>12104</v>
      </c>
      <c r="K861" s="7" t="s">
        <v>48</v>
      </c>
      <c r="L861" s="7" t="s">
        <v>12105</v>
      </c>
      <c r="M861" s="7" t="s">
        <v>12106</v>
      </c>
      <c r="N861" s="45" t="str">
        <f>HYPERLINK("twitter.com/ktunno3","@ktunno3")</f>
        <v>@ktunno3</v>
      </c>
      <c r="O861" s="74" t="str">
        <f t="shared" ref="O861:O862" si="717">HYPERLINK("https://www.cognitoforms.com/GlenvilleStateCollege1/pioneerathleticsrecruitmentquestionnaire","Questionnaire")</f>
        <v>Questionnaire</v>
      </c>
      <c r="P861" s="7" t="s">
        <v>12123</v>
      </c>
      <c r="Q861" s="57" t="s">
        <v>6197</v>
      </c>
      <c r="R861" s="48" t="s">
        <v>12125</v>
      </c>
      <c r="S861" s="60" t="s">
        <v>205</v>
      </c>
      <c r="T861" s="49" t="s">
        <v>74</v>
      </c>
      <c r="U861" s="49" t="s">
        <v>75</v>
      </c>
      <c r="V861" s="7"/>
      <c r="W861" s="44">
        <v>3.1</v>
      </c>
      <c r="X861" s="7" t="s">
        <v>1194</v>
      </c>
      <c r="Y861" s="7" t="s">
        <v>12126</v>
      </c>
      <c r="Z861" s="49" t="s">
        <v>3952</v>
      </c>
      <c r="AA861" s="61">
        <v>0.69</v>
      </c>
      <c r="AB861" s="48" t="s">
        <v>12128</v>
      </c>
      <c r="AC861" s="62" t="s">
        <v>12123</v>
      </c>
      <c r="AD861" s="53" t="str">
        <f t="shared" ref="AD861:AD862" si="718">HYPERLINK("http://www.glenville.edu/academics/degrees.php","Link")</f>
        <v>Link</v>
      </c>
      <c r="AE861" s="54">
        <v>1641</v>
      </c>
      <c r="AF861" s="55"/>
      <c r="AG861" s="7"/>
      <c r="AH861" s="56">
        <v>237385</v>
      </c>
      <c r="AI861" s="56"/>
      <c r="AJ861" s="56"/>
      <c r="AK861" s="56"/>
    </row>
    <row r="862" spans="1:37" ht="13" x14ac:dyDescent="0.15">
      <c r="A862" s="57" t="s">
        <v>8540</v>
      </c>
      <c r="B862" s="31" t="s">
        <v>11856</v>
      </c>
      <c r="C862" s="7" t="s">
        <v>41</v>
      </c>
      <c r="D862" s="7" t="s">
        <v>12131</v>
      </c>
      <c r="E862" s="44">
        <v>5</v>
      </c>
      <c r="F862" s="7"/>
      <c r="G862" s="7"/>
      <c r="H862" s="2" t="s">
        <v>12103</v>
      </c>
      <c r="I862" s="7" t="s">
        <v>1875</v>
      </c>
      <c r="J862" s="7" t="s">
        <v>12132</v>
      </c>
      <c r="K862" s="7" t="s">
        <v>55</v>
      </c>
      <c r="L862" s="7" t="s">
        <v>12133</v>
      </c>
      <c r="M862" s="7" t="s">
        <v>12106</v>
      </c>
      <c r="N862" s="48"/>
      <c r="O862" s="74" t="str">
        <f t="shared" si="717"/>
        <v>Questionnaire</v>
      </c>
      <c r="P862" s="7" t="s">
        <v>12123</v>
      </c>
      <c r="Q862" s="57" t="s">
        <v>6197</v>
      </c>
      <c r="R862" s="48" t="s">
        <v>12125</v>
      </c>
      <c r="S862" s="60" t="s">
        <v>205</v>
      </c>
      <c r="T862" s="49" t="s">
        <v>74</v>
      </c>
      <c r="U862" s="49" t="s">
        <v>75</v>
      </c>
      <c r="V862" s="7"/>
      <c r="W862" s="44">
        <v>3.1</v>
      </c>
      <c r="X862" s="7" t="s">
        <v>1194</v>
      </c>
      <c r="Y862" s="7" t="s">
        <v>12126</v>
      </c>
      <c r="Z862" s="49" t="s">
        <v>3952</v>
      </c>
      <c r="AA862" s="61">
        <v>0.69</v>
      </c>
      <c r="AB862" s="48" t="s">
        <v>12128</v>
      </c>
      <c r="AC862" s="62" t="s">
        <v>12123</v>
      </c>
      <c r="AD862" s="53" t="str">
        <f t="shared" si="718"/>
        <v>Link</v>
      </c>
      <c r="AE862" s="54">
        <v>1641</v>
      </c>
      <c r="AF862" s="55"/>
      <c r="AG862" s="7"/>
      <c r="AH862" s="56">
        <v>237385</v>
      </c>
      <c r="AI862" s="56"/>
      <c r="AJ862" s="56"/>
      <c r="AK862" s="56"/>
    </row>
    <row r="863" spans="1:37" ht="13" x14ac:dyDescent="0.15">
      <c r="A863" s="57" t="s">
        <v>5090</v>
      </c>
      <c r="B863" s="31" t="s">
        <v>11856</v>
      </c>
      <c r="C863" s="7" t="s">
        <v>41</v>
      </c>
      <c r="D863" s="7" t="s">
        <v>12142</v>
      </c>
      <c r="E863" s="44">
        <v>5</v>
      </c>
      <c r="F863" s="7"/>
      <c r="G863" s="7"/>
      <c r="H863" s="2" t="s">
        <v>12143</v>
      </c>
      <c r="I863" s="7" t="s">
        <v>5294</v>
      </c>
      <c r="J863" s="7" t="s">
        <v>2659</v>
      </c>
      <c r="K863" s="7" t="s">
        <v>48</v>
      </c>
      <c r="L863" s="7" t="s">
        <v>12144</v>
      </c>
      <c r="M863" s="7" t="s">
        <v>12145</v>
      </c>
      <c r="N863" s="45" t="str">
        <f t="shared" ref="N863:N865" si="719">HYPERLINK("twitter.com/ovusoftball17","@ovusoftball17")</f>
        <v>@ovusoftball17</v>
      </c>
      <c r="O863" s="74" t="str">
        <f t="shared" ref="O863:O865" si="720">HYPERLINK("https://fightingscots.ovu.edu/sb_output.aspx?form=6","Questionnaire")</f>
        <v>Questionnaire</v>
      </c>
      <c r="P863" s="7" t="s">
        <v>10210</v>
      </c>
      <c r="Q863" s="57" t="s">
        <v>6197</v>
      </c>
      <c r="R863" s="48" t="s">
        <v>12151</v>
      </c>
      <c r="S863" s="48" t="s">
        <v>172</v>
      </c>
      <c r="T863" s="49" t="s">
        <v>63</v>
      </c>
      <c r="U863" s="49" t="s">
        <v>686</v>
      </c>
      <c r="V863" s="7"/>
      <c r="W863" s="44">
        <v>3.17</v>
      </c>
      <c r="X863" s="7" t="s">
        <v>8538</v>
      </c>
      <c r="Y863" s="7" t="s">
        <v>3520</v>
      </c>
      <c r="Z863" s="49" t="s">
        <v>449</v>
      </c>
      <c r="AA863" s="61">
        <v>0.64</v>
      </c>
      <c r="AB863" s="71">
        <v>30910</v>
      </c>
      <c r="AC863" s="62" t="s">
        <v>10210</v>
      </c>
      <c r="AD863" s="53" t="str">
        <f t="shared" ref="AD863:AD865" si="721">HYPERLINK("https://ovu.edu/academics/majors.html","Link")</f>
        <v>Link</v>
      </c>
      <c r="AE863" s="54">
        <v>528</v>
      </c>
      <c r="AF863" s="55"/>
      <c r="AG863" s="7"/>
      <c r="AH863" s="56">
        <v>237640</v>
      </c>
      <c r="AI863" s="56"/>
      <c r="AJ863" s="56"/>
      <c r="AK863" s="56"/>
    </row>
    <row r="864" spans="1:37" ht="13" x14ac:dyDescent="0.15">
      <c r="A864" s="57" t="s">
        <v>5090</v>
      </c>
      <c r="B864" s="31" t="s">
        <v>11856</v>
      </c>
      <c r="C864" s="7" t="s">
        <v>41</v>
      </c>
      <c r="D864" s="7" t="s">
        <v>12158</v>
      </c>
      <c r="E864" s="44">
        <v>5</v>
      </c>
      <c r="F864" s="7"/>
      <c r="G864" s="7"/>
      <c r="H864" s="2" t="s">
        <v>12143</v>
      </c>
      <c r="I864" s="7" t="s">
        <v>754</v>
      </c>
      <c r="J864" s="7" t="s">
        <v>1906</v>
      </c>
      <c r="K864" s="7" t="s">
        <v>55</v>
      </c>
      <c r="L864" s="7" t="s">
        <v>12159</v>
      </c>
      <c r="M864" s="7" t="s">
        <v>12160</v>
      </c>
      <c r="N864" s="45" t="str">
        <f t="shared" si="719"/>
        <v>@ovusoftball17</v>
      </c>
      <c r="O864" s="74" t="str">
        <f t="shared" si="720"/>
        <v>Questionnaire</v>
      </c>
      <c r="P864" s="7" t="s">
        <v>10210</v>
      </c>
      <c r="Q864" s="57" t="s">
        <v>6197</v>
      </c>
      <c r="R864" s="48" t="s">
        <v>12151</v>
      </c>
      <c r="S864" s="48" t="s">
        <v>172</v>
      </c>
      <c r="T864" s="49" t="s">
        <v>63</v>
      </c>
      <c r="U864" s="49" t="s">
        <v>686</v>
      </c>
      <c r="V864" s="7"/>
      <c r="W864" s="44">
        <v>3.17</v>
      </c>
      <c r="X864" s="7" t="s">
        <v>8538</v>
      </c>
      <c r="Y864" s="7" t="s">
        <v>3520</v>
      </c>
      <c r="Z864" s="49" t="s">
        <v>449</v>
      </c>
      <c r="AA864" s="61">
        <v>0.64</v>
      </c>
      <c r="AB864" s="71">
        <v>30910</v>
      </c>
      <c r="AC864" s="62" t="s">
        <v>10210</v>
      </c>
      <c r="AD864" s="53" t="str">
        <f t="shared" si="721"/>
        <v>Link</v>
      </c>
      <c r="AE864" s="54">
        <v>528</v>
      </c>
      <c r="AF864" s="55"/>
      <c r="AG864" s="7"/>
      <c r="AH864" s="56">
        <v>237640</v>
      </c>
      <c r="AI864" s="56"/>
      <c r="AJ864" s="56"/>
      <c r="AK864" s="56"/>
    </row>
    <row r="865" spans="1:37" ht="13" x14ac:dyDescent="0.15">
      <c r="A865" s="57" t="s">
        <v>5090</v>
      </c>
      <c r="B865" s="31" t="s">
        <v>11856</v>
      </c>
      <c r="C865" s="7" t="s">
        <v>41</v>
      </c>
      <c r="D865" s="7" t="s">
        <v>12169</v>
      </c>
      <c r="E865" s="44">
        <v>5</v>
      </c>
      <c r="F865" s="7"/>
      <c r="G865" s="7"/>
      <c r="H865" s="2" t="s">
        <v>12143</v>
      </c>
      <c r="I865" s="7" t="s">
        <v>9108</v>
      </c>
      <c r="J865" s="7" t="s">
        <v>12170</v>
      </c>
      <c r="K865" s="7" t="s">
        <v>120</v>
      </c>
      <c r="L865" s="7" t="s">
        <v>12171</v>
      </c>
      <c r="M865" s="7"/>
      <c r="N865" s="45" t="str">
        <f t="shared" si="719"/>
        <v>@ovusoftball17</v>
      </c>
      <c r="O865" s="74" t="str">
        <f t="shared" si="720"/>
        <v>Questionnaire</v>
      </c>
      <c r="P865" s="7" t="s">
        <v>10210</v>
      </c>
      <c r="Q865" s="57" t="s">
        <v>6197</v>
      </c>
      <c r="R865" s="48" t="s">
        <v>12151</v>
      </c>
      <c r="S865" s="48" t="s">
        <v>172</v>
      </c>
      <c r="T865" s="49" t="s">
        <v>63</v>
      </c>
      <c r="U865" s="49" t="s">
        <v>686</v>
      </c>
      <c r="V865" s="7"/>
      <c r="W865" s="44">
        <v>3.17</v>
      </c>
      <c r="X865" s="7" t="s">
        <v>8538</v>
      </c>
      <c r="Y865" s="7" t="s">
        <v>3520</v>
      </c>
      <c r="Z865" s="49" t="s">
        <v>449</v>
      </c>
      <c r="AA865" s="61">
        <v>0.64</v>
      </c>
      <c r="AB865" s="71">
        <v>30910</v>
      </c>
      <c r="AC865" s="62" t="s">
        <v>10210</v>
      </c>
      <c r="AD865" s="53" t="str">
        <f t="shared" si="721"/>
        <v>Link</v>
      </c>
      <c r="AE865" s="54">
        <v>528</v>
      </c>
      <c r="AF865" s="55"/>
      <c r="AG865" s="7"/>
      <c r="AH865" s="56">
        <v>237640</v>
      </c>
      <c r="AI865" s="56"/>
      <c r="AJ865" s="56"/>
      <c r="AK865" s="56"/>
    </row>
    <row r="866" spans="1:37" ht="13" x14ac:dyDescent="0.15">
      <c r="A866" s="57" t="s">
        <v>12172</v>
      </c>
      <c r="B866" s="31" t="s">
        <v>11856</v>
      </c>
      <c r="C866" s="7" t="s">
        <v>41</v>
      </c>
      <c r="D866" s="7" t="s">
        <v>12173</v>
      </c>
      <c r="E866" s="44">
        <v>5</v>
      </c>
      <c r="F866" s="7"/>
      <c r="G866" s="7"/>
      <c r="H866" s="2" t="s">
        <v>12174</v>
      </c>
      <c r="I866" s="7" t="s">
        <v>363</v>
      </c>
      <c r="J866" s="7" t="s">
        <v>12175</v>
      </c>
      <c r="K866" s="7" t="s">
        <v>48</v>
      </c>
      <c r="L866" s="7" t="s">
        <v>12177</v>
      </c>
      <c r="M866" s="7" t="s">
        <v>12178</v>
      </c>
      <c r="N866" s="45" t="str">
        <f t="shared" ref="N866:N869" si="722">HYPERLINK("twitter.com/Softball_SalemU","@Softball_SalemU")</f>
        <v>@Softball_SalemU</v>
      </c>
      <c r="O866" s="74" t="str">
        <f t="shared" ref="O866:O869" si="723">HYPERLINK("https://salemtigers.com/staff.aspx","Questionnaire")</f>
        <v>Questionnaire</v>
      </c>
      <c r="P866" s="7" t="s">
        <v>12183</v>
      </c>
      <c r="Q866" s="57" t="s">
        <v>6197</v>
      </c>
      <c r="R866" s="48" t="s">
        <v>5684</v>
      </c>
      <c r="S866" s="60" t="s">
        <v>205</v>
      </c>
      <c r="T866" s="49" t="s">
        <v>63</v>
      </c>
      <c r="U866" s="49" t="s">
        <v>75</v>
      </c>
      <c r="V866" s="7"/>
      <c r="W866" s="7" t="s">
        <v>214</v>
      </c>
      <c r="X866" s="7" t="s">
        <v>214</v>
      </c>
      <c r="Y866" s="7" t="s">
        <v>214</v>
      </c>
      <c r="Z866" s="49" t="s">
        <v>214</v>
      </c>
      <c r="AA866" s="49" t="s">
        <v>214</v>
      </c>
      <c r="AB866" s="71">
        <v>25080</v>
      </c>
      <c r="AC866" s="62" t="s">
        <v>12183</v>
      </c>
      <c r="AD866" s="53" t="str">
        <f t="shared" ref="AD866:AD869" si="724">HYPERLINK("http://www.salemu.edu/programs","Link")</f>
        <v>Link</v>
      </c>
      <c r="AE866" s="54">
        <v>649</v>
      </c>
      <c r="AF866" s="55"/>
      <c r="AG866" s="7"/>
      <c r="AH866" s="56">
        <v>237783</v>
      </c>
      <c r="AI866" s="56"/>
      <c r="AJ866" s="56"/>
      <c r="AK866" s="56"/>
    </row>
    <row r="867" spans="1:37" ht="13" x14ac:dyDescent="0.15">
      <c r="A867" s="57" t="s">
        <v>12172</v>
      </c>
      <c r="B867" s="31" t="s">
        <v>11856</v>
      </c>
      <c r="C867" s="7" t="s">
        <v>41</v>
      </c>
      <c r="D867" s="7" t="s">
        <v>12191</v>
      </c>
      <c r="E867" s="44">
        <v>5</v>
      </c>
      <c r="F867" s="7"/>
      <c r="G867" s="7"/>
      <c r="H867" s="2" t="s">
        <v>12174</v>
      </c>
      <c r="I867" s="7" t="s">
        <v>1332</v>
      </c>
      <c r="J867" s="7" t="s">
        <v>2634</v>
      </c>
      <c r="K867" s="7" t="s">
        <v>55</v>
      </c>
      <c r="L867" s="7" t="s">
        <v>12193</v>
      </c>
      <c r="M867" s="7"/>
      <c r="N867" s="45" t="str">
        <f t="shared" si="722"/>
        <v>@Softball_SalemU</v>
      </c>
      <c r="O867" s="74" t="str">
        <f t="shared" si="723"/>
        <v>Questionnaire</v>
      </c>
      <c r="P867" s="7" t="s">
        <v>12183</v>
      </c>
      <c r="Q867" s="57" t="s">
        <v>6197</v>
      </c>
      <c r="R867" s="48" t="s">
        <v>5684</v>
      </c>
      <c r="S867" s="60" t="s">
        <v>205</v>
      </c>
      <c r="T867" s="49" t="s">
        <v>63</v>
      </c>
      <c r="U867" s="49" t="s">
        <v>75</v>
      </c>
      <c r="V867" s="7"/>
      <c r="W867" s="7" t="s">
        <v>214</v>
      </c>
      <c r="X867" s="7" t="s">
        <v>214</v>
      </c>
      <c r="Y867" s="7" t="s">
        <v>214</v>
      </c>
      <c r="Z867" s="49" t="s">
        <v>214</v>
      </c>
      <c r="AA867" s="49" t="s">
        <v>214</v>
      </c>
      <c r="AB867" s="71">
        <v>25080</v>
      </c>
      <c r="AC867" s="62" t="s">
        <v>12183</v>
      </c>
      <c r="AD867" s="53" t="str">
        <f t="shared" si="724"/>
        <v>Link</v>
      </c>
      <c r="AE867" s="54">
        <v>649</v>
      </c>
      <c r="AF867" s="55"/>
      <c r="AG867" s="7"/>
      <c r="AH867" s="56">
        <v>237783</v>
      </c>
      <c r="AI867" s="56"/>
      <c r="AJ867" s="56"/>
      <c r="AK867" s="56"/>
    </row>
    <row r="868" spans="1:37" ht="13" x14ac:dyDescent="0.15">
      <c r="A868" s="57" t="s">
        <v>12172</v>
      </c>
      <c r="B868" s="31" t="s">
        <v>11856</v>
      </c>
      <c r="C868" s="7" t="s">
        <v>41</v>
      </c>
      <c r="D868" s="7" t="s">
        <v>12200</v>
      </c>
      <c r="E868" s="58">
        <v>5</v>
      </c>
      <c r="F868" s="7" t="s">
        <v>116</v>
      </c>
      <c r="G868" s="7"/>
      <c r="H868" s="2" t="s">
        <v>12174</v>
      </c>
      <c r="I868" s="7" t="s">
        <v>12201</v>
      </c>
      <c r="J868" s="7" t="s">
        <v>2420</v>
      </c>
      <c r="K868" s="7" t="s">
        <v>120</v>
      </c>
      <c r="L868" s="7"/>
      <c r="M868" s="7"/>
      <c r="N868" s="45" t="str">
        <f t="shared" si="722"/>
        <v>@Softball_SalemU</v>
      </c>
      <c r="O868" s="74" t="str">
        <f t="shared" si="723"/>
        <v>Questionnaire</v>
      </c>
      <c r="P868" s="7" t="s">
        <v>12183</v>
      </c>
      <c r="Q868" s="57" t="s">
        <v>6197</v>
      </c>
      <c r="R868" s="48" t="s">
        <v>5684</v>
      </c>
      <c r="S868" s="60" t="s">
        <v>205</v>
      </c>
      <c r="T868" s="49" t="s">
        <v>63</v>
      </c>
      <c r="U868" s="49" t="s">
        <v>75</v>
      </c>
      <c r="V868" s="7"/>
      <c r="W868" s="7" t="s">
        <v>214</v>
      </c>
      <c r="X868" s="7" t="s">
        <v>214</v>
      </c>
      <c r="Y868" s="7" t="s">
        <v>214</v>
      </c>
      <c r="Z868" s="49" t="s">
        <v>214</v>
      </c>
      <c r="AA868" s="49" t="s">
        <v>214</v>
      </c>
      <c r="AB868" s="71">
        <v>25080</v>
      </c>
      <c r="AC868" s="62" t="s">
        <v>12183</v>
      </c>
      <c r="AD868" s="53" t="str">
        <f t="shared" si="724"/>
        <v>Link</v>
      </c>
      <c r="AE868" s="54">
        <v>649</v>
      </c>
      <c r="AF868" s="55"/>
      <c r="AG868" s="7"/>
      <c r="AH868" s="111">
        <v>237783</v>
      </c>
      <c r="AI868" s="59"/>
      <c r="AJ868" s="59"/>
      <c r="AK868" s="56"/>
    </row>
    <row r="869" spans="1:37" ht="13" x14ac:dyDescent="0.15">
      <c r="A869" s="57" t="s">
        <v>12172</v>
      </c>
      <c r="B869" s="31" t="s">
        <v>11856</v>
      </c>
      <c r="C869" s="7" t="s">
        <v>41</v>
      </c>
      <c r="D869" s="7" t="s">
        <v>12209</v>
      </c>
      <c r="E869" s="58">
        <v>5</v>
      </c>
      <c r="F869" s="7" t="s">
        <v>116</v>
      </c>
      <c r="G869" s="7"/>
      <c r="H869" s="2" t="s">
        <v>12174</v>
      </c>
      <c r="I869" s="7" t="s">
        <v>12212</v>
      </c>
      <c r="J869" s="7" t="s">
        <v>8306</v>
      </c>
      <c r="K869" s="7" t="s">
        <v>120</v>
      </c>
      <c r="L869" s="7"/>
      <c r="M869" s="7"/>
      <c r="N869" s="45" t="str">
        <f t="shared" si="722"/>
        <v>@Softball_SalemU</v>
      </c>
      <c r="O869" s="74" t="str">
        <f t="shared" si="723"/>
        <v>Questionnaire</v>
      </c>
      <c r="P869" s="7" t="s">
        <v>12183</v>
      </c>
      <c r="Q869" s="57" t="s">
        <v>6197</v>
      </c>
      <c r="R869" s="48" t="s">
        <v>5684</v>
      </c>
      <c r="S869" s="60" t="s">
        <v>205</v>
      </c>
      <c r="T869" s="49" t="s">
        <v>63</v>
      </c>
      <c r="U869" s="49" t="s">
        <v>75</v>
      </c>
      <c r="V869" s="7"/>
      <c r="W869" s="7" t="s">
        <v>214</v>
      </c>
      <c r="X869" s="7" t="s">
        <v>214</v>
      </c>
      <c r="Y869" s="7" t="s">
        <v>214</v>
      </c>
      <c r="Z869" s="49" t="s">
        <v>214</v>
      </c>
      <c r="AA869" s="49" t="s">
        <v>214</v>
      </c>
      <c r="AB869" s="71">
        <v>25080</v>
      </c>
      <c r="AC869" s="62" t="s">
        <v>12183</v>
      </c>
      <c r="AD869" s="53" t="str">
        <f t="shared" si="724"/>
        <v>Link</v>
      </c>
      <c r="AE869" s="54">
        <v>649</v>
      </c>
      <c r="AF869" s="55"/>
      <c r="AG869" s="7"/>
      <c r="AH869" s="111">
        <v>237783</v>
      </c>
      <c r="AI869" s="59"/>
      <c r="AJ869" s="59"/>
      <c r="AK869" s="56"/>
    </row>
    <row r="870" spans="1:37" ht="13" x14ac:dyDescent="0.15">
      <c r="A870" s="57" t="s">
        <v>9297</v>
      </c>
      <c r="B870" s="31" t="s">
        <v>11856</v>
      </c>
      <c r="C870" s="7" t="s">
        <v>41</v>
      </c>
      <c r="D870" s="7" t="s">
        <v>12220</v>
      </c>
      <c r="E870" s="44">
        <v>5</v>
      </c>
      <c r="F870" s="7"/>
      <c r="G870" s="7"/>
      <c r="H870" s="2" t="s">
        <v>12222</v>
      </c>
      <c r="I870" s="7" t="s">
        <v>750</v>
      </c>
      <c r="J870" s="7" t="s">
        <v>789</v>
      </c>
      <c r="K870" s="7" t="s">
        <v>48</v>
      </c>
      <c r="L870" s="7" t="s">
        <v>12224</v>
      </c>
      <c r="M870" s="7" t="s">
        <v>12226</v>
      </c>
      <c r="N870" s="45" t="str">
        <f t="shared" ref="N870:N871" si="725">HYPERLINK("twitter.com/suramssoftball","@suramssoftball")</f>
        <v>@suramssoftball</v>
      </c>
      <c r="O870" s="74" t="str">
        <f t="shared" ref="O870:O871" si="726">HYPERLINK("https://questionnaires.armssoftware.com/39350d2320a7","Questionnaire")</f>
        <v>Questionnaire</v>
      </c>
      <c r="P870" s="7" t="s">
        <v>12229</v>
      </c>
      <c r="Q870" s="57" t="s">
        <v>6197</v>
      </c>
      <c r="R870" s="48" t="s">
        <v>12230</v>
      </c>
      <c r="S870" s="60" t="s">
        <v>205</v>
      </c>
      <c r="T870" s="49" t="s">
        <v>74</v>
      </c>
      <c r="U870" s="49" t="s">
        <v>75</v>
      </c>
      <c r="V870" s="7"/>
      <c r="W870" s="44">
        <v>3.34</v>
      </c>
      <c r="X870" s="7" t="s">
        <v>1144</v>
      </c>
      <c r="Y870" s="7" t="s">
        <v>253</v>
      </c>
      <c r="Z870" s="49" t="s">
        <v>125</v>
      </c>
      <c r="AA870" s="61">
        <v>0.92</v>
      </c>
      <c r="AB870" s="48" t="s">
        <v>12236</v>
      </c>
      <c r="AC870" s="62" t="s">
        <v>12229</v>
      </c>
      <c r="AD870" s="53" t="str">
        <f t="shared" ref="AD870:AD871" si="727">HYPERLINK("http://www.shepherd.edu/admissions/majors-and-minors/","Link")</f>
        <v>Link</v>
      </c>
      <c r="AE870" s="54">
        <v>3436</v>
      </c>
      <c r="AF870" s="55"/>
      <c r="AG870" s="7"/>
      <c r="AH870" s="56">
        <v>237792</v>
      </c>
      <c r="AI870" s="56"/>
      <c r="AJ870" s="56"/>
      <c r="AK870" s="56"/>
    </row>
    <row r="871" spans="1:37" ht="13" x14ac:dyDescent="0.15">
      <c r="A871" s="57" t="s">
        <v>9297</v>
      </c>
      <c r="B871" s="31" t="s">
        <v>11856</v>
      </c>
      <c r="C871" s="7" t="s">
        <v>41</v>
      </c>
      <c r="D871" s="7" t="s">
        <v>12239</v>
      </c>
      <c r="E871" s="44">
        <v>5</v>
      </c>
      <c r="F871" s="7"/>
      <c r="G871" s="7"/>
      <c r="H871" s="2" t="s">
        <v>12222</v>
      </c>
      <c r="I871" s="7" t="s">
        <v>7081</v>
      </c>
      <c r="J871" s="7" t="s">
        <v>12241</v>
      </c>
      <c r="K871" s="7" t="s">
        <v>55</v>
      </c>
      <c r="L871" s="7" t="s">
        <v>12242</v>
      </c>
      <c r="M871" s="7"/>
      <c r="N871" s="45" t="str">
        <f t="shared" si="725"/>
        <v>@suramssoftball</v>
      </c>
      <c r="O871" s="74" t="str">
        <f t="shared" si="726"/>
        <v>Questionnaire</v>
      </c>
      <c r="P871" s="7" t="s">
        <v>12229</v>
      </c>
      <c r="Q871" s="57" t="s">
        <v>6197</v>
      </c>
      <c r="R871" s="48" t="s">
        <v>12230</v>
      </c>
      <c r="S871" s="60" t="s">
        <v>205</v>
      </c>
      <c r="T871" s="49" t="s">
        <v>74</v>
      </c>
      <c r="U871" s="49" t="s">
        <v>75</v>
      </c>
      <c r="V871" s="7"/>
      <c r="W871" s="44">
        <v>3.34</v>
      </c>
      <c r="X871" s="7" t="s">
        <v>1144</v>
      </c>
      <c r="Y871" s="7" t="s">
        <v>253</v>
      </c>
      <c r="Z871" s="49" t="s">
        <v>125</v>
      </c>
      <c r="AA871" s="61">
        <v>0.92</v>
      </c>
      <c r="AB871" s="48" t="s">
        <v>12236</v>
      </c>
      <c r="AC871" s="62" t="s">
        <v>12229</v>
      </c>
      <c r="AD871" s="53" t="str">
        <f t="shared" si="727"/>
        <v>Link</v>
      </c>
      <c r="AE871" s="54">
        <v>3436</v>
      </c>
      <c r="AF871" s="55"/>
      <c r="AG871" s="7"/>
      <c r="AH871" s="56">
        <v>237792</v>
      </c>
      <c r="AI871" s="56"/>
      <c r="AJ871" s="56"/>
      <c r="AK871" s="56"/>
    </row>
    <row r="872" spans="1:37" ht="13" x14ac:dyDescent="0.15">
      <c r="A872" s="57" t="s">
        <v>8540</v>
      </c>
      <c r="B872" s="31" t="s">
        <v>11856</v>
      </c>
      <c r="C872" s="7" t="s">
        <v>41</v>
      </c>
      <c r="D872" s="7" t="s">
        <v>12249</v>
      </c>
      <c r="E872" s="44">
        <v>5</v>
      </c>
      <c r="F872" s="7"/>
      <c r="G872" s="7"/>
      <c r="H872" s="2" t="s">
        <v>12250</v>
      </c>
      <c r="I872" s="7" t="s">
        <v>7097</v>
      </c>
      <c r="J872" s="7" t="s">
        <v>12252</v>
      </c>
      <c r="K872" s="7" t="s">
        <v>48</v>
      </c>
      <c r="L872" s="7" t="s">
        <v>12254</v>
      </c>
      <c r="M872" s="7" t="s">
        <v>12255</v>
      </c>
      <c r="N872" s="45" t="str">
        <f t="shared" ref="N872:N873" si="728">HYPERLINK("twitter.com/westlibertysb","@westlibertysb")</f>
        <v>@westlibertysb</v>
      </c>
      <c r="O872" s="74" t="str">
        <f t="shared" ref="O872:O873" si="729">HYPERLINK("https://hilltoppersports.com/sb_output.aspx?form=3","Questionnaire")</f>
        <v>Questionnaire</v>
      </c>
      <c r="P872" s="7" t="s">
        <v>12260</v>
      </c>
      <c r="Q872" s="57" t="s">
        <v>6197</v>
      </c>
      <c r="R872" s="48" t="s">
        <v>12260</v>
      </c>
      <c r="S872" s="60" t="s">
        <v>205</v>
      </c>
      <c r="T872" s="73" t="s">
        <v>74</v>
      </c>
      <c r="U872" s="49" t="s">
        <v>75</v>
      </c>
      <c r="V872" s="7"/>
      <c r="W872" s="44">
        <v>3.35</v>
      </c>
      <c r="X872" s="7" t="s">
        <v>8138</v>
      </c>
      <c r="Y872" s="7" t="s">
        <v>3613</v>
      </c>
      <c r="Z872" s="49" t="s">
        <v>449</v>
      </c>
      <c r="AA872" s="61">
        <v>0.72</v>
      </c>
      <c r="AB872" s="48" t="s">
        <v>12263</v>
      </c>
      <c r="AC872" s="62" t="s">
        <v>12260</v>
      </c>
      <c r="AD872" s="53" t="str">
        <f t="shared" ref="AD872:AD873" si="730">HYPERLINK("https://westliberty.edu/academics/programs-of-study/","Link")</f>
        <v>Link</v>
      </c>
      <c r="AE872" s="54">
        <v>2109</v>
      </c>
      <c r="AF872" s="55"/>
      <c r="AG872" s="7"/>
      <c r="AH872" s="56">
        <v>237932</v>
      </c>
      <c r="AI872" s="56"/>
      <c r="AJ872" s="56"/>
      <c r="AK872" s="56"/>
    </row>
    <row r="873" spans="1:37" ht="13" x14ac:dyDescent="0.15">
      <c r="A873" s="57" t="s">
        <v>8540</v>
      </c>
      <c r="B873" s="31" t="s">
        <v>11856</v>
      </c>
      <c r="C873" s="7" t="s">
        <v>41</v>
      </c>
      <c r="D873" s="7" t="s">
        <v>12267</v>
      </c>
      <c r="E873" s="44">
        <v>5</v>
      </c>
      <c r="F873" s="7"/>
      <c r="G873" s="7"/>
      <c r="H873" s="2" t="s">
        <v>12250</v>
      </c>
      <c r="I873" s="7" t="s">
        <v>12268</v>
      </c>
      <c r="J873" s="7" t="s">
        <v>12269</v>
      </c>
      <c r="K873" s="7" t="s">
        <v>120</v>
      </c>
      <c r="L873" s="7"/>
      <c r="M873" s="7"/>
      <c r="N873" s="45" t="str">
        <f t="shared" si="728"/>
        <v>@westlibertysb</v>
      </c>
      <c r="O873" s="74" t="str">
        <f t="shared" si="729"/>
        <v>Questionnaire</v>
      </c>
      <c r="P873" s="7" t="s">
        <v>12260</v>
      </c>
      <c r="Q873" s="57" t="s">
        <v>6197</v>
      </c>
      <c r="R873" s="48" t="s">
        <v>12260</v>
      </c>
      <c r="S873" s="60" t="s">
        <v>205</v>
      </c>
      <c r="T873" s="73" t="s">
        <v>74</v>
      </c>
      <c r="U873" s="49" t="s">
        <v>75</v>
      </c>
      <c r="V873" s="7"/>
      <c r="W873" s="44">
        <v>3.35</v>
      </c>
      <c r="X873" s="7" t="s">
        <v>8138</v>
      </c>
      <c r="Y873" s="7" t="s">
        <v>3613</v>
      </c>
      <c r="Z873" s="49" t="s">
        <v>449</v>
      </c>
      <c r="AA873" s="61">
        <v>0.72</v>
      </c>
      <c r="AB873" s="48" t="s">
        <v>12263</v>
      </c>
      <c r="AC873" s="62" t="s">
        <v>12260</v>
      </c>
      <c r="AD873" s="53" t="str">
        <f t="shared" si="730"/>
        <v>Link</v>
      </c>
      <c r="AE873" s="54">
        <v>2109</v>
      </c>
      <c r="AF873" s="55"/>
      <c r="AG873" s="7"/>
      <c r="AH873" s="56">
        <v>237932</v>
      </c>
      <c r="AI873" s="56"/>
      <c r="AJ873" s="56"/>
      <c r="AK873" s="56"/>
    </row>
    <row r="874" spans="1:37" ht="13" x14ac:dyDescent="0.15">
      <c r="A874" s="57" t="s">
        <v>8540</v>
      </c>
      <c r="B874" s="31" t="s">
        <v>11856</v>
      </c>
      <c r="C874" s="7" t="s">
        <v>41</v>
      </c>
      <c r="D874" s="7" t="s">
        <v>12277</v>
      </c>
      <c r="E874" s="44">
        <v>5</v>
      </c>
      <c r="F874" s="7"/>
      <c r="G874" s="7"/>
      <c r="H874" s="2" t="s">
        <v>12278</v>
      </c>
      <c r="I874" s="7" t="s">
        <v>3700</v>
      </c>
      <c r="J874" s="7" t="s">
        <v>12279</v>
      </c>
      <c r="K874" s="7" t="s">
        <v>48</v>
      </c>
      <c r="L874" s="7" t="s">
        <v>12280</v>
      </c>
      <c r="M874" s="7" t="s">
        <v>12282</v>
      </c>
      <c r="N874" s="45" t="str">
        <f>HYPERLINK("twitter.com/CoachBest_WVSU","@CoachBest_WVSU")</f>
        <v>@CoachBest_WVSU</v>
      </c>
      <c r="O874" s="74" t="str">
        <f t="shared" ref="O874:O876" si="731">HYPERLINK("https://wvsuyellowjackets.com/sb_output.aspx?form=3","Questionnaire")</f>
        <v>Questionnaire</v>
      </c>
      <c r="P874" s="7" t="s">
        <v>12289</v>
      </c>
      <c r="Q874" s="57" t="s">
        <v>6197</v>
      </c>
      <c r="R874" s="48" t="s">
        <v>12290</v>
      </c>
      <c r="S874" s="60" t="s">
        <v>205</v>
      </c>
      <c r="T874" s="49" t="s">
        <v>74</v>
      </c>
      <c r="U874" s="49" t="s">
        <v>75</v>
      </c>
      <c r="V874" s="7" t="s">
        <v>212</v>
      </c>
      <c r="W874" s="44">
        <v>3.13</v>
      </c>
      <c r="X874" s="7" t="s">
        <v>12293</v>
      </c>
      <c r="Y874" s="7" t="s">
        <v>8538</v>
      </c>
      <c r="Z874" s="49" t="s">
        <v>1948</v>
      </c>
      <c r="AA874" s="61">
        <v>0.96</v>
      </c>
      <c r="AB874" s="48" t="s">
        <v>12296</v>
      </c>
      <c r="AC874" s="62" t="s">
        <v>12289</v>
      </c>
      <c r="AD874" s="53" t="str">
        <f t="shared" ref="AD874:AD876" si="732">HYPERLINK("http://www.wvstateu.edu/Academics/Academic-Degrees.aspx","Link")</f>
        <v>Link</v>
      </c>
      <c r="AE874" s="54">
        <v>3433</v>
      </c>
      <c r="AF874" s="55"/>
      <c r="AG874" s="7"/>
      <c r="AH874" s="56">
        <v>237899</v>
      </c>
      <c r="AI874" s="56"/>
      <c r="AJ874" s="56"/>
      <c r="AK874" s="56"/>
    </row>
    <row r="875" spans="1:37" ht="13" x14ac:dyDescent="0.15">
      <c r="A875" s="57" t="s">
        <v>8540</v>
      </c>
      <c r="B875" s="31" t="s">
        <v>11856</v>
      </c>
      <c r="C875" s="7" t="s">
        <v>41</v>
      </c>
      <c r="D875" s="7" t="s">
        <v>12302</v>
      </c>
      <c r="E875" s="44">
        <v>5</v>
      </c>
      <c r="F875" s="7" t="s">
        <v>116</v>
      </c>
      <c r="G875" s="7"/>
      <c r="H875" s="2" t="s">
        <v>12278</v>
      </c>
      <c r="I875" s="7" t="s">
        <v>12310</v>
      </c>
      <c r="J875" s="7" t="s">
        <v>894</v>
      </c>
      <c r="K875" s="7" t="s">
        <v>55</v>
      </c>
      <c r="L875" s="7"/>
      <c r="M875" s="7"/>
      <c r="N875" s="45" t="str">
        <f t="shared" ref="N875:N876" si="733">HYPERLINK("twitter.com/wvsu_gojackets","@wvsu_gojackets")</f>
        <v>@wvsu_gojackets</v>
      </c>
      <c r="O875" s="74" t="str">
        <f t="shared" si="731"/>
        <v>Questionnaire</v>
      </c>
      <c r="P875" s="7" t="s">
        <v>12289</v>
      </c>
      <c r="Q875" s="57" t="s">
        <v>6197</v>
      </c>
      <c r="R875" s="48" t="s">
        <v>12290</v>
      </c>
      <c r="S875" s="60" t="s">
        <v>205</v>
      </c>
      <c r="T875" s="49" t="s">
        <v>74</v>
      </c>
      <c r="U875" s="49" t="s">
        <v>75</v>
      </c>
      <c r="V875" s="7" t="s">
        <v>212</v>
      </c>
      <c r="W875" s="44">
        <v>3.13</v>
      </c>
      <c r="X875" s="7" t="s">
        <v>12293</v>
      </c>
      <c r="Y875" s="7" t="s">
        <v>8538</v>
      </c>
      <c r="Z875" s="49" t="s">
        <v>1948</v>
      </c>
      <c r="AA875" s="61">
        <v>0.96</v>
      </c>
      <c r="AB875" s="48" t="s">
        <v>12296</v>
      </c>
      <c r="AC875" s="62" t="s">
        <v>12289</v>
      </c>
      <c r="AD875" s="53" t="str">
        <f t="shared" si="732"/>
        <v>Link</v>
      </c>
      <c r="AE875" s="54">
        <v>3433</v>
      </c>
      <c r="AF875" s="55"/>
      <c r="AG875" s="7"/>
      <c r="AH875" s="56">
        <v>237899</v>
      </c>
      <c r="AI875" s="56"/>
      <c r="AJ875" s="56"/>
      <c r="AK875" s="56"/>
    </row>
    <row r="876" spans="1:37" ht="13" x14ac:dyDescent="0.15">
      <c r="A876" s="57" t="s">
        <v>8540</v>
      </c>
      <c r="B876" s="31" t="s">
        <v>11856</v>
      </c>
      <c r="C876" s="7" t="s">
        <v>41</v>
      </c>
      <c r="D876" s="7" t="s">
        <v>12320</v>
      </c>
      <c r="E876" s="44">
        <v>5</v>
      </c>
      <c r="F876" s="7"/>
      <c r="G876" s="7"/>
      <c r="H876" s="2" t="s">
        <v>12278</v>
      </c>
      <c r="I876" s="7" t="s">
        <v>1764</v>
      </c>
      <c r="J876" s="7" t="s">
        <v>12321</v>
      </c>
      <c r="K876" s="7" t="s">
        <v>120</v>
      </c>
      <c r="L876" s="7" t="s">
        <v>12322</v>
      </c>
      <c r="M876" s="7"/>
      <c r="N876" s="45" t="str">
        <f t="shared" si="733"/>
        <v>@wvsu_gojackets</v>
      </c>
      <c r="O876" s="74" t="str">
        <f t="shared" si="731"/>
        <v>Questionnaire</v>
      </c>
      <c r="P876" s="7" t="s">
        <v>12289</v>
      </c>
      <c r="Q876" s="57" t="s">
        <v>6197</v>
      </c>
      <c r="R876" s="48" t="s">
        <v>12290</v>
      </c>
      <c r="S876" s="60" t="s">
        <v>205</v>
      </c>
      <c r="T876" s="49" t="s">
        <v>74</v>
      </c>
      <c r="U876" s="49" t="s">
        <v>75</v>
      </c>
      <c r="V876" s="7" t="s">
        <v>212</v>
      </c>
      <c r="W876" s="44">
        <v>3.13</v>
      </c>
      <c r="X876" s="7" t="s">
        <v>12293</v>
      </c>
      <c r="Y876" s="7" t="s">
        <v>8538</v>
      </c>
      <c r="Z876" s="49" t="s">
        <v>1948</v>
      </c>
      <c r="AA876" s="61">
        <v>0.96</v>
      </c>
      <c r="AB876" s="48" t="s">
        <v>12296</v>
      </c>
      <c r="AC876" s="62" t="s">
        <v>12289</v>
      </c>
      <c r="AD876" s="53" t="str">
        <f t="shared" si="732"/>
        <v>Link</v>
      </c>
      <c r="AE876" s="54">
        <v>3433</v>
      </c>
      <c r="AF876" s="55"/>
      <c r="AG876" s="7"/>
      <c r="AH876" s="56">
        <v>237899</v>
      </c>
      <c r="AI876" s="56"/>
      <c r="AJ876" s="56"/>
      <c r="AK876" s="56"/>
    </row>
    <row r="877" spans="1:37" ht="13" x14ac:dyDescent="0.15">
      <c r="A877" s="57" t="s">
        <v>8540</v>
      </c>
      <c r="B877" s="31" t="s">
        <v>11856</v>
      </c>
      <c r="C877" s="7" t="s">
        <v>41</v>
      </c>
      <c r="D877" s="7" t="s">
        <v>12328</v>
      </c>
      <c r="E877" s="44">
        <v>5</v>
      </c>
      <c r="F877" s="7"/>
      <c r="G877" s="7"/>
      <c r="H877" s="2" t="s">
        <v>12330</v>
      </c>
      <c r="I877" s="7" t="s">
        <v>363</v>
      </c>
      <c r="J877" s="7" t="s">
        <v>12333</v>
      </c>
      <c r="K877" s="7" t="s">
        <v>48</v>
      </c>
      <c r="L877" s="7" t="s">
        <v>12334</v>
      </c>
      <c r="M877" s="7" t="s">
        <v>12335</v>
      </c>
      <c r="N877" s="45" t="str">
        <f t="shared" ref="N877:N880" si="734">HYPERLINK("twitter.com/wvwcsoftball","@wvwcsoftball")</f>
        <v>@wvwcsoftball</v>
      </c>
      <c r="O877" s="74" t="str">
        <f t="shared" ref="O877:O880" si="735">HYPERLINK("twitter.com/https://wesleyanbobcats.com/index.aspx?path=softball","Questionnaire")</f>
        <v>Questionnaire</v>
      </c>
      <c r="P877" s="7" t="s">
        <v>12339</v>
      </c>
      <c r="Q877" s="57" t="s">
        <v>6197</v>
      </c>
      <c r="R877" s="48" t="s">
        <v>12340</v>
      </c>
      <c r="S877" s="60" t="s">
        <v>205</v>
      </c>
      <c r="T877" s="49" t="s">
        <v>63</v>
      </c>
      <c r="U877" s="49" t="s">
        <v>65</v>
      </c>
      <c r="V877" s="7"/>
      <c r="W877" s="44">
        <v>3.54</v>
      </c>
      <c r="X877" s="7" t="s">
        <v>1628</v>
      </c>
      <c r="Y877" s="7" t="s">
        <v>356</v>
      </c>
      <c r="Z877" s="49" t="s">
        <v>1994</v>
      </c>
      <c r="AA877" s="61">
        <v>0.77</v>
      </c>
      <c r="AB877" s="71">
        <v>44065</v>
      </c>
      <c r="AC877" s="62" t="s">
        <v>12339</v>
      </c>
      <c r="AD877" s="53" t="str">
        <f t="shared" ref="AD877:AD880" si="736">HYPERLINK("https://www.wvwc.edu/academics/majors-minors/","Link")</f>
        <v>Link</v>
      </c>
      <c r="AE877" s="54">
        <v>1396</v>
      </c>
      <c r="AF877" s="55"/>
      <c r="AG877" s="7"/>
      <c r="AH877" s="56">
        <v>237969</v>
      </c>
      <c r="AI877" s="56"/>
      <c r="AJ877" s="56"/>
      <c r="AK877" s="56"/>
    </row>
    <row r="878" spans="1:37" ht="13" x14ac:dyDescent="0.15">
      <c r="A878" s="57" t="s">
        <v>8540</v>
      </c>
      <c r="B878" s="31" t="s">
        <v>11856</v>
      </c>
      <c r="C878" s="7" t="s">
        <v>41</v>
      </c>
      <c r="D878" s="7" t="s">
        <v>12347</v>
      </c>
      <c r="E878" s="44">
        <v>5</v>
      </c>
      <c r="F878" s="7"/>
      <c r="G878" s="7"/>
      <c r="H878" s="2" t="s">
        <v>12330</v>
      </c>
      <c r="I878" s="7" t="s">
        <v>481</v>
      </c>
      <c r="J878" s="7" t="s">
        <v>3020</v>
      </c>
      <c r="K878" s="7" t="s">
        <v>55</v>
      </c>
      <c r="L878" s="7"/>
      <c r="M878" s="7"/>
      <c r="N878" s="45" t="str">
        <f t="shared" si="734"/>
        <v>@wvwcsoftball</v>
      </c>
      <c r="O878" s="74" t="str">
        <f t="shared" si="735"/>
        <v>Questionnaire</v>
      </c>
      <c r="P878" s="7" t="s">
        <v>12339</v>
      </c>
      <c r="Q878" s="57" t="s">
        <v>6197</v>
      </c>
      <c r="R878" s="48" t="s">
        <v>12340</v>
      </c>
      <c r="S878" s="60" t="s">
        <v>205</v>
      </c>
      <c r="T878" s="49" t="s">
        <v>63</v>
      </c>
      <c r="U878" s="49" t="s">
        <v>65</v>
      </c>
      <c r="V878" s="7"/>
      <c r="W878" s="44">
        <v>3.54</v>
      </c>
      <c r="X878" s="7" t="s">
        <v>1628</v>
      </c>
      <c r="Y878" s="7" t="s">
        <v>356</v>
      </c>
      <c r="Z878" s="49" t="s">
        <v>1994</v>
      </c>
      <c r="AA878" s="61">
        <v>0.77</v>
      </c>
      <c r="AB878" s="71">
        <v>44065</v>
      </c>
      <c r="AC878" s="62" t="s">
        <v>12339</v>
      </c>
      <c r="AD878" s="53" t="str">
        <f t="shared" si="736"/>
        <v>Link</v>
      </c>
      <c r="AE878" s="54">
        <v>1396</v>
      </c>
      <c r="AF878" s="55"/>
      <c r="AG878" s="7"/>
      <c r="AH878" s="56">
        <v>237969</v>
      </c>
      <c r="AI878" s="56"/>
      <c r="AJ878" s="56"/>
      <c r="AK878" s="56"/>
    </row>
    <row r="879" spans="1:37" ht="13" x14ac:dyDescent="0.15">
      <c r="A879" s="57" t="s">
        <v>8540</v>
      </c>
      <c r="B879" s="31" t="s">
        <v>11856</v>
      </c>
      <c r="C879" s="7" t="s">
        <v>41</v>
      </c>
      <c r="D879" s="7" t="s">
        <v>12356</v>
      </c>
      <c r="E879" s="44">
        <v>5</v>
      </c>
      <c r="F879" s="7"/>
      <c r="G879" s="7"/>
      <c r="H879" s="2" t="s">
        <v>12330</v>
      </c>
      <c r="I879" s="7" t="s">
        <v>4382</v>
      </c>
      <c r="J879" s="7" t="s">
        <v>11338</v>
      </c>
      <c r="K879" s="7" t="s">
        <v>55</v>
      </c>
      <c r="L879" s="7"/>
      <c r="M879" s="7"/>
      <c r="N879" s="45" t="str">
        <f t="shared" si="734"/>
        <v>@wvwcsoftball</v>
      </c>
      <c r="O879" s="74" t="str">
        <f t="shared" si="735"/>
        <v>Questionnaire</v>
      </c>
      <c r="P879" s="7" t="s">
        <v>12339</v>
      </c>
      <c r="Q879" s="57" t="s">
        <v>6197</v>
      </c>
      <c r="R879" s="48" t="s">
        <v>12340</v>
      </c>
      <c r="S879" s="60" t="s">
        <v>205</v>
      </c>
      <c r="T879" s="49" t="s">
        <v>63</v>
      </c>
      <c r="U879" s="49" t="s">
        <v>65</v>
      </c>
      <c r="V879" s="7"/>
      <c r="W879" s="44">
        <v>3.54</v>
      </c>
      <c r="X879" s="7" t="s">
        <v>1628</v>
      </c>
      <c r="Y879" s="7" t="s">
        <v>356</v>
      </c>
      <c r="Z879" s="49" t="s">
        <v>1994</v>
      </c>
      <c r="AA879" s="61">
        <v>0.77</v>
      </c>
      <c r="AB879" s="71">
        <v>44065</v>
      </c>
      <c r="AC879" s="62" t="s">
        <v>12339</v>
      </c>
      <c r="AD879" s="53" t="str">
        <f t="shared" si="736"/>
        <v>Link</v>
      </c>
      <c r="AE879" s="54">
        <v>1396</v>
      </c>
      <c r="AF879" s="55"/>
      <c r="AG879" s="7"/>
      <c r="AH879" s="56">
        <v>237969</v>
      </c>
      <c r="AI879" s="56"/>
      <c r="AJ879" s="56"/>
      <c r="AK879" s="56"/>
    </row>
    <row r="880" spans="1:37" ht="13" x14ac:dyDescent="0.15">
      <c r="A880" s="57" t="s">
        <v>8540</v>
      </c>
      <c r="B880" s="31" t="s">
        <v>11856</v>
      </c>
      <c r="C880" s="7" t="s">
        <v>41</v>
      </c>
      <c r="D880" s="7" t="s">
        <v>12371</v>
      </c>
      <c r="E880" s="44">
        <v>5</v>
      </c>
      <c r="F880" s="7"/>
      <c r="G880" s="7"/>
      <c r="H880" s="2" t="s">
        <v>12330</v>
      </c>
      <c r="I880" s="7" t="s">
        <v>2037</v>
      </c>
      <c r="J880" s="7" t="s">
        <v>12374</v>
      </c>
      <c r="K880" s="7" t="s">
        <v>55</v>
      </c>
      <c r="L880" s="7"/>
      <c r="M880" s="7"/>
      <c r="N880" s="45" t="str">
        <f t="shared" si="734"/>
        <v>@wvwcsoftball</v>
      </c>
      <c r="O880" s="74" t="str">
        <f t="shared" si="735"/>
        <v>Questionnaire</v>
      </c>
      <c r="P880" s="7" t="s">
        <v>12339</v>
      </c>
      <c r="Q880" s="57" t="s">
        <v>6197</v>
      </c>
      <c r="R880" s="48" t="s">
        <v>12340</v>
      </c>
      <c r="S880" s="60" t="s">
        <v>205</v>
      </c>
      <c r="T880" s="49" t="s">
        <v>63</v>
      </c>
      <c r="U880" s="49" t="s">
        <v>65</v>
      </c>
      <c r="V880" s="7"/>
      <c r="W880" s="44">
        <v>3.54</v>
      </c>
      <c r="X880" s="7" t="s">
        <v>1628</v>
      </c>
      <c r="Y880" s="7" t="s">
        <v>356</v>
      </c>
      <c r="Z880" s="49" t="s">
        <v>1994</v>
      </c>
      <c r="AA880" s="61">
        <v>0.77</v>
      </c>
      <c r="AB880" s="71">
        <v>44065</v>
      </c>
      <c r="AC880" s="62" t="s">
        <v>12339</v>
      </c>
      <c r="AD880" s="53" t="str">
        <f t="shared" si="736"/>
        <v>Link</v>
      </c>
      <c r="AE880" s="54">
        <v>1396</v>
      </c>
      <c r="AF880" s="55"/>
      <c r="AG880" s="7"/>
      <c r="AH880" s="56">
        <v>237969</v>
      </c>
      <c r="AI880" s="56"/>
      <c r="AJ880" s="56"/>
      <c r="AK880" s="56"/>
    </row>
    <row r="881" spans="1:37" ht="13" x14ac:dyDescent="0.15">
      <c r="A881" s="57" t="s">
        <v>8540</v>
      </c>
      <c r="B881" s="31" t="s">
        <v>11856</v>
      </c>
      <c r="C881" s="7" t="s">
        <v>41</v>
      </c>
      <c r="D881" s="7" t="s">
        <v>12377</v>
      </c>
      <c r="E881" s="44">
        <v>5</v>
      </c>
      <c r="F881" s="7"/>
      <c r="G881" s="7"/>
      <c r="H881" s="2" t="s">
        <v>12379</v>
      </c>
      <c r="I881" s="7" t="s">
        <v>92</v>
      </c>
      <c r="J881" s="7" t="s">
        <v>12382</v>
      </c>
      <c r="K881" s="7" t="s">
        <v>48</v>
      </c>
      <c r="L881" s="7" t="s">
        <v>12383</v>
      </c>
      <c r="M881" s="7" t="s">
        <v>12385</v>
      </c>
      <c r="N881" s="74" t="str">
        <f t="shared" ref="N881:N882" si="737">HYPERLINK("twitter.com/wjusoftball","@wjusoftball")</f>
        <v>@wjusoftball</v>
      </c>
      <c r="O881" s="74" t="str">
        <f t="shared" ref="O881:O882" si="738">HYPERLINK("https://wjucardinals.com/sb_output.aspx?form=3","Questionnaire")</f>
        <v>Questionnaire</v>
      </c>
      <c r="P881" s="7" t="s">
        <v>12391</v>
      </c>
      <c r="Q881" s="57" t="s">
        <v>6197</v>
      </c>
      <c r="R881" s="48" t="s">
        <v>12393</v>
      </c>
      <c r="S881" s="48" t="s">
        <v>468</v>
      </c>
      <c r="T881" s="49" t="s">
        <v>63</v>
      </c>
      <c r="U881" s="49" t="s">
        <v>343</v>
      </c>
      <c r="V881" s="7"/>
      <c r="W881" s="44">
        <v>3.33</v>
      </c>
      <c r="X881" s="7" t="s">
        <v>447</v>
      </c>
      <c r="Y881" s="7" t="s">
        <v>3338</v>
      </c>
      <c r="Z881" s="49" t="s">
        <v>449</v>
      </c>
      <c r="AA881" s="61">
        <v>0.93</v>
      </c>
      <c r="AB881" s="71">
        <v>39006</v>
      </c>
      <c r="AC881" s="62" t="s">
        <v>12391</v>
      </c>
      <c r="AD881" s="53" t="str">
        <f t="shared" ref="AD881:AD882" si="739">HYPERLINK("https://www.wju.edu/academics/","Link")</f>
        <v>Link</v>
      </c>
      <c r="AE881" s="54">
        <v>945</v>
      </c>
      <c r="AF881" s="55"/>
      <c r="AG881" s="7"/>
      <c r="AH881" s="56">
        <v>238078</v>
      </c>
      <c r="AI881" s="56"/>
      <c r="AJ881" s="56"/>
      <c r="AK881" s="56"/>
    </row>
    <row r="882" spans="1:37" ht="13" x14ac:dyDescent="0.15">
      <c r="A882" s="57" t="s">
        <v>8540</v>
      </c>
      <c r="B882" s="31" t="s">
        <v>11856</v>
      </c>
      <c r="C882" s="7" t="s">
        <v>41</v>
      </c>
      <c r="D882" s="7" t="s">
        <v>12403</v>
      </c>
      <c r="E882" s="58">
        <v>5</v>
      </c>
      <c r="F882" s="7" t="s">
        <v>116</v>
      </c>
      <c r="G882" s="7"/>
      <c r="H882" s="2" t="s">
        <v>12379</v>
      </c>
      <c r="I882" s="7" t="s">
        <v>4123</v>
      </c>
      <c r="J882" s="7" t="s">
        <v>10931</v>
      </c>
      <c r="K882" s="7" t="s">
        <v>120</v>
      </c>
      <c r="L882" s="7" t="s">
        <v>12414</v>
      </c>
      <c r="M882" s="7" t="s">
        <v>12385</v>
      </c>
      <c r="N882" s="74" t="str">
        <f t="shared" si="737"/>
        <v>@wjusoftball</v>
      </c>
      <c r="O882" s="74" t="str">
        <f t="shared" si="738"/>
        <v>Questionnaire</v>
      </c>
      <c r="P882" s="7" t="s">
        <v>12391</v>
      </c>
      <c r="Q882" s="57" t="s">
        <v>6197</v>
      </c>
      <c r="R882" s="48" t="s">
        <v>12393</v>
      </c>
      <c r="S882" s="48" t="s">
        <v>468</v>
      </c>
      <c r="T882" s="49" t="s">
        <v>63</v>
      </c>
      <c r="U882" s="49" t="s">
        <v>343</v>
      </c>
      <c r="V882" s="7"/>
      <c r="W882" s="44">
        <v>3.33</v>
      </c>
      <c r="X882" s="7" t="s">
        <v>447</v>
      </c>
      <c r="Y882" s="7" t="s">
        <v>3338</v>
      </c>
      <c r="Z882" s="49" t="s">
        <v>449</v>
      </c>
      <c r="AA882" s="61">
        <v>0.93</v>
      </c>
      <c r="AB882" s="71">
        <v>39006</v>
      </c>
      <c r="AC882" s="62" t="s">
        <v>12391</v>
      </c>
      <c r="AD882" s="53" t="str">
        <f t="shared" si="739"/>
        <v>Link</v>
      </c>
      <c r="AE882" s="54">
        <v>945</v>
      </c>
      <c r="AF882" s="55"/>
      <c r="AG882" s="7"/>
      <c r="AH882" s="111">
        <v>238078</v>
      </c>
      <c r="AI882" s="59"/>
      <c r="AJ882" s="59"/>
      <c r="AK882" s="56"/>
    </row>
    <row r="883" spans="1:37" ht="15" x14ac:dyDescent="0.2">
      <c r="A883" s="57" t="s">
        <v>4592</v>
      </c>
      <c r="B883" s="31" t="s">
        <v>5109</v>
      </c>
      <c r="C883" s="7" t="s">
        <v>41</v>
      </c>
      <c r="D883" s="7" t="s">
        <v>12426</v>
      </c>
      <c r="E883" s="44">
        <v>5</v>
      </c>
      <c r="F883" s="7"/>
      <c r="G883" s="7"/>
      <c r="H883" s="2" t="s">
        <v>12427</v>
      </c>
      <c r="I883" s="7" t="s">
        <v>283</v>
      </c>
      <c r="J883" s="7" t="s">
        <v>12428</v>
      </c>
      <c r="K883" s="7" t="s">
        <v>48</v>
      </c>
      <c r="L883" s="7" t="s">
        <v>12429</v>
      </c>
      <c r="M883" s="7"/>
      <c r="N883" s="45" t="str">
        <f t="shared" ref="N883:N886" si="740">HYPERLINK("twitter.com/uwp_softball","@uwp_softball")</f>
        <v>@uwp_softball</v>
      </c>
      <c r="O883" s="74" t="str">
        <f t="shared" ref="O883:O886" si="741">HYPERLINK("https://parksiderangers.com/sb_output.aspx?form=1","Questionnaire")</f>
        <v>Questionnaire</v>
      </c>
      <c r="P883" s="7" t="s">
        <v>12435</v>
      </c>
      <c r="Q883" s="57" t="s">
        <v>5094</v>
      </c>
      <c r="R883" s="48" t="s">
        <v>12436</v>
      </c>
      <c r="S883" s="48" t="s">
        <v>238</v>
      </c>
      <c r="T883" s="49" t="s">
        <v>74</v>
      </c>
      <c r="U883" s="49" t="s">
        <v>75</v>
      </c>
      <c r="V883" s="7"/>
      <c r="W883" s="44">
        <v>3.06</v>
      </c>
      <c r="X883" s="7" t="s">
        <v>214</v>
      </c>
      <c r="Y883" s="7" t="s">
        <v>214</v>
      </c>
      <c r="Z883" s="49" t="s">
        <v>449</v>
      </c>
      <c r="AA883" s="61">
        <v>0.62</v>
      </c>
      <c r="AB883" s="48" t="s">
        <v>12441</v>
      </c>
      <c r="AC883" s="52" t="s">
        <v>12435</v>
      </c>
      <c r="AD883" s="53" t="str">
        <f t="shared" ref="AD883:AD886" si="742">HYPERLINK("https://www.uwp.edu/learn/programs/","Link")</f>
        <v>Link</v>
      </c>
      <c r="AE883" s="54">
        <v>4248</v>
      </c>
      <c r="AF883" s="55"/>
      <c r="AG883" s="7"/>
      <c r="AH883" s="56">
        <v>240374</v>
      </c>
      <c r="AI883" s="56"/>
      <c r="AJ883" s="56"/>
      <c r="AK883" s="56"/>
    </row>
    <row r="884" spans="1:37" ht="15" x14ac:dyDescent="0.2">
      <c r="A884" s="57" t="s">
        <v>4592</v>
      </c>
      <c r="B884" s="31" t="s">
        <v>5109</v>
      </c>
      <c r="C884" s="7" t="s">
        <v>41</v>
      </c>
      <c r="D884" s="7" t="s">
        <v>12446</v>
      </c>
      <c r="E884" s="44">
        <v>5</v>
      </c>
      <c r="F884" s="7"/>
      <c r="G884" s="7"/>
      <c r="H884" s="2" t="s">
        <v>12427</v>
      </c>
      <c r="I884" s="7" t="s">
        <v>878</v>
      </c>
      <c r="J884" s="7" t="s">
        <v>2845</v>
      </c>
      <c r="K884" s="7" t="s">
        <v>120</v>
      </c>
      <c r="L884" s="7" t="s">
        <v>12447</v>
      </c>
      <c r="M884" s="7"/>
      <c r="N884" s="45" t="str">
        <f t="shared" si="740"/>
        <v>@uwp_softball</v>
      </c>
      <c r="O884" s="74" t="str">
        <f t="shared" si="741"/>
        <v>Questionnaire</v>
      </c>
      <c r="P884" s="7" t="s">
        <v>12435</v>
      </c>
      <c r="Q884" s="57" t="s">
        <v>5094</v>
      </c>
      <c r="R884" s="48" t="s">
        <v>12436</v>
      </c>
      <c r="S884" s="48" t="s">
        <v>238</v>
      </c>
      <c r="T884" s="49" t="s">
        <v>74</v>
      </c>
      <c r="U884" s="49" t="s">
        <v>75</v>
      </c>
      <c r="V884" s="7"/>
      <c r="W884" s="44">
        <v>3.06</v>
      </c>
      <c r="X884" s="7" t="s">
        <v>214</v>
      </c>
      <c r="Y884" s="7" t="s">
        <v>214</v>
      </c>
      <c r="Z884" s="49" t="s">
        <v>449</v>
      </c>
      <c r="AA884" s="61">
        <v>0.62</v>
      </c>
      <c r="AB884" s="48" t="s">
        <v>12441</v>
      </c>
      <c r="AC884" s="52" t="s">
        <v>12435</v>
      </c>
      <c r="AD884" s="53" t="str">
        <f t="shared" si="742"/>
        <v>Link</v>
      </c>
      <c r="AE884" s="54">
        <v>4248</v>
      </c>
      <c r="AF884" s="55"/>
      <c r="AG884" s="7"/>
      <c r="AH884" s="56">
        <v>240374</v>
      </c>
      <c r="AI884" s="56"/>
      <c r="AJ884" s="56"/>
      <c r="AK884" s="56"/>
    </row>
    <row r="885" spans="1:37" ht="15" x14ac:dyDescent="0.2">
      <c r="A885" s="57" t="s">
        <v>4592</v>
      </c>
      <c r="B885" s="31" t="s">
        <v>5109</v>
      </c>
      <c r="C885" s="7" t="s">
        <v>41</v>
      </c>
      <c r="D885" s="7" t="s">
        <v>12455</v>
      </c>
      <c r="E885" s="44">
        <v>5</v>
      </c>
      <c r="F885" s="7"/>
      <c r="G885" s="7"/>
      <c r="H885" s="2" t="s">
        <v>12427</v>
      </c>
      <c r="I885" s="7" t="s">
        <v>2829</v>
      </c>
      <c r="J885" s="7" t="s">
        <v>12456</v>
      </c>
      <c r="K885" s="7" t="s">
        <v>139</v>
      </c>
      <c r="L885" s="7"/>
      <c r="M885" s="7"/>
      <c r="N885" s="45" t="str">
        <f t="shared" si="740"/>
        <v>@uwp_softball</v>
      </c>
      <c r="O885" s="74" t="str">
        <f t="shared" si="741"/>
        <v>Questionnaire</v>
      </c>
      <c r="P885" s="7" t="s">
        <v>12435</v>
      </c>
      <c r="Q885" s="57" t="s">
        <v>5094</v>
      </c>
      <c r="R885" s="48" t="s">
        <v>12436</v>
      </c>
      <c r="S885" s="48" t="s">
        <v>238</v>
      </c>
      <c r="T885" s="49" t="s">
        <v>74</v>
      </c>
      <c r="U885" s="49" t="s">
        <v>75</v>
      </c>
      <c r="V885" s="7"/>
      <c r="W885" s="44">
        <v>3.06</v>
      </c>
      <c r="X885" s="7" t="s">
        <v>214</v>
      </c>
      <c r="Y885" s="7" t="s">
        <v>214</v>
      </c>
      <c r="Z885" s="49" t="s">
        <v>449</v>
      </c>
      <c r="AA885" s="61">
        <v>0.62</v>
      </c>
      <c r="AB885" s="48" t="s">
        <v>12441</v>
      </c>
      <c r="AC885" s="52" t="s">
        <v>12435</v>
      </c>
      <c r="AD885" s="53" t="str">
        <f t="shared" si="742"/>
        <v>Link</v>
      </c>
      <c r="AE885" s="54">
        <v>4248</v>
      </c>
      <c r="AF885" s="55"/>
      <c r="AG885" s="7"/>
      <c r="AH885" s="56">
        <v>240374</v>
      </c>
      <c r="AI885" s="56"/>
      <c r="AJ885" s="56"/>
      <c r="AK885" s="56"/>
    </row>
    <row r="886" spans="1:37" ht="15" x14ac:dyDescent="0.2">
      <c r="A886" s="57" t="s">
        <v>4592</v>
      </c>
      <c r="B886" s="31" t="s">
        <v>5109</v>
      </c>
      <c r="C886" s="7" t="s">
        <v>41</v>
      </c>
      <c r="D886" s="7" t="s">
        <v>12464</v>
      </c>
      <c r="E886" s="44">
        <v>5</v>
      </c>
      <c r="F886" s="7"/>
      <c r="G886" s="7"/>
      <c r="H886" s="2" t="s">
        <v>12427</v>
      </c>
      <c r="I886" s="7" t="s">
        <v>3026</v>
      </c>
      <c r="J886" s="7" t="s">
        <v>8141</v>
      </c>
      <c r="K886" s="7" t="s">
        <v>139</v>
      </c>
      <c r="L886" s="7"/>
      <c r="M886" s="7"/>
      <c r="N886" s="45" t="str">
        <f t="shared" si="740"/>
        <v>@uwp_softball</v>
      </c>
      <c r="O886" s="74" t="str">
        <f t="shared" si="741"/>
        <v>Questionnaire</v>
      </c>
      <c r="P886" s="7" t="s">
        <v>12435</v>
      </c>
      <c r="Q886" s="57" t="s">
        <v>5094</v>
      </c>
      <c r="R886" s="48" t="s">
        <v>12436</v>
      </c>
      <c r="S886" s="48" t="s">
        <v>238</v>
      </c>
      <c r="T886" s="49" t="s">
        <v>74</v>
      </c>
      <c r="U886" s="49" t="s">
        <v>75</v>
      </c>
      <c r="V886" s="7"/>
      <c r="W886" s="44">
        <v>3.06</v>
      </c>
      <c r="X886" s="7" t="s">
        <v>214</v>
      </c>
      <c r="Y886" s="7" t="s">
        <v>214</v>
      </c>
      <c r="Z886" s="49" t="s">
        <v>449</v>
      </c>
      <c r="AA886" s="61">
        <v>0.62</v>
      </c>
      <c r="AB886" s="48" t="s">
        <v>12441</v>
      </c>
      <c r="AC886" s="52" t="s">
        <v>12435</v>
      </c>
      <c r="AD886" s="53" t="str">
        <f t="shared" si="742"/>
        <v>Link</v>
      </c>
      <c r="AE886" s="54">
        <v>4248</v>
      </c>
      <c r="AF886" s="55"/>
      <c r="AG886" s="7"/>
      <c r="AH886" s="56">
        <v>240374</v>
      </c>
      <c r="AI886" s="56"/>
      <c r="AJ886" s="56"/>
      <c r="AK886" s="56"/>
    </row>
  </sheetData>
  <mergeCells count="1">
    <mergeCell ref="A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L1349"/>
  <sheetViews>
    <sheetView workbookViewId="0">
      <selection activeCell="G6" sqref="G6"/>
    </sheetView>
  </sheetViews>
  <sheetFormatPr baseColWidth="10" defaultColWidth="14.5" defaultRowHeight="15.75" customHeight="1" x14ac:dyDescent="0.15"/>
  <cols>
    <col min="1" max="1" width="18.1640625" style="3" customWidth="1"/>
    <col min="2" max="2" width="15.33203125" style="3" customWidth="1"/>
    <col min="3" max="3" width="8.5" style="3" customWidth="1"/>
    <col min="4" max="4" width="10.83203125" style="3" customWidth="1"/>
    <col min="5" max="5" width="9.83203125" style="3" customWidth="1"/>
    <col min="6" max="6" width="10.83203125" style="3" customWidth="1"/>
    <col min="7" max="7" width="20.5" style="3" customWidth="1"/>
    <col min="8" max="8" width="46.6640625" style="3" customWidth="1"/>
    <col min="9" max="9" width="35.5" style="3" customWidth="1"/>
    <col min="10" max="10" width="16.5" style="3" customWidth="1"/>
    <col min="11" max="11" width="16.1640625" style="3" customWidth="1"/>
    <col min="12" max="12" width="35.6640625" style="3" customWidth="1"/>
    <col min="13" max="13" width="18.5" style="3" customWidth="1"/>
    <col min="14" max="14" width="23.6640625" style="3" customWidth="1"/>
    <col min="15" max="15" width="13.5" style="3" customWidth="1"/>
    <col min="16" max="16" width="36.5" style="3" customWidth="1"/>
    <col min="17" max="17" width="20.1640625" style="3" customWidth="1"/>
    <col min="18" max="18" width="22.1640625" style="3" customWidth="1"/>
    <col min="19" max="19" width="19" style="3" customWidth="1"/>
    <col min="20" max="20" width="18.83203125" style="3" customWidth="1"/>
    <col min="21" max="21" width="38" style="3" customWidth="1"/>
    <col min="22" max="22" width="19.6640625" style="3" customWidth="1"/>
    <col min="23" max="23" width="12.83203125" style="3" customWidth="1"/>
    <col min="24" max="25" width="22" style="3" customWidth="1"/>
    <col min="26" max="26" width="19.83203125" style="3" customWidth="1"/>
    <col min="27" max="27" width="15.5" style="3" customWidth="1"/>
    <col min="28" max="28" width="43.5" style="3" customWidth="1"/>
    <col min="29" max="29" width="37.1640625" style="3" customWidth="1"/>
    <col min="30" max="30" width="14" style="3" customWidth="1"/>
    <col min="31" max="31" width="17.1640625" style="3" customWidth="1"/>
    <col min="32" max="32" width="17.33203125" style="3" customWidth="1"/>
    <col min="33" max="33" width="24.5" style="3" customWidth="1"/>
    <col min="34" max="34" width="26" style="3" customWidth="1"/>
    <col min="35" max="35" width="4.1640625" style="3" customWidth="1"/>
    <col min="36" max="38" width="3.33203125" style="3" customWidth="1"/>
    <col min="39" max="16384" width="14.5" style="3"/>
  </cols>
  <sheetData>
    <row r="1" spans="1:38" ht="27" customHeight="1" x14ac:dyDescent="0.35">
      <c r="A1" s="120" t="s">
        <v>0</v>
      </c>
      <c r="B1" s="120"/>
      <c r="C1" s="120"/>
      <c r="D1" s="120"/>
      <c r="E1" s="120"/>
      <c r="F1" s="120"/>
      <c r="G1" s="120"/>
      <c r="H1" s="120"/>
      <c r="I1" s="2"/>
      <c r="J1" s="2"/>
      <c r="K1" s="2"/>
      <c r="L1" s="2"/>
      <c r="M1" s="2"/>
      <c r="N1" s="6"/>
      <c r="O1" s="4"/>
      <c r="P1" s="2"/>
      <c r="Q1" s="2"/>
      <c r="R1" s="2"/>
      <c r="S1" s="2"/>
      <c r="T1" s="2"/>
      <c r="U1" s="2"/>
      <c r="V1" s="8"/>
      <c r="W1" s="6"/>
      <c r="X1" s="2"/>
      <c r="Y1" s="7"/>
      <c r="Z1" s="55"/>
      <c r="AA1" s="55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</row>
    <row r="2" spans="1:38" ht="15.75" customHeight="1" x14ac:dyDescent="0.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6"/>
      <c r="O2" s="4"/>
      <c r="P2" s="2"/>
      <c r="Q2" s="2"/>
      <c r="R2" s="2"/>
      <c r="S2" s="2"/>
      <c r="T2" s="2"/>
      <c r="U2" s="2"/>
      <c r="V2" s="8"/>
      <c r="W2" s="6"/>
      <c r="X2" s="2"/>
      <c r="Y2" s="7"/>
      <c r="Z2" s="55"/>
      <c r="AA2" s="55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</row>
    <row r="3" spans="1:38" ht="15.75" customHeight="1" x14ac:dyDescent="0.15">
      <c r="A3" s="2"/>
      <c r="B3" s="2"/>
      <c r="C3" s="2"/>
      <c r="D3" s="2"/>
      <c r="E3" s="2"/>
      <c r="F3" s="2"/>
      <c r="G3" s="2"/>
      <c r="H3" s="2"/>
      <c r="I3" s="2"/>
      <c r="J3" s="2"/>
      <c r="K3" s="7"/>
      <c r="L3" s="7"/>
      <c r="M3" s="7"/>
      <c r="N3" s="121" t="s">
        <v>3</v>
      </c>
      <c r="O3" s="49"/>
      <c r="P3" s="48"/>
      <c r="Q3" s="122" t="s">
        <v>4</v>
      </c>
      <c r="R3" s="7"/>
      <c r="S3" s="7"/>
      <c r="T3" s="99" t="s">
        <v>5</v>
      </c>
      <c r="U3" s="7"/>
      <c r="V3" s="55"/>
      <c r="W3" s="48"/>
      <c r="X3" s="123" t="s">
        <v>6</v>
      </c>
      <c r="Y3" s="48"/>
      <c r="Z3" s="55"/>
      <c r="AA3" s="55"/>
      <c r="AB3" s="7"/>
      <c r="AC3" s="99" t="s">
        <v>7</v>
      </c>
      <c r="AD3" s="7"/>
      <c r="AE3" s="7"/>
      <c r="AF3" s="7"/>
      <c r="AG3" s="7"/>
      <c r="AH3" s="7"/>
      <c r="AI3" s="7"/>
      <c r="AJ3" s="7"/>
      <c r="AK3" s="7"/>
      <c r="AL3" s="7"/>
    </row>
    <row r="4" spans="1:38" ht="15.75" customHeight="1" x14ac:dyDescent="0.15">
      <c r="A4" s="101" t="s">
        <v>8</v>
      </c>
      <c r="B4" s="31" t="s">
        <v>9</v>
      </c>
      <c r="C4" s="101" t="s">
        <v>10</v>
      </c>
      <c r="D4" s="101" t="s">
        <v>11</v>
      </c>
      <c r="E4" s="31" t="s">
        <v>12</v>
      </c>
      <c r="F4" s="31" t="s">
        <v>13</v>
      </c>
      <c r="G4" s="31" t="s">
        <v>14</v>
      </c>
      <c r="H4" s="31" t="s">
        <v>15</v>
      </c>
      <c r="I4" s="31" t="s">
        <v>16</v>
      </c>
      <c r="J4" s="31" t="s">
        <v>17</v>
      </c>
      <c r="K4" s="31" t="s">
        <v>18</v>
      </c>
      <c r="L4" s="31" t="s">
        <v>19</v>
      </c>
      <c r="M4" s="31" t="s">
        <v>20</v>
      </c>
      <c r="N4" s="124" t="s">
        <v>21</v>
      </c>
      <c r="O4" s="125" t="s">
        <v>22</v>
      </c>
      <c r="P4" s="103" t="s">
        <v>15</v>
      </c>
      <c r="Q4" s="104" t="s">
        <v>9</v>
      </c>
      <c r="R4" s="31" t="s">
        <v>23</v>
      </c>
      <c r="S4" s="105" t="s">
        <v>24</v>
      </c>
      <c r="T4" s="100" t="s">
        <v>25</v>
      </c>
      <c r="U4" s="31" t="s">
        <v>26</v>
      </c>
      <c r="V4" s="76" t="s">
        <v>27</v>
      </c>
      <c r="W4" s="126" t="s">
        <v>28</v>
      </c>
      <c r="X4" s="76" t="s">
        <v>29</v>
      </c>
      <c r="Y4" s="107" t="s">
        <v>30</v>
      </c>
      <c r="Z4" s="76" t="s">
        <v>31</v>
      </c>
      <c r="AA4" s="76" t="s">
        <v>32</v>
      </c>
      <c r="AB4" s="107" t="s">
        <v>33</v>
      </c>
      <c r="AC4" s="127" t="s">
        <v>15</v>
      </c>
      <c r="AD4" s="76" t="s">
        <v>34</v>
      </c>
      <c r="AE4" s="101" t="s">
        <v>35</v>
      </c>
      <c r="AF4" s="101" t="s">
        <v>36</v>
      </c>
      <c r="AG4" s="101" t="s">
        <v>37</v>
      </c>
      <c r="AH4" s="128" t="s">
        <v>38</v>
      </c>
      <c r="AI4" s="128"/>
      <c r="AJ4" s="128"/>
      <c r="AK4" s="128"/>
      <c r="AL4" s="128"/>
    </row>
    <row r="5" spans="1:38" ht="15.75" customHeight="1" x14ac:dyDescent="0.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6"/>
      <c r="O5" s="4"/>
      <c r="P5" s="2"/>
      <c r="Q5" s="2"/>
      <c r="R5" s="2"/>
      <c r="S5" s="2"/>
      <c r="T5" s="2"/>
      <c r="U5" s="2"/>
      <c r="V5" s="8"/>
      <c r="W5" s="6"/>
      <c r="X5" s="2"/>
      <c r="Y5" s="7"/>
      <c r="Z5" s="55"/>
      <c r="AA5" s="55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</row>
    <row r="6" spans="1:38" ht="15.75" customHeight="1" x14ac:dyDescent="0.15">
      <c r="A6" s="2" t="s">
        <v>42</v>
      </c>
      <c r="B6" s="64" t="s">
        <v>40</v>
      </c>
      <c r="C6" s="2" t="s">
        <v>43</v>
      </c>
      <c r="D6" s="86">
        <v>5</v>
      </c>
      <c r="E6" s="2" t="s">
        <v>44</v>
      </c>
      <c r="F6" s="7"/>
      <c r="G6" s="86"/>
      <c r="H6" s="2" t="s">
        <v>45</v>
      </c>
      <c r="I6" s="2" t="s">
        <v>46</v>
      </c>
      <c r="J6" s="2" t="s">
        <v>47</v>
      </c>
      <c r="K6" s="2" t="s">
        <v>48</v>
      </c>
      <c r="L6" s="2" t="s">
        <v>49</v>
      </c>
      <c r="M6" s="2" t="s">
        <v>50</v>
      </c>
      <c r="N6" s="45" t="str">
        <f t="shared" ref="N6:N7" si="0">HYPERLINK("twitter.com/bscsoftball_","@bscsoftball_")</f>
        <v>@bscsoftball_</v>
      </c>
      <c r="O6" s="45" t="str">
        <f t="shared" ref="O6:O7" si="1">HYPERLINK("http://www.bscsports.net/navbar-recruits-men","Questionnaire")</f>
        <v>Questionnaire</v>
      </c>
      <c r="P6" s="60" t="s">
        <v>58</v>
      </c>
      <c r="Q6" s="60" t="s">
        <v>59</v>
      </c>
      <c r="R6" s="48" t="s">
        <v>60</v>
      </c>
      <c r="S6" s="48" t="s">
        <v>62</v>
      </c>
      <c r="T6" s="49" t="s">
        <v>63</v>
      </c>
      <c r="U6" s="6" t="s">
        <v>65</v>
      </c>
      <c r="V6" s="49"/>
      <c r="W6" s="37">
        <v>3.48</v>
      </c>
      <c r="X6" s="49" t="s">
        <v>76</v>
      </c>
      <c r="Y6" s="49" t="s">
        <v>77</v>
      </c>
      <c r="Z6" s="49" t="s">
        <v>78</v>
      </c>
      <c r="AA6" s="38">
        <v>0.48380000000000001</v>
      </c>
      <c r="AB6" s="39">
        <v>50400</v>
      </c>
      <c r="AC6" s="90" t="s">
        <v>58</v>
      </c>
      <c r="AD6" s="53" t="str">
        <f t="shared" ref="AD6:AD7" si="2">HYPERLINK("https://www.bsc.edu/programs.html","Link")</f>
        <v>Link</v>
      </c>
      <c r="AE6" s="54">
        <v>1293</v>
      </c>
      <c r="AF6" s="55"/>
      <c r="AG6" s="55"/>
      <c r="AH6" s="56">
        <v>100937</v>
      </c>
      <c r="AI6" s="56"/>
    </row>
    <row r="7" spans="1:38" ht="15.75" customHeight="1" x14ac:dyDescent="0.15">
      <c r="A7" s="2" t="s">
        <v>42</v>
      </c>
      <c r="B7" s="64" t="s">
        <v>40</v>
      </c>
      <c r="C7" s="2" t="s">
        <v>43</v>
      </c>
      <c r="D7" s="86">
        <v>5</v>
      </c>
      <c r="E7" s="2" t="s">
        <v>90</v>
      </c>
      <c r="F7" s="7"/>
      <c r="G7" s="86"/>
      <c r="H7" s="2" t="s">
        <v>45</v>
      </c>
      <c r="I7" s="2" t="s">
        <v>94</v>
      </c>
      <c r="J7" s="2" t="s">
        <v>96</v>
      </c>
      <c r="K7" s="2" t="s">
        <v>55</v>
      </c>
      <c r="L7" s="2" t="s">
        <v>100</v>
      </c>
      <c r="M7" s="2" t="s">
        <v>101</v>
      </c>
      <c r="N7" s="45" t="str">
        <f t="shared" si="0"/>
        <v>@bscsoftball_</v>
      </c>
      <c r="O7" s="45" t="str">
        <f t="shared" si="1"/>
        <v>Questionnaire</v>
      </c>
      <c r="P7" s="60" t="s">
        <v>58</v>
      </c>
      <c r="Q7" s="60" t="s">
        <v>59</v>
      </c>
      <c r="R7" s="48" t="s">
        <v>60</v>
      </c>
      <c r="S7" s="48" t="s">
        <v>62</v>
      </c>
      <c r="T7" s="49" t="s">
        <v>63</v>
      </c>
      <c r="U7" s="6" t="s">
        <v>65</v>
      </c>
      <c r="V7" s="49"/>
      <c r="W7" s="37">
        <v>3.48</v>
      </c>
      <c r="X7" s="49" t="s">
        <v>76</v>
      </c>
      <c r="Y7" s="49" t="s">
        <v>77</v>
      </c>
      <c r="Z7" s="49" t="s">
        <v>78</v>
      </c>
      <c r="AA7" s="38">
        <v>0.48380000000000001</v>
      </c>
      <c r="AB7" s="39">
        <v>50400</v>
      </c>
      <c r="AC7" s="90" t="s">
        <v>58</v>
      </c>
      <c r="AD7" s="53" t="str">
        <f t="shared" si="2"/>
        <v>Link</v>
      </c>
      <c r="AE7" s="54">
        <v>1293</v>
      </c>
      <c r="AF7" s="55"/>
      <c r="AG7" s="55"/>
      <c r="AH7" s="56">
        <v>100937</v>
      </c>
      <c r="AI7" s="56"/>
    </row>
    <row r="8" spans="1:38" ht="15.75" customHeight="1" x14ac:dyDescent="0.15">
      <c r="A8" s="2" t="s">
        <v>105</v>
      </c>
      <c r="B8" s="64" t="s">
        <v>40</v>
      </c>
      <c r="C8" s="2" t="s">
        <v>43</v>
      </c>
      <c r="D8" s="86">
        <v>5</v>
      </c>
      <c r="E8" s="2" t="s">
        <v>106</v>
      </c>
      <c r="F8" s="7"/>
      <c r="G8" s="86"/>
      <c r="H8" s="2" t="s">
        <v>109</v>
      </c>
      <c r="I8" s="2" t="s">
        <v>111</v>
      </c>
      <c r="J8" s="2" t="s">
        <v>112</v>
      </c>
      <c r="K8" s="2" t="s">
        <v>48</v>
      </c>
      <c r="L8" s="2" t="s">
        <v>113</v>
      </c>
      <c r="M8" s="2" t="s">
        <v>114</v>
      </c>
      <c r="N8" s="48"/>
      <c r="O8" s="45" t="str">
        <f t="shared" ref="O8:O9" si="3">HYPERLINK("https://www.huntingdonhawks.com/sports/sball/questionnaire","Questionnaire")</f>
        <v>Questionnaire</v>
      </c>
      <c r="P8" s="60" t="s">
        <v>119</v>
      </c>
      <c r="Q8" s="60" t="s">
        <v>59</v>
      </c>
      <c r="R8" s="48" t="s">
        <v>121</v>
      </c>
      <c r="S8" s="48" t="s">
        <v>62</v>
      </c>
      <c r="T8" s="49" t="s">
        <v>63</v>
      </c>
      <c r="U8" s="6" t="s">
        <v>65</v>
      </c>
      <c r="V8" s="49"/>
      <c r="W8" s="37">
        <v>3.38</v>
      </c>
      <c r="X8" s="49" t="s">
        <v>122</v>
      </c>
      <c r="Y8" s="49" t="s">
        <v>124</v>
      </c>
      <c r="Z8" s="49" t="s">
        <v>125</v>
      </c>
      <c r="AA8" s="65">
        <v>0.56999999999999995</v>
      </c>
      <c r="AB8" s="39">
        <v>36235</v>
      </c>
      <c r="AC8" s="90" t="s">
        <v>119</v>
      </c>
      <c r="AD8" s="53" t="str">
        <f t="shared" ref="AD8:AD9" si="4">HYPERLINK("https://www.huntingdon.edu/academics/academic-programs/programs-of-study/","Link")</f>
        <v>Link</v>
      </c>
      <c r="AE8" s="54">
        <v>1148</v>
      </c>
      <c r="AF8" s="55"/>
      <c r="AG8" s="55"/>
      <c r="AH8" s="56">
        <v>101435</v>
      </c>
      <c r="AI8" s="56"/>
    </row>
    <row r="9" spans="1:38" ht="15.75" customHeight="1" x14ac:dyDescent="0.15">
      <c r="A9" s="2" t="s">
        <v>105</v>
      </c>
      <c r="B9" s="64" t="s">
        <v>40</v>
      </c>
      <c r="C9" s="2" t="s">
        <v>43</v>
      </c>
      <c r="D9" s="86">
        <v>5</v>
      </c>
      <c r="E9" s="2" t="s">
        <v>129</v>
      </c>
      <c r="F9" s="7"/>
      <c r="G9" s="86"/>
      <c r="H9" s="2" t="s">
        <v>109</v>
      </c>
      <c r="I9" s="2" t="s">
        <v>130</v>
      </c>
      <c r="J9" s="2" t="s">
        <v>131</v>
      </c>
      <c r="K9" s="2" t="s">
        <v>55</v>
      </c>
      <c r="L9" s="2" t="s">
        <v>133</v>
      </c>
      <c r="M9" s="2" t="s">
        <v>134</v>
      </c>
      <c r="N9" s="48"/>
      <c r="O9" s="45" t="str">
        <f t="shared" si="3"/>
        <v>Questionnaire</v>
      </c>
      <c r="P9" s="60" t="s">
        <v>119</v>
      </c>
      <c r="Q9" s="60" t="s">
        <v>59</v>
      </c>
      <c r="R9" s="48" t="s">
        <v>121</v>
      </c>
      <c r="S9" s="48" t="s">
        <v>62</v>
      </c>
      <c r="T9" s="49" t="s">
        <v>63</v>
      </c>
      <c r="U9" s="6" t="s">
        <v>65</v>
      </c>
      <c r="V9" s="49"/>
      <c r="W9" s="37">
        <v>3.38</v>
      </c>
      <c r="X9" s="49" t="s">
        <v>122</v>
      </c>
      <c r="Y9" s="49" t="s">
        <v>124</v>
      </c>
      <c r="Z9" s="49" t="s">
        <v>125</v>
      </c>
      <c r="AA9" s="65">
        <v>0.56999999999999995</v>
      </c>
      <c r="AB9" s="39">
        <v>36235</v>
      </c>
      <c r="AC9" s="90" t="s">
        <v>119</v>
      </c>
      <c r="AD9" s="53" t="str">
        <f t="shared" si="4"/>
        <v>Link</v>
      </c>
      <c r="AE9" s="54">
        <v>1148</v>
      </c>
      <c r="AF9" s="55"/>
      <c r="AG9" s="55"/>
      <c r="AH9" s="56">
        <v>101435</v>
      </c>
      <c r="AI9" s="56"/>
    </row>
    <row r="10" spans="1:38" ht="15.75" customHeight="1" x14ac:dyDescent="0.15">
      <c r="A10" s="2" t="s">
        <v>42</v>
      </c>
      <c r="B10" s="64" t="s">
        <v>140</v>
      </c>
      <c r="C10" s="2" t="s">
        <v>43</v>
      </c>
      <c r="D10" s="86">
        <v>5</v>
      </c>
      <c r="E10" s="2" t="s">
        <v>141</v>
      </c>
      <c r="F10" s="7"/>
      <c r="G10" s="86"/>
      <c r="H10" s="7" t="s">
        <v>142</v>
      </c>
      <c r="I10" s="7" t="s">
        <v>143</v>
      </c>
      <c r="J10" s="7" t="s">
        <v>144</v>
      </c>
      <c r="K10" s="7" t="s">
        <v>55</v>
      </c>
      <c r="L10" s="95" t="s">
        <v>145</v>
      </c>
      <c r="M10" s="7" t="s">
        <v>180</v>
      </c>
      <c r="N10" s="45" t="str">
        <f t="shared" ref="N10:N11" si="5">HYPERLINK("twitter.com/hendrixsoftball","@hendrixsoftball")</f>
        <v>@hendrixsoftball</v>
      </c>
      <c r="O10" s="45" t="str">
        <f t="shared" ref="O10:O11" si="6">HYPERLINK("twitter.com/https://hendrixwarriors.com/sb_output.aspx?frform=11&amp;path=softball&amp;","Questionnaire")</f>
        <v>Questionnaire</v>
      </c>
      <c r="P10" s="48" t="s">
        <v>183</v>
      </c>
      <c r="Q10" s="60" t="s">
        <v>184</v>
      </c>
      <c r="R10" s="48" t="s">
        <v>185</v>
      </c>
      <c r="S10" s="48" t="s">
        <v>186</v>
      </c>
      <c r="T10" s="49" t="s">
        <v>63</v>
      </c>
      <c r="U10" s="6" t="s">
        <v>65</v>
      </c>
      <c r="V10" s="49"/>
      <c r="W10" s="37">
        <v>3.94</v>
      </c>
      <c r="X10" s="49" t="s">
        <v>189</v>
      </c>
      <c r="Y10" s="49" t="s">
        <v>190</v>
      </c>
      <c r="Z10" s="49" t="s">
        <v>191</v>
      </c>
      <c r="AA10" s="65">
        <v>0.77</v>
      </c>
      <c r="AB10" s="39">
        <v>58120</v>
      </c>
      <c r="AC10" s="84" t="s">
        <v>183</v>
      </c>
      <c r="AD10" s="53" t="str">
        <f t="shared" ref="AD10:AD11" si="7">HYPERLINK("https://www.hendrix.edu/academics/academics.aspx?id=1074","Link")</f>
        <v>Link</v>
      </c>
      <c r="AE10" s="54">
        <v>1321</v>
      </c>
      <c r="AF10" s="55"/>
      <c r="AG10" s="54">
        <v>76</v>
      </c>
      <c r="AH10" s="56">
        <v>107080</v>
      </c>
      <c r="AI10" s="56"/>
    </row>
    <row r="11" spans="1:38" ht="15.75" customHeight="1" x14ac:dyDescent="0.15">
      <c r="A11" s="2" t="s">
        <v>42</v>
      </c>
      <c r="B11" s="64" t="s">
        <v>140</v>
      </c>
      <c r="C11" s="2" t="s">
        <v>43</v>
      </c>
      <c r="D11" s="86">
        <v>5</v>
      </c>
      <c r="E11" s="2" t="s">
        <v>141</v>
      </c>
      <c r="F11" s="7"/>
      <c r="G11" s="86"/>
      <c r="H11" s="2" t="s">
        <v>142</v>
      </c>
      <c r="I11" s="2" t="s">
        <v>206</v>
      </c>
      <c r="J11" s="2" t="s">
        <v>207</v>
      </c>
      <c r="K11" s="2" t="s">
        <v>48</v>
      </c>
      <c r="L11" s="2" t="s">
        <v>208</v>
      </c>
      <c r="M11" s="2" t="s">
        <v>209</v>
      </c>
      <c r="N11" s="45" t="str">
        <f t="shared" si="5"/>
        <v>@hendrixsoftball</v>
      </c>
      <c r="O11" s="45" t="str">
        <f t="shared" si="6"/>
        <v>Questionnaire</v>
      </c>
      <c r="P11" s="48" t="s">
        <v>183</v>
      </c>
      <c r="Q11" s="60" t="s">
        <v>184</v>
      </c>
      <c r="R11" s="48" t="s">
        <v>185</v>
      </c>
      <c r="S11" s="48" t="s">
        <v>186</v>
      </c>
      <c r="T11" s="49" t="s">
        <v>63</v>
      </c>
      <c r="U11" s="6" t="s">
        <v>65</v>
      </c>
      <c r="V11" s="49"/>
      <c r="W11" s="37">
        <v>3.94</v>
      </c>
      <c r="X11" s="49" t="s">
        <v>189</v>
      </c>
      <c r="Y11" s="49" t="s">
        <v>190</v>
      </c>
      <c r="Z11" s="49" t="s">
        <v>191</v>
      </c>
      <c r="AA11" s="65">
        <v>0.77</v>
      </c>
      <c r="AB11" s="39">
        <v>58120</v>
      </c>
      <c r="AC11" s="84" t="s">
        <v>183</v>
      </c>
      <c r="AD11" s="53" t="str">
        <f t="shared" si="7"/>
        <v>Link</v>
      </c>
      <c r="AE11" s="54">
        <v>1321</v>
      </c>
      <c r="AF11" s="55"/>
      <c r="AG11" s="54">
        <v>76</v>
      </c>
      <c r="AH11" s="56">
        <v>107080</v>
      </c>
      <c r="AI11" s="56"/>
    </row>
    <row r="12" spans="1:38" ht="15.75" customHeight="1" x14ac:dyDescent="0.15">
      <c r="A12" s="7" t="s">
        <v>218</v>
      </c>
      <c r="B12" s="129" t="s">
        <v>140</v>
      </c>
      <c r="C12" s="2" t="s">
        <v>43</v>
      </c>
      <c r="D12" s="86">
        <v>5</v>
      </c>
      <c r="E12" s="2" t="s">
        <v>226</v>
      </c>
      <c r="F12" s="7"/>
      <c r="G12" s="86"/>
      <c r="H12" s="2" t="s">
        <v>227</v>
      </c>
      <c r="I12" s="2" t="s">
        <v>228</v>
      </c>
      <c r="J12" s="2" t="s">
        <v>229</v>
      </c>
      <c r="K12" s="2" t="s">
        <v>48</v>
      </c>
      <c r="L12" s="7" t="s">
        <v>230</v>
      </c>
      <c r="M12" s="2" t="s">
        <v>231</v>
      </c>
      <c r="N12" s="48"/>
      <c r="O12" s="45" t="str">
        <f>HYPERLINK("https://eagles.ozarks.edu/forms/Default.aspx","Questionnaire")</f>
        <v>Questionnaire</v>
      </c>
      <c r="P12" s="60" t="s">
        <v>233</v>
      </c>
      <c r="Q12" s="60" t="s">
        <v>184</v>
      </c>
      <c r="R12" s="48" t="s">
        <v>242</v>
      </c>
      <c r="S12" s="60" t="s">
        <v>205</v>
      </c>
      <c r="T12" s="49" t="s">
        <v>63</v>
      </c>
      <c r="U12" s="6" t="s">
        <v>248</v>
      </c>
      <c r="V12" s="49"/>
      <c r="W12" s="37">
        <v>3.39</v>
      </c>
      <c r="X12" s="49" t="s">
        <v>252</v>
      </c>
      <c r="Y12" s="49" t="s">
        <v>253</v>
      </c>
      <c r="Z12" s="49" t="s">
        <v>125</v>
      </c>
      <c r="AA12" s="65">
        <v>0.87</v>
      </c>
      <c r="AB12" s="39">
        <v>36235</v>
      </c>
      <c r="AC12" s="90" t="s">
        <v>259</v>
      </c>
      <c r="AD12" s="53" t="str">
        <f t="shared" ref="AD12:AD13" si="8">HYPERLINK("https://ozarks.edu/academics/what-can-i-study/","Link")</f>
        <v>Link</v>
      </c>
      <c r="AE12" s="54">
        <v>686</v>
      </c>
      <c r="AF12" s="55"/>
      <c r="AG12" s="55"/>
      <c r="AH12" s="56">
        <v>107558</v>
      </c>
      <c r="AI12" s="56"/>
    </row>
    <row r="13" spans="1:38" ht="15.75" customHeight="1" x14ac:dyDescent="0.15">
      <c r="A13" s="7"/>
      <c r="B13" s="88" t="s">
        <v>140</v>
      </c>
      <c r="C13" s="2" t="s">
        <v>43</v>
      </c>
      <c r="D13" s="44">
        <v>5</v>
      </c>
      <c r="E13" s="2" t="s">
        <v>273</v>
      </c>
      <c r="F13" s="7"/>
      <c r="G13" s="7"/>
      <c r="H13" s="2" t="s">
        <v>227</v>
      </c>
      <c r="I13" s="7" t="s">
        <v>150</v>
      </c>
      <c r="J13" s="7" t="s">
        <v>274</v>
      </c>
      <c r="K13" s="7" t="s">
        <v>55</v>
      </c>
      <c r="L13" s="7" t="s">
        <v>277</v>
      </c>
      <c r="M13" s="7" t="s">
        <v>231</v>
      </c>
      <c r="N13" s="48"/>
      <c r="O13" s="48"/>
      <c r="P13" s="60" t="s">
        <v>233</v>
      </c>
      <c r="Q13" s="60" t="s">
        <v>184</v>
      </c>
      <c r="R13" s="6" t="s">
        <v>242</v>
      </c>
      <c r="S13" s="60" t="s">
        <v>205</v>
      </c>
      <c r="T13" s="4" t="s">
        <v>63</v>
      </c>
      <c r="U13" s="4" t="s">
        <v>248</v>
      </c>
      <c r="V13" s="7"/>
      <c r="W13" s="37">
        <v>3.39</v>
      </c>
      <c r="X13" s="4" t="s">
        <v>252</v>
      </c>
      <c r="Y13" s="4" t="s">
        <v>253</v>
      </c>
      <c r="Z13" s="4" t="s">
        <v>125</v>
      </c>
      <c r="AA13" s="65">
        <v>0.87</v>
      </c>
      <c r="AB13" s="39">
        <v>36235</v>
      </c>
      <c r="AC13" s="90" t="s">
        <v>233</v>
      </c>
      <c r="AD13" s="67" t="str">
        <f t="shared" si="8"/>
        <v>Link</v>
      </c>
      <c r="AE13" s="42">
        <v>686</v>
      </c>
      <c r="AF13" s="55"/>
      <c r="AG13" s="7"/>
      <c r="AH13" s="56">
        <v>107558</v>
      </c>
      <c r="AI13" s="56"/>
    </row>
    <row r="14" spans="1:38" ht="15.75" customHeight="1" x14ac:dyDescent="0.15">
      <c r="A14" s="7" t="s">
        <v>299</v>
      </c>
      <c r="B14" s="129" t="s">
        <v>300</v>
      </c>
      <c r="C14" s="2" t="s">
        <v>43</v>
      </c>
      <c r="D14" s="86">
        <v>5</v>
      </c>
      <c r="E14" s="2" t="s">
        <v>301</v>
      </c>
      <c r="F14" s="7"/>
      <c r="G14" s="86"/>
      <c r="H14" s="2" t="s">
        <v>302</v>
      </c>
      <c r="I14" s="2" t="s">
        <v>303</v>
      </c>
      <c r="J14" s="2" t="s">
        <v>304</v>
      </c>
      <c r="K14" s="2" t="s">
        <v>48</v>
      </c>
      <c r="L14" s="2" t="s">
        <v>305</v>
      </c>
      <c r="M14" s="2" t="s">
        <v>307</v>
      </c>
      <c r="N14" s="45" t="str">
        <f t="shared" ref="N14:N18" si="9">HYPERLINK("twitter.com/clusoftball","@clusoftball")</f>
        <v>@clusoftball</v>
      </c>
      <c r="O14" s="45" t="str">
        <f t="shared" ref="O14:O18" si="10">HYPERLINK("https://www.callutheran.edu/admission/undergraduate/contact/athletics-request-info.html","Questionnaire")</f>
        <v>Questionnaire</v>
      </c>
      <c r="P14" s="60" t="s">
        <v>311</v>
      </c>
      <c r="Q14" s="60" t="s">
        <v>312</v>
      </c>
      <c r="R14" s="48" t="s">
        <v>313</v>
      </c>
      <c r="S14" s="48" t="s">
        <v>238</v>
      </c>
      <c r="T14" s="49" t="s">
        <v>63</v>
      </c>
      <c r="U14" s="6" t="s">
        <v>318</v>
      </c>
      <c r="V14" s="49"/>
      <c r="W14" s="37">
        <v>3.7</v>
      </c>
      <c r="X14" s="49" t="s">
        <v>319</v>
      </c>
      <c r="Y14" s="49" t="s">
        <v>76</v>
      </c>
      <c r="Z14" s="49" t="s">
        <v>320</v>
      </c>
      <c r="AA14" s="38">
        <v>0.64190000000000003</v>
      </c>
      <c r="AB14" s="39">
        <v>57912</v>
      </c>
      <c r="AC14" s="90" t="s">
        <v>311</v>
      </c>
      <c r="AD14" s="53" t="str">
        <f t="shared" ref="AD14:AD18" si="11">HYPERLINK("https://www.callutheran.edu/academics/majors/","Link")</f>
        <v>Link</v>
      </c>
      <c r="AE14" s="54">
        <v>2892</v>
      </c>
      <c r="AF14" s="55"/>
      <c r="AG14" s="55"/>
      <c r="AH14" s="56">
        <v>110413</v>
      </c>
      <c r="AI14" s="56"/>
    </row>
    <row r="15" spans="1:38" ht="15.75" customHeight="1" x14ac:dyDescent="0.15">
      <c r="A15" s="7" t="s">
        <v>299</v>
      </c>
      <c r="B15" s="64" t="s">
        <v>300</v>
      </c>
      <c r="C15" s="2" t="s">
        <v>43</v>
      </c>
      <c r="D15" s="86">
        <v>5</v>
      </c>
      <c r="E15" s="2" t="s">
        <v>328</v>
      </c>
      <c r="F15" s="7"/>
      <c r="G15" s="86"/>
      <c r="H15" s="2" t="s">
        <v>302</v>
      </c>
      <c r="I15" s="2" t="s">
        <v>329</v>
      </c>
      <c r="J15" s="2" t="s">
        <v>330</v>
      </c>
      <c r="K15" s="2" t="s">
        <v>55</v>
      </c>
      <c r="L15" s="2" t="s">
        <v>331</v>
      </c>
      <c r="M15" s="2" t="s">
        <v>332</v>
      </c>
      <c r="N15" s="45" t="str">
        <f t="shared" si="9"/>
        <v>@clusoftball</v>
      </c>
      <c r="O15" s="45" t="str">
        <f t="shared" si="10"/>
        <v>Questionnaire</v>
      </c>
      <c r="P15" s="60" t="s">
        <v>311</v>
      </c>
      <c r="Q15" s="60" t="s">
        <v>312</v>
      </c>
      <c r="R15" s="48" t="s">
        <v>313</v>
      </c>
      <c r="S15" s="48" t="s">
        <v>238</v>
      </c>
      <c r="T15" s="49" t="s">
        <v>63</v>
      </c>
      <c r="U15" s="6" t="s">
        <v>318</v>
      </c>
      <c r="V15" s="49"/>
      <c r="W15" s="37">
        <v>3.7</v>
      </c>
      <c r="X15" s="49" t="s">
        <v>319</v>
      </c>
      <c r="Y15" s="49" t="s">
        <v>76</v>
      </c>
      <c r="Z15" s="49" t="s">
        <v>320</v>
      </c>
      <c r="AA15" s="38">
        <v>0.64190000000000003</v>
      </c>
      <c r="AB15" s="39">
        <v>57912</v>
      </c>
      <c r="AC15" s="90" t="s">
        <v>311</v>
      </c>
      <c r="AD15" s="53" t="str">
        <f t="shared" si="11"/>
        <v>Link</v>
      </c>
      <c r="AE15" s="54">
        <v>2892</v>
      </c>
      <c r="AF15" s="55"/>
      <c r="AG15" s="55"/>
      <c r="AH15" s="56">
        <v>110413</v>
      </c>
      <c r="AI15" s="56"/>
    </row>
    <row r="16" spans="1:38" ht="15.75" customHeight="1" x14ac:dyDescent="0.15">
      <c r="A16" s="7" t="s">
        <v>299</v>
      </c>
      <c r="B16" s="129" t="s">
        <v>300</v>
      </c>
      <c r="C16" s="2" t="s">
        <v>43</v>
      </c>
      <c r="D16" s="86">
        <v>5</v>
      </c>
      <c r="E16" s="2" t="s">
        <v>337</v>
      </c>
      <c r="F16" s="7"/>
      <c r="G16" s="86"/>
      <c r="H16" s="2" t="s">
        <v>302</v>
      </c>
      <c r="I16" s="2" t="s">
        <v>338</v>
      </c>
      <c r="J16" s="2" t="s">
        <v>339</v>
      </c>
      <c r="K16" s="2" t="s">
        <v>55</v>
      </c>
      <c r="L16" s="130" t="s">
        <v>340</v>
      </c>
      <c r="M16" s="2" t="s">
        <v>332</v>
      </c>
      <c r="N16" s="45" t="str">
        <f t="shared" si="9"/>
        <v>@clusoftball</v>
      </c>
      <c r="O16" s="45" t="str">
        <f t="shared" si="10"/>
        <v>Questionnaire</v>
      </c>
      <c r="P16" s="60" t="s">
        <v>311</v>
      </c>
      <c r="Q16" s="60" t="s">
        <v>312</v>
      </c>
      <c r="R16" s="48" t="s">
        <v>313</v>
      </c>
      <c r="S16" s="48" t="s">
        <v>238</v>
      </c>
      <c r="T16" s="49" t="s">
        <v>63</v>
      </c>
      <c r="U16" s="6" t="s">
        <v>318</v>
      </c>
      <c r="V16" s="49"/>
      <c r="W16" s="37">
        <v>3.7</v>
      </c>
      <c r="X16" s="49" t="s">
        <v>319</v>
      </c>
      <c r="Y16" s="49" t="s">
        <v>76</v>
      </c>
      <c r="Z16" s="49" t="s">
        <v>320</v>
      </c>
      <c r="AA16" s="38">
        <v>0.64190000000000003</v>
      </c>
      <c r="AB16" s="39">
        <v>57912</v>
      </c>
      <c r="AC16" s="90" t="s">
        <v>311</v>
      </c>
      <c r="AD16" s="53" t="str">
        <f t="shared" si="11"/>
        <v>Link</v>
      </c>
      <c r="AE16" s="54">
        <v>2892</v>
      </c>
      <c r="AF16" s="55"/>
      <c r="AG16" s="55"/>
      <c r="AH16" s="56">
        <v>110413</v>
      </c>
      <c r="AI16" s="56"/>
    </row>
    <row r="17" spans="1:35" ht="15.75" customHeight="1" x14ac:dyDescent="0.15">
      <c r="A17" s="7" t="s">
        <v>299</v>
      </c>
      <c r="B17" s="129" t="s">
        <v>300</v>
      </c>
      <c r="C17" s="2" t="s">
        <v>43</v>
      </c>
      <c r="D17" s="86">
        <v>5</v>
      </c>
      <c r="E17" s="2" t="s">
        <v>359</v>
      </c>
      <c r="F17" s="7"/>
      <c r="G17" s="86"/>
      <c r="H17" s="2" t="s">
        <v>302</v>
      </c>
      <c r="I17" s="2" t="s">
        <v>361</v>
      </c>
      <c r="J17" s="2" t="s">
        <v>362</v>
      </c>
      <c r="K17" s="2" t="s">
        <v>55</v>
      </c>
      <c r="L17" s="95" t="s">
        <v>365</v>
      </c>
      <c r="M17" s="2" t="s">
        <v>332</v>
      </c>
      <c r="N17" s="45" t="str">
        <f t="shared" si="9"/>
        <v>@clusoftball</v>
      </c>
      <c r="O17" s="45" t="str">
        <f t="shared" si="10"/>
        <v>Questionnaire</v>
      </c>
      <c r="P17" s="60" t="s">
        <v>311</v>
      </c>
      <c r="Q17" s="60" t="s">
        <v>312</v>
      </c>
      <c r="R17" s="48" t="s">
        <v>313</v>
      </c>
      <c r="S17" s="48" t="s">
        <v>238</v>
      </c>
      <c r="T17" s="49" t="s">
        <v>63</v>
      </c>
      <c r="U17" s="6" t="s">
        <v>318</v>
      </c>
      <c r="V17" s="49"/>
      <c r="W17" s="37">
        <v>3.7</v>
      </c>
      <c r="X17" s="49" t="s">
        <v>319</v>
      </c>
      <c r="Y17" s="49" t="s">
        <v>76</v>
      </c>
      <c r="Z17" s="49" t="s">
        <v>320</v>
      </c>
      <c r="AA17" s="38">
        <v>0.64190000000000003</v>
      </c>
      <c r="AB17" s="39">
        <v>57912</v>
      </c>
      <c r="AC17" s="90" t="s">
        <v>311</v>
      </c>
      <c r="AD17" s="53" t="str">
        <f t="shared" si="11"/>
        <v>Link</v>
      </c>
      <c r="AE17" s="54">
        <v>2892</v>
      </c>
      <c r="AF17" s="55"/>
      <c r="AG17" s="55"/>
      <c r="AH17" s="56">
        <v>110413</v>
      </c>
      <c r="AI17" s="56"/>
    </row>
    <row r="18" spans="1:35" ht="15.75" customHeight="1" x14ac:dyDescent="0.15">
      <c r="A18" s="7" t="s">
        <v>299</v>
      </c>
      <c r="B18" s="129" t="s">
        <v>300</v>
      </c>
      <c r="C18" s="2" t="s">
        <v>43</v>
      </c>
      <c r="D18" s="86">
        <v>5</v>
      </c>
      <c r="E18" s="2" t="s">
        <v>374</v>
      </c>
      <c r="F18" s="7"/>
      <c r="G18" s="86"/>
      <c r="H18" s="2" t="s">
        <v>302</v>
      </c>
      <c r="I18" s="2" t="s">
        <v>376</v>
      </c>
      <c r="J18" s="2" t="s">
        <v>378</v>
      </c>
      <c r="K18" s="2" t="s">
        <v>55</v>
      </c>
      <c r="L18" s="2" t="s">
        <v>381</v>
      </c>
      <c r="M18" s="2" t="s">
        <v>332</v>
      </c>
      <c r="N18" s="45" t="str">
        <f t="shared" si="9"/>
        <v>@clusoftball</v>
      </c>
      <c r="O18" s="45" t="str">
        <f t="shared" si="10"/>
        <v>Questionnaire</v>
      </c>
      <c r="P18" s="60" t="s">
        <v>311</v>
      </c>
      <c r="Q18" s="60" t="s">
        <v>312</v>
      </c>
      <c r="R18" s="48" t="s">
        <v>313</v>
      </c>
      <c r="S18" s="48" t="s">
        <v>238</v>
      </c>
      <c r="T18" s="49" t="s">
        <v>63</v>
      </c>
      <c r="U18" s="6" t="s">
        <v>318</v>
      </c>
      <c r="V18" s="49"/>
      <c r="W18" s="37">
        <v>3.7</v>
      </c>
      <c r="X18" s="49" t="s">
        <v>319</v>
      </c>
      <c r="Y18" s="49" t="s">
        <v>76</v>
      </c>
      <c r="Z18" s="49" t="s">
        <v>320</v>
      </c>
      <c r="AA18" s="38">
        <v>0.64190000000000003</v>
      </c>
      <c r="AB18" s="39">
        <v>57912</v>
      </c>
      <c r="AC18" s="90" t="s">
        <v>311</v>
      </c>
      <c r="AD18" s="53" t="str">
        <f t="shared" si="11"/>
        <v>Link</v>
      </c>
      <c r="AE18" s="54">
        <v>2892</v>
      </c>
      <c r="AF18" s="55"/>
      <c r="AG18" s="55"/>
      <c r="AH18" s="56">
        <v>110413</v>
      </c>
      <c r="AI18" s="56"/>
    </row>
    <row r="19" spans="1:35" ht="13" x14ac:dyDescent="0.15">
      <c r="A19" s="7"/>
      <c r="B19" s="64" t="s">
        <v>300</v>
      </c>
      <c r="C19" s="2" t="s">
        <v>43</v>
      </c>
      <c r="D19" s="86">
        <v>5</v>
      </c>
      <c r="E19" s="2" t="s">
        <v>388</v>
      </c>
      <c r="F19" s="7"/>
      <c r="G19" s="86"/>
      <c r="H19" s="2" t="s">
        <v>389</v>
      </c>
      <c r="I19" s="2" t="s">
        <v>390</v>
      </c>
      <c r="J19" s="2" t="s">
        <v>392</v>
      </c>
      <c r="K19" s="2" t="s">
        <v>48</v>
      </c>
      <c r="L19" s="2" t="s">
        <v>393</v>
      </c>
      <c r="M19" s="2" t="s">
        <v>394</v>
      </c>
      <c r="N19" s="45" t="str">
        <f t="shared" ref="N19:N22" si="12">HYPERLINK("twitter.com/ChapmanSoftball","@ChapmanSoftball")</f>
        <v>@ChapmanSoftball</v>
      </c>
      <c r="O19" s="45" t="str">
        <f t="shared" ref="O19:O22" si="13">HYPERLINK("https://www.chapmanathletics.com/recruiting/prospective/index","Questionnaire")</f>
        <v>Questionnaire</v>
      </c>
      <c r="P19" s="60" t="s">
        <v>405</v>
      </c>
      <c r="Q19" s="60" t="s">
        <v>312</v>
      </c>
      <c r="R19" s="48" t="s">
        <v>407</v>
      </c>
      <c r="S19" s="48" t="s">
        <v>238</v>
      </c>
      <c r="T19" s="5" t="s">
        <v>63</v>
      </c>
      <c r="U19" s="6" t="s">
        <v>410</v>
      </c>
      <c r="V19" s="49"/>
      <c r="W19" s="37">
        <v>3.71</v>
      </c>
      <c r="X19" s="49" t="s">
        <v>176</v>
      </c>
      <c r="Y19" s="49" t="s">
        <v>411</v>
      </c>
      <c r="Z19" s="49" t="s">
        <v>412</v>
      </c>
      <c r="AA19" s="38">
        <v>0.54020000000000001</v>
      </c>
      <c r="AB19" s="39">
        <v>66578</v>
      </c>
      <c r="AC19" s="90" t="s">
        <v>405</v>
      </c>
      <c r="AD19" s="53" t="str">
        <f t="shared" ref="AD19:AD22" si="14">HYPERLINK("https://www.chapman.edu/academics/degrees-and-programs.aspx","Link")</f>
        <v>Link</v>
      </c>
      <c r="AE19" s="54">
        <v>6410</v>
      </c>
      <c r="AF19" s="55"/>
      <c r="AG19" s="55"/>
      <c r="AH19" s="56">
        <v>111948</v>
      </c>
      <c r="AI19" s="56"/>
    </row>
    <row r="20" spans="1:35" ht="13" x14ac:dyDescent="0.15">
      <c r="A20" s="7"/>
      <c r="B20" s="64" t="s">
        <v>300</v>
      </c>
      <c r="C20" s="2" t="s">
        <v>43</v>
      </c>
      <c r="D20" s="86">
        <v>5</v>
      </c>
      <c r="E20" s="2" t="s">
        <v>417</v>
      </c>
      <c r="F20" s="7"/>
      <c r="G20" s="86"/>
      <c r="H20" s="2" t="s">
        <v>389</v>
      </c>
      <c r="I20" s="2" t="s">
        <v>418</v>
      </c>
      <c r="J20" s="2" t="s">
        <v>419</v>
      </c>
      <c r="K20" s="2" t="s">
        <v>55</v>
      </c>
      <c r="L20" s="95" t="s">
        <v>420</v>
      </c>
      <c r="M20" s="2" t="s">
        <v>394</v>
      </c>
      <c r="N20" s="45" t="str">
        <f t="shared" si="12"/>
        <v>@ChapmanSoftball</v>
      </c>
      <c r="O20" s="45" t="str">
        <f t="shared" si="13"/>
        <v>Questionnaire</v>
      </c>
      <c r="P20" s="60" t="s">
        <v>405</v>
      </c>
      <c r="Q20" s="60" t="s">
        <v>312</v>
      </c>
      <c r="R20" s="48" t="s">
        <v>407</v>
      </c>
      <c r="S20" s="48" t="s">
        <v>238</v>
      </c>
      <c r="T20" s="5" t="s">
        <v>63</v>
      </c>
      <c r="U20" s="6" t="s">
        <v>410</v>
      </c>
      <c r="V20" s="49"/>
      <c r="W20" s="37">
        <v>3.71</v>
      </c>
      <c r="X20" s="49" t="s">
        <v>176</v>
      </c>
      <c r="Y20" s="49" t="s">
        <v>411</v>
      </c>
      <c r="Z20" s="49" t="s">
        <v>412</v>
      </c>
      <c r="AA20" s="38">
        <v>0.54020000000000001</v>
      </c>
      <c r="AB20" s="39">
        <v>66578</v>
      </c>
      <c r="AC20" s="90" t="s">
        <v>405</v>
      </c>
      <c r="AD20" s="53" t="str">
        <f t="shared" si="14"/>
        <v>Link</v>
      </c>
      <c r="AE20" s="54">
        <v>6410</v>
      </c>
      <c r="AF20" s="55"/>
      <c r="AG20" s="55"/>
      <c r="AH20" s="56">
        <v>111948</v>
      </c>
      <c r="AI20" s="56"/>
    </row>
    <row r="21" spans="1:35" ht="13" x14ac:dyDescent="0.15">
      <c r="A21" s="7"/>
      <c r="B21" s="129" t="s">
        <v>300</v>
      </c>
      <c r="C21" s="2" t="s">
        <v>43</v>
      </c>
      <c r="D21" s="86">
        <v>5</v>
      </c>
      <c r="E21" s="2" t="s">
        <v>426</v>
      </c>
      <c r="F21" s="7"/>
      <c r="G21" s="86"/>
      <c r="H21" s="2" t="s">
        <v>389</v>
      </c>
      <c r="I21" s="2" t="s">
        <v>427</v>
      </c>
      <c r="J21" s="2" t="s">
        <v>428</v>
      </c>
      <c r="K21" s="2" t="s">
        <v>139</v>
      </c>
      <c r="L21" s="2"/>
      <c r="M21" s="2"/>
      <c r="N21" s="45" t="str">
        <f t="shared" si="12"/>
        <v>@ChapmanSoftball</v>
      </c>
      <c r="O21" s="45" t="str">
        <f t="shared" si="13"/>
        <v>Questionnaire</v>
      </c>
      <c r="P21" s="60" t="s">
        <v>405</v>
      </c>
      <c r="Q21" s="60" t="s">
        <v>312</v>
      </c>
      <c r="R21" s="48" t="s">
        <v>407</v>
      </c>
      <c r="S21" s="48" t="s">
        <v>238</v>
      </c>
      <c r="T21" s="5" t="s">
        <v>63</v>
      </c>
      <c r="U21" s="6" t="s">
        <v>410</v>
      </c>
      <c r="V21" s="49"/>
      <c r="W21" s="37">
        <v>3.71</v>
      </c>
      <c r="X21" s="49" t="s">
        <v>176</v>
      </c>
      <c r="Y21" s="49" t="s">
        <v>411</v>
      </c>
      <c r="Z21" s="49" t="s">
        <v>412</v>
      </c>
      <c r="AA21" s="38">
        <v>0.54020000000000001</v>
      </c>
      <c r="AB21" s="39">
        <v>66578</v>
      </c>
      <c r="AC21" s="90" t="s">
        <v>405</v>
      </c>
      <c r="AD21" s="53" t="str">
        <f t="shared" si="14"/>
        <v>Link</v>
      </c>
      <c r="AE21" s="54">
        <v>6410</v>
      </c>
      <c r="AF21" s="55"/>
      <c r="AG21" s="55"/>
      <c r="AH21" s="56">
        <v>111948</v>
      </c>
      <c r="AI21" s="56"/>
    </row>
    <row r="22" spans="1:35" ht="13" x14ac:dyDescent="0.15">
      <c r="A22" s="7"/>
      <c r="B22" s="64" t="s">
        <v>300</v>
      </c>
      <c r="C22" s="2" t="s">
        <v>43</v>
      </c>
      <c r="D22" s="86">
        <v>5</v>
      </c>
      <c r="E22" s="2" t="s">
        <v>436</v>
      </c>
      <c r="F22" s="7"/>
      <c r="G22" s="86"/>
      <c r="H22" s="2" t="s">
        <v>389</v>
      </c>
      <c r="I22" s="2" t="s">
        <v>439</v>
      </c>
      <c r="J22" s="2" t="s">
        <v>440</v>
      </c>
      <c r="K22" s="2" t="s">
        <v>139</v>
      </c>
      <c r="L22" s="2"/>
      <c r="M22" s="2"/>
      <c r="N22" s="45" t="str">
        <f t="shared" si="12"/>
        <v>@ChapmanSoftball</v>
      </c>
      <c r="O22" s="45" t="str">
        <f t="shared" si="13"/>
        <v>Questionnaire</v>
      </c>
      <c r="P22" s="60" t="s">
        <v>405</v>
      </c>
      <c r="Q22" s="60" t="s">
        <v>312</v>
      </c>
      <c r="R22" s="48" t="s">
        <v>407</v>
      </c>
      <c r="S22" s="48" t="s">
        <v>238</v>
      </c>
      <c r="T22" s="5" t="s">
        <v>63</v>
      </c>
      <c r="U22" s="6" t="s">
        <v>410</v>
      </c>
      <c r="V22" s="49"/>
      <c r="W22" s="37">
        <v>3.71</v>
      </c>
      <c r="X22" s="49" t="s">
        <v>176</v>
      </c>
      <c r="Y22" s="49" t="s">
        <v>411</v>
      </c>
      <c r="Z22" s="49" t="s">
        <v>412</v>
      </c>
      <c r="AA22" s="38">
        <v>0.54020000000000001</v>
      </c>
      <c r="AB22" s="39">
        <v>66578</v>
      </c>
      <c r="AC22" s="90" t="s">
        <v>405</v>
      </c>
      <c r="AD22" s="53" t="str">
        <f t="shared" si="14"/>
        <v>Link</v>
      </c>
      <c r="AE22" s="54">
        <v>6410</v>
      </c>
      <c r="AF22" s="55"/>
      <c r="AG22" s="55"/>
      <c r="AH22" s="56">
        <v>111948</v>
      </c>
      <c r="AI22" s="56"/>
    </row>
    <row r="23" spans="1:35" ht="15" x14ac:dyDescent="0.2">
      <c r="A23" s="7"/>
      <c r="B23" s="64" t="s">
        <v>300</v>
      </c>
      <c r="C23" s="2" t="s">
        <v>43</v>
      </c>
      <c r="D23" s="86">
        <v>5</v>
      </c>
      <c r="E23" s="2" t="s">
        <v>451</v>
      </c>
      <c r="F23" s="7"/>
      <c r="G23" s="86"/>
      <c r="H23" s="2" t="s">
        <v>452</v>
      </c>
      <c r="I23" s="2" t="s">
        <v>453</v>
      </c>
      <c r="J23" s="2" t="s">
        <v>454</v>
      </c>
      <c r="K23" s="2" t="s">
        <v>48</v>
      </c>
      <c r="L23" s="95" t="s">
        <v>455</v>
      </c>
      <c r="M23" s="2" t="s">
        <v>456</v>
      </c>
      <c r="N23" s="45" t="str">
        <f t="shared" ref="N23:N26" si="15">HYPERLINK("twitter.com/cmsathenasb","@cmsathenasb")</f>
        <v>@cmsathenasb</v>
      </c>
      <c r="O23" s="45" t="str">
        <f t="shared" ref="O23:O26" si="16">HYPERLINK("https://www.cmsathletics.org/prospective_athletes/index","Questionnaire")</f>
        <v>Questionnaire</v>
      </c>
      <c r="P23" s="108" t="s">
        <v>464</v>
      </c>
      <c r="Q23" s="60" t="s">
        <v>312</v>
      </c>
      <c r="R23" s="48" t="s">
        <v>467</v>
      </c>
      <c r="S23" s="48" t="s">
        <v>468</v>
      </c>
      <c r="T23" s="49" t="s">
        <v>63</v>
      </c>
      <c r="U23" s="48" t="s">
        <v>75</v>
      </c>
      <c r="V23" s="49"/>
      <c r="W23" s="37">
        <v>4.05</v>
      </c>
      <c r="X23" s="49" t="s">
        <v>469</v>
      </c>
      <c r="Y23" s="49" t="s">
        <v>470</v>
      </c>
      <c r="Z23" s="49" t="s">
        <v>471</v>
      </c>
      <c r="AA23" s="38">
        <v>9.4399999999999998E-2</v>
      </c>
      <c r="AB23" s="39">
        <v>69385</v>
      </c>
      <c r="AC23" s="52" t="s">
        <v>464</v>
      </c>
      <c r="AD23" s="53" t="str">
        <f t="shared" ref="AD23:AD26" si="17">HYPERLINK("https://www.cmc.edu/academic/departments-majors-programs","Link")</f>
        <v>Link</v>
      </c>
      <c r="AE23" s="54">
        <v>1347</v>
      </c>
      <c r="AF23" s="55"/>
      <c r="AG23" s="54">
        <v>8</v>
      </c>
      <c r="AH23" s="56">
        <v>115409</v>
      </c>
      <c r="AI23" s="56"/>
    </row>
    <row r="24" spans="1:35" ht="15" x14ac:dyDescent="0.2">
      <c r="A24" s="7"/>
      <c r="B24" s="64" t="s">
        <v>300</v>
      </c>
      <c r="C24" s="2" t="s">
        <v>43</v>
      </c>
      <c r="D24" s="86">
        <v>5</v>
      </c>
      <c r="E24" s="2" t="s">
        <v>479</v>
      </c>
      <c r="F24" s="7"/>
      <c r="G24" s="86"/>
      <c r="H24" s="2" t="s">
        <v>452</v>
      </c>
      <c r="I24" s="2" t="s">
        <v>481</v>
      </c>
      <c r="J24" s="2" t="s">
        <v>482</v>
      </c>
      <c r="K24" s="2" t="s">
        <v>55</v>
      </c>
      <c r="L24" s="2"/>
      <c r="M24" s="2"/>
      <c r="N24" s="45" t="str">
        <f t="shared" si="15"/>
        <v>@cmsathenasb</v>
      </c>
      <c r="O24" s="45" t="str">
        <f t="shared" si="16"/>
        <v>Questionnaire</v>
      </c>
      <c r="P24" s="108" t="s">
        <v>464</v>
      </c>
      <c r="Q24" s="60" t="s">
        <v>312</v>
      </c>
      <c r="R24" s="48" t="s">
        <v>467</v>
      </c>
      <c r="S24" s="48" t="s">
        <v>468</v>
      </c>
      <c r="T24" s="49" t="s">
        <v>63</v>
      </c>
      <c r="U24" s="48" t="s">
        <v>75</v>
      </c>
      <c r="V24" s="49"/>
      <c r="W24" s="37">
        <v>4.05</v>
      </c>
      <c r="X24" s="49" t="s">
        <v>469</v>
      </c>
      <c r="Y24" s="49" t="s">
        <v>470</v>
      </c>
      <c r="Z24" s="49" t="s">
        <v>471</v>
      </c>
      <c r="AA24" s="38">
        <v>9.4399999999999998E-2</v>
      </c>
      <c r="AB24" s="39">
        <v>69385</v>
      </c>
      <c r="AC24" s="52" t="s">
        <v>464</v>
      </c>
      <c r="AD24" s="53" t="str">
        <f t="shared" si="17"/>
        <v>Link</v>
      </c>
      <c r="AE24" s="54">
        <v>1347</v>
      </c>
      <c r="AF24" s="55"/>
      <c r="AG24" s="54">
        <v>8</v>
      </c>
      <c r="AH24" s="56">
        <v>115409</v>
      </c>
      <c r="AI24" s="56"/>
    </row>
    <row r="25" spans="1:35" ht="15" x14ac:dyDescent="0.2">
      <c r="A25" s="7"/>
      <c r="B25" s="64" t="s">
        <v>300</v>
      </c>
      <c r="C25" s="2" t="s">
        <v>43</v>
      </c>
      <c r="D25" s="86">
        <v>5</v>
      </c>
      <c r="E25" s="2" t="s">
        <v>489</v>
      </c>
      <c r="F25" s="7"/>
      <c r="G25" s="86"/>
      <c r="H25" s="2" t="s">
        <v>452</v>
      </c>
      <c r="I25" s="2" t="s">
        <v>490</v>
      </c>
      <c r="J25" s="2" t="s">
        <v>491</v>
      </c>
      <c r="K25" s="2" t="s">
        <v>55</v>
      </c>
      <c r="L25" s="2"/>
      <c r="M25" s="2"/>
      <c r="N25" s="45" t="str">
        <f t="shared" si="15"/>
        <v>@cmsathenasb</v>
      </c>
      <c r="O25" s="45" t="str">
        <f t="shared" si="16"/>
        <v>Questionnaire</v>
      </c>
      <c r="P25" s="108" t="s">
        <v>464</v>
      </c>
      <c r="Q25" s="60" t="s">
        <v>312</v>
      </c>
      <c r="R25" s="48" t="s">
        <v>467</v>
      </c>
      <c r="S25" s="48" t="s">
        <v>468</v>
      </c>
      <c r="T25" s="49" t="s">
        <v>63</v>
      </c>
      <c r="U25" s="48" t="s">
        <v>75</v>
      </c>
      <c r="V25" s="49"/>
      <c r="W25" s="37">
        <v>4.05</v>
      </c>
      <c r="X25" s="49" t="s">
        <v>469</v>
      </c>
      <c r="Y25" s="49" t="s">
        <v>470</v>
      </c>
      <c r="Z25" s="49" t="s">
        <v>471</v>
      </c>
      <c r="AA25" s="38">
        <v>9.4399999999999998E-2</v>
      </c>
      <c r="AB25" s="39">
        <v>69385</v>
      </c>
      <c r="AC25" s="52" t="s">
        <v>464</v>
      </c>
      <c r="AD25" s="53" t="str">
        <f t="shared" si="17"/>
        <v>Link</v>
      </c>
      <c r="AE25" s="54">
        <v>1347</v>
      </c>
      <c r="AF25" s="55"/>
      <c r="AG25" s="54">
        <v>8</v>
      </c>
      <c r="AH25" s="56">
        <v>115409</v>
      </c>
      <c r="AI25" s="56"/>
    </row>
    <row r="26" spans="1:35" ht="15" x14ac:dyDescent="0.2">
      <c r="A26" s="7"/>
      <c r="B26" s="64" t="s">
        <v>300</v>
      </c>
      <c r="C26" s="2" t="s">
        <v>43</v>
      </c>
      <c r="D26" s="86">
        <v>5</v>
      </c>
      <c r="E26" s="2" t="s">
        <v>499</v>
      </c>
      <c r="F26" s="7"/>
      <c r="G26" s="86"/>
      <c r="H26" s="2" t="s">
        <v>452</v>
      </c>
      <c r="I26" s="2" t="s">
        <v>502</v>
      </c>
      <c r="J26" s="2" t="s">
        <v>504</v>
      </c>
      <c r="K26" s="2" t="s">
        <v>55</v>
      </c>
      <c r="L26" s="2"/>
      <c r="M26" s="2"/>
      <c r="N26" s="45" t="str">
        <f t="shared" si="15"/>
        <v>@cmsathenasb</v>
      </c>
      <c r="O26" s="45" t="str">
        <f t="shared" si="16"/>
        <v>Questionnaire</v>
      </c>
      <c r="P26" s="108" t="s">
        <v>464</v>
      </c>
      <c r="Q26" s="60" t="s">
        <v>312</v>
      </c>
      <c r="R26" s="48" t="s">
        <v>467</v>
      </c>
      <c r="S26" s="48" t="s">
        <v>468</v>
      </c>
      <c r="T26" s="49" t="s">
        <v>63</v>
      </c>
      <c r="U26" s="48" t="s">
        <v>75</v>
      </c>
      <c r="V26" s="49"/>
      <c r="W26" s="37">
        <v>4.05</v>
      </c>
      <c r="X26" s="49" t="s">
        <v>469</v>
      </c>
      <c r="Y26" s="49" t="s">
        <v>470</v>
      </c>
      <c r="Z26" s="49" t="s">
        <v>471</v>
      </c>
      <c r="AA26" s="38">
        <v>9.4399999999999998E-2</v>
      </c>
      <c r="AB26" s="39">
        <v>69385</v>
      </c>
      <c r="AC26" s="52" t="s">
        <v>464</v>
      </c>
      <c r="AD26" s="53" t="str">
        <f t="shared" si="17"/>
        <v>Link</v>
      </c>
      <c r="AE26" s="54">
        <v>1347</v>
      </c>
      <c r="AF26" s="55"/>
      <c r="AG26" s="54">
        <v>8</v>
      </c>
      <c r="AH26" s="56">
        <v>115409</v>
      </c>
      <c r="AI26" s="56"/>
    </row>
    <row r="27" spans="1:35" ht="13" x14ac:dyDescent="0.15">
      <c r="A27" s="7"/>
      <c r="B27" s="64" t="s">
        <v>300</v>
      </c>
      <c r="C27" s="2" t="s">
        <v>43</v>
      </c>
      <c r="D27" s="44">
        <v>5</v>
      </c>
      <c r="E27" s="7" t="s">
        <v>511</v>
      </c>
      <c r="F27" s="7" t="s">
        <v>116</v>
      </c>
      <c r="G27" s="57"/>
      <c r="H27" s="7" t="s">
        <v>512</v>
      </c>
      <c r="I27" s="7" t="s">
        <v>513</v>
      </c>
      <c r="J27" s="7" t="s">
        <v>514</v>
      </c>
      <c r="K27" s="7" t="s">
        <v>55</v>
      </c>
      <c r="L27" s="7"/>
      <c r="M27" s="7"/>
      <c r="N27" s="48"/>
      <c r="O27" s="45" t="str">
        <f t="shared" ref="O27:O30" si="18">HYPERLINK("https://www.leopardathletics.com/prospectives/Index","Questionnaire")</f>
        <v>Questionnaire</v>
      </c>
      <c r="P27" s="48" t="s">
        <v>517</v>
      </c>
      <c r="Q27" s="60" t="s">
        <v>312</v>
      </c>
      <c r="R27" s="48" t="s">
        <v>517</v>
      </c>
      <c r="S27" s="48" t="s">
        <v>468</v>
      </c>
      <c r="T27" s="49" t="s">
        <v>63</v>
      </c>
      <c r="U27" s="48" t="s">
        <v>75</v>
      </c>
      <c r="V27" s="49"/>
      <c r="W27" s="37">
        <v>3.46</v>
      </c>
      <c r="X27" s="49" t="s">
        <v>521</v>
      </c>
      <c r="Y27" s="49" t="s">
        <v>522</v>
      </c>
      <c r="Z27" s="49" t="s">
        <v>278</v>
      </c>
      <c r="AA27" s="65">
        <v>0.48</v>
      </c>
      <c r="AB27" s="39">
        <v>57849</v>
      </c>
      <c r="AC27" s="84" t="s">
        <v>517</v>
      </c>
      <c r="AD27" s="53" t="str">
        <f t="shared" ref="AD27:AD30" si="19">HYPERLINK("https://laverne.edu/catalog/","Link")</f>
        <v>Link</v>
      </c>
      <c r="AE27" s="54">
        <v>5459</v>
      </c>
      <c r="AF27" s="54">
        <v>159</v>
      </c>
      <c r="AG27" s="55"/>
      <c r="AH27" s="56">
        <v>117140</v>
      </c>
      <c r="AI27" s="85"/>
    </row>
    <row r="28" spans="1:35" ht="13" x14ac:dyDescent="0.15">
      <c r="A28" s="7"/>
      <c r="B28" s="64" t="s">
        <v>300</v>
      </c>
      <c r="C28" s="2" t="s">
        <v>43</v>
      </c>
      <c r="D28" s="44">
        <v>5</v>
      </c>
      <c r="E28" s="7" t="s">
        <v>536</v>
      </c>
      <c r="F28" s="7" t="s">
        <v>116</v>
      </c>
      <c r="G28" s="57"/>
      <c r="H28" s="7" t="s">
        <v>512</v>
      </c>
      <c r="I28" s="7" t="s">
        <v>537</v>
      </c>
      <c r="J28" s="7" t="s">
        <v>538</v>
      </c>
      <c r="K28" s="7" t="s">
        <v>120</v>
      </c>
      <c r="L28" s="7"/>
      <c r="M28" s="7"/>
      <c r="N28" s="48"/>
      <c r="O28" s="45" t="str">
        <f t="shared" si="18"/>
        <v>Questionnaire</v>
      </c>
      <c r="P28" s="48" t="s">
        <v>517</v>
      </c>
      <c r="Q28" s="60" t="s">
        <v>312</v>
      </c>
      <c r="R28" s="48" t="s">
        <v>517</v>
      </c>
      <c r="S28" s="48" t="s">
        <v>468</v>
      </c>
      <c r="T28" s="49" t="s">
        <v>63</v>
      </c>
      <c r="U28" s="48" t="s">
        <v>75</v>
      </c>
      <c r="V28" s="49"/>
      <c r="W28" s="37">
        <v>3.46</v>
      </c>
      <c r="X28" s="49" t="s">
        <v>521</v>
      </c>
      <c r="Y28" s="49" t="s">
        <v>522</v>
      </c>
      <c r="Z28" s="49" t="s">
        <v>278</v>
      </c>
      <c r="AA28" s="65">
        <v>0.48</v>
      </c>
      <c r="AB28" s="39">
        <v>57849</v>
      </c>
      <c r="AC28" s="84" t="s">
        <v>517</v>
      </c>
      <c r="AD28" s="53" t="str">
        <f t="shared" si="19"/>
        <v>Link</v>
      </c>
      <c r="AE28" s="54">
        <v>5459</v>
      </c>
      <c r="AF28" s="54">
        <v>159</v>
      </c>
      <c r="AG28" s="55"/>
      <c r="AH28" s="56">
        <v>117140</v>
      </c>
      <c r="AI28" s="85"/>
    </row>
    <row r="29" spans="1:35" ht="13" x14ac:dyDescent="0.15">
      <c r="A29" s="7"/>
      <c r="B29" s="64" t="s">
        <v>300</v>
      </c>
      <c r="C29" s="2" t="s">
        <v>43</v>
      </c>
      <c r="D29" s="44">
        <v>5</v>
      </c>
      <c r="E29" s="7" t="s">
        <v>547</v>
      </c>
      <c r="F29" s="7" t="s">
        <v>116</v>
      </c>
      <c r="G29" s="57"/>
      <c r="H29" s="7" t="s">
        <v>512</v>
      </c>
      <c r="I29" s="7" t="s">
        <v>548</v>
      </c>
      <c r="J29" s="7" t="s">
        <v>538</v>
      </c>
      <c r="K29" s="7" t="s">
        <v>55</v>
      </c>
      <c r="L29" s="7" t="s">
        <v>549</v>
      </c>
      <c r="M29" s="7" t="s">
        <v>550</v>
      </c>
      <c r="N29" s="48"/>
      <c r="O29" s="45" t="str">
        <f t="shared" si="18"/>
        <v>Questionnaire</v>
      </c>
      <c r="P29" s="48" t="s">
        <v>517</v>
      </c>
      <c r="Q29" s="60" t="s">
        <v>312</v>
      </c>
      <c r="R29" s="48" t="s">
        <v>517</v>
      </c>
      <c r="S29" s="48" t="s">
        <v>468</v>
      </c>
      <c r="T29" s="49" t="s">
        <v>63</v>
      </c>
      <c r="U29" s="48" t="s">
        <v>75</v>
      </c>
      <c r="V29" s="49"/>
      <c r="W29" s="37">
        <v>3.46</v>
      </c>
      <c r="X29" s="49" t="s">
        <v>521</v>
      </c>
      <c r="Y29" s="49" t="s">
        <v>522</v>
      </c>
      <c r="Z29" s="49" t="s">
        <v>278</v>
      </c>
      <c r="AA29" s="65">
        <v>0.48</v>
      </c>
      <c r="AB29" s="39">
        <v>57849</v>
      </c>
      <c r="AC29" s="84" t="s">
        <v>517</v>
      </c>
      <c r="AD29" s="53" t="str">
        <f t="shared" si="19"/>
        <v>Link</v>
      </c>
      <c r="AE29" s="54">
        <v>5459</v>
      </c>
      <c r="AF29" s="54">
        <v>159</v>
      </c>
      <c r="AG29" s="55"/>
      <c r="AH29" s="56">
        <v>117140</v>
      </c>
      <c r="AI29" s="85"/>
    </row>
    <row r="30" spans="1:35" ht="13" x14ac:dyDescent="0.15">
      <c r="A30" s="7"/>
      <c r="B30" s="64" t="s">
        <v>300</v>
      </c>
      <c r="C30" s="2" t="s">
        <v>43</v>
      </c>
      <c r="D30" s="86">
        <v>5</v>
      </c>
      <c r="E30" s="2" t="s">
        <v>561</v>
      </c>
      <c r="F30" s="7"/>
      <c r="G30" s="86"/>
      <c r="H30" s="2" t="s">
        <v>512</v>
      </c>
      <c r="I30" s="2" t="s">
        <v>562</v>
      </c>
      <c r="J30" s="2" t="s">
        <v>563</v>
      </c>
      <c r="K30" s="2" t="s">
        <v>48</v>
      </c>
      <c r="L30" s="95" t="s">
        <v>564</v>
      </c>
      <c r="M30" s="2" t="s">
        <v>550</v>
      </c>
      <c r="N30" s="48"/>
      <c r="O30" s="45" t="str">
        <f t="shared" si="18"/>
        <v>Questionnaire</v>
      </c>
      <c r="P30" s="48" t="s">
        <v>517</v>
      </c>
      <c r="Q30" s="60" t="s">
        <v>312</v>
      </c>
      <c r="R30" s="48" t="s">
        <v>517</v>
      </c>
      <c r="S30" s="48" t="s">
        <v>468</v>
      </c>
      <c r="T30" s="49" t="s">
        <v>63</v>
      </c>
      <c r="U30" s="48" t="s">
        <v>75</v>
      </c>
      <c r="V30" s="49"/>
      <c r="W30" s="37">
        <v>3.46</v>
      </c>
      <c r="X30" s="49" t="s">
        <v>521</v>
      </c>
      <c r="Y30" s="49" t="s">
        <v>522</v>
      </c>
      <c r="Z30" s="49" t="s">
        <v>278</v>
      </c>
      <c r="AA30" s="65">
        <v>0.48</v>
      </c>
      <c r="AB30" s="39">
        <v>57849</v>
      </c>
      <c r="AC30" s="84" t="s">
        <v>517</v>
      </c>
      <c r="AD30" s="53" t="str">
        <f t="shared" si="19"/>
        <v>Link</v>
      </c>
      <c r="AE30" s="54">
        <v>5459</v>
      </c>
      <c r="AF30" s="54">
        <v>159</v>
      </c>
      <c r="AG30" s="55"/>
      <c r="AH30" s="56">
        <v>117140</v>
      </c>
      <c r="AI30" s="56"/>
    </row>
    <row r="31" spans="1:35" ht="13" x14ac:dyDescent="0.15">
      <c r="A31" s="7"/>
      <c r="B31" s="64" t="s">
        <v>300</v>
      </c>
      <c r="C31" s="2" t="s">
        <v>43</v>
      </c>
      <c r="D31" s="44">
        <v>5</v>
      </c>
      <c r="E31" s="2" t="s">
        <v>566</v>
      </c>
      <c r="F31" s="7"/>
      <c r="G31" s="7"/>
      <c r="H31" s="2" t="s">
        <v>569</v>
      </c>
      <c r="I31" s="7" t="s">
        <v>571</v>
      </c>
      <c r="J31" s="7" t="s">
        <v>572</v>
      </c>
      <c r="K31" s="7" t="s">
        <v>55</v>
      </c>
      <c r="L31" s="7"/>
      <c r="M31" s="7"/>
      <c r="N31" s="48"/>
      <c r="O31" s="48"/>
      <c r="P31" s="48" t="s">
        <v>573</v>
      </c>
      <c r="Q31" s="60" t="s">
        <v>312</v>
      </c>
      <c r="R31" s="48" t="s">
        <v>574</v>
      </c>
      <c r="S31" s="48" t="s">
        <v>288</v>
      </c>
      <c r="T31" s="49" t="s">
        <v>63</v>
      </c>
      <c r="U31" s="49" t="s">
        <v>75</v>
      </c>
      <c r="V31" s="7"/>
      <c r="W31" s="44">
        <v>3.64</v>
      </c>
      <c r="X31" s="49" t="s">
        <v>576</v>
      </c>
      <c r="Y31" s="49" t="s">
        <v>579</v>
      </c>
      <c r="Z31" s="49" t="s">
        <v>580</v>
      </c>
      <c r="AA31" s="61">
        <v>0.46</v>
      </c>
      <c r="AB31" s="71">
        <v>69442</v>
      </c>
      <c r="AC31" s="62" t="s">
        <v>573</v>
      </c>
      <c r="AD31" s="53" t="str">
        <f t="shared" ref="AD31:AD33" si="20">HYPERLINK("https://www.oxy.edu/academics/programs-majors","Link")</f>
        <v>Link</v>
      </c>
      <c r="AE31" s="54">
        <v>1969</v>
      </c>
      <c r="AF31" s="55"/>
      <c r="AG31" s="44">
        <v>44</v>
      </c>
      <c r="AH31" s="56">
        <v>120254</v>
      </c>
      <c r="AI31" s="56"/>
    </row>
    <row r="32" spans="1:35" ht="13" x14ac:dyDescent="0.15">
      <c r="A32" s="7"/>
      <c r="B32" s="64" t="s">
        <v>300</v>
      </c>
      <c r="C32" s="2" t="s">
        <v>43</v>
      </c>
      <c r="D32" s="86">
        <v>5</v>
      </c>
      <c r="E32" s="2" t="s">
        <v>587</v>
      </c>
      <c r="F32" s="7"/>
      <c r="G32" s="86"/>
      <c r="H32" s="2" t="s">
        <v>569</v>
      </c>
      <c r="I32" s="2" t="s">
        <v>588</v>
      </c>
      <c r="J32" s="2" t="s">
        <v>589</v>
      </c>
      <c r="K32" s="2" t="s">
        <v>590</v>
      </c>
      <c r="L32" s="2" t="s">
        <v>591</v>
      </c>
      <c r="M32" s="2" t="s">
        <v>592</v>
      </c>
      <c r="N32" s="45" t="str">
        <f t="shared" ref="N32:N33" si="21">HYPERLINK("twitter.com/oxy_softball","@oxy_softball")</f>
        <v>@oxy_softball</v>
      </c>
      <c r="O32" s="45" t="str">
        <f t="shared" ref="O32:O33" si="22">HYPERLINK("http://www.oxyathletics.com/recruiting/forms/prospectivestudentahletes","Questionnaire")</f>
        <v>Questionnaire</v>
      </c>
      <c r="P32" s="48" t="s">
        <v>573</v>
      </c>
      <c r="Q32" s="60" t="s">
        <v>312</v>
      </c>
      <c r="R32" s="48" t="s">
        <v>574</v>
      </c>
      <c r="S32" s="48" t="s">
        <v>288</v>
      </c>
      <c r="T32" s="49" t="s">
        <v>63</v>
      </c>
      <c r="U32" s="48" t="s">
        <v>75</v>
      </c>
      <c r="V32" s="49"/>
      <c r="W32" s="37">
        <v>3.64</v>
      </c>
      <c r="X32" s="49" t="s">
        <v>576</v>
      </c>
      <c r="Y32" s="49" t="s">
        <v>579</v>
      </c>
      <c r="Z32" s="49" t="s">
        <v>580</v>
      </c>
      <c r="AA32" s="65">
        <v>0.46</v>
      </c>
      <c r="AB32" s="39">
        <v>69442</v>
      </c>
      <c r="AC32" s="84" t="s">
        <v>573</v>
      </c>
      <c r="AD32" s="53" t="str">
        <f t="shared" si="20"/>
        <v>Link</v>
      </c>
      <c r="AE32" s="54">
        <v>1969</v>
      </c>
      <c r="AF32" s="55"/>
      <c r="AG32" s="54">
        <v>44</v>
      </c>
      <c r="AH32" s="56">
        <v>120254</v>
      </c>
      <c r="AI32" s="56"/>
    </row>
    <row r="33" spans="1:35" ht="13" x14ac:dyDescent="0.15">
      <c r="A33" s="7"/>
      <c r="B33" s="64" t="s">
        <v>300</v>
      </c>
      <c r="C33" s="2" t="s">
        <v>43</v>
      </c>
      <c r="D33" s="86">
        <v>5</v>
      </c>
      <c r="E33" s="2" t="s">
        <v>607</v>
      </c>
      <c r="F33" s="7"/>
      <c r="G33" s="86"/>
      <c r="H33" s="2" t="s">
        <v>569</v>
      </c>
      <c r="I33" s="2" t="s">
        <v>608</v>
      </c>
      <c r="J33" s="2" t="s">
        <v>610</v>
      </c>
      <c r="K33" s="2" t="s">
        <v>55</v>
      </c>
      <c r="L33" s="2"/>
      <c r="M33" s="2"/>
      <c r="N33" s="45" t="str">
        <f t="shared" si="21"/>
        <v>@oxy_softball</v>
      </c>
      <c r="O33" s="45" t="str">
        <f t="shared" si="22"/>
        <v>Questionnaire</v>
      </c>
      <c r="P33" s="48" t="s">
        <v>573</v>
      </c>
      <c r="Q33" s="60" t="s">
        <v>312</v>
      </c>
      <c r="R33" s="48" t="s">
        <v>574</v>
      </c>
      <c r="S33" s="48" t="s">
        <v>288</v>
      </c>
      <c r="T33" s="49" t="s">
        <v>63</v>
      </c>
      <c r="U33" s="48" t="s">
        <v>75</v>
      </c>
      <c r="V33" s="49"/>
      <c r="W33" s="37">
        <v>3.64</v>
      </c>
      <c r="X33" s="49" t="s">
        <v>576</v>
      </c>
      <c r="Y33" s="49" t="s">
        <v>579</v>
      </c>
      <c r="Z33" s="49" t="s">
        <v>580</v>
      </c>
      <c r="AA33" s="65">
        <v>0.46</v>
      </c>
      <c r="AB33" s="39">
        <v>69442</v>
      </c>
      <c r="AC33" s="84" t="s">
        <v>573</v>
      </c>
      <c r="AD33" s="53" t="str">
        <f t="shared" si="20"/>
        <v>Link</v>
      </c>
      <c r="AE33" s="54">
        <v>1969</v>
      </c>
      <c r="AF33" s="55"/>
      <c r="AG33" s="54">
        <v>44</v>
      </c>
      <c r="AH33" s="56">
        <v>120254</v>
      </c>
      <c r="AI33" s="56"/>
    </row>
    <row r="34" spans="1:35" ht="13" x14ac:dyDescent="0.15">
      <c r="A34" s="7"/>
      <c r="B34" s="64" t="s">
        <v>300</v>
      </c>
      <c r="C34" s="36" t="s">
        <v>43</v>
      </c>
      <c r="D34" s="86">
        <v>5</v>
      </c>
      <c r="E34" s="2" t="s">
        <v>616</v>
      </c>
      <c r="F34" s="7"/>
      <c r="G34" s="86"/>
      <c r="H34" s="2" t="s">
        <v>618</v>
      </c>
      <c r="I34" s="2" t="s">
        <v>619</v>
      </c>
      <c r="J34" s="2" t="s">
        <v>620</v>
      </c>
      <c r="K34" s="2" t="s">
        <v>48</v>
      </c>
      <c r="L34" s="2" t="s">
        <v>622</v>
      </c>
      <c r="M34" s="2" t="s">
        <v>623</v>
      </c>
      <c r="N34" s="45" t="str">
        <f t="shared" ref="N34:N36" si="23">HYPERLINK("twitter.com/sagehensoftball","@sagehensoftball")</f>
        <v>@sagehensoftball</v>
      </c>
      <c r="O34" s="45" t="str">
        <f t="shared" ref="O34:O36" si="24">HYPERLINK("https://www.sagehens.com/information/prospective_athletes","Questionnaire")</f>
        <v>Questionnaire</v>
      </c>
      <c r="P34" s="48" t="s">
        <v>627</v>
      </c>
      <c r="Q34" s="60" t="s">
        <v>312</v>
      </c>
      <c r="R34" s="48" t="s">
        <v>467</v>
      </c>
      <c r="S34" s="48" t="s">
        <v>468</v>
      </c>
      <c r="T34" s="49" t="s">
        <v>63</v>
      </c>
      <c r="U34" s="48" t="s">
        <v>75</v>
      </c>
      <c r="V34" s="49"/>
      <c r="W34" s="37">
        <v>3.82</v>
      </c>
      <c r="X34" s="49" t="s">
        <v>628</v>
      </c>
      <c r="Y34" s="49" t="s">
        <v>629</v>
      </c>
      <c r="Z34" s="49" t="s">
        <v>631</v>
      </c>
      <c r="AA34" s="65">
        <v>0.14000000000000001</v>
      </c>
      <c r="AB34" s="39">
        <v>68192</v>
      </c>
      <c r="AC34" s="84" t="s">
        <v>627</v>
      </c>
      <c r="AD34" s="53" t="str">
        <f t="shared" ref="AD34:AD36" si="25">HYPERLINK("https://www.pomona.edu/academics","Link")</f>
        <v>Link</v>
      </c>
      <c r="AE34" s="54">
        <v>1062</v>
      </c>
      <c r="AF34" s="55"/>
      <c r="AG34" s="54">
        <v>6</v>
      </c>
      <c r="AH34" s="56">
        <v>121345</v>
      </c>
      <c r="AI34" s="56"/>
    </row>
    <row r="35" spans="1:35" ht="13" x14ac:dyDescent="0.15">
      <c r="A35" s="7"/>
      <c r="B35" s="64" t="s">
        <v>300</v>
      </c>
      <c r="C35" s="36" t="s">
        <v>43</v>
      </c>
      <c r="D35" s="86">
        <v>5</v>
      </c>
      <c r="E35" s="2" t="s">
        <v>638</v>
      </c>
      <c r="F35" s="7"/>
      <c r="G35" s="86"/>
      <c r="H35" s="2" t="s">
        <v>618</v>
      </c>
      <c r="I35" s="2" t="s">
        <v>639</v>
      </c>
      <c r="J35" s="2" t="s">
        <v>640</v>
      </c>
      <c r="K35" s="2" t="s">
        <v>55</v>
      </c>
      <c r="L35" s="2"/>
      <c r="M35" s="2"/>
      <c r="N35" s="45" t="str">
        <f t="shared" si="23"/>
        <v>@sagehensoftball</v>
      </c>
      <c r="O35" s="45" t="str">
        <f t="shared" si="24"/>
        <v>Questionnaire</v>
      </c>
      <c r="P35" s="48" t="s">
        <v>627</v>
      </c>
      <c r="Q35" s="60" t="s">
        <v>312</v>
      </c>
      <c r="R35" s="48" t="s">
        <v>467</v>
      </c>
      <c r="S35" s="48" t="s">
        <v>468</v>
      </c>
      <c r="T35" s="49" t="s">
        <v>63</v>
      </c>
      <c r="U35" s="48" t="s">
        <v>75</v>
      </c>
      <c r="V35" s="49"/>
      <c r="W35" s="37">
        <v>3.82</v>
      </c>
      <c r="X35" s="49" t="s">
        <v>628</v>
      </c>
      <c r="Y35" s="49" t="s">
        <v>629</v>
      </c>
      <c r="Z35" s="49" t="s">
        <v>631</v>
      </c>
      <c r="AA35" s="65">
        <v>0.14000000000000001</v>
      </c>
      <c r="AB35" s="39">
        <v>68192</v>
      </c>
      <c r="AC35" s="84" t="s">
        <v>627</v>
      </c>
      <c r="AD35" s="53" t="str">
        <f t="shared" si="25"/>
        <v>Link</v>
      </c>
      <c r="AE35" s="54">
        <v>1062</v>
      </c>
      <c r="AF35" s="55"/>
      <c r="AG35" s="54">
        <v>6</v>
      </c>
      <c r="AH35" s="56">
        <v>121345</v>
      </c>
      <c r="AI35" s="56"/>
    </row>
    <row r="36" spans="1:35" ht="13" x14ac:dyDescent="0.15">
      <c r="A36" s="7"/>
      <c r="B36" s="64" t="s">
        <v>300</v>
      </c>
      <c r="C36" s="36" t="s">
        <v>43</v>
      </c>
      <c r="D36" s="86">
        <v>5</v>
      </c>
      <c r="E36" s="2" t="s">
        <v>643</v>
      </c>
      <c r="F36" s="7"/>
      <c r="G36" s="86"/>
      <c r="H36" s="2" t="s">
        <v>618</v>
      </c>
      <c r="I36" s="2" t="s">
        <v>648</v>
      </c>
      <c r="J36" s="2" t="s">
        <v>649</v>
      </c>
      <c r="K36" s="2" t="s">
        <v>55</v>
      </c>
      <c r="L36" s="2" t="s">
        <v>652</v>
      </c>
      <c r="M36" s="2"/>
      <c r="N36" s="45" t="str">
        <f t="shared" si="23"/>
        <v>@sagehensoftball</v>
      </c>
      <c r="O36" s="45" t="str">
        <f t="shared" si="24"/>
        <v>Questionnaire</v>
      </c>
      <c r="P36" s="48" t="s">
        <v>627</v>
      </c>
      <c r="Q36" s="60" t="s">
        <v>312</v>
      </c>
      <c r="R36" s="48" t="s">
        <v>467</v>
      </c>
      <c r="S36" s="48" t="s">
        <v>468</v>
      </c>
      <c r="T36" s="49" t="s">
        <v>63</v>
      </c>
      <c r="U36" s="48" t="s">
        <v>75</v>
      </c>
      <c r="V36" s="49"/>
      <c r="W36" s="37">
        <v>3.82</v>
      </c>
      <c r="X36" s="49" t="s">
        <v>628</v>
      </c>
      <c r="Y36" s="49" t="s">
        <v>629</v>
      </c>
      <c r="Z36" s="49" t="s">
        <v>631</v>
      </c>
      <c r="AA36" s="65">
        <v>0.14000000000000001</v>
      </c>
      <c r="AB36" s="39">
        <v>68192</v>
      </c>
      <c r="AC36" s="84" t="s">
        <v>627</v>
      </c>
      <c r="AD36" s="53" t="str">
        <f t="shared" si="25"/>
        <v>Link</v>
      </c>
      <c r="AE36" s="54">
        <v>1062</v>
      </c>
      <c r="AF36" s="55"/>
      <c r="AG36" s="54">
        <v>6</v>
      </c>
      <c r="AH36" s="56">
        <v>121345</v>
      </c>
      <c r="AI36" s="56"/>
    </row>
    <row r="37" spans="1:35" ht="13" x14ac:dyDescent="0.15">
      <c r="A37" s="7"/>
      <c r="B37" s="64" t="s">
        <v>300</v>
      </c>
      <c r="C37" s="36" t="s">
        <v>43</v>
      </c>
      <c r="D37" s="86">
        <v>5</v>
      </c>
      <c r="E37" s="2" t="s">
        <v>655</v>
      </c>
      <c r="F37" s="7"/>
      <c r="G37" s="86"/>
      <c r="H37" s="2" t="s">
        <v>657</v>
      </c>
      <c r="I37" s="2" t="s">
        <v>659</v>
      </c>
      <c r="J37" s="2" t="s">
        <v>661</v>
      </c>
      <c r="K37" s="2" t="s">
        <v>48</v>
      </c>
      <c r="L37" s="95" t="s">
        <v>663</v>
      </c>
      <c r="M37" s="2" t="s">
        <v>665</v>
      </c>
      <c r="N37" s="45" t="str">
        <f t="shared" ref="N37:N40" si="26">HYPERLINK("twitter.com/redlandssftball","@redlandssftball")</f>
        <v>@redlandssftball</v>
      </c>
      <c r="O37" s="45" t="str">
        <f t="shared" ref="O37:O40" si="27">HYPERLINK("https://www.goredlands.com/Recruits/become-a-Bulldog","Questionnaire")</f>
        <v>Questionnaire</v>
      </c>
      <c r="P37" s="48" t="s">
        <v>672</v>
      </c>
      <c r="Q37" s="60" t="s">
        <v>312</v>
      </c>
      <c r="R37" s="48" t="s">
        <v>673</v>
      </c>
      <c r="S37" s="48" t="s">
        <v>186</v>
      </c>
      <c r="T37" s="49" t="s">
        <v>63</v>
      </c>
      <c r="U37" s="48" t="s">
        <v>75</v>
      </c>
      <c r="V37" s="49"/>
      <c r="W37" s="37">
        <v>3.62</v>
      </c>
      <c r="X37" s="49" t="s">
        <v>675</v>
      </c>
      <c r="Y37" s="49" t="s">
        <v>676</v>
      </c>
      <c r="Z37" s="49" t="s">
        <v>320</v>
      </c>
      <c r="AA37" s="65">
        <v>0.75</v>
      </c>
      <c r="AB37" s="39">
        <v>64993</v>
      </c>
      <c r="AC37" s="84" t="s">
        <v>672</v>
      </c>
      <c r="AD37" s="53" t="str">
        <f t="shared" ref="AD37:AD40" si="28">HYPERLINK("http://www.redlands.edu/study/schools-and-centers/college-of-arts-and-sciences/undergraduate-studies/","Link")</f>
        <v>Link</v>
      </c>
      <c r="AE37" s="54">
        <v>3237</v>
      </c>
      <c r="AF37" s="55"/>
      <c r="AG37" s="55"/>
      <c r="AH37" s="56">
        <v>121691</v>
      </c>
      <c r="AI37" s="56"/>
    </row>
    <row r="38" spans="1:35" ht="13" x14ac:dyDescent="0.15">
      <c r="A38" s="7"/>
      <c r="B38" s="64" t="s">
        <v>300</v>
      </c>
      <c r="C38" s="36" t="s">
        <v>43</v>
      </c>
      <c r="D38" s="86">
        <v>5</v>
      </c>
      <c r="E38" s="2" t="s">
        <v>681</v>
      </c>
      <c r="F38" s="7"/>
      <c r="G38" s="86"/>
      <c r="H38" s="2" t="s">
        <v>657</v>
      </c>
      <c r="I38" s="2" t="s">
        <v>683</v>
      </c>
      <c r="J38" s="2" t="s">
        <v>684</v>
      </c>
      <c r="K38" s="2" t="s">
        <v>55</v>
      </c>
      <c r="L38" s="2" t="s">
        <v>685</v>
      </c>
      <c r="M38" s="2" t="s">
        <v>687</v>
      </c>
      <c r="N38" s="45" t="str">
        <f t="shared" si="26"/>
        <v>@redlandssftball</v>
      </c>
      <c r="O38" s="45" t="str">
        <f t="shared" si="27"/>
        <v>Questionnaire</v>
      </c>
      <c r="P38" s="48" t="s">
        <v>672</v>
      </c>
      <c r="Q38" s="60" t="s">
        <v>312</v>
      </c>
      <c r="R38" s="48" t="s">
        <v>673</v>
      </c>
      <c r="S38" s="48" t="s">
        <v>186</v>
      </c>
      <c r="T38" s="49" t="s">
        <v>63</v>
      </c>
      <c r="U38" s="48" t="s">
        <v>75</v>
      </c>
      <c r="V38" s="49"/>
      <c r="W38" s="37">
        <v>3.62</v>
      </c>
      <c r="X38" s="49" t="s">
        <v>675</v>
      </c>
      <c r="Y38" s="49" t="s">
        <v>676</v>
      </c>
      <c r="Z38" s="49" t="s">
        <v>320</v>
      </c>
      <c r="AA38" s="65">
        <v>0.75</v>
      </c>
      <c r="AB38" s="39">
        <v>64993</v>
      </c>
      <c r="AC38" s="84" t="s">
        <v>672</v>
      </c>
      <c r="AD38" s="53" t="str">
        <f t="shared" si="28"/>
        <v>Link</v>
      </c>
      <c r="AE38" s="54">
        <v>3237</v>
      </c>
      <c r="AF38" s="55"/>
      <c r="AG38" s="55"/>
      <c r="AH38" s="56">
        <v>121691</v>
      </c>
      <c r="AI38" s="56"/>
    </row>
    <row r="39" spans="1:35" ht="13" x14ac:dyDescent="0.15">
      <c r="A39" s="7"/>
      <c r="B39" s="64" t="s">
        <v>300</v>
      </c>
      <c r="C39" s="36" t="s">
        <v>43</v>
      </c>
      <c r="D39" s="86">
        <v>5</v>
      </c>
      <c r="E39" s="2" t="s">
        <v>693</v>
      </c>
      <c r="F39" s="7"/>
      <c r="G39" s="86"/>
      <c r="H39" s="2" t="s">
        <v>657</v>
      </c>
      <c r="I39" s="2" t="s">
        <v>694</v>
      </c>
      <c r="J39" s="2" t="s">
        <v>695</v>
      </c>
      <c r="K39" s="2" t="s">
        <v>55</v>
      </c>
      <c r="L39" s="2"/>
      <c r="M39" s="2"/>
      <c r="N39" s="45" t="str">
        <f t="shared" si="26"/>
        <v>@redlandssftball</v>
      </c>
      <c r="O39" s="45" t="str">
        <f t="shared" si="27"/>
        <v>Questionnaire</v>
      </c>
      <c r="P39" s="48" t="s">
        <v>672</v>
      </c>
      <c r="Q39" s="60" t="s">
        <v>312</v>
      </c>
      <c r="R39" s="48" t="s">
        <v>673</v>
      </c>
      <c r="S39" s="48" t="s">
        <v>186</v>
      </c>
      <c r="T39" s="49" t="s">
        <v>63</v>
      </c>
      <c r="U39" s="48" t="s">
        <v>75</v>
      </c>
      <c r="V39" s="49"/>
      <c r="W39" s="37">
        <v>3.62</v>
      </c>
      <c r="X39" s="49" t="s">
        <v>675</v>
      </c>
      <c r="Y39" s="49" t="s">
        <v>676</v>
      </c>
      <c r="Z39" s="49" t="s">
        <v>320</v>
      </c>
      <c r="AA39" s="65">
        <v>0.75</v>
      </c>
      <c r="AB39" s="39">
        <v>64993</v>
      </c>
      <c r="AC39" s="84" t="s">
        <v>672</v>
      </c>
      <c r="AD39" s="53" t="str">
        <f t="shared" si="28"/>
        <v>Link</v>
      </c>
      <c r="AE39" s="54">
        <v>3237</v>
      </c>
      <c r="AF39" s="55"/>
      <c r="AG39" s="55"/>
      <c r="AH39" s="56">
        <v>121691</v>
      </c>
      <c r="AI39" s="56"/>
    </row>
    <row r="40" spans="1:35" ht="13" x14ac:dyDescent="0.15">
      <c r="A40" s="7"/>
      <c r="B40" s="64" t="s">
        <v>300</v>
      </c>
      <c r="C40" s="36" t="s">
        <v>43</v>
      </c>
      <c r="D40" s="86">
        <v>5</v>
      </c>
      <c r="E40" s="2" t="s">
        <v>699</v>
      </c>
      <c r="F40" s="7"/>
      <c r="G40" s="86"/>
      <c r="H40" s="2" t="s">
        <v>657</v>
      </c>
      <c r="I40" s="2" t="s">
        <v>700</v>
      </c>
      <c r="J40" s="2" t="s">
        <v>701</v>
      </c>
      <c r="K40" s="2" t="s">
        <v>55</v>
      </c>
      <c r="L40" s="2"/>
      <c r="M40" s="2"/>
      <c r="N40" s="45" t="str">
        <f t="shared" si="26"/>
        <v>@redlandssftball</v>
      </c>
      <c r="O40" s="45" t="str">
        <f t="shared" si="27"/>
        <v>Questionnaire</v>
      </c>
      <c r="P40" s="48" t="s">
        <v>672</v>
      </c>
      <c r="Q40" s="60" t="s">
        <v>312</v>
      </c>
      <c r="R40" s="48" t="s">
        <v>673</v>
      </c>
      <c r="S40" s="48" t="s">
        <v>186</v>
      </c>
      <c r="T40" s="49" t="s">
        <v>63</v>
      </c>
      <c r="U40" s="48" t="s">
        <v>75</v>
      </c>
      <c r="V40" s="49"/>
      <c r="W40" s="37">
        <v>3.62</v>
      </c>
      <c r="X40" s="49" t="s">
        <v>675</v>
      </c>
      <c r="Y40" s="49" t="s">
        <v>676</v>
      </c>
      <c r="Z40" s="49" t="s">
        <v>320</v>
      </c>
      <c r="AA40" s="65">
        <v>0.75</v>
      </c>
      <c r="AB40" s="39">
        <v>64993</v>
      </c>
      <c r="AC40" s="84" t="s">
        <v>672</v>
      </c>
      <c r="AD40" s="53" t="str">
        <f t="shared" si="28"/>
        <v>Link</v>
      </c>
      <c r="AE40" s="54">
        <v>3237</v>
      </c>
      <c r="AF40" s="55"/>
      <c r="AG40" s="55"/>
      <c r="AH40" s="56">
        <v>121691</v>
      </c>
      <c r="AI40" s="56"/>
    </row>
    <row r="41" spans="1:35" ht="13" x14ac:dyDescent="0.15">
      <c r="A41" s="7"/>
      <c r="B41" s="64" t="s">
        <v>300</v>
      </c>
      <c r="C41" s="36" t="s">
        <v>43</v>
      </c>
      <c r="D41" s="86">
        <v>5</v>
      </c>
      <c r="E41" s="2" t="s">
        <v>705</v>
      </c>
      <c r="F41" s="7"/>
      <c r="G41" s="86"/>
      <c r="H41" s="2" t="s">
        <v>707</v>
      </c>
      <c r="I41" s="2" t="s">
        <v>708</v>
      </c>
      <c r="J41" s="2" t="s">
        <v>709</v>
      </c>
      <c r="K41" s="2" t="s">
        <v>48</v>
      </c>
      <c r="L41" s="2" t="s">
        <v>710</v>
      </c>
      <c r="M41" s="2" t="s">
        <v>712</v>
      </c>
      <c r="N41" s="48"/>
      <c r="O41" s="45" t="str">
        <f t="shared" ref="O41:O45" si="29">HYPERLINK("https://www.wcpoets.com/information/Prospective_Athletes/index","Questionnaire")</f>
        <v>Questionnaire</v>
      </c>
      <c r="P41" s="60" t="s">
        <v>716</v>
      </c>
      <c r="Q41" s="60" t="s">
        <v>312</v>
      </c>
      <c r="R41" s="48" t="s">
        <v>716</v>
      </c>
      <c r="S41" s="48" t="s">
        <v>238</v>
      </c>
      <c r="T41" s="49" t="s">
        <v>63</v>
      </c>
      <c r="U41" s="48" t="s">
        <v>75</v>
      </c>
      <c r="V41" s="49"/>
      <c r="W41" s="37">
        <v>3.5</v>
      </c>
      <c r="X41" s="49" t="s">
        <v>720</v>
      </c>
      <c r="Y41" s="49" t="s">
        <v>521</v>
      </c>
      <c r="Z41" s="49" t="s">
        <v>278</v>
      </c>
      <c r="AA41" s="65">
        <v>0.69</v>
      </c>
      <c r="AB41" s="39">
        <v>59665</v>
      </c>
      <c r="AC41" s="90" t="s">
        <v>716</v>
      </c>
      <c r="AD41" s="53" t="str">
        <f t="shared" ref="AD41:AD45" si="30">HYPERLINK("https://www.whittier.edu/academics/programs","Link")</f>
        <v>Link</v>
      </c>
      <c r="AE41" s="54">
        <v>1614</v>
      </c>
      <c r="AF41" s="55"/>
      <c r="AG41" s="54">
        <v>128</v>
      </c>
      <c r="AH41" s="56">
        <v>125763</v>
      </c>
      <c r="AI41" s="56"/>
    </row>
    <row r="42" spans="1:35" ht="13" x14ac:dyDescent="0.15">
      <c r="A42" s="7"/>
      <c r="B42" s="64" t="s">
        <v>300</v>
      </c>
      <c r="C42" s="36" t="s">
        <v>43</v>
      </c>
      <c r="D42" s="86">
        <v>5</v>
      </c>
      <c r="E42" s="2" t="s">
        <v>721</v>
      </c>
      <c r="F42" s="7"/>
      <c r="G42" s="86"/>
      <c r="H42" s="2" t="s">
        <v>707</v>
      </c>
      <c r="I42" s="2" t="s">
        <v>531</v>
      </c>
      <c r="J42" s="2" t="s">
        <v>723</v>
      </c>
      <c r="K42" s="2" t="s">
        <v>55</v>
      </c>
      <c r="L42" s="2"/>
      <c r="M42" s="2"/>
      <c r="N42" s="48"/>
      <c r="O42" s="45" t="str">
        <f t="shared" si="29"/>
        <v>Questionnaire</v>
      </c>
      <c r="P42" s="60" t="s">
        <v>716</v>
      </c>
      <c r="Q42" s="60" t="s">
        <v>312</v>
      </c>
      <c r="R42" s="48" t="s">
        <v>716</v>
      </c>
      <c r="S42" s="48" t="s">
        <v>238</v>
      </c>
      <c r="T42" s="49" t="s">
        <v>63</v>
      </c>
      <c r="U42" s="48" t="s">
        <v>75</v>
      </c>
      <c r="V42" s="49"/>
      <c r="W42" s="37">
        <v>3.5</v>
      </c>
      <c r="X42" s="49" t="s">
        <v>720</v>
      </c>
      <c r="Y42" s="49" t="s">
        <v>521</v>
      </c>
      <c r="Z42" s="49" t="s">
        <v>278</v>
      </c>
      <c r="AA42" s="65">
        <v>0.69</v>
      </c>
      <c r="AB42" s="39">
        <v>59665</v>
      </c>
      <c r="AC42" s="90" t="s">
        <v>716</v>
      </c>
      <c r="AD42" s="53" t="str">
        <f t="shared" si="30"/>
        <v>Link</v>
      </c>
      <c r="AE42" s="54">
        <v>1614</v>
      </c>
      <c r="AF42" s="55"/>
      <c r="AG42" s="54">
        <v>128</v>
      </c>
      <c r="AH42" s="56">
        <v>125763</v>
      </c>
      <c r="AI42" s="56"/>
    </row>
    <row r="43" spans="1:35" ht="13" x14ac:dyDescent="0.15">
      <c r="A43" s="7"/>
      <c r="B43" s="64" t="s">
        <v>300</v>
      </c>
      <c r="C43" s="36" t="s">
        <v>43</v>
      </c>
      <c r="D43" s="86">
        <v>5</v>
      </c>
      <c r="E43" s="2" t="s">
        <v>732</v>
      </c>
      <c r="F43" s="7"/>
      <c r="G43" s="86"/>
      <c r="H43" s="2" t="s">
        <v>707</v>
      </c>
      <c r="I43" s="2" t="s">
        <v>733</v>
      </c>
      <c r="J43" s="2" t="s">
        <v>734</v>
      </c>
      <c r="K43" s="2" t="s">
        <v>55</v>
      </c>
      <c r="L43" s="2"/>
      <c r="M43" s="2"/>
      <c r="N43" s="48"/>
      <c r="O43" s="45" t="str">
        <f t="shared" si="29"/>
        <v>Questionnaire</v>
      </c>
      <c r="P43" s="60" t="s">
        <v>716</v>
      </c>
      <c r="Q43" s="60" t="s">
        <v>312</v>
      </c>
      <c r="R43" s="48" t="s">
        <v>716</v>
      </c>
      <c r="S43" s="48" t="s">
        <v>238</v>
      </c>
      <c r="T43" s="49" t="s">
        <v>63</v>
      </c>
      <c r="U43" s="48" t="s">
        <v>75</v>
      </c>
      <c r="V43" s="49"/>
      <c r="W43" s="37">
        <v>3.5</v>
      </c>
      <c r="X43" s="49" t="s">
        <v>720</v>
      </c>
      <c r="Y43" s="49" t="s">
        <v>521</v>
      </c>
      <c r="Z43" s="49" t="s">
        <v>278</v>
      </c>
      <c r="AA43" s="65">
        <v>0.69</v>
      </c>
      <c r="AB43" s="39">
        <v>59665</v>
      </c>
      <c r="AC43" s="90" t="s">
        <v>716</v>
      </c>
      <c r="AD43" s="53" t="str">
        <f t="shared" si="30"/>
        <v>Link</v>
      </c>
      <c r="AE43" s="54">
        <v>1614</v>
      </c>
      <c r="AF43" s="55"/>
      <c r="AG43" s="54">
        <v>128</v>
      </c>
      <c r="AH43" s="56">
        <v>125763</v>
      </c>
      <c r="AI43" s="56"/>
    </row>
    <row r="44" spans="1:35" ht="13" x14ac:dyDescent="0.15">
      <c r="A44" s="7"/>
      <c r="B44" s="64" t="s">
        <v>300</v>
      </c>
      <c r="C44" s="36" t="s">
        <v>43</v>
      </c>
      <c r="D44" s="86">
        <v>5</v>
      </c>
      <c r="E44" s="2" t="s">
        <v>739</v>
      </c>
      <c r="F44" s="7"/>
      <c r="G44" s="86"/>
      <c r="H44" s="2" t="s">
        <v>707</v>
      </c>
      <c r="I44" s="2" t="s">
        <v>741</v>
      </c>
      <c r="J44" s="2" t="s">
        <v>743</v>
      </c>
      <c r="K44" s="2" t="s">
        <v>55</v>
      </c>
      <c r="L44" s="2"/>
      <c r="M44" s="2"/>
      <c r="N44" s="48"/>
      <c r="O44" s="45" t="str">
        <f t="shared" si="29"/>
        <v>Questionnaire</v>
      </c>
      <c r="P44" s="60" t="s">
        <v>716</v>
      </c>
      <c r="Q44" s="60" t="s">
        <v>312</v>
      </c>
      <c r="R44" s="48" t="s">
        <v>716</v>
      </c>
      <c r="S44" s="48" t="s">
        <v>238</v>
      </c>
      <c r="T44" s="49" t="s">
        <v>63</v>
      </c>
      <c r="U44" s="48" t="s">
        <v>75</v>
      </c>
      <c r="V44" s="49"/>
      <c r="W44" s="37">
        <v>3.5</v>
      </c>
      <c r="X44" s="49" t="s">
        <v>720</v>
      </c>
      <c r="Y44" s="49" t="s">
        <v>521</v>
      </c>
      <c r="Z44" s="49" t="s">
        <v>278</v>
      </c>
      <c r="AA44" s="65">
        <v>0.69</v>
      </c>
      <c r="AB44" s="39">
        <v>59665</v>
      </c>
      <c r="AC44" s="90" t="s">
        <v>716</v>
      </c>
      <c r="AD44" s="53" t="str">
        <f t="shared" si="30"/>
        <v>Link</v>
      </c>
      <c r="AE44" s="54">
        <v>1614</v>
      </c>
      <c r="AF44" s="55"/>
      <c r="AG44" s="54">
        <v>128</v>
      </c>
      <c r="AH44" s="56">
        <v>125763</v>
      </c>
      <c r="AI44" s="56"/>
    </row>
    <row r="45" spans="1:35" ht="13" x14ac:dyDescent="0.15">
      <c r="A45" s="7"/>
      <c r="B45" s="64" t="s">
        <v>300</v>
      </c>
      <c r="C45" s="36" t="s">
        <v>43</v>
      </c>
      <c r="D45" s="86">
        <v>5</v>
      </c>
      <c r="E45" s="2" t="s">
        <v>753</v>
      </c>
      <c r="F45" s="7"/>
      <c r="G45" s="86"/>
      <c r="H45" s="2" t="s">
        <v>707</v>
      </c>
      <c r="I45" s="2" t="s">
        <v>754</v>
      </c>
      <c r="J45" s="2" t="s">
        <v>755</v>
      </c>
      <c r="K45" s="2" t="s">
        <v>55</v>
      </c>
      <c r="L45" s="2"/>
      <c r="M45" s="2"/>
      <c r="N45" s="48"/>
      <c r="O45" s="45" t="str">
        <f t="shared" si="29"/>
        <v>Questionnaire</v>
      </c>
      <c r="P45" s="60" t="s">
        <v>716</v>
      </c>
      <c r="Q45" s="60" t="s">
        <v>312</v>
      </c>
      <c r="R45" s="48" t="s">
        <v>716</v>
      </c>
      <c r="S45" s="48" t="s">
        <v>238</v>
      </c>
      <c r="T45" s="49" t="s">
        <v>63</v>
      </c>
      <c r="U45" s="48" t="s">
        <v>75</v>
      </c>
      <c r="V45" s="49"/>
      <c r="W45" s="37">
        <v>3.5</v>
      </c>
      <c r="X45" s="49" t="s">
        <v>720</v>
      </c>
      <c r="Y45" s="49" t="s">
        <v>521</v>
      </c>
      <c r="Z45" s="49" t="s">
        <v>278</v>
      </c>
      <c r="AA45" s="65">
        <v>0.69</v>
      </c>
      <c r="AB45" s="39">
        <v>59665</v>
      </c>
      <c r="AC45" s="90" t="s">
        <v>716</v>
      </c>
      <c r="AD45" s="53" t="str">
        <f t="shared" si="30"/>
        <v>Link</v>
      </c>
      <c r="AE45" s="54">
        <v>1614</v>
      </c>
      <c r="AF45" s="55"/>
      <c r="AG45" s="54">
        <v>128</v>
      </c>
      <c r="AH45" s="56">
        <v>125763</v>
      </c>
      <c r="AI45" s="56"/>
    </row>
    <row r="46" spans="1:35" ht="13" x14ac:dyDescent="0.15">
      <c r="A46" s="7"/>
      <c r="B46" s="88" t="s">
        <v>761</v>
      </c>
      <c r="C46" s="36" t="s">
        <v>43</v>
      </c>
      <c r="D46" s="86">
        <v>5</v>
      </c>
      <c r="E46" s="2" t="s">
        <v>762</v>
      </c>
      <c r="F46" s="7"/>
      <c r="G46" s="86"/>
      <c r="H46" s="2" t="s">
        <v>766</v>
      </c>
      <c r="I46" s="2" t="s">
        <v>767</v>
      </c>
      <c r="J46" s="2" t="s">
        <v>768</v>
      </c>
      <c r="K46" s="2" t="s">
        <v>48</v>
      </c>
      <c r="L46" s="2" t="s">
        <v>769</v>
      </c>
      <c r="M46" s="2" t="s">
        <v>770</v>
      </c>
      <c r="N46" s="45" t="str">
        <f t="shared" ref="N46:N49" si="31">HYPERLINK("twitter.com/amc_sb","@amc_sb")</f>
        <v>@amc_sb</v>
      </c>
      <c r="O46" s="45" t="str">
        <f t="shared" ref="O46:O49" si="32">HYPERLINK("https://www.frontrush.com/FR_Web_App/Player/PlayerSubmit.aspx?sid=2533&amp;ptype=recruit","Questionnaire")</f>
        <v>Questionnaire</v>
      </c>
      <c r="P46" s="60" t="s">
        <v>775</v>
      </c>
      <c r="Q46" s="60" t="s">
        <v>158</v>
      </c>
      <c r="R46" s="48" t="s">
        <v>776</v>
      </c>
      <c r="S46" s="48" t="s">
        <v>238</v>
      </c>
      <c r="T46" s="49" t="s">
        <v>63</v>
      </c>
      <c r="U46" s="6" t="s">
        <v>343</v>
      </c>
      <c r="V46" s="49"/>
      <c r="W46" s="37">
        <v>2.8</v>
      </c>
      <c r="X46" s="49" t="s">
        <v>777</v>
      </c>
      <c r="Y46" s="49" t="s">
        <v>778</v>
      </c>
      <c r="Z46" s="49" t="s">
        <v>779</v>
      </c>
      <c r="AA46" s="65">
        <v>0.63</v>
      </c>
      <c r="AB46" s="39">
        <v>51530</v>
      </c>
      <c r="AC46" s="90" t="s">
        <v>775</v>
      </c>
      <c r="AD46" s="53" t="str">
        <f t="shared" ref="AD46:AD49" si="33">HYPERLINK("http://www.albertus.edu/undergraduate-degrees/undergraduate-degree-programs/","Link")</f>
        <v>Link</v>
      </c>
      <c r="AE46" s="54">
        <v>1220</v>
      </c>
      <c r="AF46" s="55"/>
      <c r="AG46" s="55"/>
      <c r="AH46" s="56">
        <v>128498</v>
      </c>
      <c r="AI46" s="56"/>
    </row>
    <row r="47" spans="1:35" ht="13" x14ac:dyDescent="0.15">
      <c r="A47" s="7"/>
      <c r="B47" s="88" t="s">
        <v>761</v>
      </c>
      <c r="C47" s="36" t="s">
        <v>43</v>
      </c>
      <c r="D47" s="86">
        <v>5</v>
      </c>
      <c r="E47" s="2" t="s">
        <v>783</v>
      </c>
      <c r="F47" s="7"/>
      <c r="G47" s="86"/>
      <c r="H47" s="2" t="s">
        <v>766</v>
      </c>
      <c r="I47" s="2" t="s">
        <v>785</v>
      </c>
      <c r="J47" s="2" t="s">
        <v>786</v>
      </c>
      <c r="K47" s="2" t="s">
        <v>55</v>
      </c>
      <c r="L47" s="2" t="s">
        <v>788</v>
      </c>
      <c r="M47" s="2"/>
      <c r="N47" s="45" t="str">
        <f t="shared" si="31"/>
        <v>@amc_sb</v>
      </c>
      <c r="O47" s="45" t="str">
        <f t="shared" si="32"/>
        <v>Questionnaire</v>
      </c>
      <c r="P47" s="60" t="s">
        <v>775</v>
      </c>
      <c r="Q47" s="60" t="s">
        <v>158</v>
      </c>
      <c r="R47" s="48" t="s">
        <v>776</v>
      </c>
      <c r="S47" s="48" t="s">
        <v>238</v>
      </c>
      <c r="T47" s="49" t="s">
        <v>63</v>
      </c>
      <c r="U47" s="6" t="s">
        <v>343</v>
      </c>
      <c r="V47" s="49"/>
      <c r="W47" s="37">
        <v>2.8</v>
      </c>
      <c r="X47" s="49" t="s">
        <v>777</v>
      </c>
      <c r="Y47" s="49" t="s">
        <v>778</v>
      </c>
      <c r="Z47" s="49" t="s">
        <v>779</v>
      </c>
      <c r="AA47" s="65">
        <v>0.63</v>
      </c>
      <c r="AB47" s="39">
        <v>51530</v>
      </c>
      <c r="AC47" s="90" t="s">
        <v>775</v>
      </c>
      <c r="AD47" s="53" t="str">
        <f t="shared" si="33"/>
        <v>Link</v>
      </c>
      <c r="AE47" s="54">
        <v>1220</v>
      </c>
      <c r="AF47" s="55"/>
      <c r="AG47" s="55"/>
      <c r="AH47" s="56">
        <v>128498</v>
      </c>
      <c r="AI47" s="56"/>
    </row>
    <row r="48" spans="1:35" ht="13" x14ac:dyDescent="0.15">
      <c r="A48" s="7"/>
      <c r="B48" s="88" t="s">
        <v>761</v>
      </c>
      <c r="C48" s="36" t="s">
        <v>43</v>
      </c>
      <c r="D48" s="86">
        <v>5</v>
      </c>
      <c r="E48" s="2" t="s">
        <v>793</v>
      </c>
      <c r="F48" s="7"/>
      <c r="G48" s="86"/>
      <c r="H48" s="2" t="s">
        <v>766</v>
      </c>
      <c r="I48" s="2" t="s">
        <v>794</v>
      </c>
      <c r="J48" s="2" t="s">
        <v>795</v>
      </c>
      <c r="K48" s="2" t="s">
        <v>139</v>
      </c>
      <c r="L48" s="2" t="s">
        <v>797</v>
      </c>
      <c r="M48" s="2"/>
      <c r="N48" s="45" t="str">
        <f t="shared" si="31"/>
        <v>@amc_sb</v>
      </c>
      <c r="O48" s="45" t="str">
        <f t="shared" si="32"/>
        <v>Questionnaire</v>
      </c>
      <c r="P48" s="60" t="s">
        <v>775</v>
      </c>
      <c r="Q48" s="60" t="s">
        <v>158</v>
      </c>
      <c r="R48" s="48" t="s">
        <v>776</v>
      </c>
      <c r="S48" s="48" t="s">
        <v>238</v>
      </c>
      <c r="T48" s="49" t="s">
        <v>63</v>
      </c>
      <c r="U48" s="6" t="s">
        <v>343</v>
      </c>
      <c r="V48" s="49"/>
      <c r="W48" s="37">
        <v>2.8</v>
      </c>
      <c r="X48" s="49" t="s">
        <v>777</v>
      </c>
      <c r="Y48" s="49" t="s">
        <v>778</v>
      </c>
      <c r="Z48" s="49" t="s">
        <v>779</v>
      </c>
      <c r="AA48" s="65">
        <v>0.63</v>
      </c>
      <c r="AB48" s="39">
        <v>51530</v>
      </c>
      <c r="AC48" s="90" t="s">
        <v>775</v>
      </c>
      <c r="AD48" s="53" t="str">
        <f t="shared" si="33"/>
        <v>Link</v>
      </c>
      <c r="AE48" s="54">
        <v>1220</v>
      </c>
      <c r="AF48" s="55"/>
      <c r="AG48" s="55"/>
      <c r="AH48" s="56">
        <v>128498</v>
      </c>
      <c r="AI48" s="56"/>
    </row>
    <row r="49" spans="1:35" ht="13" x14ac:dyDescent="0.15">
      <c r="A49" s="7"/>
      <c r="B49" s="88" t="s">
        <v>761</v>
      </c>
      <c r="C49" s="36" t="s">
        <v>43</v>
      </c>
      <c r="D49" s="86">
        <v>5</v>
      </c>
      <c r="E49" s="2" t="s">
        <v>804</v>
      </c>
      <c r="F49" s="7"/>
      <c r="G49" s="86"/>
      <c r="H49" s="2" t="s">
        <v>766</v>
      </c>
      <c r="I49" s="2" t="s">
        <v>402</v>
      </c>
      <c r="J49" s="2" t="s">
        <v>805</v>
      </c>
      <c r="K49" s="2" t="s">
        <v>139</v>
      </c>
      <c r="L49" s="2"/>
      <c r="M49" s="2"/>
      <c r="N49" s="45" t="str">
        <f t="shared" si="31"/>
        <v>@amc_sb</v>
      </c>
      <c r="O49" s="45" t="str">
        <f t="shared" si="32"/>
        <v>Questionnaire</v>
      </c>
      <c r="P49" s="60" t="s">
        <v>775</v>
      </c>
      <c r="Q49" s="60" t="s">
        <v>158</v>
      </c>
      <c r="R49" s="48" t="s">
        <v>776</v>
      </c>
      <c r="S49" s="48" t="s">
        <v>238</v>
      </c>
      <c r="T49" s="49" t="s">
        <v>63</v>
      </c>
      <c r="U49" s="6" t="s">
        <v>343</v>
      </c>
      <c r="V49" s="49"/>
      <c r="W49" s="37">
        <v>2.8</v>
      </c>
      <c r="X49" s="49" t="s">
        <v>777</v>
      </c>
      <c r="Y49" s="49" t="s">
        <v>778</v>
      </c>
      <c r="Z49" s="49" t="s">
        <v>779</v>
      </c>
      <c r="AA49" s="65">
        <v>0.63</v>
      </c>
      <c r="AB49" s="39">
        <v>51530</v>
      </c>
      <c r="AC49" s="90" t="s">
        <v>775</v>
      </c>
      <c r="AD49" s="53" t="str">
        <f t="shared" si="33"/>
        <v>Link</v>
      </c>
      <c r="AE49" s="54">
        <v>1220</v>
      </c>
      <c r="AF49" s="55"/>
      <c r="AG49" s="55"/>
      <c r="AH49" s="56">
        <v>128498</v>
      </c>
      <c r="AI49" s="56"/>
    </row>
    <row r="50" spans="1:35" ht="15" x14ac:dyDescent="0.2">
      <c r="A50" s="7"/>
      <c r="B50" s="64" t="s">
        <v>761</v>
      </c>
      <c r="C50" s="36" t="s">
        <v>43</v>
      </c>
      <c r="D50" s="86">
        <v>5</v>
      </c>
      <c r="E50" s="2" t="s">
        <v>815</v>
      </c>
      <c r="F50" s="7"/>
      <c r="G50" s="86"/>
      <c r="H50" s="2" t="s">
        <v>817</v>
      </c>
      <c r="I50" s="2" t="s">
        <v>819</v>
      </c>
      <c r="J50" s="2" t="s">
        <v>821</v>
      </c>
      <c r="K50" s="2" t="s">
        <v>48</v>
      </c>
      <c r="L50" s="2" t="s">
        <v>823</v>
      </c>
      <c r="M50" s="2" t="s">
        <v>825</v>
      </c>
      <c r="N50" s="45" t="str">
        <f t="shared" ref="N50:N53" si="34">HYPERLINK("twitter.com/bigdogcga","@bigdogcga")</f>
        <v>@bigdogcga</v>
      </c>
      <c r="O50" s="45" t="str">
        <f t="shared" ref="O50:O53" si="35">HYPERLINK("http://uscgasports.com/information/recruiting","Questionnaire")</f>
        <v>Questionnaire</v>
      </c>
      <c r="P50" s="108" t="s">
        <v>826</v>
      </c>
      <c r="Q50" s="60" t="s">
        <v>158</v>
      </c>
      <c r="R50" s="48" t="s">
        <v>830</v>
      </c>
      <c r="S50" s="48" t="s">
        <v>468</v>
      </c>
      <c r="T50" s="49" t="s">
        <v>74</v>
      </c>
      <c r="U50" s="48" t="s">
        <v>75</v>
      </c>
      <c r="V50" s="49" t="s">
        <v>832</v>
      </c>
      <c r="W50" s="37">
        <v>3.81</v>
      </c>
      <c r="X50" s="49" t="s">
        <v>415</v>
      </c>
      <c r="Y50" s="49" t="s">
        <v>415</v>
      </c>
      <c r="Z50" s="49" t="s">
        <v>78</v>
      </c>
      <c r="AA50" s="38">
        <v>0.50949999999999995</v>
      </c>
      <c r="AB50" s="39">
        <v>0</v>
      </c>
      <c r="AC50" s="52" t="s">
        <v>826</v>
      </c>
      <c r="AD50" s="53" t="str">
        <f t="shared" ref="AD50:AD53" si="36">HYPERLINK("http://www.uscga.edu/academics.aspx?id=101&amp;terms=majors","Link")</f>
        <v>Link</v>
      </c>
      <c r="AE50" s="54">
        <v>986</v>
      </c>
      <c r="AF50" s="55"/>
      <c r="AG50" s="55"/>
      <c r="AH50" s="56">
        <v>130624</v>
      </c>
      <c r="AI50" s="56"/>
    </row>
    <row r="51" spans="1:35" ht="15" x14ac:dyDescent="0.2">
      <c r="A51" s="7"/>
      <c r="B51" s="64" t="s">
        <v>761</v>
      </c>
      <c r="C51" s="36" t="s">
        <v>43</v>
      </c>
      <c r="D51" s="86">
        <v>5</v>
      </c>
      <c r="E51" s="2" t="s">
        <v>845</v>
      </c>
      <c r="F51" s="7"/>
      <c r="G51" s="86"/>
      <c r="H51" s="2" t="s">
        <v>817</v>
      </c>
      <c r="I51" s="2" t="s">
        <v>847</v>
      </c>
      <c r="J51" s="2" t="s">
        <v>848</v>
      </c>
      <c r="K51" s="2" t="s">
        <v>55</v>
      </c>
      <c r="L51" s="2" t="s">
        <v>849</v>
      </c>
      <c r="M51" s="2" t="s">
        <v>850</v>
      </c>
      <c r="N51" s="45" t="str">
        <f t="shared" si="34"/>
        <v>@bigdogcga</v>
      </c>
      <c r="O51" s="45" t="str">
        <f t="shared" si="35"/>
        <v>Questionnaire</v>
      </c>
      <c r="P51" s="108" t="s">
        <v>826</v>
      </c>
      <c r="Q51" s="60" t="s">
        <v>158</v>
      </c>
      <c r="R51" s="48" t="s">
        <v>830</v>
      </c>
      <c r="S51" s="48" t="s">
        <v>468</v>
      </c>
      <c r="T51" s="49" t="s">
        <v>74</v>
      </c>
      <c r="U51" s="48" t="s">
        <v>75</v>
      </c>
      <c r="V51" s="49" t="s">
        <v>832</v>
      </c>
      <c r="W51" s="37">
        <v>3.81</v>
      </c>
      <c r="X51" s="49" t="s">
        <v>415</v>
      </c>
      <c r="Y51" s="49" t="s">
        <v>415</v>
      </c>
      <c r="Z51" s="49" t="s">
        <v>78</v>
      </c>
      <c r="AA51" s="38">
        <v>0.50949999999999995</v>
      </c>
      <c r="AB51" s="39">
        <v>0</v>
      </c>
      <c r="AC51" s="52" t="s">
        <v>826</v>
      </c>
      <c r="AD51" s="53" t="str">
        <f t="shared" si="36"/>
        <v>Link</v>
      </c>
      <c r="AE51" s="54">
        <v>986</v>
      </c>
      <c r="AF51" s="55"/>
      <c r="AG51" s="55"/>
      <c r="AH51" s="56">
        <v>130624</v>
      </c>
      <c r="AI51" s="56"/>
    </row>
    <row r="52" spans="1:35" ht="15" x14ac:dyDescent="0.2">
      <c r="A52" s="7"/>
      <c r="B52" s="64" t="s">
        <v>761</v>
      </c>
      <c r="C52" s="36" t="s">
        <v>43</v>
      </c>
      <c r="D52" s="86">
        <v>5</v>
      </c>
      <c r="E52" s="2" t="s">
        <v>857</v>
      </c>
      <c r="F52" s="7"/>
      <c r="G52" s="86"/>
      <c r="H52" s="2" t="s">
        <v>817</v>
      </c>
      <c r="I52" s="2" t="s">
        <v>858</v>
      </c>
      <c r="J52" s="2" t="s">
        <v>256</v>
      </c>
      <c r="K52" s="2" t="s">
        <v>55</v>
      </c>
      <c r="L52" s="2"/>
      <c r="M52" s="2"/>
      <c r="N52" s="45" t="str">
        <f t="shared" si="34"/>
        <v>@bigdogcga</v>
      </c>
      <c r="O52" s="45" t="str">
        <f t="shared" si="35"/>
        <v>Questionnaire</v>
      </c>
      <c r="P52" s="108" t="s">
        <v>826</v>
      </c>
      <c r="Q52" s="60" t="s">
        <v>158</v>
      </c>
      <c r="R52" s="48" t="s">
        <v>830</v>
      </c>
      <c r="S52" s="48" t="s">
        <v>468</v>
      </c>
      <c r="T52" s="49" t="s">
        <v>74</v>
      </c>
      <c r="U52" s="48" t="s">
        <v>75</v>
      </c>
      <c r="V52" s="49" t="s">
        <v>832</v>
      </c>
      <c r="W52" s="37">
        <v>3.81</v>
      </c>
      <c r="X52" s="49" t="s">
        <v>415</v>
      </c>
      <c r="Y52" s="49" t="s">
        <v>415</v>
      </c>
      <c r="Z52" s="49" t="s">
        <v>78</v>
      </c>
      <c r="AA52" s="38">
        <v>0.50949999999999995</v>
      </c>
      <c r="AB52" s="39">
        <v>0</v>
      </c>
      <c r="AC52" s="52" t="s">
        <v>826</v>
      </c>
      <c r="AD52" s="53" t="str">
        <f t="shared" si="36"/>
        <v>Link</v>
      </c>
      <c r="AE52" s="54">
        <v>986</v>
      </c>
      <c r="AF52" s="55"/>
      <c r="AG52" s="55"/>
      <c r="AH52" s="56">
        <v>130624</v>
      </c>
      <c r="AI52" s="56"/>
    </row>
    <row r="53" spans="1:35" ht="15" x14ac:dyDescent="0.2">
      <c r="A53" s="7"/>
      <c r="B53" s="64" t="s">
        <v>761</v>
      </c>
      <c r="C53" s="2" t="s">
        <v>43</v>
      </c>
      <c r="D53" s="86">
        <v>5</v>
      </c>
      <c r="E53" s="2" t="s">
        <v>868</v>
      </c>
      <c r="F53" s="7"/>
      <c r="G53" s="86"/>
      <c r="H53" s="2" t="s">
        <v>817</v>
      </c>
      <c r="I53" s="2" t="s">
        <v>869</v>
      </c>
      <c r="J53" s="2" t="s">
        <v>870</v>
      </c>
      <c r="K53" s="2" t="s">
        <v>55</v>
      </c>
      <c r="L53" s="2"/>
      <c r="M53" s="2"/>
      <c r="N53" s="45" t="str">
        <f t="shared" si="34"/>
        <v>@bigdogcga</v>
      </c>
      <c r="O53" s="45" t="str">
        <f t="shared" si="35"/>
        <v>Questionnaire</v>
      </c>
      <c r="P53" s="108" t="s">
        <v>826</v>
      </c>
      <c r="Q53" s="60" t="s">
        <v>158</v>
      </c>
      <c r="R53" s="48" t="s">
        <v>830</v>
      </c>
      <c r="S53" s="48" t="s">
        <v>468</v>
      </c>
      <c r="T53" s="49" t="s">
        <v>74</v>
      </c>
      <c r="U53" s="48" t="s">
        <v>75</v>
      </c>
      <c r="V53" s="49" t="s">
        <v>832</v>
      </c>
      <c r="W53" s="37">
        <v>3.81</v>
      </c>
      <c r="X53" s="49" t="s">
        <v>415</v>
      </c>
      <c r="Y53" s="49" t="s">
        <v>415</v>
      </c>
      <c r="Z53" s="49" t="s">
        <v>78</v>
      </c>
      <c r="AA53" s="38">
        <v>0.50949999999999995</v>
      </c>
      <c r="AB53" s="39">
        <v>0</v>
      </c>
      <c r="AC53" s="52" t="s">
        <v>826</v>
      </c>
      <c r="AD53" s="53" t="str">
        <f t="shared" si="36"/>
        <v>Link</v>
      </c>
      <c r="AE53" s="54">
        <v>986</v>
      </c>
      <c r="AF53" s="55"/>
      <c r="AG53" s="55"/>
      <c r="AH53" s="56">
        <v>130624</v>
      </c>
      <c r="AI53" s="56"/>
    </row>
    <row r="54" spans="1:35" ht="13" x14ac:dyDescent="0.15">
      <c r="A54" s="7"/>
      <c r="B54" s="64" t="s">
        <v>761</v>
      </c>
      <c r="C54" s="2" t="s">
        <v>43</v>
      </c>
      <c r="D54" s="86">
        <v>5</v>
      </c>
      <c r="E54" s="2" t="s">
        <v>881</v>
      </c>
      <c r="F54" s="7"/>
      <c r="G54" s="86"/>
      <c r="H54" s="2" t="s">
        <v>882</v>
      </c>
      <c r="I54" s="2" t="s">
        <v>883</v>
      </c>
      <c r="J54" s="2" t="s">
        <v>884</v>
      </c>
      <c r="K54" s="2" t="s">
        <v>48</v>
      </c>
      <c r="L54" s="2" t="s">
        <v>885</v>
      </c>
      <c r="M54" s="2" t="s">
        <v>886</v>
      </c>
      <c r="N54" s="48"/>
      <c r="O54" s="45" t="str">
        <f t="shared" ref="O54:O57" si="37">HYPERLINK("https://www.frontrush.com/FR_Web_App/Player/PlayerSubmit.aspx?sid=NjkzMA==-nmlIt8MGbRg=&amp;ptype=recruit","Questionnaire")</f>
        <v>Questionnaire</v>
      </c>
      <c r="P54" s="48" t="s">
        <v>890</v>
      </c>
      <c r="Q54" s="60" t="s">
        <v>158</v>
      </c>
      <c r="R54" s="48" t="s">
        <v>892</v>
      </c>
      <c r="S54" s="48" t="s">
        <v>172</v>
      </c>
      <c r="T54" s="5" t="s">
        <v>74</v>
      </c>
      <c r="U54" s="48" t="s">
        <v>75</v>
      </c>
      <c r="V54" s="49"/>
      <c r="W54" s="37">
        <v>3.08</v>
      </c>
      <c r="X54" s="49" t="s">
        <v>895</v>
      </c>
      <c r="Y54" s="49" t="s">
        <v>522</v>
      </c>
      <c r="Z54" s="49" t="s">
        <v>214</v>
      </c>
      <c r="AA54" s="65">
        <v>0.57999999999999996</v>
      </c>
      <c r="AB54" s="48" t="s">
        <v>898</v>
      </c>
      <c r="AC54" s="84" t="s">
        <v>890</v>
      </c>
      <c r="AD54" s="53" t="str">
        <f t="shared" ref="AD54:AD58" si="38">HYPERLINK("http://www.easternct.edu/admissions/majors-minors/","Link")</f>
        <v>Link</v>
      </c>
      <c r="AE54" s="54">
        <v>5171</v>
      </c>
      <c r="AF54" s="55"/>
      <c r="AG54" s="55"/>
      <c r="AH54" s="56">
        <v>129215</v>
      </c>
      <c r="AI54" s="56"/>
    </row>
    <row r="55" spans="1:35" ht="13" x14ac:dyDescent="0.15">
      <c r="A55" s="7"/>
      <c r="B55" s="64" t="s">
        <v>761</v>
      </c>
      <c r="C55" s="2" t="s">
        <v>43</v>
      </c>
      <c r="D55" s="86">
        <v>5</v>
      </c>
      <c r="E55" s="2" t="s">
        <v>903</v>
      </c>
      <c r="F55" s="7"/>
      <c r="G55" s="86"/>
      <c r="H55" s="2" t="s">
        <v>882</v>
      </c>
      <c r="I55" s="2" t="s">
        <v>904</v>
      </c>
      <c r="J55" s="2" t="s">
        <v>905</v>
      </c>
      <c r="K55" s="2" t="s">
        <v>55</v>
      </c>
      <c r="L55" s="2"/>
      <c r="M55" s="2"/>
      <c r="N55" s="48"/>
      <c r="O55" s="45" t="str">
        <f t="shared" si="37"/>
        <v>Questionnaire</v>
      </c>
      <c r="P55" s="48" t="s">
        <v>890</v>
      </c>
      <c r="Q55" s="60" t="s">
        <v>158</v>
      </c>
      <c r="R55" s="48" t="s">
        <v>892</v>
      </c>
      <c r="S55" s="48" t="s">
        <v>172</v>
      </c>
      <c r="T55" s="5" t="s">
        <v>74</v>
      </c>
      <c r="U55" s="48" t="s">
        <v>75</v>
      </c>
      <c r="V55" s="49"/>
      <c r="W55" s="37">
        <v>3.08</v>
      </c>
      <c r="X55" s="49" t="s">
        <v>895</v>
      </c>
      <c r="Y55" s="49" t="s">
        <v>522</v>
      </c>
      <c r="Z55" s="49" t="s">
        <v>214</v>
      </c>
      <c r="AA55" s="65">
        <v>0.57999999999999996</v>
      </c>
      <c r="AB55" s="48" t="s">
        <v>898</v>
      </c>
      <c r="AC55" s="84" t="s">
        <v>890</v>
      </c>
      <c r="AD55" s="53" t="str">
        <f t="shared" si="38"/>
        <v>Link</v>
      </c>
      <c r="AE55" s="54">
        <v>5171</v>
      </c>
      <c r="AF55" s="55"/>
      <c r="AG55" s="55"/>
      <c r="AH55" s="56">
        <v>129215</v>
      </c>
      <c r="AI55" s="56"/>
    </row>
    <row r="56" spans="1:35" ht="13" x14ac:dyDescent="0.15">
      <c r="A56" s="7"/>
      <c r="B56" s="64" t="s">
        <v>761</v>
      </c>
      <c r="C56" s="2" t="s">
        <v>43</v>
      </c>
      <c r="D56" s="86">
        <v>5</v>
      </c>
      <c r="E56" s="2" t="s">
        <v>920</v>
      </c>
      <c r="F56" s="7"/>
      <c r="G56" s="86"/>
      <c r="H56" s="2" t="s">
        <v>882</v>
      </c>
      <c r="I56" s="2" t="s">
        <v>922</v>
      </c>
      <c r="J56" s="2" t="s">
        <v>923</v>
      </c>
      <c r="K56" s="2" t="s">
        <v>139</v>
      </c>
      <c r="L56" s="2"/>
      <c r="M56" s="2"/>
      <c r="N56" s="48"/>
      <c r="O56" s="45" t="str">
        <f t="shared" si="37"/>
        <v>Questionnaire</v>
      </c>
      <c r="P56" s="48" t="s">
        <v>890</v>
      </c>
      <c r="Q56" s="60" t="s">
        <v>158</v>
      </c>
      <c r="R56" s="48" t="s">
        <v>892</v>
      </c>
      <c r="S56" s="48" t="s">
        <v>172</v>
      </c>
      <c r="T56" s="5" t="s">
        <v>74</v>
      </c>
      <c r="U56" s="48" t="s">
        <v>75</v>
      </c>
      <c r="V56" s="49"/>
      <c r="W56" s="37">
        <v>3.08</v>
      </c>
      <c r="X56" s="49" t="s">
        <v>895</v>
      </c>
      <c r="Y56" s="49" t="s">
        <v>522</v>
      </c>
      <c r="Z56" s="49" t="s">
        <v>214</v>
      </c>
      <c r="AA56" s="65">
        <v>0.57999999999999996</v>
      </c>
      <c r="AB56" s="48" t="s">
        <v>898</v>
      </c>
      <c r="AC56" s="84" t="s">
        <v>890</v>
      </c>
      <c r="AD56" s="53" t="str">
        <f t="shared" si="38"/>
        <v>Link</v>
      </c>
      <c r="AE56" s="54">
        <v>5171</v>
      </c>
      <c r="AF56" s="55"/>
      <c r="AG56" s="55"/>
      <c r="AH56" s="56">
        <v>129215</v>
      </c>
      <c r="AI56" s="56"/>
    </row>
    <row r="57" spans="1:35" ht="13" x14ac:dyDescent="0.15">
      <c r="A57" s="7"/>
      <c r="B57" s="64" t="s">
        <v>761</v>
      </c>
      <c r="C57" s="36" t="s">
        <v>43</v>
      </c>
      <c r="D57" s="86">
        <v>5</v>
      </c>
      <c r="E57" s="2" t="s">
        <v>929</v>
      </c>
      <c r="F57" s="7"/>
      <c r="G57" s="86"/>
      <c r="H57" s="2" t="s">
        <v>882</v>
      </c>
      <c r="I57" s="2" t="s">
        <v>930</v>
      </c>
      <c r="J57" s="2" t="s">
        <v>931</v>
      </c>
      <c r="K57" s="2" t="s">
        <v>139</v>
      </c>
      <c r="L57" s="2"/>
      <c r="M57" s="2"/>
      <c r="N57" s="48"/>
      <c r="O57" s="45" t="str">
        <f t="shared" si="37"/>
        <v>Questionnaire</v>
      </c>
      <c r="P57" s="48" t="s">
        <v>890</v>
      </c>
      <c r="Q57" s="60" t="s">
        <v>158</v>
      </c>
      <c r="R57" s="48" t="s">
        <v>892</v>
      </c>
      <c r="S57" s="48" t="s">
        <v>172</v>
      </c>
      <c r="T57" s="5" t="s">
        <v>74</v>
      </c>
      <c r="U57" s="48" t="s">
        <v>75</v>
      </c>
      <c r="V57" s="49"/>
      <c r="W57" s="37">
        <v>3.08</v>
      </c>
      <c r="X57" s="49" t="s">
        <v>895</v>
      </c>
      <c r="Y57" s="49" t="s">
        <v>522</v>
      </c>
      <c r="Z57" s="49" t="s">
        <v>214</v>
      </c>
      <c r="AA57" s="65">
        <v>0.57999999999999996</v>
      </c>
      <c r="AB57" s="48" t="s">
        <v>898</v>
      </c>
      <c r="AC57" s="84" t="s">
        <v>890</v>
      </c>
      <c r="AD57" s="53" t="str">
        <f t="shared" si="38"/>
        <v>Link</v>
      </c>
      <c r="AE57" s="54">
        <v>5171</v>
      </c>
      <c r="AF57" s="55"/>
      <c r="AG57" s="55"/>
      <c r="AH57" s="56">
        <v>129215</v>
      </c>
      <c r="AI57" s="56"/>
    </row>
    <row r="58" spans="1:35" ht="13" x14ac:dyDescent="0.15">
      <c r="A58" s="7"/>
      <c r="B58" s="64" t="s">
        <v>761</v>
      </c>
      <c r="C58" s="2" t="s">
        <v>43</v>
      </c>
      <c r="D58" s="44">
        <v>5</v>
      </c>
      <c r="E58" s="2" t="s">
        <v>938</v>
      </c>
      <c r="F58" s="7"/>
      <c r="G58" s="7"/>
      <c r="H58" s="2" t="s">
        <v>882</v>
      </c>
      <c r="I58" s="7" t="s">
        <v>941</v>
      </c>
      <c r="J58" s="7" t="s">
        <v>943</v>
      </c>
      <c r="K58" s="7" t="s">
        <v>55</v>
      </c>
      <c r="L58" s="7" t="s">
        <v>945</v>
      </c>
      <c r="M58" s="7" t="s">
        <v>946</v>
      </c>
      <c r="N58" s="48"/>
      <c r="O58" s="48"/>
      <c r="P58" s="48" t="s">
        <v>890</v>
      </c>
      <c r="Q58" s="47" t="s">
        <v>158</v>
      </c>
      <c r="R58" s="48" t="s">
        <v>892</v>
      </c>
      <c r="S58" s="48" t="s">
        <v>172</v>
      </c>
      <c r="T58" s="73" t="s">
        <v>74</v>
      </c>
      <c r="U58" s="49" t="s">
        <v>75</v>
      </c>
      <c r="V58" s="7"/>
      <c r="W58" s="44">
        <v>3.08</v>
      </c>
      <c r="X58" s="49" t="s">
        <v>895</v>
      </c>
      <c r="Y58" s="49" t="s">
        <v>522</v>
      </c>
      <c r="Z58" s="49" t="s">
        <v>214</v>
      </c>
      <c r="AA58" s="61">
        <v>0.57999999999999996</v>
      </c>
      <c r="AB58" s="48" t="s">
        <v>898</v>
      </c>
      <c r="AC58" s="62" t="s">
        <v>890</v>
      </c>
      <c r="AD58" s="53" t="str">
        <f t="shared" si="38"/>
        <v>Link</v>
      </c>
      <c r="AE58" s="54">
        <v>5171</v>
      </c>
      <c r="AF58" s="55"/>
      <c r="AG58" s="7"/>
      <c r="AH58" s="56">
        <v>129215</v>
      </c>
      <c r="AI58" s="56"/>
    </row>
    <row r="59" spans="1:35" ht="13" x14ac:dyDescent="0.15">
      <c r="A59" s="7"/>
      <c r="B59" s="64" t="s">
        <v>761</v>
      </c>
      <c r="C59" s="2" t="s">
        <v>43</v>
      </c>
      <c r="D59" s="86">
        <v>5</v>
      </c>
      <c r="E59" s="2" t="s">
        <v>952</v>
      </c>
      <c r="F59" s="7"/>
      <c r="G59" s="86"/>
      <c r="H59" s="2" t="s">
        <v>954</v>
      </c>
      <c r="I59" s="2" t="s">
        <v>421</v>
      </c>
      <c r="J59" s="2"/>
      <c r="K59" s="2" t="s">
        <v>48</v>
      </c>
      <c r="L59" s="48"/>
      <c r="M59" s="2"/>
      <c r="N59" s="48"/>
      <c r="O59" s="45" t="str">
        <f>HYPERLINK("https://www.mitchellathletics.com/information/recruiting/index","Questionnaire")</f>
        <v>Questionnaire</v>
      </c>
      <c r="P59" s="48" t="s">
        <v>965</v>
      </c>
      <c r="Q59" s="60" t="s">
        <v>158</v>
      </c>
      <c r="R59" s="48" t="s">
        <v>830</v>
      </c>
      <c r="S59" s="48" t="s">
        <v>468</v>
      </c>
      <c r="T59" s="49" t="s">
        <v>63</v>
      </c>
      <c r="U59" s="48" t="s">
        <v>75</v>
      </c>
      <c r="V59" s="49"/>
      <c r="W59" s="37">
        <v>2.68</v>
      </c>
      <c r="X59" s="49" t="s">
        <v>214</v>
      </c>
      <c r="Y59" s="49" t="s">
        <v>214</v>
      </c>
      <c r="Z59" s="49" t="s">
        <v>214</v>
      </c>
      <c r="AA59" s="65">
        <v>0.88</v>
      </c>
      <c r="AB59" s="39">
        <v>48480</v>
      </c>
      <c r="AC59" s="84" t="s">
        <v>965</v>
      </c>
      <c r="AD59" s="53" t="str">
        <f t="shared" ref="AD59:AD60" si="39">HYPERLINK("http://mitchell.edu/programs-of-study/","Link")</f>
        <v>Link</v>
      </c>
      <c r="AE59" s="54">
        <v>677</v>
      </c>
      <c r="AF59" s="55"/>
      <c r="AG59" s="55"/>
      <c r="AH59" s="56">
        <v>129774</v>
      </c>
      <c r="AI59" s="56"/>
    </row>
    <row r="60" spans="1:35" ht="13" x14ac:dyDescent="0.15">
      <c r="A60" s="7"/>
      <c r="B60" s="64" t="s">
        <v>761</v>
      </c>
      <c r="C60" s="36" t="s">
        <v>43</v>
      </c>
      <c r="D60" s="44">
        <v>5</v>
      </c>
      <c r="E60" s="2" t="s">
        <v>975</v>
      </c>
      <c r="F60" s="7"/>
      <c r="G60" s="7"/>
      <c r="H60" s="2" t="s">
        <v>954</v>
      </c>
      <c r="I60" s="7" t="s">
        <v>338</v>
      </c>
      <c r="J60" s="7" t="s">
        <v>977</v>
      </c>
      <c r="K60" s="7" t="s">
        <v>48</v>
      </c>
      <c r="L60" s="7" t="s">
        <v>978</v>
      </c>
      <c r="M60" s="7" t="s">
        <v>979</v>
      </c>
      <c r="N60" s="48"/>
      <c r="O60" s="48"/>
      <c r="P60" s="48" t="s">
        <v>965</v>
      </c>
      <c r="Q60" s="60" t="s">
        <v>158</v>
      </c>
      <c r="R60" s="48" t="s">
        <v>830</v>
      </c>
      <c r="S60" s="48" t="s">
        <v>468</v>
      </c>
      <c r="T60" s="49" t="s">
        <v>63</v>
      </c>
      <c r="U60" s="49" t="s">
        <v>75</v>
      </c>
      <c r="V60" s="7"/>
      <c r="W60" s="44">
        <v>2.68</v>
      </c>
      <c r="X60" s="49" t="s">
        <v>214</v>
      </c>
      <c r="Y60" s="49" t="s">
        <v>214</v>
      </c>
      <c r="Z60" s="49" t="s">
        <v>214</v>
      </c>
      <c r="AA60" s="61">
        <v>0.88</v>
      </c>
      <c r="AB60" s="71">
        <v>48480</v>
      </c>
      <c r="AC60" s="62" t="s">
        <v>965</v>
      </c>
      <c r="AD60" s="53" t="str">
        <f t="shared" si="39"/>
        <v>Link</v>
      </c>
      <c r="AE60" s="54">
        <v>677</v>
      </c>
      <c r="AF60" s="55"/>
      <c r="AG60" s="7"/>
      <c r="AH60" s="56">
        <v>129774</v>
      </c>
      <c r="AI60" s="56"/>
    </row>
    <row r="61" spans="1:35" ht="15" x14ac:dyDescent="0.2">
      <c r="A61" s="7"/>
      <c r="B61" s="64" t="s">
        <v>761</v>
      </c>
      <c r="C61" s="2" t="s">
        <v>43</v>
      </c>
      <c r="D61" s="86">
        <v>5</v>
      </c>
      <c r="E61" s="2" t="s">
        <v>988</v>
      </c>
      <c r="F61" s="7"/>
      <c r="G61" s="86"/>
      <c r="H61" s="2" t="s">
        <v>990</v>
      </c>
      <c r="I61" s="2" t="s">
        <v>991</v>
      </c>
      <c r="J61" s="2" t="s">
        <v>992</v>
      </c>
      <c r="K61" s="2" t="s">
        <v>48</v>
      </c>
      <c r="L61" s="95" t="s">
        <v>993</v>
      </c>
      <c r="M61" s="2" t="s">
        <v>994</v>
      </c>
      <c r="N61" s="45" t="str">
        <f t="shared" ref="N61:N63" si="40">HYPERLINK("twitter.com/usj_bluejays","@usj_bluejays")</f>
        <v>@usj_bluejays</v>
      </c>
      <c r="O61" s="45" t="str">
        <f t="shared" ref="O61:O63" si="41">HYPERLINK("http://www.usjbluejays.com/recruiting","Questionnaire")</f>
        <v>Questionnaire</v>
      </c>
      <c r="P61" s="48" t="s">
        <v>1000</v>
      </c>
      <c r="Q61" s="60" t="s">
        <v>158</v>
      </c>
      <c r="R61" s="48" t="s">
        <v>1001</v>
      </c>
      <c r="S61" s="48" t="s">
        <v>186</v>
      </c>
      <c r="T61" s="49" t="s">
        <v>63</v>
      </c>
      <c r="U61" s="48" t="s">
        <v>343</v>
      </c>
      <c r="V61" s="49" t="s">
        <v>1006</v>
      </c>
      <c r="W61" s="44">
        <v>3.39</v>
      </c>
      <c r="X61" s="49" t="s">
        <v>396</v>
      </c>
      <c r="Y61" s="49" t="s">
        <v>1008</v>
      </c>
      <c r="Z61" s="49" t="s">
        <v>214</v>
      </c>
      <c r="AA61" s="80">
        <v>0.88</v>
      </c>
      <c r="AB61" s="71">
        <v>49896</v>
      </c>
      <c r="AC61" s="62" t="s">
        <v>1000</v>
      </c>
      <c r="AD61" s="53" t="str">
        <f t="shared" ref="AD61:AD63" si="42">HYPERLINK("https://www.usj.edu/academics/undergraduate-programs/","Link")</f>
        <v>Link</v>
      </c>
      <c r="AE61" s="54">
        <v>894</v>
      </c>
      <c r="AF61" s="55"/>
      <c r="AG61" s="55"/>
      <c r="AH61" s="56">
        <v>130314</v>
      </c>
      <c r="AI61" s="56"/>
    </row>
    <row r="62" spans="1:35" ht="15" x14ac:dyDescent="0.2">
      <c r="A62" s="7"/>
      <c r="B62" s="64" t="s">
        <v>761</v>
      </c>
      <c r="C62" s="36" t="s">
        <v>43</v>
      </c>
      <c r="D62" s="86">
        <v>5</v>
      </c>
      <c r="E62" s="2" t="s">
        <v>1021</v>
      </c>
      <c r="F62" s="7"/>
      <c r="G62" s="86"/>
      <c r="H62" s="2" t="s">
        <v>990</v>
      </c>
      <c r="I62" s="2" t="s">
        <v>991</v>
      </c>
      <c r="J62" s="2" t="s">
        <v>1024</v>
      </c>
      <c r="K62" s="2" t="s">
        <v>55</v>
      </c>
      <c r="L62" s="2"/>
      <c r="M62" s="2"/>
      <c r="N62" s="45" t="str">
        <f t="shared" si="40"/>
        <v>@usj_bluejays</v>
      </c>
      <c r="O62" s="45" t="str">
        <f t="shared" si="41"/>
        <v>Questionnaire</v>
      </c>
      <c r="P62" s="48" t="s">
        <v>1000</v>
      </c>
      <c r="Q62" s="60" t="s">
        <v>158</v>
      </c>
      <c r="R62" s="48" t="s">
        <v>1001</v>
      </c>
      <c r="S62" s="48" t="s">
        <v>186</v>
      </c>
      <c r="T62" s="49" t="s">
        <v>63</v>
      </c>
      <c r="U62" s="48" t="s">
        <v>343</v>
      </c>
      <c r="V62" s="49" t="s">
        <v>1006</v>
      </c>
      <c r="W62" s="44">
        <v>3.39</v>
      </c>
      <c r="X62" s="49" t="s">
        <v>396</v>
      </c>
      <c r="Y62" s="49" t="s">
        <v>1008</v>
      </c>
      <c r="Z62" s="49" t="s">
        <v>214</v>
      </c>
      <c r="AA62" s="80">
        <v>0.88</v>
      </c>
      <c r="AB62" s="71">
        <v>49896</v>
      </c>
      <c r="AC62" s="62" t="s">
        <v>1000</v>
      </c>
      <c r="AD62" s="53" t="str">
        <f t="shared" si="42"/>
        <v>Link</v>
      </c>
      <c r="AE62" s="54">
        <v>894</v>
      </c>
      <c r="AF62" s="55"/>
      <c r="AG62" s="55"/>
      <c r="AH62" s="56">
        <v>130314</v>
      </c>
      <c r="AI62" s="56"/>
    </row>
    <row r="63" spans="1:35" ht="15" x14ac:dyDescent="0.2">
      <c r="A63" s="7"/>
      <c r="B63" s="64" t="s">
        <v>761</v>
      </c>
      <c r="C63" s="36" t="s">
        <v>43</v>
      </c>
      <c r="D63" s="86">
        <v>5</v>
      </c>
      <c r="E63" s="2" t="s">
        <v>1036</v>
      </c>
      <c r="F63" s="7"/>
      <c r="G63" s="86"/>
      <c r="H63" s="2" t="s">
        <v>990</v>
      </c>
      <c r="I63" s="2" t="s">
        <v>557</v>
      </c>
      <c r="J63" s="2" t="s">
        <v>1039</v>
      </c>
      <c r="K63" s="2" t="s">
        <v>55</v>
      </c>
      <c r="L63" s="2"/>
      <c r="M63" s="2"/>
      <c r="N63" s="45" t="str">
        <f t="shared" si="40"/>
        <v>@usj_bluejays</v>
      </c>
      <c r="O63" s="45" t="str">
        <f t="shared" si="41"/>
        <v>Questionnaire</v>
      </c>
      <c r="P63" s="48" t="s">
        <v>1000</v>
      </c>
      <c r="Q63" s="60" t="s">
        <v>158</v>
      </c>
      <c r="R63" s="48" t="s">
        <v>1001</v>
      </c>
      <c r="S63" s="48" t="s">
        <v>186</v>
      </c>
      <c r="T63" s="49" t="s">
        <v>63</v>
      </c>
      <c r="U63" s="48" t="s">
        <v>343</v>
      </c>
      <c r="V63" s="49" t="s">
        <v>1006</v>
      </c>
      <c r="W63" s="44">
        <v>3.39</v>
      </c>
      <c r="X63" s="49" t="s">
        <v>396</v>
      </c>
      <c r="Y63" s="49" t="s">
        <v>1008</v>
      </c>
      <c r="Z63" s="49" t="s">
        <v>214</v>
      </c>
      <c r="AA63" s="80">
        <v>0.88</v>
      </c>
      <c r="AB63" s="71">
        <v>49896</v>
      </c>
      <c r="AC63" s="62" t="s">
        <v>1000</v>
      </c>
      <c r="AD63" s="53" t="str">
        <f t="shared" si="42"/>
        <v>Link</v>
      </c>
      <c r="AE63" s="54">
        <v>894</v>
      </c>
      <c r="AF63" s="55"/>
      <c r="AG63" s="55"/>
      <c r="AH63" s="56">
        <v>130314</v>
      </c>
      <c r="AI63" s="56"/>
    </row>
    <row r="64" spans="1:35" ht="13" x14ac:dyDescent="0.15">
      <c r="A64" s="7"/>
      <c r="B64" s="64" t="s">
        <v>761</v>
      </c>
      <c r="C64" s="36" t="s">
        <v>43</v>
      </c>
      <c r="D64" s="86">
        <v>5</v>
      </c>
      <c r="E64" s="2" t="s">
        <v>1054</v>
      </c>
      <c r="F64" s="7"/>
      <c r="G64" s="86"/>
      <c r="H64" s="2" t="s">
        <v>1055</v>
      </c>
      <c r="I64" s="2" t="s">
        <v>1056</v>
      </c>
      <c r="J64" s="2" t="s">
        <v>1057</v>
      </c>
      <c r="K64" s="2" t="s">
        <v>48</v>
      </c>
      <c r="L64" s="2" t="s">
        <v>1058</v>
      </c>
      <c r="M64" s="2"/>
      <c r="N64" s="45" t="str">
        <f t="shared" ref="N64:N65" si="43">HYPERLINK("twitter.com/bantamsoftball","@bantamsoftball")</f>
        <v>@bantamsoftball</v>
      </c>
      <c r="O64" s="45" t="str">
        <f t="shared" ref="O64:O65" si="44">HYPERLINK("https://www.bantamsports.com/Information/Recruitingform","Questionnaire")</f>
        <v>Questionnaire</v>
      </c>
      <c r="P64" s="48" t="s">
        <v>1064</v>
      </c>
      <c r="Q64" s="60" t="s">
        <v>158</v>
      </c>
      <c r="R64" s="48" t="s">
        <v>1065</v>
      </c>
      <c r="S64" s="48" t="s">
        <v>238</v>
      </c>
      <c r="T64" s="49" t="s">
        <v>63</v>
      </c>
      <c r="U64" s="48" t="s">
        <v>75</v>
      </c>
      <c r="V64" s="49"/>
      <c r="W64" s="7" t="s">
        <v>214</v>
      </c>
      <c r="X64" s="49" t="s">
        <v>1066</v>
      </c>
      <c r="Y64" s="49" t="s">
        <v>1067</v>
      </c>
      <c r="Z64" s="49" t="s">
        <v>179</v>
      </c>
      <c r="AA64" s="65">
        <v>0.34</v>
      </c>
      <c r="AB64" s="39">
        <v>68940</v>
      </c>
      <c r="AC64" s="84" t="s">
        <v>1064</v>
      </c>
      <c r="AD64" s="53" t="str">
        <f t="shared" ref="AD64:AD65" si="45">HYPERLINK("http://www.trincoll.edu/Academics/MajorsAndMinors/Pages/default.aspx","Link")</f>
        <v>Link</v>
      </c>
      <c r="AE64" s="54">
        <v>2259</v>
      </c>
      <c r="AF64" s="55"/>
      <c r="AG64" s="54">
        <v>44</v>
      </c>
      <c r="AH64" s="56">
        <v>130590</v>
      </c>
      <c r="AI64" s="56"/>
    </row>
    <row r="65" spans="1:35" ht="13" x14ac:dyDescent="0.15">
      <c r="A65" s="7"/>
      <c r="B65" s="64" t="s">
        <v>761</v>
      </c>
      <c r="C65" s="36" t="s">
        <v>43</v>
      </c>
      <c r="D65" s="86">
        <v>5</v>
      </c>
      <c r="E65" s="2" t="s">
        <v>1074</v>
      </c>
      <c r="F65" s="7"/>
      <c r="G65" s="86"/>
      <c r="H65" s="2" t="s">
        <v>1055</v>
      </c>
      <c r="I65" s="2" t="s">
        <v>1075</v>
      </c>
      <c r="J65" s="2" t="s">
        <v>1077</v>
      </c>
      <c r="K65" s="2" t="s">
        <v>55</v>
      </c>
      <c r="L65" s="2" t="s">
        <v>1079</v>
      </c>
      <c r="M65" s="2" t="s">
        <v>1081</v>
      </c>
      <c r="N65" s="45" t="str">
        <f t="shared" si="43"/>
        <v>@bantamsoftball</v>
      </c>
      <c r="O65" s="45" t="str">
        <f t="shared" si="44"/>
        <v>Questionnaire</v>
      </c>
      <c r="P65" s="48" t="s">
        <v>1064</v>
      </c>
      <c r="Q65" s="60" t="s">
        <v>158</v>
      </c>
      <c r="R65" s="48" t="s">
        <v>1065</v>
      </c>
      <c r="S65" s="48" t="s">
        <v>238</v>
      </c>
      <c r="T65" s="49" t="s">
        <v>63</v>
      </c>
      <c r="U65" s="48" t="s">
        <v>75</v>
      </c>
      <c r="V65" s="49"/>
      <c r="W65" s="7" t="s">
        <v>214</v>
      </c>
      <c r="X65" s="49" t="s">
        <v>1066</v>
      </c>
      <c r="Y65" s="49" t="s">
        <v>1067</v>
      </c>
      <c r="Z65" s="49" t="s">
        <v>179</v>
      </c>
      <c r="AA65" s="65">
        <v>0.34</v>
      </c>
      <c r="AB65" s="39">
        <v>68940</v>
      </c>
      <c r="AC65" s="84" t="s">
        <v>1064</v>
      </c>
      <c r="AD65" s="53" t="str">
        <f t="shared" si="45"/>
        <v>Link</v>
      </c>
      <c r="AE65" s="54">
        <v>2259</v>
      </c>
      <c r="AF65" s="55"/>
      <c r="AG65" s="54">
        <v>44</v>
      </c>
      <c r="AH65" s="56">
        <v>130590</v>
      </c>
      <c r="AI65" s="56"/>
    </row>
    <row r="66" spans="1:35" ht="13" x14ac:dyDescent="0.15">
      <c r="A66" s="7"/>
      <c r="B66" s="64" t="s">
        <v>761</v>
      </c>
      <c r="C66" s="2" t="s">
        <v>43</v>
      </c>
      <c r="D66" s="86">
        <v>5</v>
      </c>
      <c r="E66" s="2" t="s">
        <v>1089</v>
      </c>
      <c r="F66" s="7"/>
      <c r="G66" s="86"/>
      <c r="H66" s="2" t="s">
        <v>1091</v>
      </c>
      <c r="I66" s="2" t="s">
        <v>1092</v>
      </c>
      <c r="J66" s="2" t="s">
        <v>982</v>
      </c>
      <c r="K66" s="2" t="s">
        <v>48</v>
      </c>
      <c r="L66" s="2" t="s">
        <v>1093</v>
      </c>
      <c r="M66" s="2" t="s">
        <v>1095</v>
      </c>
      <c r="N66" s="48"/>
      <c r="O66" s="45" t="str">
        <f t="shared" ref="O66:O68" si="46">HYPERLINK("https://athletics.wesleyan.edu/sports/bsb/prospective_student","Questionnaire")</f>
        <v>Questionnaire</v>
      </c>
      <c r="P66" s="48" t="s">
        <v>1102</v>
      </c>
      <c r="Q66" s="60" t="s">
        <v>158</v>
      </c>
      <c r="R66" s="48" t="s">
        <v>1103</v>
      </c>
      <c r="S66" s="48" t="s">
        <v>468</v>
      </c>
      <c r="T66" s="49" t="s">
        <v>63</v>
      </c>
      <c r="U66" s="48" t="s">
        <v>75</v>
      </c>
      <c r="V66" s="49"/>
      <c r="W66" s="37">
        <v>3.76</v>
      </c>
      <c r="X66" s="49" t="s">
        <v>1104</v>
      </c>
      <c r="Y66" s="49" t="s">
        <v>1106</v>
      </c>
      <c r="Z66" s="49" t="s">
        <v>626</v>
      </c>
      <c r="AA66" s="65">
        <v>0.18</v>
      </c>
      <c r="AB66" s="39">
        <v>67527</v>
      </c>
      <c r="AC66" s="84" t="s">
        <v>1102</v>
      </c>
      <c r="AD66" s="53" t="str">
        <f t="shared" ref="AD66:AD68" si="47">HYPERLINK("http://www.wesleyan.edu/admission/academics/majorsminors.html","Link")</f>
        <v>Link</v>
      </c>
      <c r="AE66" s="54">
        <v>2971</v>
      </c>
      <c r="AF66" s="55"/>
      <c r="AG66" s="54">
        <v>21</v>
      </c>
      <c r="AH66" s="56">
        <v>130697</v>
      </c>
      <c r="AI66" s="56"/>
    </row>
    <row r="67" spans="1:35" ht="13" x14ac:dyDescent="0.15">
      <c r="A67" s="7"/>
      <c r="B67" s="64" t="s">
        <v>761</v>
      </c>
      <c r="C67" s="2" t="s">
        <v>43</v>
      </c>
      <c r="D67" s="86">
        <v>5</v>
      </c>
      <c r="E67" s="2" t="s">
        <v>1110</v>
      </c>
      <c r="F67" s="7"/>
      <c r="G67" s="86"/>
      <c r="H67" s="2" t="s">
        <v>1091</v>
      </c>
      <c r="I67" s="2" t="s">
        <v>1111</v>
      </c>
      <c r="J67" s="2" t="s">
        <v>1112</v>
      </c>
      <c r="K67" s="2" t="s">
        <v>55</v>
      </c>
      <c r="L67" s="2" t="s">
        <v>1113</v>
      </c>
      <c r="M67" s="2"/>
      <c r="N67" s="48"/>
      <c r="O67" s="45" t="str">
        <f t="shared" si="46"/>
        <v>Questionnaire</v>
      </c>
      <c r="P67" s="48" t="s">
        <v>1102</v>
      </c>
      <c r="Q67" s="60" t="s">
        <v>158</v>
      </c>
      <c r="R67" s="48" t="s">
        <v>1103</v>
      </c>
      <c r="S67" s="48" t="s">
        <v>468</v>
      </c>
      <c r="T67" s="49" t="s">
        <v>63</v>
      </c>
      <c r="U67" s="48" t="s">
        <v>75</v>
      </c>
      <c r="V67" s="49"/>
      <c r="W67" s="37">
        <v>3.76</v>
      </c>
      <c r="X67" s="49" t="s">
        <v>1104</v>
      </c>
      <c r="Y67" s="49" t="s">
        <v>1106</v>
      </c>
      <c r="Z67" s="49" t="s">
        <v>626</v>
      </c>
      <c r="AA67" s="65">
        <v>0.18</v>
      </c>
      <c r="AB67" s="39">
        <v>67527</v>
      </c>
      <c r="AC67" s="84" t="s">
        <v>1102</v>
      </c>
      <c r="AD67" s="53" t="str">
        <f t="shared" si="47"/>
        <v>Link</v>
      </c>
      <c r="AE67" s="54">
        <v>2971</v>
      </c>
      <c r="AF67" s="55"/>
      <c r="AG67" s="54">
        <v>21</v>
      </c>
      <c r="AH67" s="56">
        <v>130697</v>
      </c>
      <c r="AI67" s="56"/>
    </row>
    <row r="68" spans="1:35" ht="13" x14ac:dyDescent="0.15">
      <c r="A68" s="7"/>
      <c r="B68" s="64" t="s">
        <v>761</v>
      </c>
      <c r="C68" s="2" t="s">
        <v>43</v>
      </c>
      <c r="D68" s="86">
        <v>5</v>
      </c>
      <c r="E68" s="2" t="s">
        <v>1119</v>
      </c>
      <c r="F68" s="7"/>
      <c r="G68" s="86"/>
      <c r="H68" s="2" t="s">
        <v>1091</v>
      </c>
      <c r="I68" s="2" t="s">
        <v>1120</v>
      </c>
      <c r="J68" s="2" t="s">
        <v>1121</v>
      </c>
      <c r="K68" s="2" t="s">
        <v>55</v>
      </c>
      <c r="L68" s="2"/>
      <c r="M68" s="2"/>
      <c r="N68" s="48"/>
      <c r="O68" s="45" t="str">
        <f t="shared" si="46"/>
        <v>Questionnaire</v>
      </c>
      <c r="P68" s="48" t="s">
        <v>1102</v>
      </c>
      <c r="Q68" s="60" t="s">
        <v>158</v>
      </c>
      <c r="R68" s="48" t="s">
        <v>1103</v>
      </c>
      <c r="S68" s="48" t="s">
        <v>468</v>
      </c>
      <c r="T68" s="49" t="s">
        <v>63</v>
      </c>
      <c r="U68" s="48" t="s">
        <v>75</v>
      </c>
      <c r="V68" s="49"/>
      <c r="W68" s="37">
        <v>3.76</v>
      </c>
      <c r="X68" s="49" t="s">
        <v>1104</v>
      </c>
      <c r="Y68" s="49" t="s">
        <v>1106</v>
      </c>
      <c r="Z68" s="49" t="s">
        <v>626</v>
      </c>
      <c r="AA68" s="65">
        <v>0.18</v>
      </c>
      <c r="AB68" s="39">
        <v>67527</v>
      </c>
      <c r="AC68" s="84" t="s">
        <v>1102</v>
      </c>
      <c r="AD68" s="53" t="str">
        <f t="shared" si="47"/>
        <v>Link</v>
      </c>
      <c r="AE68" s="54">
        <v>2971</v>
      </c>
      <c r="AF68" s="55"/>
      <c r="AG68" s="54">
        <v>21</v>
      </c>
      <c r="AH68" s="56">
        <v>130697</v>
      </c>
      <c r="AI68" s="56"/>
    </row>
    <row r="69" spans="1:35" ht="13" x14ac:dyDescent="0.15">
      <c r="A69" s="7"/>
      <c r="B69" s="64" t="s">
        <v>761</v>
      </c>
      <c r="C69" s="2" t="s">
        <v>43</v>
      </c>
      <c r="D69" s="86">
        <v>5</v>
      </c>
      <c r="E69" s="2" t="s">
        <v>1128</v>
      </c>
      <c r="F69" s="7"/>
      <c r="G69" s="86"/>
      <c r="H69" s="2" t="s">
        <v>1131</v>
      </c>
      <c r="I69" s="2" t="s">
        <v>1132</v>
      </c>
      <c r="J69" s="2" t="s">
        <v>1133</v>
      </c>
      <c r="K69" s="2" t="s">
        <v>48</v>
      </c>
      <c r="L69" s="2" t="s">
        <v>1134</v>
      </c>
      <c r="M69" s="2" t="s">
        <v>1135</v>
      </c>
      <c r="N69" s="45" t="str">
        <f t="shared" ref="N69:N71" si="48">HYPERLINK("twitter.com/westconnsb","@westconnsb")</f>
        <v>@westconnsb</v>
      </c>
      <c r="O69" s="45" t="str">
        <f t="shared" ref="O69:O71" si="49">HYPERLINK("https://westconnathletics.com/information/Recruit_Me","Questionnaire")</f>
        <v>Questionnaire</v>
      </c>
      <c r="P69" s="48" t="s">
        <v>1142</v>
      </c>
      <c r="Q69" s="60" t="s">
        <v>158</v>
      </c>
      <c r="R69" s="48" t="s">
        <v>1143</v>
      </c>
      <c r="S69" s="48" t="s">
        <v>238</v>
      </c>
      <c r="T69" s="49" t="s">
        <v>74</v>
      </c>
      <c r="U69" s="48" t="s">
        <v>75</v>
      </c>
      <c r="V69" s="49"/>
      <c r="W69" s="37">
        <v>3</v>
      </c>
      <c r="X69" s="49" t="s">
        <v>1144</v>
      </c>
      <c r="Y69" s="49" t="s">
        <v>1145</v>
      </c>
      <c r="Z69" s="49" t="s">
        <v>214</v>
      </c>
      <c r="AA69" s="65">
        <v>0.67</v>
      </c>
      <c r="AB69" s="48" t="s">
        <v>1146</v>
      </c>
      <c r="AC69" s="84" t="s">
        <v>1142</v>
      </c>
      <c r="AD69" s="53" t="str">
        <f t="shared" ref="AD69:AD71" si="50">HYPERLINK("http://www.wcsu.edu/admissions/programs/","Link")</f>
        <v>Link</v>
      </c>
      <c r="AE69" s="54">
        <v>5181</v>
      </c>
      <c r="AF69" s="55"/>
      <c r="AG69" s="55"/>
      <c r="AH69" s="56">
        <v>130776</v>
      </c>
      <c r="AI69" s="56"/>
    </row>
    <row r="70" spans="1:35" ht="13" x14ac:dyDescent="0.15">
      <c r="A70" s="7"/>
      <c r="B70" s="64" t="s">
        <v>761</v>
      </c>
      <c r="C70" s="2" t="s">
        <v>43</v>
      </c>
      <c r="D70" s="86">
        <v>5</v>
      </c>
      <c r="E70" s="2" t="s">
        <v>1158</v>
      </c>
      <c r="F70" s="7"/>
      <c r="G70" s="86"/>
      <c r="H70" s="2" t="s">
        <v>1131</v>
      </c>
      <c r="I70" s="2" t="s">
        <v>1159</v>
      </c>
      <c r="J70" s="2" t="s">
        <v>108</v>
      </c>
      <c r="K70" s="2" t="s">
        <v>55</v>
      </c>
      <c r="L70" s="2"/>
      <c r="M70" s="2" t="s">
        <v>1135</v>
      </c>
      <c r="N70" s="45" t="str">
        <f t="shared" si="48"/>
        <v>@westconnsb</v>
      </c>
      <c r="O70" s="45" t="str">
        <f t="shared" si="49"/>
        <v>Questionnaire</v>
      </c>
      <c r="P70" s="48" t="s">
        <v>1142</v>
      </c>
      <c r="Q70" s="60" t="s">
        <v>158</v>
      </c>
      <c r="R70" s="48" t="s">
        <v>1143</v>
      </c>
      <c r="S70" s="48" t="s">
        <v>238</v>
      </c>
      <c r="T70" s="49" t="s">
        <v>74</v>
      </c>
      <c r="U70" s="48" t="s">
        <v>75</v>
      </c>
      <c r="V70" s="49"/>
      <c r="W70" s="37">
        <v>3</v>
      </c>
      <c r="X70" s="49" t="s">
        <v>1144</v>
      </c>
      <c r="Y70" s="49" t="s">
        <v>1145</v>
      </c>
      <c r="Z70" s="49" t="s">
        <v>214</v>
      </c>
      <c r="AA70" s="65">
        <v>0.67</v>
      </c>
      <c r="AB70" s="48" t="s">
        <v>1146</v>
      </c>
      <c r="AC70" s="84" t="s">
        <v>1142</v>
      </c>
      <c r="AD70" s="53" t="str">
        <f t="shared" si="50"/>
        <v>Link</v>
      </c>
      <c r="AE70" s="54">
        <v>5181</v>
      </c>
      <c r="AF70" s="55"/>
      <c r="AG70" s="55"/>
      <c r="AH70" s="56">
        <v>130776</v>
      </c>
      <c r="AI70" s="56"/>
    </row>
    <row r="71" spans="1:35" ht="13" x14ac:dyDescent="0.15">
      <c r="A71" s="7"/>
      <c r="B71" s="64" t="s">
        <v>761</v>
      </c>
      <c r="C71" s="36" t="s">
        <v>43</v>
      </c>
      <c r="D71" s="86">
        <v>5</v>
      </c>
      <c r="E71" s="2" t="s">
        <v>1161</v>
      </c>
      <c r="F71" s="7"/>
      <c r="G71" s="86"/>
      <c r="H71" s="2" t="s">
        <v>1131</v>
      </c>
      <c r="I71" s="2" t="s">
        <v>1163</v>
      </c>
      <c r="J71" s="2" t="s">
        <v>1166</v>
      </c>
      <c r="K71" s="2" t="s">
        <v>55</v>
      </c>
      <c r="L71" s="2"/>
      <c r="M71" s="2" t="s">
        <v>1135</v>
      </c>
      <c r="N71" s="45" t="str">
        <f t="shared" si="48"/>
        <v>@westconnsb</v>
      </c>
      <c r="O71" s="45" t="str">
        <f t="shared" si="49"/>
        <v>Questionnaire</v>
      </c>
      <c r="P71" s="48" t="s">
        <v>1142</v>
      </c>
      <c r="Q71" s="60" t="s">
        <v>158</v>
      </c>
      <c r="R71" s="48" t="s">
        <v>1143</v>
      </c>
      <c r="S71" s="48" t="s">
        <v>238</v>
      </c>
      <c r="T71" s="49" t="s">
        <v>74</v>
      </c>
      <c r="U71" s="48" t="s">
        <v>75</v>
      </c>
      <c r="V71" s="49"/>
      <c r="W71" s="37">
        <v>3</v>
      </c>
      <c r="X71" s="49" t="s">
        <v>1144</v>
      </c>
      <c r="Y71" s="49" t="s">
        <v>1145</v>
      </c>
      <c r="Z71" s="49" t="s">
        <v>214</v>
      </c>
      <c r="AA71" s="65">
        <v>0.67</v>
      </c>
      <c r="AB71" s="48" t="s">
        <v>1146</v>
      </c>
      <c r="AC71" s="84" t="s">
        <v>1142</v>
      </c>
      <c r="AD71" s="53" t="str">
        <f t="shared" si="50"/>
        <v>Link</v>
      </c>
      <c r="AE71" s="54">
        <v>5181</v>
      </c>
      <c r="AF71" s="55"/>
      <c r="AG71" s="55"/>
      <c r="AH71" s="56">
        <v>130776</v>
      </c>
      <c r="AI71" s="56"/>
    </row>
    <row r="72" spans="1:35" ht="13" x14ac:dyDescent="0.15">
      <c r="A72" s="7"/>
      <c r="B72" s="64" t="s">
        <v>1175</v>
      </c>
      <c r="C72" s="36" t="s">
        <v>43</v>
      </c>
      <c r="D72" s="86">
        <v>5</v>
      </c>
      <c r="E72" s="2" t="s">
        <v>1177</v>
      </c>
      <c r="F72" s="7"/>
      <c r="G72" s="86"/>
      <c r="H72" s="2" t="s">
        <v>1179</v>
      </c>
      <c r="I72" s="2" t="s">
        <v>1182</v>
      </c>
      <c r="J72" s="2" t="s">
        <v>1183</v>
      </c>
      <c r="K72" s="2" t="s">
        <v>48</v>
      </c>
      <c r="L72" s="2" t="s">
        <v>1185</v>
      </c>
      <c r="M72" s="2" t="s">
        <v>1187</v>
      </c>
      <c r="N72" s="45" t="str">
        <f t="shared" ref="N72:N73" si="51">HYPERLINK("twitter.com/wesleyfastpitch","@wesleyfastpitch")</f>
        <v>@wesleyfastpitch</v>
      </c>
      <c r="O72" s="45" t="str">
        <f t="shared" ref="O72:O73" si="52">HYPERLINK("https://gowesleyathletics.com/information/recruit_questionnaire/index","Questionnaire")</f>
        <v>Questionnaire</v>
      </c>
      <c r="P72" s="48" t="s">
        <v>1188</v>
      </c>
      <c r="Q72" s="60" t="s">
        <v>1189</v>
      </c>
      <c r="R72" s="48" t="s">
        <v>1190</v>
      </c>
      <c r="S72" s="48" t="s">
        <v>468</v>
      </c>
      <c r="T72" s="49" t="s">
        <v>63</v>
      </c>
      <c r="U72" s="6" t="s">
        <v>65</v>
      </c>
      <c r="V72" s="49"/>
      <c r="W72" s="37">
        <v>2.71</v>
      </c>
      <c r="X72" s="49" t="s">
        <v>1193</v>
      </c>
      <c r="Y72" s="49" t="s">
        <v>1194</v>
      </c>
      <c r="Z72" s="49" t="s">
        <v>1195</v>
      </c>
      <c r="AA72" s="65">
        <v>0.6</v>
      </c>
      <c r="AB72" s="39">
        <v>41090</v>
      </c>
      <c r="AC72" s="84" t="s">
        <v>1188</v>
      </c>
      <c r="AD72" s="53" t="str">
        <f t="shared" ref="AD72:AD73" si="53">HYPERLINK("http://wesley.edu/academics/programs/undergraduate-programs","Link")</f>
        <v>Link</v>
      </c>
      <c r="AE72" s="54">
        <v>1384</v>
      </c>
      <c r="AF72" s="55"/>
      <c r="AG72" s="55"/>
      <c r="AH72" s="56">
        <v>131098</v>
      </c>
      <c r="AI72" s="56"/>
    </row>
    <row r="73" spans="1:35" ht="13" x14ac:dyDescent="0.15">
      <c r="A73" s="7"/>
      <c r="B73" s="64" t="s">
        <v>1175</v>
      </c>
      <c r="C73" s="36" t="s">
        <v>43</v>
      </c>
      <c r="D73" s="86">
        <v>5</v>
      </c>
      <c r="E73" s="2" t="s">
        <v>1202</v>
      </c>
      <c r="F73" s="7"/>
      <c r="G73" s="86"/>
      <c r="H73" s="2" t="s">
        <v>1179</v>
      </c>
      <c r="I73" s="2" t="s">
        <v>306</v>
      </c>
      <c r="J73" s="2" t="s">
        <v>1203</v>
      </c>
      <c r="K73" s="2" t="s">
        <v>55</v>
      </c>
      <c r="L73" s="2" t="s">
        <v>1204</v>
      </c>
      <c r="M73" s="2"/>
      <c r="N73" s="45" t="str">
        <f t="shared" si="51"/>
        <v>@wesleyfastpitch</v>
      </c>
      <c r="O73" s="45" t="str">
        <f t="shared" si="52"/>
        <v>Questionnaire</v>
      </c>
      <c r="P73" s="48" t="s">
        <v>1188</v>
      </c>
      <c r="Q73" s="60" t="s">
        <v>1189</v>
      </c>
      <c r="R73" s="48" t="s">
        <v>1190</v>
      </c>
      <c r="S73" s="48" t="s">
        <v>468</v>
      </c>
      <c r="T73" s="49" t="s">
        <v>63</v>
      </c>
      <c r="U73" s="6" t="s">
        <v>65</v>
      </c>
      <c r="V73" s="49"/>
      <c r="W73" s="37">
        <v>2.71</v>
      </c>
      <c r="X73" s="49" t="s">
        <v>1193</v>
      </c>
      <c r="Y73" s="49" t="s">
        <v>1194</v>
      </c>
      <c r="Z73" s="49" t="s">
        <v>1195</v>
      </c>
      <c r="AA73" s="65">
        <v>0.6</v>
      </c>
      <c r="AB73" s="39">
        <v>41090</v>
      </c>
      <c r="AC73" s="84" t="s">
        <v>1188</v>
      </c>
      <c r="AD73" s="53" t="str">
        <f t="shared" si="53"/>
        <v>Link</v>
      </c>
      <c r="AE73" s="54">
        <v>1384</v>
      </c>
      <c r="AF73" s="55"/>
      <c r="AG73" s="55"/>
      <c r="AH73" s="56">
        <v>131098</v>
      </c>
      <c r="AI73" s="56"/>
    </row>
    <row r="74" spans="1:35" ht="13" x14ac:dyDescent="0.15">
      <c r="A74" s="7"/>
      <c r="B74" s="64" t="s">
        <v>1208</v>
      </c>
      <c r="C74" s="36" t="s">
        <v>43</v>
      </c>
      <c r="D74" s="86">
        <v>5</v>
      </c>
      <c r="E74" s="2" t="s">
        <v>1210</v>
      </c>
      <c r="F74" s="7"/>
      <c r="G74" s="86"/>
      <c r="H74" s="2" t="s">
        <v>1211</v>
      </c>
      <c r="I74" s="2" t="s">
        <v>1212</v>
      </c>
      <c r="J74" s="2" t="s">
        <v>1213</v>
      </c>
      <c r="K74" s="2" t="s">
        <v>48</v>
      </c>
      <c r="L74" s="2" t="s">
        <v>1214</v>
      </c>
      <c r="M74" s="2" t="s">
        <v>1215</v>
      </c>
      <c r="N74" s="45" t="str">
        <f t="shared" ref="N74:N78" si="54">HYPERLINK("twitter.com/catholicu_sb","@catholicu_sb")</f>
        <v>@catholicu_sb</v>
      </c>
      <c r="O74" s="45" t="str">
        <f t="shared" ref="O74:O78" si="55">HYPERLINK("http://www.catholicathletics.com/information/prospective_students/index","Questionnaire")</f>
        <v>Questionnaire</v>
      </c>
      <c r="P74" s="60" t="s">
        <v>1222</v>
      </c>
      <c r="Q74" s="60" t="s">
        <v>1223</v>
      </c>
      <c r="R74" s="48" t="s">
        <v>1225</v>
      </c>
      <c r="S74" s="48" t="s">
        <v>354</v>
      </c>
      <c r="T74" s="49" t="s">
        <v>63</v>
      </c>
      <c r="U74" s="6" t="s">
        <v>343</v>
      </c>
      <c r="V74" s="49"/>
      <c r="W74" s="37">
        <v>3.38</v>
      </c>
      <c r="X74" s="49" t="s">
        <v>1229</v>
      </c>
      <c r="Y74" s="49" t="s">
        <v>1230</v>
      </c>
      <c r="Z74" s="49" t="s">
        <v>689</v>
      </c>
      <c r="AA74" s="38">
        <v>0.7954</v>
      </c>
      <c r="AB74" s="39">
        <v>60462</v>
      </c>
      <c r="AC74" s="90" t="s">
        <v>1222</v>
      </c>
      <c r="AD74" s="53" t="str">
        <f t="shared" ref="AD74:AD78" si="56">HYPERLINK("https://www.catholic.edu/academics/undergraduate/programs/index.html","Link")</f>
        <v>Link</v>
      </c>
      <c r="AE74" s="54">
        <v>3241</v>
      </c>
      <c r="AF74" s="54">
        <v>120</v>
      </c>
      <c r="AG74" s="55"/>
      <c r="AH74" s="56">
        <v>131283</v>
      </c>
      <c r="AI74" s="56"/>
    </row>
    <row r="75" spans="1:35" ht="13" x14ac:dyDescent="0.15">
      <c r="A75" s="7"/>
      <c r="B75" s="64" t="s">
        <v>1208</v>
      </c>
      <c r="C75" s="36" t="s">
        <v>43</v>
      </c>
      <c r="D75" s="86">
        <v>5</v>
      </c>
      <c r="E75" s="2" t="s">
        <v>1238</v>
      </c>
      <c r="F75" s="7"/>
      <c r="G75" s="86"/>
      <c r="H75" s="2" t="s">
        <v>1211</v>
      </c>
      <c r="I75" s="2" t="s">
        <v>1239</v>
      </c>
      <c r="J75" s="2" t="s">
        <v>131</v>
      </c>
      <c r="K75" s="2" t="s">
        <v>55</v>
      </c>
      <c r="L75" s="2" t="s">
        <v>1240</v>
      </c>
      <c r="M75" s="2" t="s">
        <v>1215</v>
      </c>
      <c r="N75" s="45" t="str">
        <f t="shared" si="54"/>
        <v>@catholicu_sb</v>
      </c>
      <c r="O75" s="45" t="str">
        <f t="shared" si="55"/>
        <v>Questionnaire</v>
      </c>
      <c r="P75" s="60" t="s">
        <v>1222</v>
      </c>
      <c r="Q75" s="60" t="s">
        <v>1223</v>
      </c>
      <c r="R75" s="48" t="s">
        <v>1225</v>
      </c>
      <c r="S75" s="48" t="s">
        <v>354</v>
      </c>
      <c r="T75" s="49" t="s">
        <v>63</v>
      </c>
      <c r="U75" s="6" t="s">
        <v>343</v>
      </c>
      <c r="V75" s="49"/>
      <c r="W75" s="37">
        <v>3.38</v>
      </c>
      <c r="X75" s="49" t="s">
        <v>1229</v>
      </c>
      <c r="Y75" s="49" t="s">
        <v>1230</v>
      </c>
      <c r="Z75" s="49" t="s">
        <v>689</v>
      </c>
      <c r="AA75" s="38">
        <v>0.7954</v>
      </c>
      <c r="AB75" s="39">
        <v>60462</v>
      </c>
      <c r="AC75" s="90" t="s">
        <v>1222</v>
      </c>
      <c r="AD75" s="53" t="str">
        <f t="shared" si="56"/>
        <v>Link</v>
      </c>
      <c r="AE75" s="54">
        <v>3241</v>
      </c>
      <c r="AF75" s="54">
        <v>120</v>
      </c>
      <c r="AG75" s="55"/>
      <c r="AH75" s="56">
        <v>131283</v>
      </c>
      <c r="AI75" s="56"/>
    </row>
    <row r="76" spans="1:35" ht="13" x14ac:dyDescent="0.15">
      <c r="A76" s="7"/>
      <c r="B76" s="64" t="s">
        <v>1208</v>
      </c>
      <c r="C76" s="36" t="s">
        <v>43</v>
      </c>
      <c r="D76" s="86">
        <v>5</v>
      </c>
      <c r="E76" s="2" t="s">
        <v>1245</v>
      </c>
      <c r="F76" s="7"/>
      <c r="G76" s="86"/>
      <c r="H76" s="2" t="s">
        <v>1211</v>
      </c>
      <c r="I76" s="2" t="s">
        <v>439</v>
      </c>
      <c r="J76" s="2" t="s">
        <v>1249</v>
      </c>
      <c r="K76" s="2" t="s">
        <v>55</v>
      </c>
      <c r="L76" s="2"/>
      <c r="M76" s="2" t="s">
        <v>1215</v>
      </c>
      <c r="N76" s="45" t="str">
        <f t="shared" si="54"/>
        <v>@catholicu_sb</v>
      </c>
      <c r="O76" s="45" t="str">
        <f t="shared" si="55"/>
        <v>Questionnaire</v>
      </c>
      <c r="P76" s="60" t="s">
        <v>1222</v>
      </c>
      <c r="Q76" s="60" t="s">
        <v>1223</v>
      </c>
      <c r="R76" s="48" t="s">
        <v>1225</v>
      </c>
      <c r="S76" s="48" t="s">
        <v>354</v>
      </c>
      <c r="T76" s="49" t="s">
        <v>63</v>
      </c>
      <c r="U76" s="6" t="s">
        <v>343</v>
      </c>
      <c r="V76" s="49"/>
      <c r="W76" s="37">
        <v>3.38</v>
      </c>
      <c r="X76" s="49" t="s">
        <v>1229</v>
      </c>
      <c r="Y76" s="49" t="s">
        <v>1230</v>
      </c>
      <c r="Z76" s="49" t="s">
        <v>689</v>
      </c>
      <c r="AA76" s="38">
        <v>0.7954</v>
      </c>
      <c r="AB76" s="39">
        <v>60462</v>
      </c>
      <c r="AC76" s="90" t="s">
        <v>1222</v>
      </c>
      <c r="AD76" s="53" t="str">
        <f t="shared" si="56"/>
        <v>Link</v>
      </c>
      <c r="AE76" s="54">
        <v>3241</v>
      </c>
      <c r="AF76" s="54">
        <v>120</v>
      </c>
      <c r="AG76" s="55"/>
      <c r="AH76" s="56">
        <v>131283</v>
      </c>
      <c r="AI76" s="56"/>
    </row>
    <row r="77" spans="1:35" ht="13" x14ac:dyDescent="0.15">
      <c r="A77" s="7"/>
      <c r="B77" s="64" t="s">
        <v>1208</v>
      </c>
      <c r="C77" s="36" t="s">
        <v>43</v>
      </c>
      <c r="D77" s="86">
        <v>5</v>
      </c>
      <c r="E77" s="2" t="s">
        <v>1252</v>
      </c>
      <c r="F77" s="7"/>
      <c r="G77" s="86"/>
      <c r="H77" s="2" t="s">
        <v>1211</v>
      </c>
      <c r="I77" s="2" t="s">
        <v>306</v>
      </c>
      <c r="J77" s="2" t="s">
        <v>1255</v>
      </c>
      <c r="K77" s="2" t="s">
        <v>55</v>
      </c>
      <c r="L77" s="2" t="s">
        <v>1257</v>
      </c>
      <c r="M77" s="2" t="s">
        <v>1215</v>
      </c>
      <c r="N77" s="45" t="str">
        <f t="shared" si="54"/>
        <v>@catholicu_sb</v>
      </c>
      <c r="O77" s="45" t="str">
        <f t="shared" si="55"/>
        <v>Questionnaire</v>
      </c>
      <c r="P77" s="60" t="s">
        <v>1222</v>
      </c>
      <c r="Q77" s="60" t="s">
        <v>1223</v>
      </c>
      <c r="R77" s="48" t="s">
        <v>1225</v>
      </c>
      <c r="S77" s="48" t="s">
        <v>354</v>
      </c>
      <c r="T77" s="49" t="s">
        <v>63</v>
      </c>
      <c r="U77" s="6" t="s">
        <v>343</v>
      </c>
      <c r="V77" s="49"/>
      <c r="W77" s="37">
        <v>3.38</v>
      </c>
      <c r="X77" s="49" t="s">
        <v>1229</v>
      </c>
      <c r="Y77" s="49" t="s">
        <v>1230</v>
      </c>
      <c r="Z77" s="49" t="s">
        <v>689</v>
      </c>
      <c r="AA77" s="38">
        <v>0.7954</v>
      </c>
      <c r="AB77" s="39">
        <v>60462</v>
      </c>
      <c r="AC77" s="90" t="s">
        <v>1222</v>
      </c>
      <c r="AD77" s="53" t="str">
        <f t="shared" si="56"/>
        <v>Link</v>
      </c>
      <c r="AE77" s="54">
        <v>3241</v>
      </c>
      <c r="AF77" s="54">
        <v>120</v>
      </c>
      <c r="AG77" s="55"/>
      <c r="AH77" s="56">
        <v>131283</v>
      </c>
      <c r="AI77" s="56"/>
    </row>
    <row r="78" spans="1:35" ht="13" x14ac:dyDescent="0.15">
      <c r="A78" s="7"/>
      <c r="B78" s="64" t="s">
        <v>1208</v>
      </c>
      <c r="C78" s="36" t="s">
        <v>43</v>
      </c>
      <c r="D78" s="44">
        <v>5</v>
      </c>
      <c r="E78" s="7" t="s">
        <v>1261</v>
      </c>
      <c r="F78" s="7" t="s">
        <v>116</v>
      </c>
      <c r="G78" s="57"/>
      <c r="H78" s="7" t="s">
        <v>1211</v>
      </c>
      <c r="I78" s="7" t="s">
        <v>1262</v>
      </c>
      <c r="J78" s="7" t="s">
        <v>1263</v>
      </c>
      <c r="K78" s="7" t="s">
        <v>55</v>
      </c>
      <c r="L78" s="7" t="s">
        <v>1265</v>
      </c>
      <c r="M78" s="7" t="s">
        <v>1215</v>
      </c>
      <c r="N78" s="45" t="str">
        <f t="shared" si="54"/>
        <v>@catholicu_sb</v>
      </c>
      <c r="O78" s="45" t="str">
        <f t="shared" si="55"/>
        <v>Questionnaire</v>
      </c>
      <c r="P78" s="60" t="s">
        <v>1222</v>
      </c>
      <c r="Q78" s="60" t="s">
        <v>1223</v>
      </c>
      <c r="R78" s="48" t="s">
        <v>1225</v>
      </c>
      <c r="S78" s="48" t="s">
        <v>354</v>
      </c>
      <c r="T78" s="49" t="s">
        <v>63</v>
      </c>
      <c r="U78" s="6" t="s">
        <v>343</v>
      </c>
      <c r="V78" s="49"/>
      <c r="W78" s="37">
        <v>3.38</v>
      </c>
      <c r="X78" s="49" t="s">
        <v>1229</v>
      </c>
      <c r="Y78" s="49" t="s">
        <v>1230</v>
      </c>
      <c r="Z78" s="49" t="s">
        <v>689</v>
      </c>
      <c r="AA78" s="38">
        <v>0.7954</v>
      </c>
      <c r="AB78" s="39">
        <v>60462</v>
      </c>
      <c r="AC78" s="90" t="s">
        <v>1222</v>
      </c>
      <c r="AD78" s="53" t="str">
        <f t="shared" si="56"/>
        <v>Link</v>
      </c>
      <c r="AE78" s="54">
        <v>3241</v>
      </c>
      <c r="AF78" s="54">
        <v>120</v>
      </c>
      <c r="AG78" s="55"/>
      <c r="AH78" s="56">
        <v>131283</v>
      </c>
      <c r="AI78" s="85"/>
    </row>
    <row r="79" spans="1:35" ht="13" x14ac:dyDescent="0.15">
      <c r="A79" s="7"/>
      <c r="B79" s="64" t="s">
        <v>1208</v>
      </c>
      <c r="C79" s="36" t="s">
        <v>43</v>
      </c>
      <c r="D79" s="86">
        <v>5</v>
      </c>
      <c r="E79" s="2" t="s">
        <v>1273</v>
      </c>
      <c r="F79" s="7"/>
      <c r="G79" s="86"/>
      <c r="H79" s="2" t="s">
        <v>1274</v>
      </c>
      <c r="I79" s="2" t="s">
        <v>1275</v>
      </c>
      <c r="J79" s="2" t="s">
        <v>1276</v>
      </c>
      <c r="K79" s="2" t="s">
        <v>48</v>
      </c>
      <c r="L79" s="2" t="s">
        <v>1277</v>
      </c>
      <c r="M79" s="2" t="s">
        <v>1279</v>
      </c>
      <c r="N79" s="48"/>
      <c r="O79" s="45" t="str">
        <f t="shared" ref="O79:O81" si="57">HYPERLINK("https://gallaudet.askadmissions.net/emtinterestpage.aspx?ip=studentathlete","Questionnaire")</f>
        <v>Questionnaire</v>
      </c>
      <c r="P79" s="60" t="s">
        <v>1285</v>
      </c>
      <c r="Q79" s="60" t="s">
        <v>1223</v>
      </c>
      <c r="R79" s="48" t="s">
        <v>1225</v>
      </c>
      <c r="S79" s="48" t="s">
        <v>354</v>
      </c>
      <c r="T79" s="49" t="s">
        <v>63</v>
      </c>
      <c r="U79" s="48" t="s">
        <v>75</v>
      </c>
      <c r="V79" s="49"/>
      <c r="W79" s="37">
        <v>3.15</v>
      </c>
      <c r="X79" s="49" t="s">
        <v>1290</v>
      </c>
      <c r="Y79" s="49" t="s">
        <v>1291</v>
      </c>
      <c r="Z79" s="49" t="s">
        <v>1292</v>
      </c>
      <c r="AA79" s="65">
        <v>0.66</v>
      </c>
      <c r="AB79" s="39">
        <v>36218</v>
      </c>
      <c r="AC79" s="90" t="s">
        <v>1285</v>
      </c>
      <c r="AD79" s="53" t="str">
        <f t="shared" ref="AD79:AD81" si="58">HYPERLINK("http://www.gallaudet.edu/academics-at-gallaudet/majors-and-minors","Link")</f>
        <v>Link</v>
      </c>
      <c r="AE79" s="54">
        <v>1121</v>
      </c>
      <c r="AF79" s="55"/>
      <c r="AG79" s="55"/>
      <c r="AH79" s="56">
        <v>131450</v>
      </c>
      <c r="AI79" s="56"/>
    </row>
    <row r="80" spans="1:35" ht="13" x14ac:dyDescent="0.15">
      <c r="A80" s="7"/>
      <c r="B80" s="64" t="s">
        <v>1208</v>
      </c>
      <c r="C80" s="36" t="s">
        <v>43</v>
      </c>
      <c r="D80" s="86">
        <v>5</v>
      </c>
      <c r="E80" s="2" t="s">
        <v>1296</v>
      </c>
      <c r="F80" s="7"/>
      <c r="G80" s="86"/>
      <c r="H80" s="2" t="s">
        <v>1274</v>
      </c>
      <c r="I80" s="2" t="s">
        <v>1298</v>
      </c>
      <c r="J80" s="2" t="s">
        <v>263</v>
      </c>
      <c r="K80" s="2" t="s">
        <v>55</v>
      </c>
      <c r="L80" s="2" t="s">
        <v>1300</v>
      </c>
      <c r="M80" s="2"/>
      <c r="N80" s="48"/>
      <c r="O80" s="45" t="str">
        <f t="shared" si="57"/>
        <v>Questionnaire</v>
      </c>
      <c r="P80" s="60" t="s">
        <v>1285</v>
      </c>
      <c r="Q80" s="60" t="s">
        <v>1223</v>
      </c>
      <c r="R80" s="48" t="s">
        <v>1225</v>
      </c>
      <c r="S80" s="48" t="s">
        <v>354</v>
      </c>
      <c r="T80" s="49" t="s">
        <v>63</v>
      </c>
      <c r="U80" s="48" t="s">
        <v>75</v>
      </c>
      <c r="V80" s="49"/>
      <c r="W80" s="37">
        <v>3.15</v>
      </c>
      <c r="X80" s="49" t="s">
        <v>1290</v>
      </c>
      <c r="Y80" s="49" t="s">
        <v>1291</v>
      </c>
      <c r="Z80" s="49" t="s">
        <v>1292</v>
      </c>
      <c r="AA80" s="65">
        <v>0.66</v>
      </c>
      <c r="AB80" s="39">
        <v>36218</v>
      </c>
      <c r="AC80" s="90" t="s">
        <v>1285</v>
      </c>
      <c r="AD80" s="53" t="str">
        <f t="shared" si="58"/>
        <v>Link</v>
      </c>
      <c r="AE80" s="54">
        <v>1121</v>
      </c>
      <c r="AF80" s="55"/>
      <c r="AG80" s="55"/>
      <c r="AH80" s="56">
        <v>131450</v>
      </c>
      <c r="AI80" s="56"/>
    </row>
    <row r="81" spans="1:35" ht="13" x14ac:dyDescent="0.15">
      <c r="A81" s="7"/>
      <c r="B81" s="64" t="s">
        <v>1208</v>
      </c>
      <c r="C81" s="36" t="s">
        <v>43</v>
      </c>
      <c r="D81" s="86">
        <v>5</v>
      </c>
      <c r="E81" s="2" t="s">
        <v>1310</v>
      </c>
      <c r="F81" s="7"/>
      <c r="G81" s="86"/>
      <c r="H81" s="2" t="s">
        <v>1274</v>
      </c>
      <c r="I81" s="2" t="s">
        <v>1311</v>
      </c>
      <c r="J81" s="2" t="s">
        <v>1312</v>
      </c>
      <c r="K81" s="2" t="s">
        <v>55</v>
      </c>
      <c r="L81" s="2" t="s">
        <v>1313</v>
      </c>
      <c r="M81" s="2"/>
      <c r="N81" s="48"/>
      <c r="O81" s="45" t="str">
        <f t="shared" si="57"/>
        <v>Questionnaire</v>
      </c>
      <c r="P81" s="60" t="s">
        <v>1285</v>
      </c>
      <c r="Q81" s="60" t="s">
        <v>1223</v>
      </c>
      <c r="R81" s="48" t="s">
        <v>1225</v>
      </c>
      <c r="S81" s="48" t="s">
        <v>354</v>
      </c>
      <c r="T81" s="49" t="s">
        <v>63</v>
      </c>
      <c r="U81" s="48" t="s">
        <v>75</v>
      </c>
      <c r="V81" s="49"/>
      <c r="W81" s="37">
        <v>3.15</v>
      </c>
      <c r="X81" s="49" t="s">
        <v>1290</v>
      </c>
      <c r="Y81" s="49" t="s">
        <v>1291</v>
      </c>
      <c r="Z81" s="49" t="s">
        <v>1292</v>
      </c>
      <c r="AA81" s="65">
        <v>0.66</v>
      </c>
      <c r="AB81" s="39">
        <v>36218</v>
      </c>
      <c r="AC81" s="90" t="s">
        <v>1285</v>
      </c>
      <c r="AD81" s="53" t="str">
        <f t="shared" si="58"/>
        <v>Link</v>
      </c>
      <c r="AE81" s="54">
        <v>1121</v>
      </c>
      <c r="AF81" s="55"/>
      <c r="AG81" s="55"/>
      <c r="AH81" s="56">
        <v>131450</v>
      </c>
      <c r="AI81" s="56"/>
    </row>
    <row r="82" spans="1:35" ht="13" x14ac:dyDescent="0.15">
      <c r="A82" s="7"/>
      <c r="B82" s="64" t="s">
        <v>1208</v>
      </c>
      <c r="C82" s="36" t="s">
        <v>43</v>
      </c>
      <c r="D82" s="86">
        <v>5</v>
      </c>
      <c r="E82" s="2" t="s">
        <v>1320</v>
      </c>
      <c r="F82" s="7"/>
      <c r="G82" s="86"/>
      <c r="H82" s="2" t="s">
        <v>1321</v>
      </c>
      <c r="I82" s="2" t="s">
        <v>552</v>
      </c>
      <c r="J82" s="2" t="s">
        <v>1322</v>
      </c>
      <c r="K82" s="2" t="s">
        <v>48</v>
      </c>
      <c r="L82" s="95" t="s">
        <v>1323</v>
      </c>
      <c r="M82" s="2" t="s">
        <v>1324</v>
      </c>
      <c r="N82" s="48"/>
      <c r="O82" s="45" t="str">
        <f t="shared" ref="O82:O83" si="59">HYPERLINK("https://www.trinitydc.edu/athletics-home/recruiting/","Questionnaire")</f>
        <v>Questionnaire</v>
      </c>
      <c r="P82" s="6" t="s">
        <v>1334</v>
      </c>
      <c r="Q82" s="60" t="s">
        <v>1223</v>
      </c>
      <c r="R82" s="6" t="s">
        <v>1225</v>
      </c>
      <c r="S82" s="6" t="s">
        <v>354</v>
      </c>
      <c r="T82" s="4" t="s">
        <v>63</v>
      </c>
      <c r="U82" s="7" t="s">
        <v>343</v>
      </c>
      <c r="V82" s="7" t="s">
        <v>1006</v>
      </c>
      <c r="W82" s="37">
        <v>2.8</v>
      </c>
      <c r="X82" s="4" t="s">
        <v>214</v>
      </c>
      <c r="Y82" s="4" t="s">
        <v>214</v>
      </c>
      <c r="Z82" s="4" t="s">
        <v>214</v>
      </c>
      <c r="AA82" s="65">
        <v>0.89</v>
      </c>
      <c r="AB82" s="39">
        <v>36764</v>
      </c>
      <c r="AC82" s="84" t="s">
        <v>1334</v>
      </c>
      <c r="AD82" s="67" t="str">
        <f t="shared" ref="AD82:AD83" si="60">HYPERLINK("https://www.trinitydc.edu/catalog-14-15/majors-cas/","Link")</f>
        <v>Link</v>
      </c>
      <c r="AE82" s="42">
        <v>1563</v>
      </c>
      <c r="AF82" s="55"/>
      <c r="AG82" s="7"/>
      <c r="AH82" s="56">
        <v>131876</v>
      </c>
      <c r="AI82" s="56"/>
    </row>
    <row r="83" spans="1:35" ht="13" x14ac:dyDescent="0.15">
      <c r="A83" s="7"/>
      <c r="B83" s="64" t="s">
        <v>1208</v>
      </c>
      <c r="C83" s="36" t="s">
        <v>43</v>
      </c>
      <c r="D83" s="86">
        <v>5</v>
      </c>
      <c r="E83" s="2" t="s">
        <v>1347</v>
      </c>
      <c r="F83" s="7"/>
      <c r="G83" s="86"/>
      <c r="H83" s="2" t="s">
        <v>1321</v>
      </c>
      <c r="I83" s="2" t="s">
        <v>1348</v>
      </c>
      <c r="J83" s="2" t="s">
        <v>1349</v>
      </c>
      <c r="K83" s="2" t="s">
        <v>55</v>
      </c>
      <c r="L83" s="2"/>
      <c r="M83" s="2"/>
      <c r="N83" s="48"/>
      <c r="O83" s="45" t="str">
        <f t="shared" si="59"/>
        <v>Questionnaire</v>
      </c>
      <c r="P83" s="6" t="s">
        <v>1334</v>
      </c>
      <c r="Q83" s="60" t="s">
        <v>1223</v>
      </c>
      <c r="R83" s="6" t="s">
        <v>1225</v>
      </c>
      <c r="S83" s="6" t="s">
        <v>354</v>
      </c>
      <c r="T83" s="4" t="s">
        <v>63</v>
      </c>
      <c r="U83" s="7" t="s">
        <v>343</v>
      </c>
      <c r="V83" s="7" t="s">
        <v>1006</v>
      </c>
      <c r="W83" s="37">
        <v>2.8</v>
      </c>
      <c r="X83" s="4" t="s">
        <v>214</v>
      </c>
      <c r="Y83" s="4" t="s">
        <v>214</v>
      </c>
      <c r="Z83" s="4" t="s">
        <v>214</v>
      </c>
      <c r="AA83" s="65">
        <v>0.89</v>
      </c>
      <c r="AB83" s="39">
        <v>36764</v>
      </c>
      <c r="AC83" s="84" t="s">
        <v>1334</v>
      </c>
      <c r="AD83" s="67" t="str">
        <f t="shared" si="60"/>
        <v>Link</v>
      </c>
      <c r="AE83" s="42">
        <v>1563</v>
      </c>
      <c r="AF83" s="55"/>
      <c r="AG83" s="7"/>
      <c r="AH83" s="56">
        <v>131876</v>
      </c>
      <c r="AI83" s="56"/>
    </row>
    <row r="84" spans="1:35" ht="13" x14ac:dyDescent="0.15">
      <c r="A84" s="7"/>
      <c r="B84" s="88" t="s">
        <v>1354</v>
      </c>
      <c r="C84" s="36" t="s">
        <v>43</v>
      </c>
      <c r="D84" s="86">
        <v>5</v>
      </c>
      <c r="E84" s="2" t="s">
        <v>1355</v>
      </c>
      <c r="F84" s="7"/>
      <c r="G84" s="86"/>
      <c r="H84" s="2" t="s">
        <v>1356</v>
      </c>
      <c r="I84" s="2" t="s">
        <v>1357</v>
      </c>
      <c r="J84" s="2" t="s">
        <v>1358</v>
      </c>
      <c r="K84" s="2" t="s">
        <v>48</v>
      </c>
      <c r="L84" s="2" t="s">
        <v>1359</v>
      </c>
      <c r="M84" s="2" t="s">
        <v>1360</v>
      </c>
      <c r="N84" s="45" t="str">
        <f t="shared" ref="N84:N85" si="61">HYPERLINK("twitter.com/agnesscottsb","@agnesscottsb")</f>
        <v>@agnesscottsb</v>
      </c>
      <c r="O84" s="45" t="str">
        <f t="shared" ref="O84:O85" si="62">HYPERLINK("https://www.ascscotties.com/athletics/psa_questionnaire","Questionnaire")</f>
        <v>Questionnaire</v>
      </c>
      <c r="P84" s="60" t="s">
        <v>1370</v>
      </c>
      <c r="Q84" s="60" t="s">
        <v>871</v>
      </c>
      <c r="R84" s="48" t="s">
        <v>1371</v>
      </c>
      <c r="S84" s="48" t="s">
        <v>172</v>
      </c>
      <c r="T84" s="49" t="s">
        <v>63</v>
      </c>
      <c r="U84" s="48" t="s">
        <v>248</v>
      </c>
      <c r="V84" s="49" t="s">
        <v>1006</v>
      </c>
      <c r="W84" s="37">
        <v>3.83</v>
      </c>
      <c r="X84" s="49" t="s">
        <v>1372</v>
      </c>
      <c r="Y84" s="49" t="s">
        <v>1229</v>
      </c>
      <c r="Z84" s="49" t="s">
        <v>1373</v>
      </c>
      <c r="AA84" s="38">
        <v>0.64680000000000004</v>
      </c>
      <c r="AB84" s="42">
        <v>51992</v>
      </c>
      <c r="AC84" s="90" t="s">
        <v>1370</v>
      </c>
      <c r="AD84" s="53" t="str">
        <f t="shared" ref="AD84:AD85" si="63">HYPERLINK("https://www.agnesscott.edu/academics/majors-minors/index.html","Link")</f>
        <v>Link</v>
      </c>
      <c r="AE84" s="54">
        <v>927</v>
      </c>
      <c r="AF84" s="55"/>
      <c r="AG84" s="54">
        <v>61</v>
      </c>
      <c r="AH84" s="56">
        <v>138600</v>
      </c>
      <c r="AI84" s="56"/>
    </row>
    <row r="85" spans="1:35" ht="13" x14ac:dyDescent="0.15">
      <c r="A85" s="7"/>
      <c r="B85" s="88" t="s">
        <v>1354</v>
      </c>
      <c r="C85" s="36" t="s">
        <v>43</v>
      </c>
      <c r="D85" s="86">
        <v>5</v>
      </c>
      <c r="E85" s="2" t="s">
        <v>1381</v>
      </c>
      <c r="F85" s="7"/>
      <c r="G85" s="86"/>
      <c r="H85" s="2" t="s">
        <v>1356</v>
      </c>
      <c r="I85" s="2" t="s">
        <v>1382</v>
      </c>
      <c r="J85" s="2" t="s">
        <v>1383</v>
      </c>
      <c r="K85" s="2" t="s">
        <v>139</v>
      </c>
      <c r="L85" s="2"/>
      <c r="M85" s="2"/>
      <c r="N85" s="45" t="str">
        <f t="shared" si="61"/>
        <v>@agnesscottsb</v>
      </c>
      <c r="O85" s="45" t="str">
        <f t="shared" si="62"/>
        <v>Questionnaire</v>
      </c>
      <c r="P85" s="60" t="s">
        <v>1370</v>
      </c>
      <c r="Q85" s="60" t="s">
        <v>871</v>
      </c>
      <c r="R85" s="48" t="s">
        <v>1371</v>
      </c>
      <c r="S85" s="48" t="s">
        <v>172</v>
      </c>
      <c r="T85" s="49" t="s">
        <v>63</v>
      </c>
      <c r="U85" s="48" t="s">
        <v>248</v>
      </c>
      <c r="V85" s="49" t="s">
        <v>1006</v>
      </c>
      <c r="W85" s="37">
        <v>3.83</v>
      </c>
      <c r="X85" s="49" t="s">
        <v>1372</v>
      </c>
      <c r="Y85" s="49" t="s">
        <v>1229</v>
      </c>
      <c r="Z85" s="49" t="s">
        <v>1373</v>
      </c>
      <c r="AA85" s="38">
        <v>0.64680000000000004</v>
      </c>
      <c r="AB85" s="42">
        <v>51992</v>
      </c>
      <c r="AC85" s="90" t="s">
        <v>1370</v>
      </c>
      <c r="AD85" s="53" t="str">
        <f t="shared" si="63"/>
        <v>Link</v>
      </c>
      <c r="AE85" s="54">
        <v>927</v>
      </c>
      <c r="AF85" s="55"/>
      <c r="AG85" s="54">
        <v>61</v>
      </c>
      <c r="AH85" s="56">
        <v>138600</v>
      </c>
      <c r="AI85" s="56"/>
    </row>
    <row r="86" spans="1:35" ht="13" x14ac:dyDescent="0.15">
      <c r="A86" s="7"/>
      <c r="B86" s="64" t="s">
        <v>1354</v>
      </c>
      <c r="C86" s="36" t="s">
        <v>43</v>
      </c>
      <c r="D86" s="86">
        <v>5</v>
      </c>
      <c r="E86" s="2" t="s">
        <v>1393</v>
      </c>
      <c r="F86" s="7"/>
      <c r="G86" s="86"/>
      <c r="H86" s="2" t="s">
        <v>1394</v>
      </c>
      <c r="I86" s="2" t="s">
        <v>421</v>
      </c>
      <c r="J86" s="2"/>
      <c r="K86" s="2" t="s">
        <v>48</v>
      </c>
      <c r="L86" s="2"/>
      <c r="M86" s="2"/>
      <c r="N86" s="45" t="str">
        <f t="shared" ref="N86:N90" si="64">HYPERLINK("twitter.com/berrysoftball","@berrysoftball")</f>
        <v>@berrysoftball</v>
      </c>
      <c r="O86" s="45" t="str">
        <f t="shared" ref="O86:O90" si="65">HYPERLINK("https://www.berryvikings.com/information/recruitment","Questionnaire")</f>
        <v>Questionnaire</v>
      </c>
      <c r="P86" s="60" t="s">
        <v>1402</v>
      </c>
      <c r="Q86" s="60" t="s">
        <v>871</v>
      </c>
      <c r="R86" s="48" t="s">
        <v>1403</v>
      </c>
      <c r="S86" s="48" t="s">
        <v>468</v>
      </c>
      <c r="T86" s="49" t="s">
        <v>63</v>
      </c>
      <c r="U86" s="48" t="s">
        <v>75</v>
      </c>
      <c r="V86" s="49"/>
      <c r="W86" s="37">
        <v>3.74</v>
      </c>
      <c r="X86" s="49" t="s">
        <v>1319</v>
      </c>
      <c r="Y86" s="49" t="s">
        <v>1406</v>
      </c>
      <c r="Z86" s="49" t="s">
        <v>1408</v>
      </c>
      <c r="AA86" s="38">
        <v>0.62090000000000001</v>
      </c>
      <c r="AB86" s="39">
        <v>48484</v>
      </c>
      <c r="AC86" s="90" t="s">
        <v>1402</v>
      </c>
      <c r="AD86" s="53" t="str">
        <f t="shared" ref="AD86:AD90" si="66">HYPERLINK("http://www.berry.edu/academics/majors/","Link")</f>
        <v>Link</v>
      </c>
      <c r="AE86" s="54">
        <v>2073</v>
      </c>
      <c r="AF86" s="55"/>
      <c r="AG86" s="55"/>
      <c r="AH86" s="56">
        <v>139144</v>
      </c>
      <c r="AI86" s="56"/>
    </row>
    <row r="87" spans="1:35" ht="13" x14ac:dyDescent="0.15">
      <c r="A87" s="7"/>
      <c r="B87" s="64" t="s">
        <v>1354</v>
      </c>
      <c r="C87" s="36" t="s">
        <v>43</v>
      </c>
      <c r="D87" s="86">
        <v>5</v>
      </c>
      <c r="E87" s="2" t="s">
        <v>1417</v>
      </c>
      <c r="F87" s="7"/>
      <c r="G87" s="86"/>
      <c r="H87" s="2" t="s">
        <v>1394</v>
      </c>
      <c r="I87" s="2" t="s">
        <v>143</v>
      </c>
      <c r="J87" s="2" t="s">
        <v>1421</v>
      </c>
      <c r="K87" s="2" t="s">
        <v>1423</v>
      </c>
      <c r="L87" s="2" t="s">
        <v>1424</v>
      </c>
      <c r="M87" s="2" t="s">
        <v>1425</v>
      </c>
      <c r="N87" s="45" t="str">
        <f t="shared" si="64"/>
        <v>@berrysoftball</v>
      </c>
      <c r="O87" s="45" t="str">
        <f t="shared" si="65"/>
        <v>Questionnaire</v>
      </c>
      <c r="P87" s="60" t="s">
        <v>1402</v>
      </c>
      <c r="Q87" s="60" t="s">
        <v>871</v>
      </c>
      <c r="R87" s="48" t="s">
        <v>1403</v>
      </c>
      <c r="S87" s="48" t="s">
        <v>468</v>
      </c>
      <c r="T87" s="49" t="s">
        <v>63</v>
      </c>
      <c r="U87" s="48" t="s">
        <v>75</v>
      </c>
      <c r="V87" s="49"/>
      <c r="W87" s="37">
        <v>3.74</v>
      </c>
      <c r="X87" s="49" t="s">
        <v>1319</v>
      </c>
      <c r="Y87" s="49" t="s">
        <v>1406</v>
      </c>
      <c r="Z87" s="49" t="s">
        <v>1408</v>
      </c>
      <c r="AA87" s="38">
        <v>0.62090000000000001</v>
      </c>
      <c r="AB87" s="39">
        <v>48484</v>
      </c>
      <c r="AC87" s="90" t="s">
        <v>1402</v>
      </c>
      <c r="AD87" s="53" t="str">
        <f t="shared" si="66"/>
        <v>Link</v>
      </c>
      <c r="AE87" s="54">
        <v>2073</v>
      </c>
      <c r="AF87" s="55"/>
      <c r="AG87" s="55"/>
      <c r="AH87" s="56">
        <v>139144</v>
      </c>
      <c r="AI87" s="56"/>
    </row>
    <row r="88" spans="1:35" ht="13" x14ac:dyDescent="0.15">
      <c r="A88" s="7"/>
      <c r="B88" s="64" t="s">
        <v>1354</v>
      </c>
      <c r="C88" s="36" t="s">
        <v>43</v>
      </c>
      <c r="D88" s="86">
        <v>5</v>
      </c>
      <c r="E88" s="2" t="s">
        <v>1433</v>
      </c>
      <c r="F88" s="7"/>
      <c r="G88" s="86"/>
      <c r="H88" s="2" t="s">
        <v>1394</v>
      </c>
      <c r="I88" s="2" t="s">
        <v>201</v>
      </c>
      <c r="J88" s="2" t="s">
        <v>1434</v>
      </c>
      <c r="K88" s="2" t="s">
        <v>139</v>
      </c>
      <c r="L88" s="2"/>
      <c r="M88" s="2" t="s">
        <v>1436</v>
      </c>
      <c r="N88" s="45" t="str">
        <f t="shared" si="64"/>
        <v>@berrysoftball</v>
      </c>
      <c r="O88" s="45" t="str">
        <f t="shared" si="65"/>
        <v>Questionnaire</v>
      </c>
      <c r="P88" s="60" t="s">
        <v>1402</v>
      </c>
      <c r="Q88" s="60" t="s">
        <v>871</v>
      </c>
      <c r="R88" s="48" t="s">
        <v>1403</v>
      </c>
      <c r="S88" s="48" t="s">
        <v>468</v>
      </c>
      <c r="T88" s="49" t="s">
        <v>63</v>
      </c>
      <c r="U88" s="48" t="s">
        <v>75</v>
      </c>
      <c r="V88" s="49"/>
      <c r="W88" s="37">
        <v>3.74</v>
      </c>
      <c r="X88" s="49" t="s">
        <v>1319</v>
      </c>
      <c r="Y88" s="49" t="s">
        <v>1406</v>
      </c>
      <c r="Z88" s="49" t="s">
        <v>1408</v>
      </c>
      <c r="AA88" s="38">
        <v>0.62090000000000001</v>
      </c>
      <c r="AB88" s="39">
        <v>48484</v>
      </c>
      <c r="AC88" s="90" t="s">
        <v>1402</v>
      </c>
      <c r="AD88" s="53" t="str">
        <f t="shared" si="66"/>
        <v>Link</v>
      </c>
      <c r="AE88" s="54">
        <v>2073</v>
      </c>
      <c r="AF88" s="55"/>
      <c r="AG88" s="55"/>
      <c r="AH88" s="56">
        <v>139144</v>
      </c>
      <c r="AI88" s="56"/>
    </row>
    <row r="89" spans="1:35" ht="13" x14ac:dyDescent="0.15">
      <c r="A89" s="7"/>
      <c r="B89" s="64" t="s">
        <v>1354</v>
      </c>
      <c r="C89" s="36" t="s">
        <v>43</v>
      </c>
      <c r="D89" s="86">
        <v>5</v>
      </c>
      <c r="E89" s="2" t="s">
        <v>1446</v>
      </c>
      <c r="F89" s="7"/>
      <c r="G89" s="86"/>
      <c r="H89" s="2" t="s">
        <v>1394</v>
      </c>
      <c r="I89" s="2" t="s">
        <v>1447</v>
      </c>
      <c r="J89" s="2" t="s">
        <v>1448</v>
      </c>
      <c r="K89" s="2" t="s">
        <v>139</v>
      </c>
      <c r="L89" s="2"/>
      <c r="M89" s="2"/>
      <c r="N89" s="45" t="str">
        <f t="shared" si="64"/>
        <v>@berrysoftball</v>
      </c>
      <c r="O89" s="45" t="str">
        <f t="shared" si="65"/>
        <v>Questionnaire</v>
      </c>
      <c r="P89" s="60" t="s">
        <v>1402</v>
      </c>
      <c r="Q89" s="60" t="s">
        <v>871</v>
      </c>
      <c r="R89" s="48" t="s">
        <v>1403</v>
      </c>
      <c r="S89" s="48" t="s">
        <v>468</v>
      </c>
      <c r="T89" s="49" t="s">
        <v>63</v>
      </c>
      <c r="U89" s="48" t="s">
        <v>75</v>
      </c>
      <c r="V89" s="49"/>
      <c r="W89" s="37">
        <v>3.74</v>
      </c>
      <c r="X89" s="49" t="s">
        <v>1319</v>
      </c>
      <c r="Y89" s="49" t="s">
        <v>1406</v>
      </c>
      <c r="Z89" s="49" t="s">
        <v>1408</v>
      </c>
      <c r="AA89" s="38">
        <v>0.62090000000000001</v>
      </c>
      <c r="AB89" s="39">
        <v>48484</v>
      </c>
      <c r="AC89" s="90" t="s">
        <v>1402</v>
      </c>
      <c r="AD89" s="53" t="str">
        <f t="shared" si="66"/>
        <v>Link</v>
      </c>
      <c r="AE89" s="54">
        <v>2073</v>
      </c>
      <c r="AF89" s="55"/>
      <c r="AG89" s="55"/>
      <c r="AH89" s="56">
        <v>139144</v>
      </c>
      <c r="AI89" s="56"/>
    </row>
    <row r="90" spans="1:35" ht="13" x14ac:dyDescent="0.15">
      <c r="A90" s="7"/>
      <c r="B90" s="64" t="s">
        <v>1354</v>
      </c>
      <c r="C90" s="36" t="s">
        <v>43</v>
      </c>
      <c r="D90" s="44">
        <v>5</v>
      </c>
      <c r="E90" s="7" t="s">
        <v>1458</v>
      </c>
      <c r="F90" s="7" t="s">
        <v>116</v>
      </c>
      <c r="G90" s="57"/>
      <c r="H90" s="7" t="s">
        <v>1394</v>
      </c>
      <c r="I90" s="7" t="s">
        <v>1459</v>
      </c>
      <c r="J90" s="7" t="s">
        <v>1460</v>
      </c>
      <c r="K90" s="7" t="s">
        <v>55</v>
      </c>
      <c r="L90" s="7" t="s">
        <v>1462</v>
      </c>
      <c r="M90" s="7" t="s">
        <v>1425</v>
      </c>
      <c r="N90" s="45" t="str">
        <f t="shared" si="64"/>
        <v>@berrysoftball</v>
      </c>
      <c r="O90" s="45" t="str">
        <f t="shared" si="65"/>
        <v>Questionnaire</v>
      </c>
      <c r="P90" s="60" t="s">
        <v>1402</v>
      </c>
      <c r="Q90" s="60" t="s">
        <v>871</v>
      </c>
      <c r="R90" s="48" t="s">
        <v>1403</v>
      </c>
      <c r="S90" s="48" t="s">
        <v>468</v>
      </c>
      <c r="T90" s="49" t="s">
        <v>63</v>
      </c>
      <c r="U90" s="48" t="s">
        <v>75</v>
      </c>
      <c r="V90" s="49"/>
      <c r="W90" s="37">
        <v>3.74</v>
      </c>
      <c r="X90" s="49" t="s">
        <v>1319</v>
      </c>
      <c r="Y90" s="49" t="s">
        <v>1406</v>
      </c>
      <c r="Z90" s="49" t="s">
        <v>1408</v>
      </c>
      <c r="AA90" s="38">
        <v>0.62090000000000001</v>
      </c>
      <c r="AB90" s="39">
        <v>48484</v>
      </c>
      <c r="AC90" s="90" t="s">
        <v>1402</v>
      </c>
      <c r="AD90" s="53" t="str">
        <f t="shared" si="66"/>
        <v>Link</v>
      </c>
      <c r="AE90" s="54">
        <v>2073</v>
      </c>
      <c r="AF90" s="55"/>
      <c r="AG90" s="55"/>
      <c r="AH90" s="56">
        <v>139144</v>
      </c>
      <c r="AI90" s="85"/>
    </row>
    <row r="91" spans="1:35" ht="13" x14ac:dyDescent="0.15">
      <c r="A91" s="7"/>
      <c r="B91" s="64" t="s">
        <v>1354</v>
      </c>
      <c r="C91" s="2" t="s">
        <v>43</v>
      </c>
      <c r="D91" s="86">
        <v>5</v>
      </c>
      <c r="E91" s="2" t="s">
        <v>1473</v>
      </c>
      <c r="F91" s="7"/>
      <c r="G91" s="86"/>
      <c r="H91" s="2" t="s">
        <v>1474</v>
      </c>
      <c r="I91" s="2" t="s">
        <v>1475</v>
      </c>
      <c r="J91" s="2" t="s">
        <v>1476</v>
      </c>
      <c r="K91" s="2" t="s">
        <v>48</v>
      </c>
      <c r="L91" s="95" t="s">
        <v>1477</v>
      </c>
      <c r="M91" s="2" t="s">
        <v>1478</v>
      </c>
      <c r="N91" s="45" t="str">
        <f t="shared" ref="N91:N92" si="67">HYPERLINK("twitter.com/covenant_sb","@covenant_sb")</f>
        <v>@covenant_sb</v>
      </c>
      <c r="O91" s="45" t="str">
        <f t="shared" ref="O91:O92" si="68">HYPERLINK("https://athletics.covenant.edu/athletics/recruit","Questionnaire")</f>
        <v>Questionnaire</v>
      </c>
      <c r="P91" s="48" t="s">
        <v>1485</v>
      </c>
      <c r="Q91" s="60" t="s">
        <v>871</v>
      </c>
      <c r="R91" s="48" t="s">
        <v>1486</v>
      </c>
      <c r="S91" s="60" t="s">
        <v>205</v>
      </c>
      <c r="T91" s="49" t="s">
        <v>63</v>
      </c>
      <c r="U91" s="6" t="s">
        <v>1487</v>
      </c>
      <c r="V91" s="49"/>
      <c r="W91" s="37">
        <v>3.74</v>
      </c>
      <c r="X91" s="49" t="s">
        <v>1066</v>
      </c>
      <c r="Y91" s="49" t="s">
        <v>1490</v>
      </c>
      <c r="Z91" s="49" t="s">
        <v>1408</v>
      </c>
      <c r="AA91" s="65">
        <v>0.96</v>
      </c>
      <c r="AB91" s="39">
        <v>44700</v>
      </c>
      <c r="AC91" s="84" t="s">
        <v>1485</v>
      </c>
      <c r="AD91" s="53" t="str">
        <f t="shared" ref="AD91:AD92" si="69">HYPERLINK("https://www.covenant.edu/academics/undergrad","Link")</f>
        <v>Link</v>
      </c>
      <c r="AE91" s="54">
        <v>1005</v>
      </c>
      <c r="AF91" s="55"/>
      <c r="AG91" s="54">
        <v>168</v>
      </c>
      <c r="AH91" s="56">
        <v>139393</v>
      </c>
      <c r="AI91" s="56"/>
    </row>
    <row r="92" spans="1:35" ht="13" x14ac:dyDescent="0.15">
      <c r="A92" s="7"/>
      <c r="B92" s="64" t="s">
        <v>1354</v>
      </c>
      <c r="C92" s="2" t="s">
        <v>43</v>
      </c>
      <c r="D92" s="86">
        <v>5</v>
      </c>
      <c r="E92" s="2" t="s">
        <v>1500</v>
      </c>
      <c r="F92" s="7"/>
      <c r="G92" s="86"/>
      <c r="H92" s="2" t="s">
        <v>1474</v>
      </c>
      <c r="I92" s="2" t="s">
        <v>201</v>
      </c>
      <c r="J92" s="2" t="s">
        <v>1502</v>
      </c>
      <c r="K92" s="2" t="s">
        <v>55</v>
      </c>
      <c r="L92" s="2" t="s">
        <v>1503</v>
      </c>
      <c r="M92" s="2" t="s">
        <v>1504</v>
      </c>
      <c r="N92" s="45" t="str">
        <f t="shared" si="67"/>
        <v>@covenant_sb</v>
      </c>
      <c r="O92" s="45" t="str">
        <f t="shared" si="68"/>
        <v>Questionnaire</v>
      </c>
      <c r="P92" s="48" t="s">
        <v>1485</v>
      </c>
      <c r="Q92" s="60" t="s">
        <v>871</v>
      </c>
      <c r="R92" s="48" t="s">
        <v>1486</v>
      </c>
      <c r="S92" s="60" t="s">
        <v>205</v>
      </c>
      <c r="T92" s="49" t="s">
        <v>63</v>
      </c>
      <c r="U92" s="6" t="s">
        <v>1487</v>
      </c>
      <c r="V92" s="49"/>
      <c r="W92" s="37">
        <v>3.74</v>
      </c>
      <c r="X92" s="49" t="s">
        <v>1066</v>
      </c>
      <c r="Y92" s="49" t="s">
        <v>1490</v>
      </c>
      <c r="Z92" s="49" t="s">
        <v>1408</v>
      </c>
      <c r="AA92" s="65">
        <v>0.96</v>
      </c>
      <c r="AB92" s="39">
        <v>44700</v>
      </c>
      <c r="AC92" s="84" t="s">
        <v>1485</v>
      </c>
      <c r="AD92" s="53" t="str">
        <f t="shared" si="69"/>
        <v>Link</v>
      </c>
      <c r="AE92" s="54">
        <v>1005</v>
      </c>
      <c r="AF92" s="55"/>
      <c r="AG92" s="54">
        <v>168</v>
      </c>
      <c r="AH92" s="56">
        <v>139393</v>
      </c>
      <c r="AI92" s="56"/>
    </row>
    <row r="93" spans="1:35" ht="15" x14ac:dyDescent="0.2">
      <c r="A93" s="7"/>
      <c r="B93" s="64" t="s">
        <v>1354</v>
      </c>
      <c r="C93" s="2" t="s">
        <v>43</v>
      </c>
      <c r="D93" s="86">
        <v>5</v>
      </c>
      <c r="E93" s="2" t="s">
        <v>1513</v>
      </c>
      <c r="F93" s="7"/>
      <c r="G93" s="86"/>
      <c r="H93" s="2" t="s">
        <v>1516</v>
      </c>
      <c r="I93" s="2" t="s">
        <v>1517</v>
      </c>
      <c r="J93" s="2" t="s">
        <v>1518</v>
      </c>
      <c r="K93" s="2" t="s">
        <v>48</v>
      </c>
      <c r="L93" s="2" t="s">
        <v>1520</v>
      </c>
      <c r="M93" s="2" t="s">
        <v>1521</v>
      </c>
      <c r="N93" s="45" t="str">
        <f t="shared" ref="N93:N94" si="70">HYPERLINK("twitter.com/emorysoftball","@emorysoftball")</f>
        <v>@emorysoftball</v>
      </c>
      <c r="O93" s="45" t="str">
        <f t="shared" ref="O93:O94" si="71">HYPERLINK("https://www.emoryathletics.com/sports/sball/recruitForm","Questionnaire")</f>
        <v>Questionnaire</v>
      </c>
      <c r="P93" s="108" t="s">
        <v>1527</v>
      </c>
      <c r="Q93" s="60" t="s">
        <v>871</v>
      </c>
      <c r="R93" s="48" t="s">
        <v>887</v>
      </c>
      <c r="S93" s="48" t="s">
        <v>354</v>
      </c>
      <c r="T93" s="49" t="s">
        <v>63</v>
      </c>
      <c r="U93" s="6" t="s">
        <v>65</v>
      </c>
      <c r="V93" s="49"/>
      <c r="W93" s="37">
        <v>3.72</v>
      </c>
      <c r="X93" s="49" t="s">
        <v>1538</v>
      </c>
      <c r="Y93" s="49" t="s">
        <v>1539</v>
      </c>
      <c r="Z93" s="49" t="s">
        <v>626</v>
      </c>
      <c r="AA93" s="65">
        <v>0.25</v>
      </c>
      <c r="AB93" s="39">
        <v>65080</v>
      </c>
      <c r="AC93" s="52" t="s">
        <v>1527</v>
      </c>
      <c r="AD93" s="53" t="str">
        <f t="shared" ref="AD93:AD94" si="72">HYPERLINK("http://apply.emory.edu/discover/majors.php","Link")</f>
        <v>Link</v>
      </c>
      <c r="AE93" s="54">
        <v>6861</v>
      </c>
      <c r="AF93" s="54">
        <v>21</v>
      </c>
      <c r="AG93" s="55"/>
      <c r="AH93" s="56">
        <v>139658</v>
      </c>
      <c r="AI93" s="56"/>
    </row>
    <row r="94" spans="1:35" ht="15" x14ac:dyDescent="0.2">
      <c r="A94" s="7"/>
      <c r="B94" s="64" t="s">
        <v>1354</v>
      </c>
      <c r="C94" s="2" t="s">
        <v>43</v>
      </c>
      <c r="D94" s="86">
        <v>5</v>
      </c>
      <c r="E94" s="2" t="s">
        <v>1544</v>
      </c>
      <c r="F94" s="7"/>
      <c r="G94" s="86"/>
      <c r="H94" s="2" t="s">
        <v>1516</v>
      </c>
      <c r="I94" s="2" t="s">
        <v>1327</v>
      </c>
      <c r="J94" s="2" t="s">
        <v>1545</v>
      </c>
      <c r="K94" s="2" t="s">
        <v>55</v>
      </c>
      <c r="L94" s="2"/>
      <c r="M94" s="2"/>
      <c r="N94" s="45" t="str">
        <f t="shared" si="70"/>
        <v>@emorysoftball</v>
      </c>
      <c r="O94" s="45" t="str">
        <f t="shared" si="71"/>
        <v>Questionnaire</v>
      </c>
      <c r="P94" s="108" t="s">
        <v>1527</v>
      </c>
      <c r="Q94" s="60" t="s">
        <v>871</v>
      </c>
      <c r="R94" s="48" t="s">
        <v>887</v>
      </c>
      <c r="S94" s="48" t="s">
        <v>354</v>
      </c>
      <c r="T94" s="49" t="s">
        <v>63</v>
      </c>
      <c r="U94" s="6" t="s">
        <v>65</v>
      </c>
      <c r="V94" s="49"/>
      <c r="W94" s="37">
        <v>3.72</v>
      </c>
      <c r="X94" s="49" t="s">
        <v>1538</v>
      </c>
      <c r="Y94" s="49" t="s">
        <v>1539</v>
      </c>
      <c r="Z94" s="49" t="s">
        <v>626</v>
      </c>
      <c r="AA94" s="65">
        <v>0.25</v>
      </c>
      <c r="AB94" s="39">
        <v>65080</v>
      </c>
      <c r="AC94" s="52" t="s">
        <v>1527</v>
      </c>
      <c r="AD94" s="53" t="str">
        <f t="shared" si="72"/>
        <v>Link</v>
      </c>
      <c r="AE94" s="54">
        <v>6861</v>
      </c>
      <c r="AF94" s="54">
        <v>21</v>
      </c>
      <c r="AG94" s="55"/>
      <c r="AH94" s="56">
        <v>139658</v>
      </c>
      <c r="AI94" s="56"/>
    </row>
    <row r="95" spans="1:35" ht="13" x14ac:dyDescent="0.15">
      <c r="A95" s="7"/>
      <c r="B95" s="64" t="s">
        <v>1354</v>
      </c>
      <c r="C95" s="36" t="s">
        <v>43</v>
      </c>
      <c r="D95" s="86">
        <v>5</v>
      </c>
      <c r="E95" s="2" t="s">
        <v>1560</v>
      </c>
      <c r="F95" s="7"/>
      <c r="G95" s="86"/>
      <c r="H95" s="2" t="s">
        <v>1562</v>
      </c>
      <c r="I95" s="2" t="s">
        <v>1080</v>
      </c>
      <c r="J95" s="2" t="s">
        <v>1563</v>
      </c>
      <c r="K95" s="2" t="s">
        <v>48</v>
      </c>
      <c r="L95" s="95" t="s">
        <v>1566</v>
      </c>
      <c r="M95" s="2" t="s">
        <v>1567</v>
      </c>
      <c r="N95" s="48"/>
      <c r="O95" s="45" t="str">
        <f t="shared" ref="O95:O97" si="73">HYPERLINK("https://www.lagrangepanthers.com/Recruit_Me","Questionnaire")</f>
        <v>Questionnaire</v>
      </c>
      <c r="P95" s="48" t="s">
        <v>1570</v>
      </c>
      <c r="Q95" s="60" t="s">
        <v>871</v>
      </c>
      <c r="R95" s="48" t="s">
        <v>1571</v>
      </c>
      <c r="S95" s="48" t="s">
        <v>468</v>
      </c>
      <c r="T95" s="49" t="s">
        <v>63</v>
      </c>
      <c r="U95" s="6" t="s">
        <v>65</v>
      </c>
      <c r="V95" s="49"/>
      <c r="W95" s="37">
        <v>3.44</v>
      </c>
      <c r="X95" s="49" t="s">
        <v>1577</v>
      </c>
      <c r="Y95" s="49" t="s">
        <v>1578</v>
      </c>
      <c r="Z95" s="49" t="s">
        <v>240</v>
      </c>
      <c r="AA95" s="65">
        <v>0.57999999999999996</v>
      </c>
      <c r="AB95" s="39">
        <v>43930</v>
      </c>
      <c r="AC95" s="84" t="s">
        <v>1570</v>
      </c>
      <c r="AD95" s="53" t="str">
        <f t="shared" ref="AD95:AD97" si="74">HYPERLINK("http://www.lagrange.edu/academics/majors.html","Link")</f>
        <v>Link</v>
      </c>
      <c r="AE95" s="54">
        <v>906</v>
      </c>
      <c r="AF95" s="55"/>
      <c r="AG95" s="55"/>
      <c r="AH95" s="56">
        <v>140234</v>
      </c>
      <c r="AI95" s="56"/>
    </row>
    <row r="96" spans="1:35" ht="13" x14ac:dyDescent="0.15">
      <c r="A96" s="7"/>
      <c r="B96" s="64" t="s">
        <v>1354</v>
      </c>
      <c r="C96" s="2" t="s">
        <v>43</v>
      </c>
      <c r="D96" s="86">
        <v>5</v>
      </c>
      <c r="E96" s="2" t="s">
        <v>1583</v>
      </c>
      <c r="F96" s="7"/>
      <c r="G96" s="86"/>
      <c r="H96" s="2" t="s">
        <v>1562</v>
      </c>
      <c r="I96" s="2" t="s">
        <v>1585</v>
      </c>
      <c r="J96" s="2" t="s">
        <v>1587</v>
      </c>
      <c r="K96" s="2" t="s">
        <v>55</v>
      </c>
      <c r="L96" s="2"/>
      <c r="M96" s="2"/>
      <c r="N96" s="48"/>
      <c r="O96" s="45" t="str">
        <f t="shared" si="73"/>
        <v>Questionnaire</v>
      </c>
      <c r="P96" s="48" t="s">
        <v>1570</v>
      </c>
      <c r="Q96" s="60" t="s">
        <v>871</v>
      </c>
      <c r="R96" s="48" t="s">
        <v>1571</v>
      </c>
      <c r="S96" s="48" t="s">
        <v>468</v>
      </c>
      <c r="T96" s="49" t="s">
        <v>63</v>
      </c>
      <c r="U96" s="6" t="s">
        <v>65</v>
      </c>
      <c r="V96" s="49"/>
      <c r="W96" s="37">
        <v>3.44</v>
      </c>
      <c r="X96" s="49" t="s">
        <v>1577</v>
      </c>
      <c r="Y96" s="49" t="s">
        <v>1578</v>
      </c>
      <c r="Z96" s="49" t="s">
        <v>240</v>
      </c>
      <c r="AA96" s="65">
        <v>0.57999999999999996</v>
      </c>
      <c r="AB96" s="39">
        <v>43930</v>
      </c>
      <c r="AC96" s="84" t="s">
        <v>1570</v>
      </c>
      <c r="AD96" s="53" t="str">
        <f t="shared" si="74"/>
        <v>Link</v>
      </c>
      <c r="AE96" s="54">
        <v>906</v>
      </c>
      <c r="AF96" s="55"/>
      <c r="AG96" s="55"/>
      <c r="AH96" s="56">
        <v>140234</v>
      </c>
      <c r="AI96" s="56"/>
    </row>
    <row r="97" spans="1:35" ht="13" x14ac:dyDescent="0.15">
      <c r="A97" s="7"/>
      <c r="B97" s="64" t="s">
        <v>1354</v>
      </c>
      <c r="C97" s="36" t="s">
        <v>43</v>
      </c>
      <c r="D97" s="44">
        <v>5</v>
      </c>
      <c r="E97" s="7" t="s">
        <v>1598</v>
      </c>
      <c r="F97" s="7" t="s">
        <v>116</v>
      </c>
      <c r="G97" s="57"/>
      <c r="H97" s="7" t="s">
        <v>1562</v>
      </c>
      <c r="I97" s="7" t="s">
        <v>1585</v>
      </c>
      <c r="J97" s="7" t="s">
        <v>1587</v>
      </c>
      <c r="K97" s="7" t="s">
        <v>55</v>
      </c>
      <c r="L97" s="7"/>
      <c r="M97" s="7"/>
      <c r="N97" s="48"/>
      <c r="O97" s="45" t="str">
        <f t="shared" si="73"/>
        <v>Questionnaire</v>
      </c>
      <c r="P97" s="48" t="s">
        <v>1570</v>
      </c>
      <c r="Q97" s="60" t="s">
        <v>871</v>
      </c>
      <c r="R97" s="48" t="s">
        <v>1571</v>
      </c>
      <c r="S97" s="48" t="s">
        <v>468</v>
      </c>
      <c r="T97" s="49" t="s">
        <v>63</v>
      </c>
      <c r="U97" s="6" t="s">
        <v>65</v>
      </c>
      <c r="V97" s="49"/>
      <c r="W97" s="37">
        <v>3.44</v>
      </c>
      <c r="X97" s="49" t="s">
        <v>1577</v>
      </c>
      <c r="Y97" s="49" t="s">
        <v>1578</v>
      </c>
      <c r="Z97" s="49" t="s">
        <v>240</v>
      </c>
      <c r="AA97" s="65">
        <v>0.57999999999999996</v>
      </c>
      <c r="AB97" s="39">
        <v>43930</v>
      </c>
      <c r="AC97" s="84" t="s">
        <v>1570</v>
      </c>
      <c r="AD97" s="53" t="str">
        <f t="shared" si="74"/>
        <v>Link</v>
      </c>
      <c r="AE97" s="54">
        <v>906</v>
      </c>
      <c r="AF97" s="55"/>
      <c r="AG97" s="55"/>
      <c r="AH97" s="56">
        <v>140234</v>
      </c>
      <c r="AI97" s="85"/>
    </row>
    <row r="98" spans="1:35" ht="13" x14ac:dyDescent="0.15">
      <c r="A98" s="7"/>
      <c r="B98" s="64" t="s">
        <v>1354</v>
      </c>
      <c r="C98" s="36" t="s">
        <v>43</v>
      </c>
      <c r="D98" s="86">
        <v>5</v>
      </c>
      <c r="E98" s="2" t="s">
        <v>1607</v>
      </c>
      <c r="F98" s="7"/>
      <c r="G98" s="86"/>
      <c r="H98" s="2" t="s">
        <v>1609</v>
      </c>
      <c r="I98" s="2" t="s">
        <v>1610</v>
      </c>
      <c r="J98" s="2" t="s">
        <v>1611</v>
      </c>
      <c r="K98" s="2" t="s">
        <v>48</v>
      </c>
      <c r="L98" s="2" t="s">
        <v>1612</v>
      </c>
      <c r="M98" s="2" t="s">
        <v>1613</v>
      </c>
      <c r="N98" s="45" t="str">
        <f t="shared" ref="N98:N100" si="75">HYPERLINK("twitter.com/pclionssoftball","@pclionssoftball")</f>
        <v>@pclionssoftball</v>
      </c>
      <c r="O98" s="45" t="str">
        <f t="shared" ref="O98:O100" si="76">HYPERLINK("https://piedmontlions.com/sports/2014/11/11/GEN_1111141747.aspx","Questionnaire")</f>
        <v>Questionnaire</v>
      </c>
      <c r="P98" s="48" t="s">
        <v>1623</v>
      </c>
      <c r="Q98" s="60" t="s">
        <v>871</v>
      </c>
      <c r="R98" s="48" t="s">
        <v>1624</v>
      </c>
      <c r="S98" s="60" t="s">
        <v>205</v>
      </c>
      <c r="T98" s="49" t="s">
        <v>63</v>
      </c>
      <c r="U98" s="6" t="s">
        <v>1625</v>
      </c>
      <c r="V98" s="49"/>
      <c r="W98" s="37">
        <v>3.47</v>
      </c>
      <c r="X98" s="49" t="s">
        <v>1628</v>
      </c>
      <c r="Y98" s="49" t="s">
        <v>1453</v>
      </c>
      <c r="Z98" s="49" t="s">
        <v>125</v>
      </c>
      <c r="AA98" s="65">
        <v>0.56999999999999995</v>
      </c>
      <c r="AB98" s="39">
        <v>36802</v>
      </c>
      <c r="AC98" s="84" t="s">
        <v>1623</v>
      </c>
      <c r="AD98" s="53" t="str">
        <f t="shared" ref="AD98:AD100" si="77">HYPERLINK("https://www.piedmont.edu/academics","Link")</f>
        <v>Link</v>
      </c>
      <c r="AE98" s="54">
        <v>1295</v>
      </c>
      <c r="AF98" s="55"/>
      <c r="AG98" s="55"/>
      <c r="AH98" s="56">
        <v>140818</v>
      </c>
      <c r="AI98" s="56"/>
    </row>
    <row r="99" spans="1:35" ht="13" x14ac:dyDescent="0.15">
      <c r="A99" s="7"/>
      <c r="B99" s="64" t="s">
        <v>1354</v>
      </c>
      <c r="C99" s="36" t="s">
        <v>43</v>
      </c>
      <c r="D99" s="86">
        <v>5</v>
      </c>
      <c r="E99" s="2" t="s">
        <v>1635</v>
      </c>
      <c r="F99" s="7"/>
      <c r="G99" s="86"/>
      <c r="H99" s="2" t="s">
        <v>1609</v>
      </c>
      <c r="I99" s="2" t="s">
        <v>658</v>
      </c>
      <c r="J99" s="2" t="s">
        <v>1638</v>
      </c>
      <c r="K99" s="2" t="s">
        <v>55</v>
      </c>
      <c r="L99" s="2" t="s">
        <v>1640</v>
      </c>
      <c r="M99" s="2" t="s">
        <v>1643</v>
      </c>
      <c r="N99" s="45" t="str">
        <f t="shared" si="75"/>
        <v>@pclionssoftball</v>
      </c>
      <c r="O99" s="45" t="str">
        <f t="shared" si="76"/>
        <v>Questionnaire</v>
      </c>
      <c r="P99" s="48" t="s">
        <v>1623</v>
      </c>
      <c r="Q99" s="60" t="s">
        <v>871</v>
      </c>
      <c r="R99" s="48" t="s">
        <v>1624</v>
      </c>
      <c r="S99" s="60" t="s">
        <v>205</v>
      </c>
      <c r="T99" s="49" t="s">
        <v>63</v>
      </c>
      <c r="U99" s="6" t="s">
        <v>1625</v>
      </c>
      <c r="V99" s="49"/>
      <c r="W99" s="37">
        <v>3.47</v>
      </c>
      <c r="X99" s="49" t="s">
        <v>1628</v>
      </c>
      <c r="Y99" s="49" t="s">
        <v>1453</v>
      </c>
      <c r="Z99" s="49" t="s">
        <v>125</v>
      </c>
      <c r="AA99" s="65">
        <v>0.56999999999999995</v>
      </c>
      <c r="AB99" s="39">
        <v>36802</v>
      </c>
      <c r="AC99" s="84" t="s">
        <v>1623</v>
      </c>
      <c r="AD99" s="53" t="str">
        <f t="shared" si="77"/>
        <v>Link</v>
      </c>
      <c r="AE99" s="54">
        <v>1295</v>
      </c>
      <c r="AF99" s="55"/>
      <c r="AG99" s="55"/>
      <c r="AH99" s="56">
        <v>140818</v>
      </c>
      <c r="AI99" s="56"/>
    </row>
    <row r="100" spans="1:35" ht="13" x14ac:dyDescent="0.15">
      <c r="A100" s="7"/>
      <c r="B100" s="64" t="s">
        <v>1354</v>
      </c>
      <c r="C100" s="36" t="s">
        <v>43</v>
      </c>
      <c r="D100" s="86">
        <v>5</v>
      </c>
      <c r="E100" s="2" t="s">
        <v>1652</v>
      </c>
      <c r="F100" s="7"/>
      <c r="G100" s="86"/>
      <c r="H100" s="2" t="s">
        <v>1609</v>
      </c>
      <c r="I100" s="2" t="s">
        <v>1124</v>
      </c>
      <c r="J100" s="2" t="s">
        <v>1653</v>
      </c>
      <c r="K100" s="2" t="s">
        <v>55</v>
      </c>
      <c r="L100" s="2" t="s">
        <v>1654</v>
      </c>
      <c r="M100" s="2" t="s">
        <v>1643</v>
      </c>
      <c r="N100" s="45" t="str">
        <f t="shared" si="75"/>
        <v>@pclionssoftball</v>
      </c>
      <c r="O100" s="45" t="str">
        <f t="shared" si="76"/>
        <v>Questionnaire</v>
      </c>
      <c r="P100" s="48" t="s">
        <v>1623</v>
      </c>
      <c r="Q100" s="60" t="s">
        <v>871</v>
      </c>
      <c r="R100" s="48" t="s">
        <v>1624</v>
      </c>
      <c r="S100" s="60" t="s">
        <v>205</v>
      </c>
      <c r="T100" s="49" t="s">
        <v>63</v>
      </c>
      <c r="U100" s="6" t="s">
        <v>1625</v>
      </c>
      <c r="V100" s="49"/>
      <c r="W100" s="37">
        <v>3.47</v>
      </c>
      <c r="X100" s="49" t="s">
        <v>1628</v>
      </c>
      <c r="Y100" s="49" t="s">
        <v>1453</v>
      </c>
      <c r="Z100" s="49" t="s">
        <v>125</v>
      </c>
      <c r="AA100" s="65">
        <v>0.56999999999999995</v>
      </c>
      <c r="AB100" s="39">
        <v>36802</v>
      </c>
      <c r="AC100" s="84" t="s">
        <v>1623</v>
      </c>
      <c r="AD100" s="53" t="str">
        <f t="shared" si="77"/>
        <v>Link</v>
      </c>
      <c r="AE100" s="54">
        <v>1295</v>
      </c>
      <c r="AF100" s="55"/>
      <c r="AG100" s="55"/>
      <c r="AH100" s="56">
        <v>140818</v>
      </c>
      <c r="AI100" s="56"/>
    </row>
    <row r="101" spans="1:35" ht="13" x14ac:dyDescent="0.15">
      <c r="A101" s="7"/>
      <c r="B101" s="64" t="s">
        <v>1354</v>
      </c>
      <c r="C101" s="36" t="s">
        <v>43</v>
      </c>
      <c r="D101" s="86">
        <v>5</v>
      </c>
      <c r="E101" s="2" t="s">
        <v>1662</v>
      </c>
      <c r="F101" s="7"/>
      <c r="G101" s="86"/>
      <c r="H101" s="2" t="s">
        <v>1663</v>
      </c>
      <c r="I101" s="2" t="s">
        <v>1664</v>
      </c>
      <c r="J101" s="2" t="s">
        <v>1665</v>
      </c>
      <c r="K101" s="2" t="s">
        <v>48</v>
      </c>
      <c r="L101" s="2" t="s">
        <v>1666</v>
      </c>
      <c r="M101" s="2" t="s">
        <v>1667</v>
      </c>
      <c r="N101" s="45" t="str">
        <f t="shared" ref="N101:N102" si="78">HYPERLINK("twitter.com/softball_wolves","@softball_wolves")</f>
        <v>@softball_wolves</v>
      </c>
      <c r="O101" s="45" t="str">
        <f t="shared" ref="O101:O102" si="79">HYPERLINK("https://www.wesleyanathletics.com/recruits/index","Questionnaire")</f>
        <v>Questionnaire</v>
      </c>
      <c r="P101" s="48" t="s">
        <v>1683</v>
      </c>
      <c r="Q101" s="60" t="s">
        <v>871</v>
      </c>
      <c r="R101" s="48" t="s">
        <v>1684</v>
      </c>
      <c r="S101" s="48" t="s">
        <v>238</v>
      </c>
      <c r="T101" s="49" t="s">
        <v>63</v>
      </c>
      <c r="U101" s="48" t="s">
        <v>65</v>
      </c>
      <c r="V101" s="49" t="s">
        <v>1006</v>
      </c>
      <c r="W101" s="37">
        <v>3.39</v>
      </c>
      <c r="X101" s="49" t="s">
        <v>1687</v>
      </c>
      <c r="Y101" s="49" t="s">
        <v>1688</v>
      </c>
      <c r="Z101" s="49" t="s">
        <v>1689</v>
      </c>
      <c r="AA101" s="65">
        <v>0.38</v>
      </c>
      <c r="AB101" s="39">
        <v>33040</v>
      </c>
      <c r="AC101" s="84" t="s">
        <v>1683</v>
      </c>
      <c r="AD101" s="53" t="str">
        <f t="shared" ref="AD101:AD102" si="80">HYPERLINK("http://www.wesleyancollege.edu/academics/undergraduate/majorsminors/Majors-Home-Page.cfm","Link")</f>
        <v>Link</v>
      </c>
      <c r="AE101" s="54">
        <v>630</v>
      </c>
      <c r="AF101" s="55"/>
      <c r="AG101" s="54">
        <v>141</v>
      </c>
      <c r="AH101" s="56">
        <v>141325</v>
      </c>
      <c r="AI101" s="56"/>
    </row>
    <row r="102" spans="1:35" ht="13" x14ac:dyDescent="0.15">
      <c r="A102" s="7"/>
      <c r="B102" s="64" t="s">
        <v>1354</v>
      </c>
      <c r="C102" s="36" t="s">
        <v>43</v>
      </c>
      <c r="D102" s="86">
        <v>5</v>
      </c>
      <c r="E102" s="2" t="s">
        <v>1694</v>
      </c>
      <c r="F102" s="7"/>
      <c r="G102" s="86"/>
      <c r="H102" s="2" t="s">
        <v>1663</v>
      </c>
      <c r="I102" s="2" t="s">
        <v>1696</v>
      </c>
      <c r="J102" s="2" t="s">
        <v>1697</v>
      </c>
      <c r="K102" s="2" t="s">
        <v>55</v>
      </c>
      <c r="L102" s="2" t="s">
        <v>1698</v>
      </c>
      <c r="M102" s="2" t="s">
        <v>1699</v>
      </c>
      <c r="N102" s="45" t="str">
        <f t="shared" si="78"/>
        <v>@softball_wolves</v>
      </c>
      <c r="O102" s="45" t="str">
        <f t="shared" si="79"/>
        <v>Questionnaire</v>
      </c>
      <c r="P102" s="48" t="s">
        <v>1683</v>
      </c>
      <c r="Q102" s="60" t="s">
        <v>871</v>
      </c>
      <c r="R102" s="48" t="s">
        <v>1684</v>
      </c>
      <c r="S102" s="48" t="s">
        <v>238</v>
      </c>
      <c r="T102" s="49" t="s">
        <v>63</v>
      </c>
      <c r="U102" s="48" t="s">
        <v>65</v>
      </c>
      <c r="V102" s="49" t="s">
        <v>1006</v>
      </c>
      <c r="W102" s="37">
        <v>3.39</v>
      </c>
      <c r="X102" s="49" t="s">
        <v>1687</v>
      </c>
      <c r="Y102" s="49" t="s">
        <v>1688</v>
      </c>
      <c r="Z102" s="49" t="s">
        <v>1689</v>
      </c>
      <c r="AA102" s="65">
        <v>0.38</v>
      </c>
      <c r="AB102" s="39">
        <v>33040</v>
      </c>
      <c r="AC102" s="84" t="s">
        <v>1683</v>
      </c>
      <c r="AD102" s="53" t="str">
        <f t="shared" si="80"/>
        <v>Link</v>
      </c>
      <c r="AE102" s="54">
        <v>630</v>
      </c>
      <c r="AF102" s="55"/>
      <c r="AG102" s="54">
        <v>141</v>
      </c>
      <c r="AH102" s="56">
        <v>141325</v>
      </c>
      <c r="AI102" s="56"/>
    </row>
    <row r="103" spans="1:35" ht="13" x14ac:dyDescent="0.15">
      <c r="A103" s="7"/>
      <c r="B103" s="64" t="s">
        <v>1705</v>
      </c>
      <c r="C103" s="36" t="s">
        <v>43</v>
      </c>
      <c r="D103" s="86">
        <v>5</v>
      </c>
      <c r="E103" s="7" t="s">
        <v>1707</v>
      </c>
      <c r="F103" s="7"/>
      <c r="G103" s="86"/>
      <c r="H103" s="2" t="s">
        <v>1709</v>
      </c>
      <c r="I103" s="2" t="s">
        <v>1178</v>
      </c>
      <c r="J103" s="2" t="s">
        <v>1710</v>
      </c>
      <c r="K103" s="2" t="s">
        <v>48</v>
      </c>
      <c r="L103" s="2" t="s">
        <v>1711</v>
      </c>
      <c r="M103" s="2" t="s">
        <v>1712</v>
      </c>
      <c r="N103" s="45" t="str">
        <f>HYPERLINK("twitter.com/@augiesftbll","@augiesftbll")</f>
        <v>@augiesftbll</v>
      </c>
      <c r="O103" s="45" t="str">
        <f t="shared" ref="O103:O106" si="81">HYPERLINK("https://athletics.augustana.edu/sports/2013/8/8/GEN_0808135532.aspx?path=general","Questionnaire")</f>
        <v>Questionnaire</v>
      </c>
      <c r="P103" s="60" t="s">
        <v>1720</v>
      </c>
      <c r="Q103" s="60" t="s">
        <v>1721</v>
      </c>
      <c r="R103" s="48" t="s">
        <v>1722</v>
      </c>
      <c r="S103" s="48" t="s">
        <v>468</v>
      </c>
      <c r="T103" s="49" t="s">
        <v>63</v>
      </c>
      <c r="U103" s="6" t="s">
        <v>318</v>
      </c>
      <c r="V103" s="49"/>
      <c r="W103" s="37">
        <v>3.3</v>
      </c>
      <c r="X103" s="49" t="s">
        <v>1723</v>
      </c>
      <c r="Y103" s="49" t="s">
        <v>85</v>
      </c>
      <c r="Z103" s="49" t="s">
        <v>78</v>
      </c>
      <c r="AA103" s="38">
        <v>0.5161</v>
      </c>
      <c r="AB103" s="39">
        <v>51858</v>
      </c>
      <c r="AC103" s="90" t="s">
        <v>1720</v>
      </c>
      <c r="AD103" s="53" t="str">
        <f t="shared" ref="AD103:AD106" si="82">HYPERLINK("https://www.augustana.edu/academics/catalog/areas-of-study","Link")</f>
        <v>Link</v>
      </c>
      <c r="AE103" s="54">
        <v>2537</v>
      </c>
      <c r="AF103" s="55"/>
      <c r="AG103" s="54">
        <v>101</v>
      </c>
      <c r="AH103" s="56">
        <v>143084</v>
      </c>
      <c r="AI103" s="56"/>
    </row>
    <row r="104" spans="1:35" ht="13" x14ac:dyDescent="0.15">
      <c r="A104" s="7"/>
      <c r="B104" s="64" t="s">
        <v>1705</v>
      </c>
      <c r="C104" s="36" t="s">
        <v>43</v>
      </c>
      <c r="D104" s="86">
        <v>5</v>
      </c>
      <c r="E104" s="2" t="s">
        <v>1733</v>
      </c>
      <c r="F104" s="7"/>
      <c r="G104" s="86"/>
      <c r="H104" s="2" t="s">
        <v>1709</v>
      </c>
      <c r="I104" s="2" t="s">
        <v>1735</v>
      </c>
      <c r="J104" s="2" t="s">
        <v>1736</v>
      </c>
      <c r="K104" s="2" t="s">
        <v>55</v>
      </c>
      <c r="L104" s="2"/>
      <c r="M104" s="2"/>
      <c r="N104" s="48"/>
      <c r="O104" s="45" t="str">
        <f t="shared" si="81"/>
        <v>Questionnaire</v>
      </c>
      <c r="P104" s="60" t="s">
        <v>1720</v>
      </c>
      <c r="Q104" s="60" t="s">
        <v>1721</v>
      </c>
      <c r="R104" s="48" t="s">
        <v>1722</v>
      </c>
      <c r="S104" s="48" t="s">
        <v>468</v>
      </c>
      <c r="T104" s="49" t="s">
        <v>63</v>
      </c>
      <c r="U104" s="6" t="s">
        <v>318</v>
      </c>
      <c r="V104" s="49"/>
      <c r="W104" s="37">
        <v>3.3</v>
      </c>
      <c r="X104" s="49" t="s">
        <v>1723</v>
      </c>
      <c r="Y104" s="49" t="s">
        <v>85</v>
      </c>
      <c r="Z104" s="49" t="s">
        <v>78</v>
      </c>
      <c r="AA104" s="38">
        <v>0.5161</v>
      </c>
      <c r="AB104" s="39">
        <v>51858</v>
      </c>
      <c r="AC104" s="90" t="s">
        <v>1720</v>
      </c>
      <c r="AD104" s="53" t="str">
        <f t="shared" si="82"/>
        <v>Link</v>
      </c>
      <c r="AE104" s="54">
        <v>2537</v>
      </c>
      <c r="AF104" s="55"/>
      <c r="AG104" s="54">
        <v>101</v>
      </c>
      <c r="AH104" s="56">
        <v>143084</v>
      </c>
      <c r="AI104" s="56"/>
    </row>
    <row r="105" spans="1:35" ht="13" x14ac:dyDescent="0.15">
      <c r="A105" s="7"/>
      <c r="B105" s="64" t="s">
        <v>1705</v>
      </c>
      <c r="C105" s="36" t="s">
        <v>43</v>
      </c>
      <c r="D105" s="86">
        <v>5</v>
      </c>
      <c r="E105" s="7" t="s">
        <v>1743</v>
      </c>
      <c r="F105" s="7"/>
      <c r="G105" s="86"/>
      <c r="H105" s="2" t="s">
        <v>1709</v>
      </c>
      <c r="I105" s="2" t="s">
        <v>1744</v>
      </c>
      <c r="J105" s="2" t="s">
        <v>879</v>
      </c>
      <c r="K105" s="2" t="s">
        <v>55</v>
      </c>
      <c r="L105" s="2"/>
      <c r="M105" s="2"/>
      <c r="N105" s="48"/>
      <c r="O105" s="45" t="str">
        <f t="shared" si="81"/>
        <v>Questionnaire</v>
      </c>
      <c r="P105" s="60" t="s">
        <v>1720</v>
      </c>
      <c r="Q105" s="60" t="s">
        <v>1721</v>
      </c>
      <c r="R105" s="48" t="s">
        <v>1722</v>
      </c>
      <c r="S105" s="48" t="s">
        <v>468</v>
      </c>
      <c r="T105" s="49" t="s">
        <v>63</v>
      </c>
      <c r="U105" s="6" t="s">
        <v>318</v>
      </c>
      <c r="V105" s="49"/>
      <c r="W105" s="37">
        <v>3.3</v>
      </c>
      <c r="X105" s="49" t="s">
        <v>1723</v>
      </c>
      <c r="Y105" s="49" t="s">
        <v>85</v>
      </c>
      <c r="Z105" s="49" t="s">
        <v>78</v>
      </c>
      <c r="AA105" s="38">
        <v>0.5161</v>
      </c>
      <c r="AB105" s="39">
        <v>51858</v>
      </c>
      <c r="AC105" s="90" t="s">
        <v>1720</v>
      </c>
      <c r="AD105" s="53" t="str">
        <f t="shared" si="82"/>
        <v>Link</v>
      </c>
      <c r="AE105" s="54">
        <v>2537</v>
      </c>
      <c r="AF105" s="55"/>
      <c r="AG105" s="54">
        <v>101</v>
      </c>
      <c r="AH105" s="56">
        <v>143084</v>
      </c>
      <c r="AI105" s="56"/>
    </row>
    <row r="106" spans="1:35" ht="13" x14ac:dyDescent="0.15">
      <c r="A106" s="7"/>
      <c r="B106" s="64" t="s">
        <v>1705</v>
      </c>
      <c r="C106" s="36" t="s">
        <v>43</v>
      </c>
      <c r="D106" s="86">
        <v>5</v>
      </c>
      <c r="E106" s="2" t="s">
        <v>1752</v>
      </c>
      <c r="F106" s="7"/>
      <c r="G106" s="86"/>
      <c r="H106" s="2" t="s">
        <v>1709</v>
      </c>
      <c r="I106" s="2" t="s">
        <v>1418</v>
      </c>
      <c r="J106" s="2" t="s">
        <v>1753</v>
      </c>
      <c r="K106" s="2" t="s">
        <v>55</v>
      </c>
      <c r="L106" s="2"/>
      <c r="M106" s="2"/>
      <c r="N106" s="48"/>
      <c r="O106" s="45" t="str">
        <f t="shared" si="81"/>
        <v>Questionnaire</v>
      </c>
      <c r="P106" s="60" t="s">
        <v>1720</v>
      </c>
      <c r="Q106" s="60" t="s">
        <v>1721</v>
      </c>
      <c r="R106" s="48" t="s">
        <v>1722</v>
      </c>
      <c r="S106" s="48" t="s">
        <v>468</v>
      </c>
      <c r="T106" s="49" t="s">
        <v>63</v>
      </c>
      <c r="U106" s="6" t="s">
        <v>318</v>
      </c>
      <c r="V106" s="49"/>
      <c r="W106" s="37">
        <v>3.3</v>
      </c>
      <c r="X106" s="49" t="s">
        <v>1723</v>
      </c>
      <c r="Y106" s="49" t="s">
        <v>85</v>
      </c>
      <c r="Z106" s="49" t="s">
        <v>78</v>
      </c>
      <c r="AA106" s="38">
        <v>0.5161</v>
      </c>
      <c r="AB106" s="39">
        <v>51858</v>
      </c>
      <c r="AC106" s="90" t="s">
        <v>1720</v>
      </c>
      <c r="AD106" s="53" t="str">
        <f t="shared" si="82"/>
        <v>Link</v>
      </c>
      <c r="AE106" s="54">
        <v>2537</v>
      </c>
      <c r="AF106" s="55"/>
      <c r="AG106" s="54">
        <v>101</v>
      </c>
      <c r="AH106" s="56">
        <v>143084</v>
      </c>
      <c r="AI106" s="56"/>
    </row>
    <row r="107" spans="1:35" ht="13" x14ac:dyDescent="0.15">
      <c r="A107" s="7"/>
      <c r="B107" s="64" t="s">
        <v>1705</v>
      </c>
      <c r="C107" s="36" t="s">
        <v>43</v>
      </c>
      <c r="D107" s="86">
        <v>5</v>
      </c>
      <c r="E107" s="7" t="s">
        <v>1762</v>
      </c>
      <c r="F107" s="7"/>
      <c r="G107" s="86"/>
      <c r="H107" s="2" t="s">
        <v>1763</v>
      </c>
      <c r="I107" s="2" t="s">
        <v>754</v>
      </c>
      <c r="J107" s="2" t="s">
        <v>1764</v>
      </c>
      <c r="K107" s="2" t="s">
        <v>48</v>
      </c>
      <c r="L107" s="2" t="s">
        <v>1765</v>
      </c>
      <c r="M107" s="2" t="s">
        <v>1766</v>
      </c>
      <c r="N107" s="45" t="str">
        <f>HYPERLINK("twitter.com/AUSpartanSball","@AUSpartanSball")</f>
        <v>@AUSpartanSball</v>
      </c>
      <c r="O107" s="45" t="str">
        <f t="shared" ref="O107:O108" si="83">HYPERLINK("https://athletics.aurora.edu/sb_output.aspx?form=8","Questionnaire")</f>
        <v>Questionnaire</v>
      </c>
      <c r="P107" s="60" t="s">
        <v>1780</v>
      </c>
      <c r="Q107" s="60" t="s">
        <v>1721</v>
      </c>
      <c r="R107" s="48" t="s">
        <v>1781</v>
      </c>
      <c r="S107" s="48" t="s">
        <v>62</v>
      </c>
      <c r="T107" s="49" t="s">
        <v>63</v>
      </c>
      <c r="U107" s="48" t="s">
        <v>75</v>
      </c>
      <c r="V107" s="49"/>
      <c r="W107" s="37">
        <v>3.32</v>
      </c>
      <c r="X107" s="49" t="s">
        <v>1785</v>
      </c>
      <c r="Y107" s="49" t="s">
        <v>253</v>
      </c>
      <c r="Z107" s="49" t="s">
        <v>125</v>
      </c>
      <c r="AA107" s="38">
        <v>0.87719999999999998</v>
      </c>
      <c r="AB107" s="39">
        <v>22830</v>
      </c>
      <c r="AC107" s="90" t="s">
        <v>1780</v>
      </c>
      <c r="AD107" s="53" t="str">
        <f t="shared" ref="AD107:AD108" si="84">HYPERLINK("https://www.aurora.edu/academics/undergraduate/index.html","Link")</f>
        <v>Link</v>
      </c>
      <c r="AE107" s="54">
        <v>3796</v>
      </c>
      <c r="AF107" s="55"/>
      <c r="AG107" s="55"/>
      <c r="AH107" s="56">
        <v>143118</v>
      </c>
      <c r="AI107" s="56"/>
    </row>
    <row r="108" spans="1:35" ht="13" x14ac:dyDescent="0.15">
      <c r="A108" s="7"/>
      <c r="B108" s="64" t="s">
        <v>1705</v>
      </c>
      <c r="C108" s="36" t="s">
        <v>43</v>
      </c>
      <c r="D108" s="86">
        <v>5</v>
      </c>
      <c r="E108" s="2" t="s">
        <v>1793</v>
      </c>
      <c r="F108" s="7"/>
      <c r="G108" s="86"/>
      <c r="H108" s="2" t="s">
        <v>1763</v>
      </c>
      <c r="I108" s="2" t="s">
        <v>161</v>
      </c>
      <c r="J108" s="2" t="s">
        <v>1794</v>
      </c>
      <c r="K108" s="2" t="s">
        <v>55</v>
      </c>
      <c r="L108" s="2"/>
      <c r="M108" s="2"/>
      <c r="N108" s="48"/>
      <c r="O108" s="45" t="str">
        <f t="shared" si="83"/>
        <v>Questionnaire</v>
      </c>
      <c r="P108" s="60" t="s">
        <v>1780</v>
      </c>
      <c r="Q108" s="60" t="s">
        <v>1721</v>
      </c>
      <c r="R108" s="48" t="s">
        <v>1781</v>
      </c>
      <c r="S108" s="48" t="s">
        <v>62</v>
      </c>
      <c r="T108" s="49" t="s">
        <v>63</v>
      </c>
      <c r="U108" s="48" t="s">
        <v>75</v>
      </c>
      <c r="V108" s="49"/>
      <c r="W108" s="37">
        <v>3.32</v>
      </c>
      <c r="X108" s="49" t="s">
        <v>1785</v>
      </c>
      <c r="Y108" s="49" t="s">
        <v>253</v>
      </c>
      <c r="Z108" s="49" t="s">
        <v>125</v>
      </c>
      <c r="AA108" s="38">
        <v>0.87719999999999998</v>
      </c>
      <c r="AB108" s="39">
        <v>22830</v>
      </c>
      <c r="AC108" s="90" t="s">
        <v>1780</v>
      </c>
      <c r="AD108" s="53" t="str">
        <f t="shared" si="84"/>
        <v>Link</v>
      </c>
      <c r="AE108" s="54">
        <v>3796</v>
      </c>
      <c r="AF108" s="55"/>
      <c r="AG108" s="55"/>
      <c r="AH108" s="56">
        <v>143118</v>
      </c>
      <c r="AI108" s="56"/>
    </row>
    <row r="109" spans="1:35" ht="15" x14ac:dyDescent="0.2">
      <c r="A109" s="7"/>
      <c r="B109" s="64" t="s">
        <v>1705</v>
      </c>
      <c r="C109" s="36" t="s">
        <v>43</v>
      </c>
      <c r="D109" s="86">
        <v>5</v>
      </c>
      <c r="E109" s="7" t="s">
        <v>1797</v>
      </c>
      <c r="F109" s="7"/>
      <c r="G109" s="86"/>
      <c r="H109" s="2" t="s">
        <v>1798</v>
      </c>
      <c r="I109" s="2" t="s">
        <v>1528</v>
      </c>
      <c r="J109" s="2" t="s">
        <v>1799</v>
      </c>
      <c r="K109" s="2" t="s">
        <v>48</v>
      </c>
      <c r="L109" s="2" t="s">
        <v>1800</v>
      </c>
      <c r="M109" s="2" t="s">
        <v>1801</v>
      </c>
      <c r="N109" s="45" t="str">
        <f t="shared" ref="N109:N111" si="85">HYPERLINK("twitter.com/benusoftball","@benusoftball")</f>
        <v>@benusoftball</v>
      </c>
      <c r="O109" s="45" t="str">
        <f t="shared" ref="O109:O111" si="86">HYPERLINK("https://benueagles.com/sports/2013/2/13/GEN_0213134300.aspx","Questionnaire")</f>
        <v>Questionnaire</v>
      </c>
      <c r="P109" s="108" t="s">
        <v>1808</v>
      </c>
      <c r="Q109" s="60" t="s">
        <v>1721</v>
      </c>
      <c r="R109" s="48" t="s">
        <v>1809</v>
      </c>
      <c r="S109" s="48" t="s">
        <v>172</v>
      </c>
      <c r="T109" s="49" t="s">
        <v>63</v>
      </c>
      <c r="U109" s="6" t="s">
        <v>343</v>
      </c>
      <c r="V109" s="49"/>
      <c r="W109" s="37">
        <v>3.22</v>
      </c>
      <c r="X109" s="49" t="s">
        <v>214</v>
      </c>
      <c r="Y109" s="49" t="s">
        <v>214</v>
      </c>
      <c r="Z109" s="49" t="s">
        <v>125</v>
      </c>
      <c r="AA109" s="38">
        <v>0.77200000000000002</v>
      </c>
      <c r="AB109" s="39">
        <v>45430</v>
      </c>
      <c r="AC109" s="52" t="s">
        <v>1808</v>
      </c>
      <c r="AD109" s="53" t="str">
        <f t="shared" ref="AD109:AD111" si="87">HYPERLINK("http://www.ben.edu/degree-programs/index.cfm","Link")</f>
        <v>Link</v>
      </c>
      <c r="AE109" s="54">
        <v>3171</v>
      </c>
      <c r="AF109" s="54">
        <v>223</v>
      </c>
      <c r="AG109" s="55"/>
      <c r="AH109" s="56">
        <v>145619</v>
      </c>
      <c r="AI109" s="56"/>
    </row>
    <row r="110" spans="1:35" ht="15" x14ac:dyDescent="0.2">
      <c r="A110" s="7"/>
      <c r="B110" s="64" t="s">
        <v>1705</v>
      </c>
      <c r="C110" s="36" t="s">
        <v>43</v>
      </c>
      <c r="D110" s="86">
        <v>5</v>
      </c>
      <c r="E110" s="2" t="s">
        <v>1820</v>
      </c>
      <c r="F110" s="7"/>
      <c r="G110" s="86"/>
      <c r="H110" s="2" t="s">
        <v>1798</v>
      </c>
      <c r="I110" s="2" t="s">
        <v>1822</v>
      </c>
      <c r="J110" s="2" t="s">
        <v>1823</v>
      </c>
      <c r="K110" s="2" t="s">
        <v>55</v>
      </c>
      <c r="L110" s="2" t="s">
        <v>1824</v>
      </c>
      <c r="M110" s="2" t="s">
        <v>1825</v>
      </c>
      <c r="N110" s="45" t="str">
        <f t="shared" si="85"/>
        <v>@benusoftball</v>
      </c>
      <c r="O110" s="45" t="str">
        <f t="shared" si="86"/>
        <v>Questionnaire</v>
      </c>
      <c r="P110" s="108" t="s">
        <v>1808</v>
      </c>
      <c r="Q110" s="60" t="s">
        <v>1721</v>
      </c>
      <c r="R110" s="48" t="s">
        <v>1809</v>
      </c>
      <c r="S110" s="48" t="s">
        <v>172</v>
      </c>
      <c r="T110" s="49" t="s">
        <v>63</v>
      </c>
      <c r="U110" s="6" t="s">
        <v>343</v>
      </c>
      <c r="V110" s="49"/>
      <c r="W110" s="37">
        <v>3.22</v>
      </c>
      <c r="X110" s="49" t="s">
        <v>214</v>
      </c>
      <c r="Y110" s="49" t="s">
        <v>214</v>
      </c>
      <c r="Z110" s="49" t="s">
        <v>125</v>
      </c>
      <c r="AA110" s="38">
        <v>0.77200000000000002</v>
      </c>
      <c r="AB110" s="39">
        <v>45430</v>
      </c>
      <c r="AC110" s="52" t="s">
        <v>1808</v>
      </c>
      <c r="AD110" s="53" t="str">
        <f t="shared" si="87"/>
        <v>Link</v>
      </c>
      <c r="AE110" s="54">
        <v>3171</v>
      </c>
      <c r="AF110" s="54">
        <v>223</v>
      </c>
      <c r="AG110" s="55"/>
      <c r="AH110" s="56">
        <v>145619</v>
      </c>
      <c r="AI110" s="56"/>
    </row>
    <row r="111" spans="1:35" ht="15" x14ac:dyDescent="0.2">
      <c r="A111" s="7"/>
      <c r="B111" s="64" t="s">
        <v>1705</v>
      </c>
      <c r="C111" s="36" t="s">
        <v>43</v>
      </c>
      <c r="D111" s="86">
        <v>5</v>
      </c>
      <c r="E111" s="7" t="s">
        <v>1826</v>
      </c>
      <c r="F111" s="7"/>
      <c r="G111" s="86"/>
      <c r="H111" s="2" t="s">
        <v>1798</v>
      </c>
      <c r="I111" s="2" t="s">
        <v>1827</v>
      </c>
      <c r="J111" s="2" t="s">
        <v>1828</v>
      </c>
      <c r="K111" s="2" t="s">
        <v>55</v>
      </c>
      <c r="L111" s="2"/>
      <c r="M111" s="2"/>
      <c r="N111" s="45" t="str">
        <f t="shared" si="85"/>
        <v>@benusoftball</v>
      </c>
      <c r="O111" s="45" t="str">
        <f t="shared" si="86"/>
        <v>Questionnaire</v>
      </c>
      <c r="P111" s="108" t="s">
        <v>1808</v>
      </c>
      <c r="Q111" s="60" t="s">
        <v>1721</v>
      </c>
      <c r="R111" s="48" t="s">
        <v>1809</v>
      </c>
      <c r="S111" s="48" t="s">
        <v>172</v>
      </c>
      <c r="T111" s="49" t="s">
        <v>63</v>
      </c>
      <c r="U111" s="6" t="s">
        <v>343</v>
      </c>
      <c r="V111" s="49"/>
      <c r="W111" s="37">
        <v>3.22</v>
      </c>
      <c r="X111" s="49" t="s">
        <v>214</v>
      </c>
      <c r="Y111" s="49" t="s">
        <v>214</v>
      </c>
      <c r="Z111" s="49" t="s">
        <v>125</v>
      </c>
      <c r="AA111" s="38">
        <v>0.77200000000000002</v>
      </c>
      <c r="AB111" s="39">
        <v>45430</v>
      </c>
      <c r="AC111" s="52" t="s">
        <v>1808</v>
      </c>
      <c r="AD111" s="53" t="str">
        <f t="shared" si="87"/>
        <v>Link</v>
      </c>
      <c r="AE111" s="54">
        <v>3171</v>
      </c>
      <c r="AF111" s="54">
        <v>223</v>
      </c>
      <c r="AG111" s="55"/>
      <c r="AH111" s="56">
        <v>145619</v>
      </c>
      <c r="AI111" s="56"/>
    </row>
    <row r="112" spans="1:35" ht="13" x14ac:dyDescent="0.15">
      <c r="A112" s="7"/>
      <c r="B112" s="64" t="s">
        <v>1705</v>
      </c>
      <c r="C112" s="36" t="s">
        <v>43</v>
      </c>
      <c r="D112" s="86">
        <v>5</v>
      </c>
      <c r="E112" s="2" t="s">
        <v>1833</v>
      </c>
      <c r="F112" s="7"/>
      <c r="G112" s="86"/>
      <c r="H112" s="2" t="s">
        <v>1834</v>
      </c>
      <c r="I112" s="2" t="s">
        <v>1357</v>
      </c>
      <c r="J112" s="2" t="s">
        <v>1835</v>
      </c>
      <c r="K112" s="2" t="s">
        <v>48</v>
      </c>
      <c r="L112" s="2" t="s">
        <v>1836</v>
      </c>
      <c r="M112" s="6" t="s">
        <v>1837</v>
      </c>
      <c r="N112" s="45" t="str">
        <f t="shared" ref="N112:N113" si="88">HYPERLINK("twitter.com/blackburn_sb","@blackburn_sb")</f>
        <v>@blackburn_sb</v>
      </c>
      <c r="O112" s="45" t="str">
        <f t="shared" ref="O112:O113" si="89">HYPERLINK("https://www.blackburnbeavers.com/recruits/index","Questionnaire")</f>
        <v>Questionnaire</v>
      </c>
      <c r="P112" s="60" t="s">
        <v>1843</v>
      </c>
      <c r="Q112" s="60" t="s">
        <v>1721</v>
      </c>
      <c r="R112" s="48" t="s">
        <v>1844</v>
      </c>
      <c r="S112" s="60" t="s">
        <v>205</v>
      </c>
      <c r="T112" s="49" t="s">
        <v>63</v>
      </c>
      <c r="U112" s="6" t="s">
        <v>248</v>
      </c>
      <c r="V112" s="49"/>
      <c r="W112" s="37">
        <v>3.26</v>
      </c>
      <c r="X112" s="49" t="s">
        <v>1845</v>
      </c>
      <c r="Y112" s="49" t="s">
        <v>1846</v>
      </c>
      <c r="Z112" s="49" t="s">
        <v>449</v>
      </c>
      <c r="AA112" s="38">
        <v>0.53839999999999999</v>
      </c>
      <c r="AB112" s="39">
        <v>30176</v>
      </c>
      <c r="AC112" s="90" t="s">
        <v>1843</v>
      </c>
      <c r="AD112" s="53" t="str">
        <f t="shared" ref="AD112:AD113" si="90">HYPERLINK("https://blackburn.edu/prospective-students/majors/","Link")</f>
        <v>Link</v>
      </c>
      <c r="AE112" s="54">
        <v>596</v>
      </c>
      <c r="AF112" s="55"/>
      <c r="AG112" s="55"/>
      <c r="AH112" s="56">
        <v>143288</v>
      </c>
      <c r="AI112" s="56"/>
    </row>
    <row r="113" spans="1:35" ht="13" x14ac:dyDescent="0.15">
      <c r="A113" s="7"/>
      <c r="B113" s="64" t="s">
        <v>1705</v>
      </c>
      <c r="C113" s="36" t="s">
        <v>43</v>
      </c>
      <c r="D113" s="44">
        <v>5</v>
      </c>
      <c r="E113" s="7" t="s">
        <v>1856</v>
      </c>
      <c r="F113" s="7" t="s">
        <v>116</v>
      </c>
      <c r="G113" s="57"/>
      <c r="H113" s="7" t="s">
        <v>1834</v>
      </c>
      <c r="I113" s="7" t="s">
        <v>1857</v>
      </c>
      <c r="J113" s="7" t="s">
        <v>1858</v>
      </c>
      <c r="K113" s="7" t="s">
        <v>55</v>
      </c>
      <c r="L113" s="7" t="s">
        <v>1859</v>
      </c>
      <c r="M113" s="7"/>
      <c r="N113" s="45" t="str">
        <f t="shared" si="88"/>
        <v>@blackburn_sb</v>
      </c>
      <c r="O113" s="45" t="str">
        <f t="shared" si="89"/>
        <v>Questionnaire</v>
      </c>
      <c r="P113" s="60" t="s">
        <v>1843</v>
      </c>
      <c r="Q113" s="60" t="s">
        <v>1721</v>
      </c>
      <c r="R113" s="48" t="s">
        <v>1844</v>
      </c>
      <c r="S113" s="60" t="s">
        <v>205</v>
      </c>
      <c r="T113" s="49" t="s">
        <v>63</v>
      </c>
      <c r="U113" s="6" t="s">
        <v>248</v>
      </c>
      <c r="V113" s="49"/>
      <c r="W113" s="37">
        <v>3.26</v>
      </c>
      <c r="X113" s="49" t="s">
        <v>1845</v>
      </c>
      <c r="Y113" s="49" t="s">
        <v>1846</v>
      </c>
      <c r="Z113" s="49" t="s">
        <v>449</v>
      </c>
      <c r="AA113" s="38">
        <v>0.53839999999999999</v>
      </c>
      <c r="AB113" s="39">
        <v>30176</v>
      </c>
      <c r="AC113" s="90" t="s">
        <v>1843</v>
      </c>
      <c r="AD113" s="53" t="str">
        <f t="shared" si="90"/>
        <v>Link</v>
      </c>
      <c r="AE113" s="54">
        <v>596</v>
      </c>
      <c r="AF113" s="55"/>
      <c r="AG113" s="55"/>
      <c r="AH113" s="56">
        <v>143288</v>
      </c>
      <c r="AI113" s="56"/>
    </row>
    <row r="114" spans="1:35" ht="13" x14ac:dyDescent="0.15">
      <c r="A114" s="7"/>
      <c r="B114" s="64" t="s">
        <v>1705</v>
      </c>
      <c r="C114" s="36" t="s">
        <v>43</v>
      </c>
      <c r="D114" s="86">
        <v>5</v>
      </c>
      <c r="E114" s="2" t="s">
        <v>1868</v>
      </c>
      <c r="F114" s="7"/>
      <c r="G114" s="86"/>
      <c r="H114" s="2" t="s">
        <v>1869</v>
      </c>
      <c r="I114" s="2" t="s">
        <v>215</v>
      </c>
      <c r="J114" s="2" t="s">
        <v>1870</v>
      </c>
      <c r="K114" s="2" t="s">
        <v>48</v>
      </c>
      <c r="L114" s="2" t="s">
        <v>1871</v>
      </c>
      <c r="M114" s="2" t="s">
        <v>1872</v>
      </c>
      <c r="N114" s="48"/>
      <c r="O114" s="45" t="str">
        <f t="shared" ref="O114:O117" si="91">HYPERLINK("https://athletics.uchicago.edu/athletics/recruiting","Questionnaire")</f>
        <v>Questionnaire</v>
      </c>
      <c r="P114" s="60" t="s">
        <v>1877</v>
      </c>
      <c r="Q114" s="60" t="s">
        <v>1721</v>
      </c>
      <c r="R114" s="48" t="s">
        <v>1877</v>
      </c>
      <c r="S114" s="48" t="s">
        <v>288</v>
      </c>
      <c r="T114" s="49" t="s">
        <v>63</v>
      </c>
      <c r="U114" s="48" t="s">
        <v>75</v>
      </c>
      <c r="V114" s="49"/>
      <c r="W114" s="37">
        <v>4.1500000000000004</v>
      </c>
      <c r="X114" s="49" t="s">
        <v>1884</v>
      </c>
      <c r="Y114" s="49" t="s">
        <v>1885</v>
      </c>
      <c r="Z114" s="49" t="s">
        <v>1172</v>
      </c>
      <c r="AA114" s="38">
        <v>7.9299999999999995E-2</v>
      </c>
      <c r="AB114" s="39">
        <v>72717</v>
      </c>
      <c r="AC114" s="90" t="s">
        <v>1877</v>
      </c>
      <c r="AD114" s="53" t="str">
        <f t="shared" ref="AD114:AD117" si="92">HYPERLINK("https://collegeadmissions.uchicago.edu/academics/majors-minors","Link")</f>
        <v>Link</v>
      </c>
      <c r="AE114" s="54">
        <v>6001</v>
      </c>
      <c r="AF114" s="54">
        <v>3</v>
      </c>
      <c r="AG114" s="55"/>
      <c r="AH114" s="56">
        <v>144050</v>
      </c>
      <c r="AI114" s="56"/>
    </row>
    <row r="115" spans="1:35" ht="13" x14ac:dyDescent="0.15">
      <c r="A115" s="7"/>
      <c r="B115" s="64" t="s">
        <v>1705</v>
      </c>
      <c r="C115" s="36" t="s">
        <v>43</v>
      </c>
      <c r="D115" s="86">
        <v>5</v>
      </c>
      <c r="E115" s="7" t="s">
        <v>1891</v>
      </c>
      <c r="F115" s="7"/>
      <c r="G115" s="86"/>
      <c r="H115" s="2" t="s">
        <v>1869</v>
      </c>
      <c r="I115" s="2" t="s">
        <v>484</v>
      </c>
      <c r="J115" s="2" t="s">
        <v>1894</v>
      </c>
      <c r="K115" s="2" t="s">
        <v>55</v>
      </c>
      <c r="L115" s="2"/>
      <c r="M115" s="2"/>
      <c r="N115" s="48"/>
      <c r="O115" s="45" t="str">
        <f t="shared" si="91"/>
        <v>Questionnaire</v>
      </c>
      <c r="P115" s="60" t="s">
        <v>1877</v>
      </c>
      <c r="Q115" s="60" t="s">
        <v>1721</v>
      </c>
      <c r="R115" s="48" t="s">
        <v>1877</v>
      </c>
      <c r="S115" s="48" t="s">
        <v>288</v>
      </c>
      <c r="T115" s="49" t="s">
        <v>63</v>
      </c>
      <c r="U115" s="48" t="s">
        <v>75</v>
      </c>
      <c r="V115" s="49"/>
      <c r="W115" s="37">
        <v>4.1500000000000004</v>
      </c>
      <c r="X115" s="49" t="s">
        <v>1884</v>
      </c>
      <c r="Y115" s="49" t="s">
        <v>1885</v>
      </c>
      <c r="Z115" s="49" t="s">
        <v>1172</v>
      </c>
      <c r="AA115" s="38">
        <v>7.9299999999999995E-2</v>
      </c>
      <c r="AB115" s="39">
        <v>72717</v>
      </c>
      <c r="AC115" s="90" t="s">
        <v>1877</v>
      </c>
      <c r="AD115" s="53" t="str">
        <f t="shared" si="92"/>
        <v>Link</v>
      </c>
      <c r="AE115" s="54">
        <v>6001</v>
      </c>
      <c r="AF115" s="54">
        <v>3</v>
      </c>
      <c r="AG115" s="55"/>
      <c r="AH115" s="56">
        <v>144050</v>
      </c>
      <c r="AI115" s="56"/>
    </row>
    <row r="116" spans="1:35" ht="13" x14ac:dyDescent="0.15">
      <c r="A116" s="7"/>
      <c r="B116" s="64" t="s">
        <v>1705</v>
      </c>
      <c r="C116" s="36" t="s">
        <v>43</v>
      </c>
      <c r="D116" s="86">
        <v>5</v>
      </c>
      <c r="E116" s="2" t="s">
        <v>1901</v>
      </c>
      <c r="F116" s="7"/>
      <c r="G116" s="86"/>
      <c r="H116" s="2" t="s">
        <v>1869</v>
      </c>
      <c r="I116" s="2" t="s">
        <v>1902</v>
      </c>
      <c r="J116" s="2" t="s">
        <v>1903</v>
      </c>
      <c r="K116" s="2" t="s">
        <v>55</v>
      </c>
      <c r="L116" s="2"/>
      <c r="M116" s="2"/>
      <c r="N116" s="48"/>
      <c r="O116" s="45" t="str">
        <f t="shared" si="91"/>
        <v>Questionnaire</v>
      </c>
      <c r="P116" s="60" t="s">
        <v>1877</v>
      </c>
      <c r="Q116" s="60" t="s">
        <v>1721</v>
      </c>
      <c r="R116" s="48" t="s">
        <v>1877</v>
      </c>
      <c r="S116" s="48" t="s">
        <v>288</v>
      </c>
      <c r="T116" s="49" t="s">
        <v>63</v>
      </c>
      <c r="U116" s="48" t="s">
        <v>75</v>
      </c>
      <c r="V116" s="49"/>
      <c r="W116" s="37">
        <v>4.1500000000000004</v>
      </c>
      <c r="X116" s="49" t="s">
        <v>1884</v>
      </c>
      <c r="Y116" s="49" t="s">
        <v>1885</v>
      </c>
      <c r="Z116" s="49" t="s">
        <v>1172</v>
      </c>
      <c r="AA116" s="38">
        <v>7.9299999999999995E-2</v>
      </c>
      <c r="AB116" s="39">
        <v>72717</v>
      </c>
      <c r="AC116" s="90" t="s">
        <v>1877</v>
      </c>
      <c r="AD116" s="53" t="str">
        <f t="shared" si="92"/>
        <v>Link</v>
      </c>
      <c r="AE116" s="54">
        <v>6001</v>
      </c>
      <c r="AF116" s="54">
        <v>3</v>
      </c>
      <c r="AG116" s="55"/>
      <c r="AH116" s="56">
        <v>144050</v>
      </c>
      <c r="AI116" s="56"/>
    </row>
    <row r="117" spans="1:35" ht="13" x14ac:dyDescent="0.15">
      <c r="A117" s="7"/>
      <c r="B117" s="64" t="s">
        <v>1705</v>
      </c>
      <c r="C117" s="36" t="s">
        <v>43</v>
      </c>
      <c r="D117" s="44">
        <v>5</v>
      </c>
      <c r="E117" s="2" t="s">
        <v>1912</v>
      </c>
      <c r="F117" s="7"/>
      <c r="G117" s="7"/>
      <c r="H117" s="2" t="s">
        <v>1869</v>
      </c>
      <c r="I117" s="7" t="s">
        <v>1913</v>
      </c>
      <c r="J117" s="7" t="s">
        <v>1914</v>
      </c>
      <c r="K117" s="7" t="s">
        <v>55</v>
      </c>
      <c r="L117" s="7" t="s">
        <v>1915</v>
      </c>
      <c r="M117" s="7" t="s">
        <v>1916</v>
      </c>
      <c r="N117" s="48"/>
      <c r="O117" s="45" t="str">
        <f t="shared" si="91"/>
        <v>Questionnaire</v>
      </c>
      <c r="P117" s="60" t="s">
        <v>1877</v>
      </c>
      <c r="Q117" s="60" t="s">
        <v>1721</v>
      </c>
      <c r="R117" s="6" t="s">
        <v>1877</v>
      </c>
      <c r="S117" s="4" t="s">
        <v>288</v>
      </c>
      <c r="T117" s="49" t="s">
        <v>63</v>
      </c>
      <c r="U117" s="49" t="s">
        <v>75</v>
      </c>
      <c r="V117" s="49"/>
      <c r="W117" s="37">
        <v>4.1500000000000004</v>
      </c>
      <c r="X117" s="49" t="s">
        <v>1884</v>
      </c>
      <c r="Y117" s="49" t="s">
        <v>1885</v>
      </c>
      <c r="Z117" s="4" t="s">
        <v>1172</v>
      </c>
      <c r="AA117" s="38">
        <v>7.9299999999999995E-2</v>
      </c>
      <c r="AB117" s="39">
        <v>72717</v>
      </c>
      <c r="AC117" s="66" t="s">
        <v>1877</v>
      </c>
      <c r="AD117" s="67" t="str">
        <f t="shared" si="92"/>
        <v>Link</v>
      </c>
      <c r="AE117" s="42">
        <v>6001</v>
      </c>
      <c r="AF117" s="42">
        <v>3</v>
      </c>
      <c r="AG117" s="55"/>
      <c r="AH117" s="56">
        <v>144050</v>
      </c>
      <c r="AI117" s="56"/>
    </row>
    <row r="118" spans="1:35" ht="13" x14ac:dyDescent="0.15">
      <c r="A118" s="7"/>
      <c r="B118" s="64" t="s">
        <v>1705</v>
      </c>
      <c r="C118" s="36" t="s">
        <v>43</v>
      </c>
      <c r="D118" s="86">
        <v>5</v>
      </c>
      <c r="E118" s="7" t="s">
        <v>1924</v>
      </c>
      <c r="F118" s="7"/>
      <c r="G118" s="86"/>
      <c r="H118" s="2" t="s">
        <v>1926</v>
      </c>
      <c r="I118" s="2" t="s">
        <v>539</v>
      </c>
      <c r="J118" s="2" t="s">
        <v>1928</v>
      </c>
      <c r="K118" s="2" t="s">
        <v>48</v>
      </c>
      <c r="L118" s="2" t="s">
        <v>1929</v>
      </c>
      <c r="M118" s="2" t="s">
        <v>1930</v>
      </c>
      <c r="N118" s="45" t="str">
        <f t="shared" ref="N118:N119" si="93">HYPERLINK("twitter.com/cucsoftball","@cucsoftball")</f>
        <v>@cucsoftball</v>
      </c>
      <c r="O118" s="45" t="str">
        <f t="shared" ref="O118:O119" si="94">HYPERLINK("https://www.cucougars.com/sb_output.aspx?frform=6&amp;path=softball","Questionnaire")</f>
        <v>Questionnaire</v>
      </c>
      <c r="P118" s="48" t="s">
        <v>1940</v>
      </c>
      <c r="Q118" s="60" t="s">
        <v>1721</v>
      </c>
      <c r="R118" s="48" t="s">
        <v>1941</v>
      </c>
      <c r="S118" s="48" t="s">
        <v>172</v>
      </c>
      <c r="T118" s="49" t="s">
        <v>63</v>
      </c>
      <c r="U118" s="6" t="s">
        <v>1620</v>
      </c>
      <c r="V118" s="49"/>
      <c r="W118" s="37">
        <v>3.05</v>
      </c>
      <c r="X118" s="49" t="s">
        <v>521</v>
      </c>
      <c r="Y118" s="49" t="s">
        <v>1577</v>
      </c>
      <c r="Z118" s="49" t="s">
        <v>125</v>
      </c>
      <c r="AA118" s="65">
        <v>0.5</v>
      </c>
      <c r="AB118" s="39">
        <v>42402</v>
      </c>
      <c r="AC118" s="84" t="s">
        <v>1940</v>
      </c>
      <c r="AD118" s="53" t="str">
        <f t="shared" ref="AD118:AD121" si="95">HYPERLINK("https://www.cuchicago.edu/academics/degrees-and-programs/","Link")</f>
        <v>Link</v>
      </c>
      <c r="AE118" s="54">
        <v>1530</v>
      </c>
      <c r="AF118" s="55"/>
      <c r="AG118" s="55"/>
      <c r="AH118" s="56">
        <v>144351</v>
      </c>
      <c r="AI118" s="56"/>
    </row>
    <row r="119" spans="1:35" ht="13" x14ac:dyDescent="0.15">
      <c r="A119" s="7"/>
      <c r="B119" s="64" t="s">
        <v>1705</v>
      </c>
      <c r="C119" s="36" t="s">
        <v>43</v>
      </c>
      <c r="D119" s="86">
        <v>5</v>
      </c>
      <c r="E119" s="2" t="s">
        <v>1950</v>
      </c>
      <c r="F119" s="7"/>
      <c r="G119" s="86"/>
      <c r="H119" s="2" t="s">
        <v>1926</v>
      </c>
      <c r="I119" s="2" t="s">
        <v>329</v>
      </c>
      <c r="J119" s="2" t="s">
        <v>1951</v>
      </c>
      <c r="K119" s="2" t="s">
        <v>55</v>
      </c>
      <c r="L119" s="2"/>
      <c r="M119" s="2"/>
      <c r="N119" s="45" t="str">
        <f t="shared" si="93"/>
        <v>@cucsoftball</v>
      </c>
      <c r="O119" s="45" t="str">
        <f t="shared" si="94"/>
        <v>Questionnaire</v>
      </c>
      <c r="P119" s="48" t="s">
        <v>1940</v>
      </c>
      <c r="Q119" s="60" t="s">
        <v>1721</v>
      </c>
      <c r="R119" s="48" t="s">
        <v>1941</v>
      </c>
      <c r="S119" s="48" t="s">
        <v>172</v>
      </c>
      <c r="T119" s="49" t="s">
        <v>63</v>
      </c>
      <c r="U119" s="6" t="s">
        <v>1620</v>
      </c>
      <c r="V119" s="49"/>
      <c r="W119" s="37">
        <v>3.05</v>
      </c>
      <c r="X119" s="49" t="s">
        <v>521</v>
      </c>
      <c r="Y119" s="49" t="s">
        <v>1577</v>
      </c>
      <c r="Z119" s="49" t="s">
        <v>125</v>
      </c>
      <c r="AA119" s="65">
        <v>0.5</v>
      </c>
      <c r="AB119" s="39">
        <v>42402</v>
      </c>
      <c r="AC119" s="84" t="s">
        <v>1940</v>
      </c>
      <c r="AD119" s="53" t="str">
        <f t="shared" si="95"/>
        <v>Link</v>
      </c>
      <c r="AE119" s="54">
        <v>1530</v>
      </c>
      <c r="AF119" s="55"/>
      <c r="AG119" s="55"/>
      <c r="AH119" s="56">
        <v>144351</v>
      </c>
      <c r="AI119" s="56"/>
    </row>
    <row r="120" spans="1:35" ht="13" x14ac:dyDescent="0.15">
      <c r="A120" s="7"/>
      <c r="B120" s="88" t="s">
        <v>1705</v>
      </c>
      <c r="C120" s="36" t="s">
        <v>43</v>
      </c>
      <c r="D120" s="44">
        <v>5</v>
      </c>
      <c r="E120" s="2" t="s">
        <v>1962</v>
      </c>
      <c r="F120" s="7"/>
      <c r="G120" s="7"/>
      <c r="H120" s="2" t="s">
        <v>1926</v>
      </c>
      <c r="I120" s="7" t="s">
        <v>1963</v>
      </c>
      <c r="J120" s="7" t="s">
        <v>1964</v>
      </c>
      <c r="K120" s="7" t="s">
        <v>55</v>
      </c>
      <c r="L120" s="7" t="s">
        <v>1965</v>
      </c>
      <c r="M120" s="7"/>
      <c r="N120" s="48"/>
      <c r="O120" s="48"/>
      <c r="P120" s="6" t="s">
        <v>1940</v>
      </c>
      <c r="Q120" s="60" t="s">
        <v>1721</v>
      </c>
      <c r="R120" s="6" t="s">
        <v>1941</v>
      </c>
      <c r="S120" s="6" t="s">
        <v>172</v>
      </c>
      <c r="T120" s="4" t="s">
        <v>63</v>
      </c>
      <c r="U120" s="6" t="s">
        <v>1620</v>
      </c>
      <c r="V120" s="4"/>
      <c r="W120" s="37">
        <v>3.05</v>
      </c>
      <c r="X120" s="4" t="s">
        <v>521</v>
      </c>
      <c r="Y120" s="4" t="s">
        <v>1577</v>
      </c>
      <c r="Z120" s="4" t="s">
        <v>125</v>
      </c>
      <c r="AA120" s="65">
        <v>0.5</v>
      </c>
      <c r="AB120" s="39">
        <v>42402</v>
      </c>
      <c r="AC120" s="84" t="s">
        <v>1940</v>
      </c>
      <c r="AD120" s="67" t="str">
        <f t="shared" si="95"/>
        <v>Link</v>
      </c>
      <c r="AE120" s="42">
        <v>1530</v>
      </c>
      <c r="AF120" s="55"/>
      <c r="AG120" s="55"/>
      <c r="AH120" s="56">
        <v>144351</v>
      </c>
      <c r="AI120" s="56"/>
    </row>
    <row r="121" spans="1:35" ht="13" x14ac:dyDescent="0.15">
      <c r="A121" s="7"/>
      <c r="B121" s="88" t="s">
        <v>1705</v>
      </c>
      <c r="C121" s="36" t="s">
        <v>43</v>
      </c>
      <c r="D121" s="44">
        <v>5</v>
      </c>
      <c r="E121" s="2" t="s">
        <v>1973</v>
      </c>
      <c r="F121" s="7"/>
      <c r="G121" s="7"/>
      <c r="H121" s="2" t="s">
        <v>1926</v>
      </c>
      <c r="I121" s="7" t="s">
        <v>1974</v>
      </c>
      <c r="J121" s="7" t="s">
        <v>1975</v>
      </c>
      <c r="K121" s="7" t="s">
        <v>120</v>
      </c>
      <c r="L121" s="7" t="s">
        <v>1976</v>
      </c>
      <c r="M121" s="7"/>
      <c r="N121" s="48"/>
      <c r="O121" s="48"/>
      <c r="P121" s="6" t="s">
        <v>1940</v>
      </c>
      <c r="Q121" s="60" t="s">
        <v>1721</v>
      </c>
      <c r="R121" s="6" t="s">
        <v>1941</v>
      </c>
      <c r="S121" s="6" t="s">
        <v>172</v>
      </c>
      <c r="T121" s="4" t="s">
        <v>63</v>
      </c>
      <c r="U121" s="6" t="s">
        <v>1620</v>
      </c>
      <c r="V121" s="4"/>
      <c r="W121" s="37">
        <v>3.05</v>
      </c>
      <c r="X121" s="4" t="s">
        <v>521</v>
      </c>
      <c r="Y121" s="4" t="s">
        <v>1577</v>
      </c>
      <c r="Z121" s="4" t="s">
        <v>125</v>
      </c>
      <c r="AA121" s="65">
        <v>0.5</v>
      </c>
      <c r="AB121" s="39">
        <v>42402</v>
      </c>
      <c r="AC121" s="84" t="s">
        <v>1940</v>
      </c>
      <c r="AD121" s="67" t="str">
        <f t="shared" si="95"/>
        <v>Link</v>
      </c>
      <c r="AE121" s="42">
        <v>1530</v>
      </c>
      <c r="AF121" s="55"/>
      <c r="AG121" s="55"/>
      <c r="AH121" s="56">
        <v>144351</v>
      </c>
      <c r="AI121" s="56"/>
    </row>
    <row r="122" spans="1:35" ht="15" x14ac:dyDescent="0.2">
      <c r="A122" s="7"/>
      <c r="B122" s="64" t="s">
        <v>1705</v>
      </c>
      <c r="C122" s="36" t="s">
        <v>43</v>
      </c>
      <c r="D122" s="86">
        <v>5</v>
      </c>
      <c r="E122" s="2" t="s">
        <v>1982</v>
      </c>
      <c r="F122" s="7"/>
      <c r="G122" s="86"/>
      <c r="H122" s="2" t="s">
        <v>1986</v>
      </c>
      <c r="I122" s="2" t="s">
        <v>1534</v>
      </c>
      <c r="J122" s="2" t="s">
        <v>1988</v>
      </c>
      <c r="K122" s="2" t="s">
        <v>48</v>
      </c>
      <c r="L122" s="2" t="s">
        <v>1990</v>
      </c>
      <c r="M122" s="2" t="s">
        <v>1991</v>
      </c>
      <c r="N122" s="48"/>
      <c r="O122" s="45" t="str">
        <f t="shared" ref="O122:O125" si="96">HYPERLINK("https://questionnaires.armssoftware.com/d3c08bb0dd29","Questionnaire")</f>
        <v>Questionnaire</v>
      </c>
      <c r="P122" s="108" t="s">
        <v>1992</v>
      </c>
      <c r="Q122" s="60" t="s">
        <v>1721</v>
      </c>
      <c r="R122" s="48" t="s">
        <v>1941</v>
      </c>
      <c r="S122" s="48" t="s">
        <v>172</v>
      </c>
      <c r="T122" s="49" t="s">
        <v>63</v>
      </c>
      <c r="U122" s="6" t="s">
        <v>343</v>
      </c>
      <c r="V122" s="49"/>
      <c r="W122" s="37">
        <v>3.7</v>
      </c>
      <c r="X122" s="49" t="s">
        <v>895</v>
      </c>
      <c r="Y122" s="49" t="s">
        <v>1993</v>
      </c>
      <c r="Z122" s="49" t="s">
        <v>1994</v>
      </c>
      <c r="AA122" s="65">
        <v>0.64</v>
      </c>
      <c r="AB122" s="39">
        <v>43872</v>
      </c>
      <c r="AC122" s="52" t="s">
        <v>1992</v>
      </c>
      <c r="AD122" s="53" t="str">
        <f t="shared" ref="AD122:AD125" si="97">HYPERLINK("https://www.dom.edu/academics/majors-programs","Link")</f>
        <v>Link</v>
      </c>
      <c r="AE122" s="54">
        <v>2306</v>
      </c>
      <c r="AF122" s="55"/>
      <c r="AG122" s="55"/>
      <c r="AH122" s="56">
        <v>148496</v>
      </c>
      <c r="AI122" s="56"/>
    </row>
    <row r="123" spans="1:35" ht="15" x14ac:dyDescent="0.2">
      <c r="A123" s="7"/>
      <c r="B123" s="64" t="s">
        <v>1705</v>
      </c>
      <c r="C123" s="36" t="s">
        <v>43</v>
      </c>
      <c r="D123" s="86">
        <v>5</v>
      </c>
      <c r="E123" s="7" t="s">
        <v>2000</v>
      </c>
      <c r="F123" s="7"/>
      <c r="G123" s="86"/>
      <c r="H123" s="2" t="s">
        <v>1986</v>
      </c>
      <c r="I123" s="2" t="s">
        <v>2001</v>
      </c>
      <c r="J123" s="2" t="s">
        <v>2002</v>
      </c>
      <c r="K123" s="2" t="s">
        <v>55</v>
      </c>
      <c r="L123" s="2" t="s">
        <v>2003</v>
      </c>
      <c r="M123" s="2"/>
      <c r="N123" s="48"/>
      <c r="O123" s="45" t="str">
        <f t="shared" si="96"/>
        <v>Questionnaire</v>
      </c>
      <c r="P123" s="108" t="s">
        <v>1992</v>
      </c>
      <c r="Q123" s="60" t="s">
        <v>1721</v>
      </c>
      <c r="R123" s="48" t="s">
        <v>1941</v>
      </c>
      <c r="S123" s="48" t="s">
        <v>172</v>
      </c>
      <c r="T123" s="49" t="s">
        <v>63</v>
      </c>
      <c r="U123" s="6" t="s">
        <v>343</v>
      </c>
      <c r="V123" s="49"/>
      <c r="W123" s="37">
        <v>3.7</v>
      </c>
      <c r="X123" s="49" t="s">
        <v>895</v>
      </c>
      <c r="Y123" s="49" t="s">
        <v>1993</v>
      </c>
      <c r="Z123" s="49" t="s">
        <v>1994</v>
      </c>
      <c r="AA123" s="65">
        <v>0.64</v>
      </c>
      <c r="AB123" s="39">
        <v>43872</v>
      </c>
      <c r="AC123" s="52" t="s">
        <v>1992</v>
      </c>
      <c r="AD123" s="53" t="str">
        <f t="shared" si="97"/>
        <v>Link</v>
      </c>
      <c r="AE123" s="54">
        <v>2306</v>
      </c>
      <c r="AF123" s="55"/>
      <c r="AG123" s="55"/>
      <c r="AH123" s="56">
        <v>148496</v>
      </c>
      <c r="AI123" s="56"/>
    </row>
    <row r="124" spans="1:35" ht="15" x14ac:dyDescent="0.2">
      <c r="A124" s="7"/>
      <c r="B124" s="64" t="s">
        <v>1705</v>
      </c>
      <c r="C124" s="36" t="s">
        <v>43</v>
      </c>
      <c r="D124" s="86">
        <v>5</v>
      </c>
      <c r="E124" s="2" t="s">
        <v>2009</v>
      </c>
      <c r="F124" s="7"/>
      <c r="G124" s="86"/>
      <c r="H124" s="2" t="s">
        <v>1986</v>
      </c>
      <c r="I124" s="2" t="s">
        <v>2011</v>
      </c>
      <c r="J124" s="2" t="s">
        <v>2012</v>
      </c>
      <c r="K124" s="2" t="s">
        <v>55</v>
      </c>
      <c r="L124" s="2" t="s">
        <v>2013</v>
      </c>
      <c r="M124" s="2" t="s">
        <v>2014</v>
      </c>
      <c r="N124" s="48"/>
      <c r="O124" s="45" t="str">
        <f t="shared" si="96"/>
        <v>Questionnaire</v>
      </c>
      <c r="P124" s="108" t="s">
        <v>1992</v>
      </c>
      <c r="Q124" s="60" t="s">
        <v>1721</v>
      </c>
      <c r="R124" s="48" t="s">
        <v>1941</v>
      </c>
      <c r="S124" s="48" t="s">
        <v>172</v>
      </c>
      <c r="T124" s="49" t="s">
        <v>63</v>
      </c>
      <c r="U124" s="6" t="s">
        <v>343</v>
      </c>
      <c r="V124" s="49"/>
      <c r="W124" s="37">
        <v>3.7</v>
      </c>
      <c r="X124" s="49" t="s">
        <v>895</v>
      </c>
      <c r="Y124" s="49" t="s">
        <v>1993</v>
      </c>
      <c r="Z124" s="49" t="s">
        <v>1994</v>
      </c>
      <c r="AA124" s="65">
        <v>0.64</v>
      </c>
      <c r="AB124" s="39">
        <v>43872</v>
      </c>
      <c r="AC124" s="52" t="s">
        <v>1992</v>
      </c>
      <c r="AD124" s="53" t="str">
        <f t="shared" si="97"/>
        <v>Link</v>
      </c>
      <c r="AE124" s="54">
        <v>2306</v>
      </c>
      <c r="AF124" s="55"/>
      <c r="AG124" s="55"/>
      <c r="AH124" s="56">
        <v>148496</v>
      </c>
      <c r="AI124" s="56"/>
    </row>
    <row r="125" spans="1:35" ht="15" x14ac:dyDescent="0.2">
      <c r="A125" s="7"/>
      <c r="B125" s="64" t="s">
        <v>1705</v>
      </c>
      <c r="C125" s="36" t="s">
        <v>43</v>
      </c>
      <c r="D125" s="86">
        <v>5</v>
      </c>
      <c r="E125" s="7" t="s">
        <v>2018</v>
      </c>
      <c r="F125" s="7"/>
      <c r="G125" s="86"/>
      <c r="H125" s="2" t="s">
        <v>1986</v>
      </c>
      <c r="I125" s="2" t="s">
        <v>92</v>
      </c>
      <c r="J125" s="2" t="s">
        <v>2020</v>
      </c>
      <c r="K125" s="2" t="s">
        <v>55</v>
      </c>
      <c r="L125" s="2" t="s">
        <v>2021</v>
      </c>
      <c r="M125" s="2"/>
      <c r="N125" s="48"/>
      <c r="O125" s="45" t="str">
        <f t="shared" si="96"/>
        <v>Questionnaire</v>
      </c>
      <c r="P125" s="108" t="s">
        <v>1992</v>
      </c>
      <c r="Q125" s="60" t="s">
        <v>1721</v>
      </c>
      <c r="R125" s="48" t="s">
        <v>1941</v>
      </c>
      <c r="S125" s="48" t="s">
        <v>172</v>
      </c>
      <c r="T125" s="49" t="s">
        <v>63</v>
      </c>
      <c r="U125" s="6" t="s">
        <v>343</v>
      </c>
      <c r="V125" s="49"/>
      <c r="W125" s="37">
        <v>3.7</v>
      </c>
      <c r="X125" s="49" t="s">
        <v>895</v>
      </c>
      <c r="Y125" s="49" t="s">
        <v>1993</v>
      </c>
      <c r="Z125" s="49" t="s">
        <v>1994</v>
      </c>
      <c r="AA125" s="65">
        <v>0.64</v>
      </c>
      <c r="AB125" s="39">
        <v>43872</v>
      </c>
      <c r="AC125" s="52" t="s">
        <v>1992</v>
      </c>
      <c r="AD125" s="53" t="str">
        <f t="shared" si="97"/>
        <v>Link</v>
      </c>
      <c r="AE125" s="54">
        <v>2306</v>
      </c>
      <c r="AF125" s="55"/>
      <c r="AG125" s="55"/>
      <c r="AH125" s="56">
        <v>148496</v>
      </c>
      <c r="AI125" s="56"/>
    </row>
    <row r="126" spans="1:35" ht="13" x14ac:dyDescent="0.15">
      <c r="A126" s="7"/>
      <c r="B126" s="64" t="s">
        <v>1705</v>
      </c>
      <c r="C126" s="36" t="s">
        <v>43</v>
      </c>
      <c r="D126" s="86">
        <v>5</v>
      </c>
      <c r="E126" s="2" t="s">
        <v>2029</v>
      </c>
      <c r="F126" s="7"/>
      <c r="G126" s="86"/>
      <c r="H126" s="2" t="s">
        <v>2030</v>
      </c>
      <c r="I126" s="2" t="s">
        <v>2031</v>
      </c>
      <c r="J126" s="2" t="s">
        <v>2032</v>
      </c>
      <c r="K126" s="2" t="s">
        <v>48</v>
      </c>
      <c r="L126" s="2" t="s">
        <v>2033</v>
      </c>
      <c r="M126" s="2" t="s">
        <v>2034</v>
      </c>
      <c r="N126" s="45" t="str">
        <f t="shared" ref="N126:N127" si="98">HYPERLINK("twitter.com/ecsb_bluejays","@ecsb_bluejays")</f>
        <v>@ecsb_bluejays</v>
      </c>
      <c r="O126" s="45" t="str">
        <f t="shared" ref="O126:O127" si="99">HYPERLINK("https://elmhurstbluejays.com/sports/2016/5/9/recruit-questionnaires.aspx","Questionnaire")</f>
        <v>Questionnaire</v>
      </c>
      <c r="P126" s="48" t="s">
        <v>2045</v>
      </c>
      <c r="Q126" s="60" t="s">
        <v>1721</v>
      </c>
      <c r="R126" s="48" t="s">
        <v>2045</v>
      </c>
      <c r="S126" s="48" t="s">
        <v>468</v>
      </c>
      <c r="T126" s="49" t="s">
        <v>63</v>
      </c>
      <c r="U126" s="6" t="s">
        <v>1625</v>
      </c>
      <c r="V126" s="49"/>
      <c r="W126" s="37">
        <v>3.38</v>
      </c>
      <c r="X126" s="49" t="s">
        <v>2046</v>
      </c>
      <c r="Y126" s="49" t="s">
        <v>1622</v>
      </c>
      <c r="Z126" s="49" t="s">
        <v>278</v>
      </c>
      <c r="AA126" s="65">
        <v>0.72</v>
      </c>
      <c r="AB126" s="39">
        <v>48500</v>
      </c>
      <c r="AC126" s="84" t="s">
        <v>2045</v>
      </c>
      <c r="AD126" s="53" t="str">
        <f t="shared" ref="AD126:AD127" si="100">HYPERLINK("https://www.elmhurst.edu/academics/undergraduate/majors-minors/","Link")</f>
        <v>Link</v>
      </c>
      <c r="AE126" s="54">
        <v>2856</v>
      </c>
      <c r="AF126" s="55"/>
      <c r="AG126" s="55"/>
      <c r="AH126" s="56">
        <v>144962</v>
      </c>
      <c r="AI126" s="56"/>
    </row>
    <row r="127" spans="1:35" ht="13" x14ac:dyDescent="0.15">
      <c r="A127" s="7"/>
      <c r="B127" s="64" t="s">
        <v>1705</v>
      </c>
      <c r="C127" s="36" t="s">
        <v>43</v>
      </c>
      <c r="D127" s="86">
        <v>5</v>
      </c>
      <c r="E127" s="7" t="s">
        <v>2053</v>
      </c>
      <c r="F127" s="7"/>
      <c r="G127" s="86"/>
      <c r="H127" s="2" t="s">
        <v>2030</v>
      </c>
      <c r="I127" s="2" t="s">
        <v>2054</v>
      </c>
      <c r="J127" s="2" t="s">
        <v>1753</v>
      </c>
      <c r="K127" s="2" t="s">
        <v>55</v>
      </c>
      <c r="L127" s="2"/>
      <c r="M127" s="2"/>
      <c r="N127" s="45" t="str">
        <f t="shared" si="98"/>
        <v>@ecsb_bluejays</v>
      </c>
      <c r="O127" s="45" t="str">
        <f t="shared" si="99"/>
        <v>Questionnaire</v>
      </c>
      <c r="P127" s="48" t="s">
        <v>2045</v>
      </c>
      <c r="Q127" s="60" t="s">
        <v>1721</v>
      </c>
      <c r="R127" s="48" t="s">
        <v>2045</v>
      </c>
      <c r="S127" s="48" t="s">
        <v>468</v>
      </c>
      <c r="T127" s="49" t="s">
        <v>63</v>
      </c>
      <c r="U127" s="6" t="s">
        <v>1625</v>
      </c>
      <c r="V127" s="49"/>
      <c r="W127" s="37">
        <v>3.38</v>
      </c>
      <c r="X127" s="49" t="s">
        <v>2046</v>
      </c>
      <c r="Y127" s="49" t="s">
        <v>1622</v>
      </c>
      <c r="Z127" s="49" t="s">
        <v>278</v>
      </c>
      <c r="AA127" s="65">
        <v>0.72</v>
      </c>
      <c r="AB127" s="39">
        <v>48500</v>
      </c>
      <c r="AC127" s="84" t="s">
        <v>2045</v>
      </c>
      <c r="AD127" s="53" t="str">
        <f t="shared" si="100"/>
        <v>Link</v>
      </c>
      <c r="AE127" s="54">
        <v>2856</v>
      </c>
      <c r="AF127" s="55"/>
      <c r="AG127" s="55"/>
      <c r="AH127" s="56">
        <v>144962</v>
      </c>
      <c r="AI127" s="56"/>
    </row>
    <row r="128" spans="1:35" ht="13" x14ac:dyDescent="0.15">
      <c r="A128" s="7"/>
      <c r="B128" s="64" t="s">
        <v>1705</v>
      </c>
      <c r="C128" s="36" t="s">
        <v>43</v>
      </c>
      <c r="D128" s="86">
        <v>5</v>
      </c>
      <c r="E128" s="7" t="s">
        <v>2059</v>
      </c>
      <c r="F128" s="7"/>
      <c r="G128" s="86"/>
      <c r="H128" s="2" t="s">
        <v>2060</v>
      </c>
      <c r="I128" s="2" t="s">
        <v>2061</v>
      </c>
      <c r="J128" s="2" t="s">
        <v>2062</v>
      </c>
      <c r="K128" s="2" t="s">
        <v>48</v>
      </c>
      <c r="L128" s="2" t="s">
        <v>2063</v>
      </c>
      <c r="M128" s="2" t="s">
        <v>2064</v>
      </c>
      <c r="N128" s="48"/>
      <c r="O128" s="45" t="str">
        <f t="shared" ref="O128:O129" si="101">HYPERLINK("http://www.eurekareddevils.com/navbar-recruit-me","Questionnaire")</f>
        <v>Questionnaire</v>
      </c>
      <c r="P128" s="60" t="s">
        <v>2068</v>
      </c>
      <c r="Q128" s="60" t="s">
        <v>1721</v>
      </c>
      <c r="R128" s="48" t="s">
        <v>2068</v>
      </c>
      <c r="S128" s="60" t="s">
        <v>205</v>
      </c>
      <c r="T128" s="49" t="s">
        <v>63</v>
      </c>
      <c r="U128" s="6" t="s">
        <v>410</v>
      </c>
      <c r="V128" s="49"/>
      <c r="W128" s="37">
        <v>3.28</v>
      </c>
      <c r="X128" s="49" t="s">
        <v>2069</v>
      </c>
      <c r="Y128" s="49" t="s">
        <v>2070</v>
      </c>
      <c r="Z128" s="49" t="s">
        <v>746</v>
      </c>
      <c r="AA128" s="65">
        <v>0.65</v>
      </c>
      <c r="AB128" s="39">
        <v>32220</v>
      </c>
      <c r="AC128" s="90" t="s">
        <v>2068</v>
      </c>
      <c r="AD128" s="53" t="str">
        <f t="shared" ref="AD128:AD129" si="102">HYPERLINK("https://www.eureka.edu/academics/find-your-major/","Link")</f>
        <v>Link</v>
      </c>
      <c r="AE128" s="54">
        <v>672</v>
      </c>
      <c r="AF128" s="55"/>
      <c r="AG128" s="55"/>
      <c r="AH128" s="56">
        <v>144971</v>
      </c>
      <c r="AI128" s="56"/>
    </row>
    <row r="129" spans="1:35" ht="13" x14ac:dyDescent="0.15">
      <c r="A129" s="7"/>
      <c r="B129" s="64" t="s">
        <v>1705</v>
      </c>
      <c r="C129" s="36" t="s">
        <v>43</v>
      </c>
      <c r="D129" s="86">
        <v>5</v>
      </c>
      <c r="E129" s="2" t="s">
        <v>2078</v>
      </c>
      <c r="F129" s="7"/>
      <c r="G129" s="86"/>
      <c r="H129" s="2" t="s">
        <v>2060</v>
      </c>
      <c r="I129" s="2" t="s">
        <v>2080</v>
      </c>
      <c r="J129" s="2" t="s">
        <v>2081</v>
      </c>
      <c r="K129" s="2" t="s">
        <v>55</v>
      </c>
      <c r="L129" s="2"/>
      <c r="M129" s="2"/>
      <c r="N129" s="48"/>
      <c r="O129" s="45" t="str">
        <f t="shared" si="101"/>
        <v>Questionnaire</v>
      </c>
      <c r="P129" s="60" t="s">
        <v>2068</v>
      </c>
      <c r="Q129" s="60" t="s">
        <v>1721</v>
      </c>
      <c r="R129" s="48" t="s">
        <v>2068</v>
      </c>
      <c r="S129" s="60" t="s">
        <v>205</v>
      </c>
      <c r="T129" s="49" t="s">
        <v>63</v>
      </c>
      <c r="U129" s="6" t="s">
        <v>410</v>
      </c>
      <c r="V129" s="49"/>
      <c r="W129" s="37">
        <v>3.28</v>
      </c>
      <c r="X129" s="49" t="s">
        <v>2069</v>
      </c>
      <c r="Y129" s="49" t="s">
        <v>2070</v>
      </c>
      <c r="Z129" s="49" t="s">
        <v>746</v>
      </c>
      <c r="AA129" s="65">
        <v>0.65</v>
      </c>
      <c r="AB129" s="39">
        <v>32220</v>
      </c>
      <c r="AC129" s="90" t="s">
        <v>2068</v>
      </c>
      <c r="AD129" s="53" t="str">
        <f t="shared" si="102"/>
        <v>Link</v>
      </c>
      <c r="AE129" s="54">
        <v>672</v>
      </c>
      <c r="AF129" s="55"/>
      <c r="AG129" s="55"/>
      <c r="AH129" s="56">
        <v>144971</v>
      </c>
      <c r="AI129" s="56"/>
    </row>
    <row r="130" spans="1:35" ht="13" x14ac:dyDescent="0.15">
      <c r="A130" s="7"/>
      <c r="B130" s="64" t="s">
        <v>1705</v>
      </c>
      <c r="C130" s="36" t="s">
        <v>43</v>
      </c>
      <c r="D130" s="86">
        <v>5</v>
      </c>
      <c r="E130" s="2" t="s">
        <v>2091</v>
      </c>
      <c r="F130" s="7"/>
      <c r="G130" s="86"/>
      <c r="H130" s="2" t="s">
        <v>2093</v>
      </c>
      <c r="I130" s="2" t="s">
        <v>2094</v>
      </c>
      <c r="J130" s="2" t="s">
        <v>2095</v>
      </c>
      <c r="K130" s="2" t="s">
        <v>48</v>
      </c>
      <c r="L130" s="2" t="s">
        <v>2096</v>
      </c>
      <c r="M130" s="2" t="s">
        <v>2097</v>
      </c>
      <c r="N130" s="48"/>
      <c r="O130" s="45" t="str">
        <f t="shared" ref="O130:O132" si="103">HYPERLINK("http://athletics.greenville.edu/recruits/questionnaire","Questionnaire")</f>
        <v>Questionnaire</v>
      </c>
      <c r="P130" s="48" t="s">
        <v>237</v>
      </c>
      <c r="Q130" s="60" t="s">
        <v>1721</v>
      </c>
      <c r="R130" s="48" t="s">
        <v>237</v>
      </c>
      <c r="S130" s="60" t="s">
        <v>205</v>
      </c>
      <c r="T130" s="49" t="s">
        <v>63</v>
      </c>
      <c r="U130" s="6" t="s">
        <v>2100</v>
      </c>
      <c r="V130" s="49"/>
      <c r="W130" s="37">
        <v>3.38</v>
      </c>
      <c r="X130" s="49" t="s">
        <v>2103</v>
      </c>
      <c r="Y130" s="49" t="s">
        <v>1145</v>
      </c>
      <c r="Z130" s="49" t="s">
        <v>357</v>
      </c>
      <c r="AA130" s="65">
        <v>0.57999999999999996</v>
      </c>
      <c r="AB130" s="39">
        <v>38728</v>
      </c>
      <c r="AC130" s="84" t="s">
        <v>237</v>
      </c>
      <c r="AD130" s="53" t="str">
        <f t="shared" ref="AD130:AD132" si="104">HYPERLINK("http://www.greenville.edu/academics/","Link")</f>
        <v>Link</v>
      </c>
      <c r="AE130" s="54">
        <v>994</v>
      </c>
      <c r="AF130" s="55"/>
      <c r="AG130" s="55"/>
      <c r="AH130" s="56">
        <v>145372</v>
      </c>
      <c r="AI130" s="56"/>
    </row>
    <row r="131" spans="1:35" ht="13" x14ac:dyDescent="0.15">
      <c r="A131" s="7"/>
      <c r="B131" s="64" t="s">
        <v>1705</v>
      </c>
      <c r="C131" s="36" t="s">
        <v>43</v>
      </c>
      <c r="D131" s="86">
        <v>5</v>
      </c>
      <c r="E131" s="7" t="s">
        <v>2109</v>
      </c>
      <c r="F131" s="7"/>
      <c r="G131" s="86"/>
      <c r="H131" s="2" t="s">
        <v>2093</v>
      </c>
      <c r="I131" s="2" t="s">
        <v>577</v>
      </c>
      <c r="J131" s="2" t="s">
        <v>2111</v>
      </c>
      <c r="K131" s="2" t="s">
        <v>55</v>
      </c>
      <c r="L131" s="2" t="s">
        <v>2113</v>
      </c>
      <c r="M131" s="2" t="s">
        <v>2114</v>
      </c>
      <c r="N131" s="48"/>
      <c r="O131" s="45" t="str">
        <f t="shared" si="103"/>
        <v>Questionnaire</v>
      </c>
      <c r="P131" s="48" t="s">
        <v>237</v>
      </c>
      <c r="Q131" s="60" t="s">
        <v>1721</v>
      </c>
      <c r="R131" s="48" t="s">
        <v>237</v>
      </c>
      <c r="S131" s="60" t="s">
        <v>205</v>
      </c>
      <c r="T131" s="49" t="s">
        <v>63</v>
      </c>
      <c r="U131" s="6" t="s">
        <v>2100</v>
      </c>
      <c r="V131" s="49"/>
      <c r="W131" s="37">
        <v>3.38</v>
      </c>
      <c r="X131" s="49" t="s">
        <v>2103</v>
      </c>
      <c r="Y131" s="49" t="s">
        <v>1145</v>
      </c>
      <c r="Z131" s="49" t="s">
        <v>357</v>
      </c>
      <c r="AA131" s="65">
        <v>0.57999999999999996</v>
      </c>
      <c r="AB131" s="39">
        <v>38728</v>
      </c>
      <c r="AC131" s="84" t="s">
        <v>237</v>
      </c>
      <c r="AD131" s="53" t="str">
        <f t="shared" si="104"/>
        <v>Link</v>
      </c>
      <c r="AE131" s="54">
        <v>994</v>
      </c>
      <c r="AF131" s="55"/>
      <c r="AG131" s="55"/>
      <c r="AH131" s="56">
        <v>145372</v>
      </c>
      <c r="AI131" s="56"/>
    </row>
    <row r="132" spans="1:35" ht="13" x14ac:dyDescent="0.15">
      <c r="A132" s="7"/>
      <c r="B132" s="64" t="s">
        <v>1705</v>
      </c>
      <c r="C132" s="36" t="s">
        <v>43</v>
      </c>
      <c r="D132" s="86">
        <v>5</v>
      </c>
      <c r="E132" s="2" t="s">
        <v>2121</v>
      </c>
      <c r="F132" s="7"/>
      <c r="G132" s="86"/>
      <c r="H132" s="2" t="s">
        <v>2093</v>
      </c>
      <c r="I132" s="2" t="s">
        <v>2122</v>
      </c>
      <c r="J132" s="2" t="s">
        <v>911</v>
      </c>
      <c r="K132" s="2" t="s">
        <v>55</v>
      </c>
      <c r="L132" s="2" t="s">
        <v>2124</v>
      </c>
      <c r="M132" s="2" t="s">
        <v>2097</v>
      </c>
      <c r="N132" s="48"/>
      <c r="O132" s="45" t="str">
        <f t="shared" si="103"/>
        <v>Questionnaire</v>
      </c>
      <c r="P132" s="48" t="s">
        <v>237</v>
      </c>
      <c r="Q132" s="60" t="s">
        <v>1721</v>
      </c>
      <c r="R132" s="48" t="s">
        <v>237</v>
      </c>
      <c r="S132" s="60" t="s">
        <v>205</v>
      </c>
      <c r="T132" s="49" t="s">
        <v>63</v>
      </c>
      <c r="U132" s="6" t="s">
        <v>2100</v>
      </c>
      <c r="V132" s="49"/>
      <c r="W132" s="37">
        <v>3.38</v>
      </c>
      <c r="X132" s="49" t="s">
        <v>2103</v>
      </c>
      <c r="Y132" s="49" t="s">
        <v>1145</v>
      </c>
      <c r="Z132" s="49" t="s">
        <v>357</v>
      </c>
      <c r="AA132" s="65">
        <v>0.57999999999999996</v>
      </c>
      <c r="AB132" s="39">
        <v>38728</v>
      </c>
      <c r="AC132" s="84" t="s">
        <v>237</v>
      </c>
      <c r="AD132" s="53" t="str">
        <f t="shared" si="104"/>
        <v>Link</v>
      </c>
      <c r="AE132" s="54">
        <v>994</v>
      </c>
      <c r="AF132" s="55"/>
      <c r="AG132" s="55"/>
      <c r="AH132" s="56">
        <v>145372</v>
      </c>
      <c r="AI132" s="56"/>
    </row>
    <row r="133" spans="1:35" ht="13" x14ac:dyDescent="0.15">
      <c r="A133" s="7"/>
      <c r="B133" s="64" t="s">
        <v>1705</v>
      </c>
      <c r="C133" s="36" t="s">
        <v>43</v>
      </c>
      <c r="D133" s="86">
        <v>5</v>
      </c>
      <c r="E133" s="7" t="s">
        <v>2132</v>
      </c>
      <c r="F133" s="7"/>
      <c r="G133" s="86"/>
      <c r="H133" s="2" t="s">
        <v>2134</v>
      </c>
      <c r="I133" s="2" t="s">
        <v>2135</v>
      </c>
      <c r="J133" s="2" t="s">
        <v>2136</v>
      </c>
      <c r="K133" s="2" t="s">
        <v>48</v>
      </c>
      <c r="L133" s="2" t="s">
        <v>2137</v>
      </c>
      <c r="M133" s="2" t="s">
        <v>2138</v>
      </c>
      <c r="N133" s="45" t="str">
        <f>HYPERLINK("twitter.com/ICladybluesSB","@ICladybluesSB")</f>
        <v>@ICladybluesSB</v>
      </c>
      <c r="O133" s="45" t="str">
        <f t="shared" ref="O133:O135" si="105">HYPERLINK("https://illinoiscollegeathletics.com/sports/2012/5/7/GEN_0507122937.aspx?path=general","Questionnaire")</f>
        <v>Questionnaire</v>
      </c>
      <c r="P133" s="48" t="s">
        <v>2134</v>
      </c>
      <c r="Q133" s="60" t="s">
        <v>1721</v>
      </c>
      <c r="R133" s="48" t="s">
        <v>2146</v>
      </c>
      <c r="S133" s="48" t="s">
        <v>172</v>
      </c>
      <c r="T133" s="49" t="s">
        <v>63</v>
      </c>
      <c r="U133" s="6" t="s">
        <v>248</v>
      </c>
      <c r="V133" s="49"/>
      <c r="W133" s="37">
        <v>3.45</v>
      </c>
      <c r="X133" s="49" t="s">
        <v>2148</v>
      </c>
      <c r="Y133" s="49" t="s">
        <v>2149</v>
      </c>
      <c r="Z133" s="49" t="s">
        <v>125</v>
      </c>
      <c r="AA133" s="65">
        <v>0.54</v>
      </c>
      <c r="AB133" s="39">
        <v>42300</v>
      </c>
      <c r="AC133" s="84" t="s">
        <v>2134</v>
      </c>
      <c r="AD133" s="53" t="str">
        <f t="shared" ref="AD133:AD135" si="106">HYPERLINK("https://www.ic.edu/majors-programs","Link")</f>
        <v>Link</v>
      </c>
      <c r="AE133" s="54">
        <v>958</v>
      </c>
      <c r="AF133" s="55"/>
      <c r="AG133" s="54">
        <v>134</v>
      </c>
      <c r="AH133" s="56">
        <v>145691</v>
      </c>
      <c r="AI133" s="56"/>
    </row>
    <row r="134" spans="1:35" ht="13" x14ac:dyDescent="0.15">
      <c r="A134" s="7"/>
      <c r="B134" s="64" t="s">
        <v>1705</v>
      </c>
      <c r="C134" s="36" t="s">
        <v>43</v>
      </c>
      <c r="D134" s="86">
        <v>5</v>
      </c>
      <c r="E134" s="2" t="s">
        <v>2153</v>
      </c>
      <c r="F134" s="7"/>
      <c r="G134" s="86"/>
      <c r="H134" s="2" t="s">
        <v>2134</v>
      </c>
      <c r="I134" s="2" t="s">
        <v>1258</v>
      </c>
      <c r="J134" s="2" t="s">
        <v>2155</v>
      </c>
      <c r="K134" s="2" t="s">
        <v>55</v>
      </c>
      <c r="L134" s="2" t="s">
        <v>2156</v>
      </c>
      <c r="M134" s="2"/>
      <c r="N134" s="48"/>
      <c r="O134" s="45" t="str">
        <f t="shared" si="105"/>
        <v>Questionnaire</v>
      </c>
      <c r="P134" s="48" t="s">
        <v>2134</v>
      </c>
      <c r="Q134" s="60" t="s">
        <v>1721</v>
      </c>
      <c r="R134" s="48" t="s">
        <v>2146</v>
      </c>
      <c r="S134" s="48" t="s">
        <v>172</v>
      </c>
      <c r="T134" s="49" t="s">
        <v>63</v>
      </c>
      <c r="U134" s="6" t="s">
        <v>248</v>
      </c>
      <c r="V134" s="49"/>
      <c r="W134" s="37">
        <v>3.45</v>
      </c>
      <c r="X134" s="49" t="s">
        <v>2148</v>
      </c>
      <c r="Y134" s="49" t="s">
        <v>2149</v>
      </c>
      <c r="Z134" s="49" t="s">
        <v>125</v>
      </c>
      <c r="AA134" s="65">
        <v>0.54</v>
      </c>
      <c r="AB134" s="39">
        <v>42300</v>
      </c>
      <c r="AC134" s="84" t="s">
        <v>2134</v>
      </c>
      <c r="AD134" s="53" t="str">
        <f t="shared" si="106"/>
        <v>Link</v>
      </c>
      <c r="AE134" s="54">
        <v>958</v>
      </c>
      <c r="AF134" s="55"/>
      <c r="AG134" s="54">
        <v>134</v>
      </c>
      <c r="AH134" s="56">
        <v>145691</v>
      </c>
      <c r="AI134" s="56"/>
    </row>
    <row r="135" spans="1:35" ht="13" x14ac:dyDescent="0.15">
      <c r="A135" s="7"/>
      <c r="B135" s="64" t="s">
        <v>1705</v>
      </c>
      <c r="C135" s="36" t="s">
        <v>43</v>
      </c>
      <c r="D135" s="86">
        <v>5</v>
      </c>
      <c r="E135" s="7" t="s">
        <v>2163</v>
      </c>
      <c r="F135" s="7"/>
      <c r="G135" s="86"/>
      <c r="H135" s="2" t="s">
        <v>2134</v>
      </c>
      <c r="I135" s="2" t="s">
        <v>2164</v>
      </c>
      <c r="J135" s="2" t="s">
        <v>2165</v>
      </c>
      <c r="K135" s="2" t="s">
        <v>55</v>
      </c>
      <c r="L135" s="2"/>
      <c r="M135" s="2"/>
      <c r="N135" s="48"/>
      <c r="O135" s="45" t="str">
        <f t="shared" si="105"/>
        <v>Questionnaire</v>
      </c>
      <c r="P135" s="48" t="s">
        <v>2134</v>
      </c>
      <c r="Q135" s="60" t="s">
        <v>1721</v>
      </c>
      <c r="R135" s="48" t="s">
        <v>2146</v>
      </c>
      <c r="S135" s="48" t="s">
        <v>172</v>
      </c>
      <c r="T135" s="49" t="s">
        <v>63</v>
      </c>
      <c r="U135" s="6" t="s">
        <v>248</v>
      </c>
      <c r="V135" s="49"/>
      <c r="W135" s="37">
        <v>3.45</v>
      </c>
      <c r="X135" s="49" t="s">
        <v>2148</v>
      </c>
      <c r="Y135" s="49" t="s">
        <v>2149</v>
      </c>
      <c r="Z135" s="49" t="s">
        <v>125</v>
      </c>
      <c r="AA135" s="65">
        <v>0.54</v>
      </c>
      <c r="AB135" s="39">
        <v>42300</v>
      </c>
      <c r="AC135" s="84" t="s">
        <v>2134</v>
      </c>
      <c r="AD135" s="53" t="str">
        <f t="shared" si="106"/>
        <v>Link</v>
      </c>
      <c r="AE135" s="54">
        <v>958</v>
      </c>
      <c r="AF135" s="55"/>
      <c r="AG135" s="54">
        <v>134</v>
      </c>
      <c r="AH135" s="56">
        <v>145691</v>
      </c>
      <c r="AI135" s="56"/>
    </row>
    <row r="136" spans="1:35" ht="13" x14ac:dyDescent="0.15">
      <c r="A136" s="7"/>
      <c r="B136" s="64" t="s">
        <v>1705</v>
      </c>
      <c r="C136" s="36" t="s">
        <v>43</v>
      </c>
      <c r="D136" s="86">
        <v>5</v>
      </c>
      <c r="E136" s="2" t="s">
        <v>2177</v>
      </c>
      <c r="F136" s="7"/>
      <c r="G136" s="86"/>
      <c r="H136" s="2" t="s">
        <v>2178</v>
      </c>
      <c r="I136" s="2" t="s">
        <v>92</v>
      </c>
      <c r="J136" s="2" t="s">
        <v>2179</v>
      </c>
      <c r="K136" s="2" t="s">
        <v>48</v>
      </c>
      <c r="L136" s="2" t="s">
        <v>2180</v>
      </c>
      <c r="M136" s="2" t="s">
        <v>2182</v>
      </c>
      <c r="N136" s="45" t="str">
        <f t="shared" ref="N136:N139" si="107">HYPERLINK("twitter.com/IWUSoftball","@IWUSoftball")</f>
        <v>@IWUSoftball</v>
      </c>
      <c r="O136" s="45" t="str">
        <f t="shared" ref="O136:O139" si="108">HYPERLINK("https://www.iwusports.com/sb_output.aspx?frform=15&amp;path=softball","Questionnaire")</f>
        <v>Questionnaire</v>
      </c>
      <c r="P136" s="48" t="s">
        <v>2191</v>
      </c>
      <c r="Q136" s="60" t="s">
        <v>1721</v>
      </c>
      <c r="R136" s="48" t="s">
        <v>2193</v>
      </c>
      <c r="S136" s="48" t="s">
        <v>238</v>
      </c>
      <c r="T136" s="49" t="s">
        <v>63</v>
      </c>
      <c r="U136" s="48" t="s">
        <v>75</v>
      </c>
      <c r="V136" s="49"/>
      <c r="W136" s="37">
        <v>3.75</v>
      </c>
      <c r="X136" s="49" t="s">
        <v>2196</v>
      </c>
      <c r="Y136" s="49" t="s">
        <v>2199</v>
      </c>
      <c r="Z136" s="49" t="s">
        <v>836</v>
      </c>
      <c r="AA136" s="65">
        <v>0.57999999999999996</v>
      </c>
      <c r="AB136" s="39">
        <v>56720</v>
      </c>
      <c r="AC136" s="84" t="s">
        <v>2191</v>
      </c>
      <c r="AD136" s="53" t="str">
        <f t="shared" ref="AD136:AD139" si="109">HYPERLINK("https://www.iwu.edu/majors/","Link")</f>
        <v>Link</v>
      </c>
      <c r="AE136" s="54">
        <v>1771</v>
      </c>
      <c r="AF136" s="55"/>
      <c r="AG136" s="54">
        <v>71</v>
      </c>
      <c r="AH136" s="56">
        <v>145646</v>
      </c>
      <c r="AI136" s="56"/>
    </row>
    <row r="137" spans="1:35" ht="13" x14ac:dyDescent="0.15">
      <c r="A137" s="7"/>
      <c r="B137" s="64" t="s">
        <v>1705</v>
      </c>
      <c r="C137" s="36" t="s">
        <v>43</v>
      </c>
      <c r="D137" s="86">
        <v>5</v>
      </c>
      <c r="E137" s="7" t="s">
        <v>2203</v>
      </c>
      <c r="F137" s="7"/>
      <c r="G137" s="86"/>
      <c r="H137" s="2" t="s">
        <v>2178</v>
      </c>
      <c r="I137" s="2" t="s">
        <v>481</v>
      </c>
      <c r="J137" s="2" t="s">
        <v>2204</v>
      </c>
      <c r="K137" s="2" t="s">
        <v>55</v>
      </c>
      <c r="L137" s="2"/>
      <c r="M137" s="2"/>
      <c r="N137" s="45" t="str">
        <f t="shared" si="107"/>
        <v>@IWUSoftball</v>
      </c>
      <c r="O137" s="45" t="str">
        <f t="shared" si="108"/>
        <v>Questionnaire</v>
      </c>
      <c r="P137" s="48" t="s">
        <v>2191</v>
      </c>
      <c r="Q137" s="60" t="s">
        <v>1721</v>
      </c>
      <c r="R137" s="48" t="s">
        <v>2193</v>
      </c>
      <c r="S137" s="48" t="s">
        <v>238</v>
      </c>
      <c r="T137" s="49" t="s">
        <v>63</v>
      </c>
      <c r="U137" s="48" t="s">
        <v>75</v>
      </c>
      <c r="V137" s="49"/>
      <c r="W137" s="37">
        <v>3.75</v>
      </c>
      <c r="X137" s="49" t="s">
        <v>2196</v>
      </c>
      <c r="Y137" s="49" t="s">
        <v>2199</v>
      </c>
      <c r="Z137" s="49" t="s">
        <v>836</v>
      </c>
      <c r="AA137" s="65">
        <v>0.57999999999999996</v>
      </c>
      <c r="AB137" s="39">
        <v>56720</v>
      </c>
      <c r="AC137" s="84" t="s">
        <v>2191</v>
      </c>
      <c r="AD137" s="53" t="str">
        <f t="shared" si="109"/>
        <v>Link</v>
      </c>
      <c r="AE137" s="54">
        <v>1771</v>
      </c>
      <c r="AF137" s="55"/>
      <c r="AG137" s="54">
        <v>71</v>
      </c>
      <c r="AH137" s="56">
        <v>145646</v>
      </c>
      <c r="AI137" s="56"/>
    </row>
    <row r="138" spans="1:35" ht="13" x14ac:dyDescent="0.15">
      <c r="A138" s="7"/>
      <c r="B138" s="64" t="s">
        <v>1705</v>
      </c>
      <c r="C138" s="36" t="s">
        <v>43</v>
      </c>
      <c r="D138" s="86">
        <v>5</v>
      </c>
      <c r="E138" s="2" t="s">
        <v>2214</v>
      </c>
      <c r="F138" s="7"/>
      <c r="G138" s="86"/>
      <c r="H138" s="2" t="s">
        <v>2178</v>
      </c>
      <c r="I138" s="2" t="s">
        <v>1148</v>
      </c>
      <c r="J138" s="2" t="s">
        <v>977</v>
      </c>
      <c r="K138" s="2" t="s">
        <v>55</v>
      </c>
      <c r="L138" s="2" t="s">
        <v>2216</v>
      </c>
      <c r="M138" s="2"/>
      <c r="N138" s="45" t="str">
        <f t="shared" si="107"/>
        <v>@IWUSoftball</v>
      </c>
      <c r="O138" s="45" t="str">
        <f t="shared" si="108"/>
        <v>Questionnaire</v>
      </c>
      <c r="P138" s="48" t="s">
        <v>2191</v>
      </c>
      <c r="Q138" s="60" t="s">
        <v>1721</v>
      </c>
      <c r="R138" s="48" t="s">
        <v>2193</v>
      </c>
      <c r="S138" s="48" t="s">
        <v>238</v>
      </c>
      <c r="T138" s="49" t="s">
        <v>63</v>
      </c>
      <c r="U138" s="48" t="s">
        <v>75</v>
      </c>
      <c r="V138" s="49"/>
      <c r="W138" s="37">
        <v>3.75</v>
      </c>
      <c r="X138" s="49" t="s">
        <v>2196</v>
      </c>
      <c r="Y138" s="49" t="s">
        <v>2199</v>
      </c>
      <c r="Z138" s="49" t="s">
        <v>836</v>
      </c>
      <c r="AA138" s="65">
        <v>0.57999999999999996</v>
      </c>
      <c r="AB138" s="39">
        <v>56720</v>
      </c>
      <c r="AC138" s="84" t="s">
        <v>2191</v>
      </c>
      <c r="AD138" s="53" t="str">
        <f t="shared" si="109"/>
        <v>Link</v>
      </c>
      <c r="AE138" s="54">
        <v>1771</v>
      </c>
      <c r="AF138" s="55"/>
      <c r="AG138" s="54">
        <v>71</v>
      </c>
      <c r="AH138" s="56">
        <v>145646</v>
      </c>
      <c r="AI138" s="56"/>
    </row>
    <row r="139" spans="1:35" ht="13" x14ac:dyDescent="0.15">
      <c r="A139" s="7"/>
      <c r="B139" s="64" t="s">
        <v>1705</v>
      </c>
      <c r="C139" s="36" t="s">
        <v>43</v>
      </c>
      <c r="D139" s="86">
        <v>5</v>
      </c>
      <c r="E139" s="7" t="s">
        <v>2224</v>
      </c>
      <c r="F139" s="7"/>
      <c r="G139" s="86"/>
      <c r="H139" s="2" t="s">
        <v>2178</v>
      </c>
      <c r="I139" s="2" t="s">
        <v>2225</v>
      </c>
      <c r="J139" s="2" t="s">
        <v>2226</v>
      </c>
      <c r="K139" s="2" t="s">
        <v>55</v>
      </c>
      <c r="L139" s="2"/>
      <c r="M139" s="2"/>
      <c r="N139" s="45" t="str">
        <f t="shared" si="107"/>
        <v>@IWUSoftball</v>
      </c>
      <c r="O139" s="45" t="str">
        <f t="shared" si="108"/>
        <v>Questionnaire</v>
      </c>
      <c r="P139" s="48" t="s">
        <v>2191</v>
      </c>
      <c r="Q139" s="60" t="s">
        <v>1721</v>
      </c>
      <c r="R139" s="48" t="s">
        <v>2193</v>
      </c>
      <c r="S139" s="48" t="s">
        <v>238</v>
      </c>
      <c r="T139" s="49" t="s">
        <v>63</v>
      </c>
      <c r="U139" s="48" t="s">
        <v>75</v>
      </c>
      <c r="V139" s="49"/>
      <c r="W139" s="37">
        <v>3.75</v>
      </c>
      <c r="X139" s="49" t="s">
        <v>2196</v>
      </c>
      <c r="Y139" s="49" t="s">
        <v>2199</v>
      </c>
      <c r="Z139" s="49" t="s">
        <v>836</v>
      </c>
      <c r="AA139" s="65">
        <v>0.57999999999999996</v>
      </c>
      <c r="AB139" s="39">
        <v>56720</v>
      </c>
      <c r="AC139" s="84" t="s">
        <v>2191</v>
      </c>
      <c r="AD139" s="53" t="str">
        <f t="shared" si="109"/>
        <v>Link</v>
      </c>
      <c r="AE139" s="54">
        <v>1771</v>
      </c>
      <c r="AF139" s="55"/>
      <c r="AG139" s="54">
        <v>71</v>
      </c>
      <c r="AH139" s="56">
        <v>145646</v>
      </c>
      <c r="AI139" s="56"/>
    </row>
    <row r="140" spans="1:35" ht="13" x14ac:dyDescent="0.15">
      <c r="A140" s="7"/>
      <c r="B140" s="64" t="s">
        <v>1705</v>
      </c>
      <c r="C140" s="36" t="s">
        <v>43</v>
      </c>
      <c r="D140" s="86">
        <v>5</v>
      </c>
      <c r="E140" s="7" t="s">
        <v>2229</v>
      </c>
      <c r="F140" s="7"/>
      <c r="G140" s="86"/>
      <c r="H140" s="2" t="s">
        <v>2230</v>
      </c>
      <c r="I140" s="2" t="s">
        <v>338</v>
      </c>
      <c r="J140" s="2" t="s">
        <v>2232</v>
      </c>
      <c r="K140" s="2" t="s">
        <v>48</v>
      </c>
      <c r="L140" s="2" t="s">
        <v>2233</v>
      </c>
      <c r="M140" s="2" t="s">
        <v>2234</v>
      </c>
      <c r="N140" s="45" t="str">
        <f t="shared" ref="N140:N141" si="110">HYPERLINK("twitter.com/SoftballKnox","@SoftballKnox")</f>
        <v>@SoftballKnox</v>
      </c>
      <c r="O140" s="45" t="str">
        <f t="shared" ref="O140:O141" si="111">HYPERLINK("https://prairiefire.knox.edu/sports/2013/2/28/Recruit%20Me%20Links.aspx?id=155","Questionnaire")</f>
        <v>Questionnaire</v>
      </c>
      <c r="P140" s="48" t="s">
        <v>2240</v>
      </c>
      <c r="Q140" s="60" t="s">
        <v>1721</v>
      </c>
      <c r="R140" s="48" t="s">
        <v>2241</v>
      </c>
      <c r="S140" s="48" t="s">
        <v>468</v>
      </c>
      <c r="T140" s="49" t="s">
        <v>63</v>
      </c>
      <c r="U140" s="48" t="s">
        <v>75</v>
      </c>
      <c r="V140" s="49"/>
      <c r="W140" s="37">
        <v>3.57</v>
      </c>
      <c r="X140" s="49" t="s">
        <v>214</v>
      </c>
      <c r="Y140" s="49" t="s">
        <v>214</v>
      </c>
      <c r="Z140" s="49" t="s">
        <v>214</v>
      </c>
      <c r="AA140" s="65">
        <v>0.65</v>
      </c>
      <c r="AB140" s="39">
        <v>54515</v>
      </c>
      <c r="AC140" s="84" t="s">
        <v>2240</v>
      </c>
      <c r="AD140" s="53" t="str">
        <f t="shared" ref="AD140:AD141" si="112">HYPERLINK("https://www.knox.edu/academics/majors-and-minors","Link")</f>
        <v>Link</v>
      </c>
      <c r="AE140" s="54">
        <v>1359</v>
      </c>
      <c r="AF140" s="55"/>
      <c r="AG140" s="54">
        <v>71</v>
      </c>
      <c r="AH140" s="56">
        <v>146427</v>
      </c>
      <c r="AI140" s="56"/>
    </row>
    <row r="141" spans="1:35" ht="13" x14ac:dyDescent="0.15">
      <c r="A141" s="7"/>
      <c r="B141" s="64" t="s">
        <v>1705</v>
      </c>
      <c r="C141" s="36" t="s">
        <v>43</v>
      </c>
      <c r="D141" s="86">
        <v>5</v>
      </c>
      <c r="E141" s="2" t="s">
        <v>2253</v>
      </c>
      <c r="F141" s="7"/>
      <c r="G141" s="86"/>
      <c r="H141" s="2" t="s">
        <v>2230</v>
      </c>
      <c r="I141" s="2" t="s">
        <v>316</v>
      </c>
      <c r="J141" s="2" t="s">
        <v>2255</v>
      </c>
      <c r="K141" s="2" t="s">
        <v>55</v>
      </c>
      <c r="L141" s="2"/>
      <c r="M141" s="2"/>
      <c r="N141" s="45" t="str">
        <f t="shared" si="110"/>
        <v>@SoftballKnox</v>
      </c>
      <c r="O141" s="45" t="str">
        <f t="shared" si="111"/>
        <v>Questionnaire</v>
      </c>
      <c r="P141" s="48" t="s">
        <v>2240</v>
      </c>
      <c r="Q141" s="60" t="s">
        <v>1721</v>
      </c>
      <c r="R141" s="48" t="s">
        <v>2241</v>
      </c>
      <c r="S141" s="48" t="s">
        <v>468</v>
      </c>
      <c r="T141" s="49" t="s">
        <v>63</v>
      </c>
      <c r="U141" s="48" t="s">
        <v>75</v>
      </c>
      <c r="V141" s="49"/>
      <c r="W141" s="37">
        <v>3.57</v>
      </c>
      <c r="X141" s="49" t="s">
        <v>214</v>
      </c>
      <c r="Y141" s="49" t="s">
        <v>214</v>
      </c>
      <c r="Z141" s="49" t="s">
        <v>214</v>
      </c>
      <c r="AA141" s="65">
        <v>0.65</v>
      </c>
      <c r="AB141" s="39">
        <v>54515</v>
      </c>
      <c r="AC141" s="84" t="s">
        <v>2240</v>
      </c>
      <c r="AD141" s="53" t="str">
        <f t="shared" si="112"/>
        <v>Link</v>
      </c>
      <c r="AE141" s="54">
        <v>1359</v>
      </c>
      <c r="AF141" s="55"/>
      <c r="AG141" s="54">
        <v>71</v>
      </c>
      <c r="AH141" s="56">
        <v>146427</v>
      </c>
      <c r="AI141" s="56"/>
    </row>
    <row r="142" spans="1:35" ht="13" x14ac:dyDescent="0.15">
      <c r="A142" s="7"/>
      <c r="B142" s="64" t="s">
        <v>1705</v>
      </c>
      <c r="C142" s="36" t="s">
        <v>43</v>
      </c>
      <c r="D142" s="86">
        <v>5</v>
      </c>
      <c r="E142" s="7" t="s">
        <v>2261</v>
      </c>
      <c r="F142" s="7"/>
      <c r="G142" s="86"/>
      <c r="H142" s="2" t="s">
        <v>2262</v>
      </c>
      <c r="I142" s="2" t="s">
        <v>1541</v>
      </c>
      <c r="J142" s="2" t="s">
        <v>2263</v>
      </c>
      <c r="K142" s="2" t="s">
        <v>590</v>
      </c>
      <c r="L142" s="2" t="s">
        <v>2264</v>
      </c>
      <c r="M142" s="2" t="s">
        <v>2266</v>
      </c>
      <c r="N142" s="45" t="str">
        <f t="shared" ref="N142:N143" si="113">HYPERLINK("twitter.com/lfcollegesb","@lfcollegesb")</f>
        <v>@lfcollegesb</v>
      </c>
      <c r="O142" s="45" t="str">
        <f t="shared" ref="O142:O143" si="114">HYPERLINK("https://www.goforesters.com/sports/sball/recruits","Questionnaire")</f>
        <v>Questionnaire</v>
      </c>
      <c r="P142" s="48" t="s">
        <v>2271</v>
      </c>
      <c r="Q142" s="60" t="s">
        <v>1721</v>
      </c>
      <c r="R142" s="48" t="s">
        <v>2271</v>
      </c>
      <c r="S142" s="48" t="s">
        <v>172</v>
      </c>
      <c r="T142" s="49" t="s">
        <v>63</v>
      </c>
      <c r="U142" s="48" t="s">
        <v>75</v>
      </c>
      <c r="V142" s="49"/>
      <c r="W142" s="37">
        <v>3.62</v>
      </c>
      <c r="X142" s="49" t="s">
        <v>1230</v>
      </c>
      <c r="Y142" s="49" t="s">
        <v>2273</v>
      </c>
      <c r="Z142" s="49" t="s">
        <v>1408</v>
      </c>
      <c r="AA142" s="65">
        <v>0.56999999999999995</v>
      </c>
      <c r="AB142" s="39">
        <v>57000</v>
      </c>
      <c r="AC142" s="84" t="s">
        <v>2271</v>
      </c>
      <c r="AD142" s="53" t="str">
        <f t="shared" ref="AD142:AD143" si="115">HYPERLINK("https://www.lakeforest.edu/academics/programs/","Link")</f>
        <v>Link</v>
      </c>
      <c r="AE142" s="54">
        <v>1540</v>
      </c>
      <c r="AF142" s="55"/>
      <c r="AG142" s="54">
        <v>101</v>
      </c>
      <c r="AH142" s="56">
        <v>146481</v>
      </c>
      <c r="AI142" s="56"/>
    </row>
    <row r="143" spans="1:35" ht="13" x14ac:dyDescent="0.15">
      <c r="A143" s="7"/>
      <c r="B143" s="64" t="s">
        <v>1705</v>
      </c>
      <c r="C143" s="36" t="s">
        <v>43</v>
      </c>
      <c r="D143" s="86">
        <v>5</v>
      </c>
      <c r="E143" s="2" t="s">
        <v>2277</v>
      </c>
      <c r="F143" s="7"/>
      <c r="G143" s="86"/>
      <c r="H143" s="2" t="s">
        <v>2262</v>
      </c>
      <c r="I143" s="2" t="s">
        <v>161</v>
      </c>
      <c r="J143" s="2" t="s">
        <v>2282</v>
      </c>
      <c r="K143" s="2" t="s">
        <v>919</v>
      </c>
      <c r="L143" s="2" t="s">
        <v>2284</v>
      </c>
      <c r="M143" s="2"/>
      <c r="N143" s="45" t="str">
        <f t="shared" si="113"/>
        <v>@lfcollegesb</v>
      </c>
      <c r="O143" s="45" t="str">
        <f t="shared" si="114"/>
        <v>Questionnaire</v>
      </c>
      <c r="P143" s="48" t="s">
        <v>2271</v>
      </c>
      <c r="Q143" s="60" t="s">
        <v>1721</v>
      </c>
      <c r="R143" s="48" t="s">
        <v>2271</v>
      </c>
      <c r="S143" s="48" t="s">
        <v>172</v>
      </c>
      <c r="T143" s="49" t="s">
        <v>63</v>
      </c>
      <c r="U143" s="48" t="s">
        <v>75</v>
      </c>
      <c r="V143" s="49"/>
      <c r="W143" s="37">
        <v>3.62</v>
      </c>
      <c r="X143" s="49" t="s">
        <v>1230</v>
      </c>
      <c r="Y143" s="49" t="s">
        <v>2273</v>
      </c>
      <c r="Z143" s="49" t="s">
        <v>1408</v>
      </c>
      <c r="AA143" s="65">
        <v>0.56999999999999995</v>
      </c>
      <c r="AB143" s="39">
        <v>57000</v>
      </c>
      <c r="AC143" s="84" t="s">
        <v>2271</v>
      </c>
      <c r="AD143" s="53" t="str">
        <f t="shared" si="115"/>
        <v>Link</v>
      </c>
      <c r="AE143" s="54">
        <v>1540</v>
      </c>
      <c r="AF143" s="55"/>
      <c r="AG143" s="54">
        <v>101</v>
      </c>
      <c r="AH143" s="56">
        <v>146481</v>
      </c>
      <c r="AI143" s="56"/>
    </row>
    <row r="144" spans="1:35" ht="13" x14ac:dyDescent="0.15">
      <c r="A144" s="7"/>
      <c r="B144" s="64" t="s">
        <v>1705</v>
      </c>
      <c r="C144" s="36" t="s">
        <v>43</v>
      </c>
      <c r="D144" s="86">
        <v>5</v>
      </c>
      <c r="E144" s="2" t="s">
        <v>2286</v>
      </c>
      <c r="F144" s="7"/>
      <c r="G144" s="86"/>
      <c r="H144" s="2" t="s">
        <v>2288</v>
      </c>
      <c r="I144" s="2" t="s">
        <v>2289</v>
      </c>
      <c r="J144" s="2" t="s">
        <v>2290</v>
      </c>
      <c r="K144" s="2" t="s">
        <v>48</v>
      </c>
      <c r="L144" s="2" t="s">
        <v>2292</v>
      </c>
      <c r="M144" s="2" t="s">
        <v>2293</v>
      </c>
      <c r="N144" s="45" t="str">
        <f t="shared" ref="N144:N145" si="116">HYPERLINK("twitter.com/macmurraysb","@macmurraysb")</f>
        <v>@macmurraysb</v>
      </c>
      <c r="O144" s="45" t="str">
        <f t="shared" ref="O144:O145" si="117">HYPERLINK("https://mchighlanders.com/sb_output.aspx?form=3","Questionnaire")</f>
        <v>Questionnaire</v>
      </c>
      <c r="P144" s="48" t="s">
        <v>2304</v>
      </c>
      <c r="Q144" s="60" t="s">
        <v>1721</v>
      </c>
      <c r="R144" s="48" t="s">
        <v>2146</v>
      </c>
      <c r="S144" s="48" t="s">
        <v>172</v>
      </c>
      <c r="T144" s="49" t="s">
        <v>63</v>
      </c>
      <c r="U144" s="6" t="s">
        <v>65</v>
      </c>
      <c r="V144" s="49"/>
      <c r="W144" s="37">
        <v>3.33</v>
      </c>
      <c r="X144" s="49" t="s">
        <v>2305</v>
      </c>
      <c r="Y144" s="49" t="s">
        <v>2306</v>
      </c>
      <c r="Z144" s="49" t="s">
        <v>2307</v>
      </c>
      <c r="AA144" s="65">
        <v>0.56000000000000005</v>
      </c>
      <c r="AB144" s="39">
        <v>36320</v>
      </c>
      <c r="AC144" s="84" t="s">
        <v>2304</v>
      </c>
      <c r="AD144" s="53" t="str">
        <f t="shared" ref="AD144:AD145" si="118">HYPERLINK("https://www.mac.edu/oncampus_programs/majors/index.asp","Link")</f>
        <v>Link</v>
      </c>
      <c r="AE144" s="54">
        <v>552</v>
      </c>
      <c r="AF144" s="55"/>
      <c r="AG144" s="55"/>
      <c r="AH144" s="56">
        <v>146825</v>
      </c>
      <c r="AI144" s="56"/>
    </row>
    <row r="145" spans="1:35" ht="13" x14ac:dyDescent="0.15">
      <c r="A145" s="7"/>
      <c r="B145" s="64" t="s">
        <v>1705</v>
      </c>
      <c r="C145" s="36" t="s">
        <v>43</v>
      </c>
      <c r="D145" s="86">
        <v>5</v>
      </c>
      <c r="E145" s="7" t="s">
        <v>2314</v>
      </c>
      <c r="F145" s="7"/>
      <c r="G145" s="86"/>
      <c r="H145" s="2" t="s">
        <v>2288</v>
      </c>
      <c r="I145" s="2" t="s">
        <v>2316</v>
      </c>
      <c r="J145" s="2" t="s">
        <v>2317</v>
      </c>
      <c r="K145" s="2" t="s">
        <v>55</v>
      </c>
      <c r="L145" s="2" t="s">
        <v>2318</v>
      </c>
      <c r="M145" s="2"/>
      <c r="N145" s="45" t="str">
        <f t="shared" si="116"/>
        <v>@macmurraysb</v>
      </c>
      <c r="O145" s="45" t="str">
        <f t="shared" si="117"/>
        <v>Questionnaire</v>
      </c>
      <c r="P145" s="48" t="s">
        <v>2304</v>
      </c>
      <c r="Q145" s="60" t="s">
        <v>1721</v>
      </c>
      <c r="R145" s="48" t="s">
        <v>2146</v>
      </c>
      <c r="S145" s="48" t="s">
        <v>172</v>
      </c>
      <c r="T145" s="49" t="s">
        <v>63</v>
      </c>
      <c r="U145" s="6" t="s">
        <v>65</v>
      </c>
      <c r="V145" s="49"/>
      <c r="W145" s="37">
        <v>3.33</v>
      </c>
      <c r="X145" s="49" t="s">
        <v>2305</v>
      </c>
      <c r="Y145" s="49" t="s">
        <v>2306</v>
      </c>
      <c r="Z145" s="49" t="s">
        <v>2307</v>
      </c>
      <c r="AA145" s="65">
        <v>0.56000000000000005</v>
      </c>
      <c r="AB145" s="39">
        <v>36320</v>
      </c>
      <c r="AC145" s="84" t="s">
        <v>2304</v>
      </c>
      <c r="AD145" s="53" t="str">
        <f t="shared" si="118"/>
        <v>Link</v>
      </c>
      <c r="AE145" s="54">
        <v>552</v>
      </c>
      <c r="AF145" s="55"/>
      <c r="AG145" s="55"/>
      <c r="AH145" s="56">
        <v>146825</v>
      </c>
      <c r="AI145" s="56"/>
    </row>
    <row r="146" spans="1:35" ht="15" x14ac:dyDescent="0.2">
      <c r="A146" s="7"/>
      <c r="B146" s="64" t="s">
        <v>1705</v>
      </c>
      <c r="C146" s="36" t="s">
        <v>43</v>
      </c>
      <c r="D146" s="86">
        <v>5</v>
      </c>
      <c r="E146" s="7" t="s">
        <v>2327</v>
      </c>
      <c r="F146" s="7"/>
      <c r="G146" s="86"/>
      <c r="H146" s="2" t="s">
        <v>2329</v>
      </c>
      <c r="I146" s="2" t="s">
        <v>234</v>
      </c>
      <c r="J146" s="2" t="s">
        <v>2330</v>
      </c>
      <c r="K146" s="2" t="s">
        <v>2331</v>
      </c>
      <c r="L146" s="2" t="s">
        <v>2332</v>
      </c>
      <c r="M146" s="2" t="s">
        <v>2333</v>
      </c>
      <c r="N146" s="45" t="str">
        <f>HYPERLINK("twitter.com/millikinsb","@millikinsb")</f>
        <v>@millikinsb</v>
      </c>
      <c r="O146" s="45" t="str">
        <f t="shared" ref="O146:O148" si="119">HYPERLINK("https://millikin.secure.force.com/form?formid=217726","Questionnaire")</f>
        <v>Questionnaire</v>
      </c>
      <c r="P146" s="108" t="s">
        <v>2336</v>
      </c>
      <c r="Q146" s="60" t="s">
        <v>1721</v>
      </c>
      <c r="R146" s="48" t="s">
        <v>1371</v>
      </c>
      <c r="S146" s="48" t="s">
        <v>186</v>
      </c>
      <c r="T146" s="5" t="s">
        <v>63</v>
      </c>
      <c r="U146" s="6" t="s">
        <v>248</v>
      </c>
      <c r="V146" s="49"/>
      <c r="W146" s="37">
        <v>3.35</v>
      </c>
      <c r="X146" s="49" t="s">
        <v>2341</v>
      </c>
      <c r="Y146" s="49" t="s">
        <v>2343</v>
      </c>
      <c r="Z146" s="49" t="s">
        <v>1689</v>
      </c>
      <c r="AA146" s="65">
        <v>0.64</v>
      </c>
      <c r="AB146" s="39">
        <v>46114</v>
      </c>
      <c r="AC146" s="52" t="s">
        <v>2336</v>
      </c>
      <c r="AD146" s="53" t="str">
        <f t="shared" ref="AD146:AD148" si="120">HYPERLINK("https://millikin.edu/flexlearning/areas-study","Link")</f>
        <v>Link</v>
      </c>
      <c r="AE146" s="54">
        <v>1970</v>
      </c>
      <c r="AF146" s="55"/>
      <c r="AG146" s="55"/>
      <c r="AH146" s="56">
        <v>147244</v>
      </c>
      <c r="AI146" s="56"/>
    </row>
    <row r="147" spans="1:35" ht="15" x14ac:dyDescent="0.2">
      <c r="A147" s="7"/>
      <c r="B147" s="64" t="s">
        <v>1705</v>
      </c>
      <c r="C147" s="36" t="s">
        <v>43</v>
      </c>
      <c r="D147" s="86">
        <v>5</v>
      </c>
      <c r="E147" s="2" t="s">
        <v>2351</v>
      </c>
      <c r="F147" s="7"/>
      <c r="G147" s="86"/>
      <c r="H147" s="2" t="s">
        <v>2329</v>
      </c>
      <c r="I147" s="2" t="s">
        <v>577</v>
      </c>
      <c r="J147" s="2" t="s">
        <v>2355</v>
      </c>
      <c r="K147" s="2" t="s">
        <v>2331</v>
      </c>
      <c r="L147" s="2" t="s">
        <v>2356</v>
      </c>
      <c r="M147" s="2" t="s">
        <v>2357</v>
      </c>
      <c r="N147" s="48"/>
      <c r="O147" s="45" t="str">
        <f t="shared" si="119"/>
        <v>Questionnaire</v>
      </c>
      <c r="P147" s="108" t="s">
        <v>2336</v>
      </c>
      <c r="Q147" s="60" t="s">
        <v>1721</v>
      </c>
      <c r="R147" s="48" t="s">
        <v>1371</v>
      </c>
      <c r="S147" s="48" t="s">
        <v>186</v>
      </c>
      <c r="T147" s="5" t="s">
        <v>63</v>
      </c>
      <c r="U147" s="6" t="s">
        <v>248</v>
      </c>
      <c r="V147" s="49"/>
      <c r="W147" s="37">
        <v>3.35</v>
      </c>
      <c r="X147" s="49" t="s">
        <v>2341</v>
      </c>
      <c r="Y147" s="49" t="s">
        <v>2343</v>
      </c>
      <c r="Z147" s="49" t="s">
        <v>1689</v>
      </c>
      <c r="AA147" s="65">
        <v>0.64</v>
      </c>
      <c r="AB147" s="39">
        <v>46114</v>
      </c>
      <c r="AC147" s="52" t="s">
        <v>2336</v>
      </c>
      <c r="AD147" s="53" t="str">
        <f t="shared" si="120"/>
        <v>Link</v>
      </c>
      <c r="AE147" s="54">
        <v>1970</v>
      </c>
      <c r="AF147" s="55"/>
      <c r="AG147" s="55"/>
      <c r="AH147" s="56">
        <v>147244</v>
      </c>
      <c r="AI147" s="56"/>
    </row>
    <row r="148" spans="1:35" ht="15" x14ac:dyDescent="0.2">
      <c r="A148" s="7"/>
      <c r="B148" s="64" t="s">
        <v>1705</v>
      </c>
      <c r="C148" s="36" t="s">
        <v>43</v>
      </c>
      <c r="D148" s="86">
        <v>5</v>
      </c>
      <c r="E148" s="7" t="s">
        <v>2358</v>
      </c>
      <c r="F148" s="7"/>
      <c r="G148" s="86"/>
      <c r="H148" s="2" t="s">
        <v>2329</v>
      </c>
      <c r="I148" s="2" t="s">
        <v>1611</v>
      </c>
      <c r="J148" s="2" t="s">
        <v>2359</v>
      </c>
      <c r="K148" s="2" t="s">
        <v>55</v>
      </c>
      <c r="L148" s="2"/>
      <c r="M148" s="2"/>
      <c r="N148" s="48"/>
      <c r="O148" s="45" t="str">
        <f t="shared" si="119"/>
        <v>Questionnaire</v>
      </c>
      <c r="P148" s="108" t="s">
        <v>2336</v>
      </c>
      <c r="Q148" s="60" t="s">
        <v>1721</v>
      </c>
      <c r="R148" s="48" t="s">
        <v>1371</v>
      </c>
      <c r="S148" s="48" t="s">
        <v>186</v>
      </c>
      <c r="T148" s="5" t="s">
        <v>63</v>
      </c>
      <c r="U148" s="6" t="s">
        <v>248</v>
      </c>
      <c r="V148" s="49"/>
      <c r="W148" s="37">
        <v>3.35</v>
      </c>
      <c r="X148" s="49" t="s">
        <v>2341</v>
      </c>
      <c r="Y148" s="49" t="s">
        <v>2343</v>
      </c>
      <c r="Z148" s="49" t="s">
        <v>1689</v>
      </c>
      <c r="AA148" s="65">
        <v>0.64</v>
      </c>
      <c r="AB148" s="39">
        <v>46114</v>
      </c>
      <c r="AC148" s="52" t="s">
        <v>2336</v>
      </c>
      <c r="AD148" s="53" t="str">
        <f t="shared" si="120"/>
        <v>Link</v>
      </c>
      <c r="AE148" s="54">
        <v>1970</v>
      </c>
      <c r="AF148" s="55"/>
      <c r="AG148" s="55"/>
      <c r="AH148" s="56">
        <v>147244</v>
      </c>
      <c r="AI148" s="56"/>
    </row>
    <row r="149" spans="1:35" ht="15" x14ac:dyDescent="0.2">
      <c r="A149" s="7"/>
      <c r="B149" s="64" t="s">
        <v>1705</v>
      </c>
      <c r="C149" s="36" t="s">
        <v>43</v>
      </c>
      <c r="D149" s="86">
        <v>5</v>
      </c>
      <c r="E149" s="7" t="s">
        <v>2364</v>
      </c>
      <c r="F149" s="7"/>
      <c r="G149" s="86"/>
      <c r="H149" s="2" t="s">
        <v>2365</v>
      </c>
      <c r="I149" s="2" t="s">
        <v>658</v>
      </c>
      <c r="J149" s="2" t="s">
        <v>2366</v>
      </c>
      <c r="K149" s="2" t="s">
        <v>48</v>
      </c>
      <c r="L149" s="2" t="s">
        <v>2367</v>
      </c>
      <c r="M149" s="2" t="s">
        <v>2368</v>
      </c>
      <c r="N149" s="45" t="str">
        <f t="shared" ref="N149:N151" si="121">HYPERLINK("twitter.com/scotssoftball","@scotssoftball")</f>
        <v>@scotssoftball</v>
      </c>
      <c r="O149" s="45" t="str">
        <f t="shared" ref="O149:O151" si="122">HYPERLINK("https://monmouthscots.com/sports/2012/5/30/recruitme.aspx","Questionnaire")</f>
        <v>Questionnaire</v>
      </c>
      <c r="P149" s="108" t="s">
        <v>2373</v>
      </c>
      <c r="Q149" s="60" t="s">
        <v>1721</v>
      </c>
      <c r="R149" s="48" t="s">
        <v>2374</v>
      </c>
      <c r="S149" s="60" t="s">
        <v>205</v>
      </c>
      <c r="T149" s="49" t="s">
        <v>63</v>
      </c>
      <c r="U149" s="6" t="s">
        <v>248</v>
      </c>
      <c r="V149" s="49"/>
      <c r="W149" s="37">
        <v>3.3</v>
      </c>
      <c r="X149" s="49" t="s">
        <v>253</v>
      </c>
      <c r="Y149" s="49" t="s">
        <v>2375</v>
      </c>
      <c r="Z149" s="49" t="s">
        <v>1689</v>
      </c>
      <c r="AA149" s="65">
        <v>0.52</v>
      </c>
      <c r="AB149" s="39">
        <v>46550</v>
      </c>
      <c r="AC149" s="52" t="s">
        <v>2373</v>
      </c>
      <c r="AD149" s="53" t="str">
        <f t="shared" ref="AD149:AD151" si="123">HYPERLINK("https://ou.monmouthcollege.edu/academics/","Link")</f>
        <v>Link</v>
      </c>
      <c r="AE149" s="54">
        <v>1147</v>
      </c>
      <c r="AF149" s="55"/>
      <c r="AG149" s="54">
        <v>147</v>
      </c>
      <c r="AH149" s="56">
        <v>147341</v>
      </c>
      <c r="AI149" s="56"/>
    </row>
    <row r="150" spans="1:35" ht="15" x14ac:dyDescent="0.2">
      <c r="A150" s="7"/>
      <c r="B150" s="64" t="s">
        <v>1705</v>
      </c>
      <c r="C150" s="36" t="s">
        <v>43</v>
      </c>
      <c r="D150" s="86">
        <v>5</v>
      </c>
      <c r="E150" s="2" t="s">
        <v>2380</v>
      </c>
      <c r="F150" s="7"/>
      <c r="G150" s="86"/>
      <c r="H150" s="2" t="s">
        <v>2365</v>
      </c>
      <c r="I150" s="2" t="s">
        <v>2381</v>
      </c>
      <c r="J150" s="2" t="s">
        <v>2382</v>
      </c>
      <c r="K150" s="2" t="s">
        <v>55</v>
      </c>
      <c r="L150" s="2" t="s">
        <v>2383</v>
      </c>
      <c r="M150" s="2"/>
      <c r="N150" s="45" t="str">
        <f t="shared" si="121"/>
        <v>@scotssoftball</v>
      </c>
      <c r="O150" s="45" t="str">
        <f t="shared" si="122"/>
        <v>Questionnaire</v>
      </c>
      <c r="P150" s="108" t="s">
        <v>2373</v>
      </c>
      <c r="Q150" s="60" t="s">
        <v>1721</v>
      </c>
      <c r="R150" s="48" t="s">
        <v>2374</v>
      </c>
      <c r="S150" s="60" t="s">
        <v>205</v>
      </c>
      <c r="T150" s="49" t="s">
        <v>63</v>
      </c>
      <c r="U150" s="6" t="s">
        <v>248</v>
      </c>
      <c r="V150" s="49"/>
      <c r="W150" s="37">
        <v>3.3</v>
      </c>
      <c r="X150" s="49" t="s">
        <v>253</v>
      </c>
      <c r="Y150" s="49" t="s">
        <v>2375</v>
      </c>
      <c r="Z150" s="49" t="s">
        <v>1689</v>
      </c>
      <c r="AA150" s="65">
        <v>0.52</v>
      </c>
      <c r="AB150" s="39">
        <v>46550</v>
      </c>
      <c r="AC150" s="52" t="s">
        <v>2373</v>
      </c>
      <c r="AD150" s="53" t="str">
        <f t="shared" si="123"/>
        <v>Link</v>
      </c>
      <c r="AE150" s="54">
        <v>1147</v>
      </c>
      <c r="AF150" s="55"/>
      <c r="AG150" s="54">
        <v>147</v>
      </c>
      <c r="AH150" s="56">
        <v>147341</v>
      </c>
      <c r="AI150" s="56"/>
    </row>
    <row r="151" spans="1:35" ht="15" x14ac:dyDescent="0.2">
      <c r="A151" s="7"/>
      <c r="B151" s="64" t="s">
        <v>1705</v>
      </c>
      <c r="C151" s="36" t="s">
        <v>43</v>
      </c>
      <c r="D151" s="86">
        <v>5</v>
      </c>
      <c r="E151" s="7" t="s">
        <v>2394</v>
      </c>
      <c r="F151" s="7"/>
      <c r="G151" s="86"/>
      <c r="H151" s="2" t="s">
        <v>2365</v>
      </c>
      <c r="I151" s="2" t="s">
        <v>2395</v>
      </c>
      <c r="J151" s="2" t="s">
        <v>2396</v>
      </c>
      <c r="K151" s="2" t="s">
        <v>55</v>
      </c>
      <c r="L151" s="2"/>
      <c r="M151" s="2"/>
      <c r="N151" s="45" t="str">
        <f t="shared" si="121"/>
        <v>@scotssoftball</v>
      </c>
      <c r="O151" s="45" t="str">
        <f t="shared" si="122"/>
        <v>Questionnaire</v>
      </c>
      <c r="P151" s="108" t="s">
        <v>2373</v>
      </c>
      <c r="Q151" s="60" t="s">
        <v>1721</v>
      </c>
      <c r="R151" s="48" t="s">
        <v>2374</v>
      </c>
      <c r="S151" s="60" t="s">
        <v>205</v>
      </c>
      <c r="T151" s="49" t="s">
        <v>63</v>
      </c>
      <c r="U151" s="6" t="s">
        <v>248</v>
      </c>
      <c r="V151" s="49"/>
      <c r="W151" s="37">
        <v>3.3</v>
      </c>
      <c r="X151" s="49" t="s">
        <v>253</v>
      </c>
      <c r="Y151" s="49" t="s">
        <v>2375</v>
      </c>
      <c r="Z151" s="49" t="s">
        <v>1689</v>
      </c>
      <c r="AA151" s="65">
        <v>0.52</v>
      </c>
      <c r="AB151" s="39">
        <v>46550</v>
      </c>
      <c r="AC151" s="52" t="s">
        <v>2373</v>
      </c>
      <c r="AD151" s="53" t="str">
        <f t="shared" si="123"/>
        <v>Link</v>
      </c>
      <c r="AE151" s="54">
        <v>1147</v>
      </c>
      <c r="AF151" s="55"/>
      <c r="AG151" s="54">
        <v>147</v>
      </c>
      <c r="AH151" s="56">
        <v>147341</v>
      </c>
      <c r="AI151" s="56"/>
    </row>
    <row r="152" spans="1:35" ht="13" x14ac:dyDescent="0.15">
      <c r="A152" s="7"/>
      <c r="B152" s="64" t="s">
        <v>1705</v>
      </c>
      <c r="C152" s="36" t="s">
        <v>43</v>
      </c>
      <c r="D152" s="86">
        <v>5</v>
      </c>
      <c r="E152" s="2" t="s">
        <v>2404</v>
      </c>
      <c r="F152" s="7"/>
      <c r="G152" s="86"/>
      <c r="H152" s="2" t="s">
        <v>2407</v>
      </c>
      <c r="I152" s="2" t="s">
        <v>991</v>
      </c>
      <c r="J152" s="2" t="s">
        <v>2410</v>
      </c>
      <c r="K152" s="2" t="s">
        <v>48</v>
      </c>
      <c r="L152" s="2" t="s">
        <v>2411</v>
      </c>
      <c r="M152" s="2" t="s">
        <v>2413</v>
      </c>
      <c r="N152" s="48"/>
      <c r="O152" s="45" t="str">
        <f t="shared" ref="O152:O153" si="124">HYPERLINK("https://northcentralcardinals.com/sports/2009/2/20/GEN_0220092142.aspx?path=mlax","Questionnaire")</f>
        <v>Questionnaire</v>
      </c>
      <c r="P152" s="48" t="s">
        <v>2416</v>
      </c>
      <c r="Q152" s="60" t="s">
        <v>1721</v>
      </c>
      <c r="R152" s="48" t="s">
        <v>2418</v>
      </c>
      <c r="S152" s="48" t="s">
        <v>238</v>
      </c>
      <c r="T152" s="5" t="s">
        <v>63</v>
      </c>
      <c r="U152" s="6" t="s">
        <v>65</v>
      </c>
      <c r="V152" s="49"/>
      <c r="W152" s="37">
        <v>3.58</v>
      </c>
      <c r="X152" s="49" t="s">
        <v>802</v>
      </c>
      <c r="Y152" s="49" t="s">
        <v>2315</v>
      </c>
      <c r="Z152" s="49" t="s">
        <v>320</v>
      </c>
      <c r="AA152" s="65">
        <v>0.59</v>
      </c>
      <c r="AB152" s="39">
        <v>49839</v>
      </c>
      <c r="AC152" s="84" t="s">
        <v>2416</v>
      </c>
      <c r="AD152" s="53" t="str">
        <f t="shared" ref="AD152:AD153" si="125">HYPERLINK("https://www.northcentralcollege.edu/majors","Link")</f>
        <v>Link</v>
      </c>
      <c r="AE152" s="54">
        <v>2716</v>
      </c>
      <c r="AF152" s="55"/>
      <c r="AG152" s="55"/>
      <c r="AH152" s="56">
        <v>147660</v>
      </c>
      <c r="AI152" s="56"/>
    </row>
    <row r="153" spans="1:35" ht="13" x14ac:dyDescent="0.15">
      <c r="A153" s="7"/>
      <c r="B153" s="64" t="s">
        <v>1705</v>
      </c>
      <c r="C153" s="36" t="s">
        <v>43</v>
      </c>
      <c r="D153" s="86">
        <v>5</v>
      </c>
      <c r="E153" s="7" t="s">
        <v>2426</v>
      </c>
      <c r="F153" s="7"/>
      <c r="G153" s="86"/>
      <c r="H153" s="2" t="s">
        <v>2407</v>
      </c>
      <c r="I153" s="2" t="s">
        <v>930</v>
      </c>
      <c r="J153" s="2" t="s">
        <v>2410</v>
      </c>
      <c r="K153" s="2" t="s">
        <v>55</v>
      </c>
      <c r="L153" s="2"/>
      <c r="M153" s="2"/>
      <c r="N153" s="48"/>
      <c r="O153" s="45" t="str">
        <f t="shared" si="124"/>
        <v>Questionnaire</v>
      </c>
      <c r="P153" s="48" t="s">
        <v>2416</v>
      </c>
      <c r="Q153" s="60" t="s">
        <v>1721</v>
      </c>
      <c r="R153" s="48" t="s">
        <v>2418</v>
      </c>
      <c r="S153" s="48" t="s">
        <v>238</v>
      </c>
      <c r="T153" s="5" t="s">
        <v>63</v>
      </c>
      <c r="U153" s="6" t="s">
        <v>65</v>
      </c>
      <c r="V153" s="49"/>
      <c r="W153" s="37">
        <v>3.58</v>
      </c>
      <c r="X153" s="49" t="s">
        <v>802</v>
      </c>
      <c r="Y153" s="49" t="s">
        <v>2315</v>
      </c>
      <c r="Z153" s="49" t="s">
        <v>320</v>
      </c>
      <c r="AA153" s="65">
        <v>0.59</v>
      </c>
      <c r="AB153" s="39">
        <v>49839</v>
      </c>
      <c r="AC153" s="84" t="s">
        <v>2416</v>
      </c>
      <c r="AD153" s="53" t="str">
        <f t="shared" si="125"/>
        <v>Link</v>
      </c>
      <c r="AE153" s="54">
        <v>2716</v>
      </c>
      <c r="AF153" s="55"/>
      <c r="AG153" s="55"/>
      <c r="AH153" s="56">
        <v>147660</v>
      </c>
      <c r="AI153" s="56"/>
    </row>
    <row r="154" spans="1:35" ht="13" x14ac:dyDescent="0.15">
      <c r="A154" s="7"/>
      <c r="B154" s="64" t="s">
        <v>1705</v>
      </c>
      <c r="C154" s="36" t="s">
        <v>43</v>
      </c>
      <c r="D154" s="44">
        <v>5</v>
      </c>
      <c r="E154" s="2" t="s">
        <v>2430</v>
      </c>
      <c r="F154" s="7"/>
      <c r="G154" s="7"/>
      <c r="H154" s="2" t="s">
        <v>2431</v>
      </c>
      <c r="I154" s="7" t="s">
        <v>537</v>
      </c>
      <c r="J154" s="7" t="s">
        <v>2433</v>
      </c>
      <c r="K154" s="7" t="s">
        <v>120</v>
      </c>
      <c r="L154" s="7" t="s">
        <v>2434</v>
      </c>
      <c r="M154" s="7"/>
      <c r="N154" s="48"/>
      <c r="O154" s="48"/>
      <c r="P154" s="48" t="s">
        <v>2435</v>
      </c>
      <c r="Q154" s="60" t="s">
        <v>1721</v>
      </c>
      <c r="R154" s="6" t="s">
        <v>1877</v>
      </c>
      <c r="S154" s="4" t="s">
        <v>288</v>
      </c>
      <c r="T154" s="5" t="s">
        <v>63</v>
      </c>
      <c r="U154" s="4" t="s">
        <v>2437</v>
      </c>
      <c r="V154" s="49"/>
      <c r="W154" s="37">
        <v>3.14</v>
      </c>
      <c r="X154" s="49" t="s">
        <v>2439</v>
      </c>
      <c r="Y154" s="49" t="s">
        <v>2441</v>
      </c>
      <c r="Z154" s="4" t="s">
        <v>841</v>
      </c>
      <c r="AA154" s="65">
        <v>0.94</v>
      </c>
      <c r="AB154" s="39">
        <v>39620</v>
      </c>
      <c r="AC154" s="76" t="s">
        <v>2435</v>
      </c>
      <c r="AD154" s="67" t="str">
        <f t="shared" ref="AD154:AD158" si="126">HYPERLINK("https://www.northpark.edu/academics/all-majors-programs/","Link")</f>
        <v>Link</v>
      </c>
      <c r="AE154" s="42">
        <v>2123</v>
      </c>
      <c r="AF154" s="55"/>
      <c r="AG154" s="55"/>
      <c r="AH154" s="56">
        <v>147679</v>
      </c>
      <c r="AI154" s="56"/>
    </row>
    <row r="155" spans="1:35" ht="13" x14ac:dyDescent="0.15">
      <c r="A155" s="7"/>
      <c r="B155" s="64" t="s">
        <v>1705</v>
      </c>
      <c r="C155" s="36" t="s">
        <v>43</v>
      </c>
      <c r="D155" s="86">
        <v>5</v>
      </c>
      <c r="E155" s="7" t="s">
        <v>2442</v>
      </c>
      <c r="F155" s="7"/>
      <c r="G155" s="86"/>
      <c r="H155" s="2" t="s">
        <v>2431</v>
      </c>
      <c r="I155" s="2" t="s">
        <v>234</v>
      </c>
      <c r="J155" s="2" t="s">
        <v>894</v>
      </c>
      <c r="K155" s="2" t="s">
        <v>48</v>
      </c>
      <c r="L155" s="2" t="s">
        <v>2447</v>
      </c>
      <c r="M155" s="2" t="s">
        <v>2448</v>
      </c>
      <c r="N155" s="45" t="str">
        <f t="shared" ref="N155:N158" si="127">HYPERLINK("twitter.com/npusoftball","@npusoftball")</f>
        <v>@npusoftball</v>
      </c>
      <c r="O155" s="45" t="str">
        <f t="shared" ref="O155:O158" si="128">HYPERLINK("https://athletics.northpark.edu/sports/2011/11/12/Softball%20Recruit%20Me.aspx?tab=softball&amp;path=softball","Questionnaire")</f>
        <v>Questionnaire</v>
      </c>
      <c r="P155" s="48" t="s">
        <v>2435</v>
      </c>
      <c r="Q155" s="60" t="s">
        <v>1721</v>
      </c>
      <c r="R155" s="48" t="s">
        <v>1877</v>
      </c>
      <c r="S155" s="48" t="s">
        <v>288</v>
      </c>
      <c r="T155" s="49" t="s">
        <v>63</v>
      </c>
      <c r="U155" s="6" t="s">
        <v>2437</v>
      </c>
      <c r="V155" s="49"/>
      <c r="W155" s="37">
        <v>3.14</v>
      </c>
      <c r="X155" s="49" t="s">
        <v>2439</v>
      </c>
      <c r="Y155" s="49" t="s">
        <v>2441</v>
      </c>
      <c r="Z155" s="49" t="s">
        <v>841</v>
      </c>
      <c r="AA155" s="65">
        <v>0.94</v>
      </c>
      <c r="AB155" s="39">
        <v>39620</v>
      </c>
      <c r="AC155" s="84" t="s">
        <v>2435</v>
      </c>
      <c r="AD155" s="53" t="str">
        <f t="shared" si="126"/>
        <v>Link</v>
      </c>
      <c r="AE155" s="54">
        <v>2123</v>
      </c>
      <c r="AF155" s="55"/>
      <c r="AG155" s="55"/>
      <c r="AH155" s="56">
        <v>147679</v>
      </c>
      <c r="AI155" s="56"/>
    </row>
    <row r="156" spans="1:35" ht="13" x14ac:dyDescent="0.15">
      <c r="A156" s="7"/>
      <c r="B156" s="64" t="s">
        <v>1705</v>
      </c>
      <c r="C156" s="36" t="s">
        <v>43</v>
      </c>
      <c r="D156" s="86">
        <v>5</v>
      </c>
      <c r="E156" s="2" t="s">
        <v>2464</v>
      </c>
      <c r="F156" s="7"/>
      <c r="G156" s="86"/>
      <c r="H156" s="2" t="s">
        <v>2431</v>
      </c>
      <c r="I156" s="2" t="s">
        <v>2465</v>
      </c>
      <c r="J156" s="2" t="s">
        <v>2466</v>
      </c>
      <c r="K156" s="2" t="s">
        <v>55</v>
      </c>
      <c r="L156" s="2" t="s">
        <v>2467</v>
      </c>
      <c r="M156" s="2" t="s">
        <v>2468</v>
      </c>
      <c r="N156" s="45" t="str">
        <f t="shared" si="127"/>
        <v>@npusoftball</v>
      </c>
      <c r="O156" s="45" t="str">
        <f t="shared" si="128"/>
        <v>Questionnaire</v>
      </c>
      <c r="P156" s="48" t="s">
        <v>2435</v>
      </c>
      <c r="Q156" s="60" t="s">
        <v>1721</v>
      </c>
      <c r="R156" s="48" t="s">
        <v>1877</v>
      </c>
      <c r="S156" s="48" t="s">
        <v>288</v>
      </c>
      <c r="T156" s="49" t="s">
        <v>63</v>
      </c>
      <c r="U156" s="6" t="s">
        <v>2437</v>
      </c>
      <c r="V156" s="49"/>
      <c r="W156" s="37">
        <v>3.14</v>
      </c>
      <c r="X156" s="49" t="s">
        <v>2439</v>
      </c>
      <c r="Y156" s="49" t="s">
        <v>2441</v>
      </c>
      <c r="Z156" s="49" t="s">
        <v>841</v>
      </c>
      <c r="AA156" s="65">
        <v>0.94</v>
      </c>
      <c r="AB156" s="39">
        <v>39620</v>
      </c>
      <c r="AC156" s="84" t="s">
        <v>2435</v>
      </c>
      <c r="AD156" s="53" t="str">
        <f t="shared" si="126"/>
        <v>Link</v>
      </c>
      <c r="AE156" s="54">
        <v>2123</v>
      </c>
      <c r="AF156" s="55"/>
      <c r="AG156" s="55"/>
      <c r="AH156" s="56">
        <v>147679</v>
      </c>
      <c r="AI156" s="56"/>
    </row>
    <row r="157" spans="1:35" ht="13" x14ac:dyDescent="0.15">
      <c r="A157" s="7"/>
      <c r="B157" s="64" t="s">
        <v>1705</v>
      </c>
      <c r="C157" s="36" t="s">
        <v>43</v>
      </c>
      <c r="D157" s="86">
        <v>5</v>
      </c>
      <c r="E157" s="7" t="s">
        <v>2473</v>
      </c>
      <c r="F157" s="7"/>
      <c r="G157" s="86"/>
      <c r="H157" s="2" t="s">
        <v>2431</v>
      </c>
      <c r="I157" s="2" t="s">
        <v>1280</v>
      </c>
      <c r="J157" s="2" t="s">
        <v>2475</v>
      </c>
      <c r="K157" s="2" t="s">
        <v>919</v>
      </c>
      <c r="L157" s="2" t="s">
        <v>2476</v>
      </c>
      <c r="M157" s="2" t="s">
        <v>2448</v>
      </c>
      <c r="N157" s="45" t="str">
        <f t="shared" si="127"/>
        <v>@npusoftball</v>
      </c>
      <c r="O157" s="45" t="str">
        <f t="shared" si="128"/>
        <v>Questionnaire</v>
      </c>
      <c r="P157" s="48" t="s">
        <v>2435</v>
      </c>
      <c r="Q157" s="60" t="s">
        <v>1721</v>
      </c>
      <c r="R157" s="48" t="s">
        <v>1877</v>
      </c>
      <c r="S157" s="48" t="s">
        <v>288</v>
      </c>
      <c r="T157" s="49" t="s">
        <v>63</v>
      </c>
      <c r="U157" s="6" t="s">
        <v>2437</v>
      </c>
      <c r="V157" s="49"/>
      <c r="W157" s="37">
        <v>3.14</v>
      </c>
      <c r="X157" s="49" t="s">
        <v>2439</v>
      </c>
      <c r="Y157" s="49" t="s">
        <v>2441</v>
      </c>
      <c r="Z157" s="49" t="s">
        <v>841</v>
      </c>
      <c r="AA157" s="65">
        <v>0.94</v>
      </c>
      <c r="AB157" s="39">
        <v>39620</v>
      </c>
      <c r="AC157" s="84" t="s">
        <v>2435</v>
      </c>
      <c r="AD157" s="53" t="str">
        <f t="shared" si="126"/>
        <v>Link</v>
      </c>
      <c r="AE157" s="54">
        <v>2123</v>
      </c>
      <c r="AF157" s="55"/>
      <c r="AG157" s="55"/>
      <c r="AH157" s="56">
        <v>147679</v>
      </c>
      <c r="AI157" s="56"/>
    </row>
    <row r="158" spans="1:35" ht="13" x14ac:dyDescent="0.15">
      <c r="A158" s="7"/>
      <c r="B158" s="64" t="s">
        <v>1705</v>
      </c>
      <c r="C158" s="36" t="s">
        <v>43</v>
      </c>
      <c r="D158" s="86">
        <v>5</v>
      </c>
      <c r="E158" s="2" t="s">
        <v>2490</v>
      </c>
      <c r="F158" s="7"/>
      <c r="G158" s="86"/>
      <c r="H158" s="2" t="s">
        <v>2431</v>
      </c>
      <c r="I158" s="2" t="s">
        <v>2491</v>
      </c>
      <c r="J158" s="2" t="s">
        <v>2492</v>
      </c>
      <c r="K158" s="2" t="s">
        <v>55</v>
      </c>
      <c r="L158" s="2" t="s">
        <v>2493</v>
      </c>
      <c r="M158" s="2" t="s">
        <v>2448</v>
      </c>
      <c r="N158" s="45" t="str">
        <f t="shared" si="127"/>
        <v>@npusoftball</v>
      </c>
      <c r="O158" s="45" t="str">
        <f t="shared" si="128"/>
        <v>Questionnaire</v>
      </c>
      <c r="P158" s="48" t="s">
        <v>2435</v>
      </c>
      <c r="Q158" s="60" t="s">
        <v>1721</v>
      </c>
      <c r="R158" s="48" t="s">
        <v>1877</v>
      </c>
      <c r="S158" s="48" t="s">
        <v>288</v>
      </c>
      <c r="T158" s="49" t="s">
        <v>63</v>
      </c>
      <c r="U158" s="6" t="s">
        <v>2437</v>
      </c>
      <c r="V158" s="49"/>
      <c r="W158" s="37">
        <v>3.14</v>
      </c>
      <c r="X158" s="49" t="s">
        <v>2439</v>
      </c>
      <c r="Y158" s="49" t="s">
        <v>2441</v>
      </c>
      <c r="Z158" s="49" t="s">
        <v>841</v>
      </c>
      <c r="AA158" s="65">
        <v>0.94</v>
      </c>
      <c r="AB158" s="39">
        <v>39620</v>
      </c>
      <c r="AC158" s="84" t="s">
        <v>2435</v>
      </c>
      <c r="AD158" s="53" t="str">
        <f t="shared" si="126"/>
        <v>Link</v>
      </c>
      <c r="AE158" s="54">
        <v>2123</v>
      </c>
      <c r="AF158" s="55"/>
      <c r="AG158" s="55"/>
      <c r="AH158" s="56">
        <v>147679</v>
      </c>
      <c r="AI158" s="56"/>
    </row>
    <row r="159" spans="1:35" ht="13" x14ac:dyDescent="0.15">
      <c r="A159" s="7"/>
      <c r="B159" s="64" t="s">
        <v>1705</v>
      </c>
      <c r="C159" s="36" t="s">
        <v>43</v>
      </c>
      <c r="D159" s="86">
        <v>5</v>
      </c>
      <c r="E159" s="2" t="s">
        <v>2497</v>
      </c>
      <c r="F159" s="7"/>
      <c r="G159" s="86"/>
      <c r="H159" s="2" t="s">
        <v>2498</v>
      </c>
      <c r="I159" s="2" t="s">
        <v>402</v>
      </c>
      <c r="J159" s="2" t="s">
        <v>2500</v>
      </c>
      <c r="K159" s="2" t="s">
        <v>48</v>
      </c>
      <c r="L159" s="2" t="s">
        <v>2503</v>
      </c>
      <c r="M159" s="2" t="s">
        <v>2504</v>
      </c>
      <c r="N159" s="48"/>
      <c r="O159" s="48" t="s">
        <v>22</v>
      </c>
      <c r="P159" s="48" t="s">
        <v>2506</v>
      </c>
      <c r="Q159" s="60" t="s">
        <v>1721</v>
      </c>
      <c r="R159" s="48" t="s">
        <v>2508</v>
      </c>
      <c r="S159" s="60" t="s">
        <v>205</v>
      </c>
      <c r="T159" s="49" t="s">
        <v>63</v>
      </c>
      <c r="U159" s="48" t="s">
        <v>75</v>
      </c>
      <c r="V159" s="49"/>
      <c r="W159" s="37">
        <v>3.41</v>
      </c>
      <c r="X159" s="49" t="s">
        <v>2510</v>
      </c>
      <c r="Y159" s="49" t="s">
        <v>2511</v>
      </c>
      <c r="Z159" s="49" t="s">
        <v>689</v>
      </c>
      <c r="AA159" s="65">
        <v>0.91</v>
      </c>
      <c r="AB159" s="39">
        <v>41010</v>
      </c>
      <c r="AC159" s="84" t="s">
        <v>2506</v>
      </c>
      <c r="AD159" s="53" t="str">
        <f>HYPERLINK("http://www.principiacollege.edu/majors","Link")</f>
        <v>Link</v>
      </c>
      <c r="AE159" s="54">
        <v>479</v>
      </c>
      <c r="AF159" s="55"/>
      <c r="AG159" s="54">
        <v>112</v>
      </c>
      <c r="AH159" s="56">
        <v>148016</v>
      </c>
      <c r="AI159" s="56"/>
    </row>
    <row r="160" spans="1:35" ht="15" x14ac:dyDescent="0.2">
      <c r="A160" s="7"/>
      <c r="B160" s="64" t="s">
        <v>1705</v>
      </c>
      <c r="C160" s="36" t="s">
        <v>43</v>
      </c>
      <c r="D160" s="86">
        <v>5</v>
      </c>
      <c r="E160" s="2" t="s">
        <v>2520</v>
      </c>
      <c r="F160" s="7"/>
      <c r="G160" s="86"/>
      <c r="H160" s="2" t="s">
        <v>2521</v>
      </c>
      <c r="I160" s="2" t="s">
        <v>501</v>
      </c>
      <c r="J160" s="2" t="s">
        <v>2523</v>
      </c>
      <c r="K160" s="2" t="s">
        <v>48</v>
      </c>
      <c r="L160" s="2" t="s">
        <v>2525</v>
      </c>
      <c r="M160" s="2" t="s">
        <v>2526</v>
      </c>
      <c r="N160" s="45" t="str">
        <f t="shared" ref="N160:N162" si="129">HYPERLINK("twitter.com/rockfordsball","@rockfordsball")</f>
        <v>@rockfordsball</v>
      </c>
      <c r="O160" s="45" t="str">
        <f t="shared" ref="O160:O162" si="130">HYPERLINK("https://www.goregents.com/sports/sball/Softball_Recruit_Questionnaire","Questionnaire")</f>
        <v>Questionnaire</v>
      </c>
      <c r="P160" s="108" t="s">
        <v>2527</v>
      </c>
      <c r="Q160" s="60" t="s">
        <v>1721</v>
      </c>
      <c r="R160" s="48" t="s">
        <v>2527</v>
      </c>
      <c r="S160" s="48" t="s">
        <v>238</v>
      </c>
      <c r="T160" s="49" t="s">
        <v>63</v>
      </c>
      <c r="U160" s="48" t="s">
        <v>75</v>
      </c>
      <c r="V160" s="49"/>
      <c r="W160" s="37">
        <v>3.23</v>
      </c>
      <c r="X160" s="49" t="s">
        <v>2528</v>
      </c>
      <c r="Y160" s="49" t="s">
        <v>720</v>
      </c>
      <c r="Z160" s="49" t="s">
        <v>125</v>
      </c>
      <c r="AA160" s="65">
        <v>0.54</v>
      </c>
      <c r="AB160" s="39">
        <v>42020</v>
      </c>
      <c r="AC160" s="52" t="s">
        <v>2527</v>
      </c>
      <c r="AD160" s="53" t="str">
        <f t="shared" ref="AD160:AD162" si="131">HYPERLINK("https://www.rockford.edu/academics/majorsminors/","Link")</f>
        <v>Link</v>
      </c>
      <c r="AE160" s="54">
        <v>1075</v>
      </c>
      <c r="AF160" s="55"/>
      <c r="AG160" s="55"/>
      <c r="AH160" s="56">
        <v>148405</v>
      </c>
      <c r="AI160" s="56"/>
    </row>
    <row r="161" spans="1:35" ht="15" x14ac:dyDescent="0.2">
      <c r="A161" s="7"/>
      <c r="B161" s="64" t="s">
        <v>1705</v>
      </c>
      <c r="C161" s="36" t="s">
        <v>43</v>
      </c>
      <c r="D161" s="86">
        <v>5</v>
      </c>
      <c r="E161" s="7" t="s">
        <v>2535</v>
      </c>
      <c r="F161" s="7"/>
      <c r="G161" s="86"/>
      <c r="H161" s="2" t="s">
        <v>2521</v>
      </c>
      <c r="I161" s="2" t="s">
        <v>2536</v>
      </c>
      <c r="J161" s="2" t="s">
        <v>2537</v>
      </c>
      <c r="K161" s="2" t="s">
        <v>55</v>
      </c>
      <c r="L161" s="95" t="s">
        <v>2538</v>
      </c>
      <c r="M161" s="2" t="s">
        <v>2539</v>
      </c>
      <c r="N161" s="45" t="str">
        <f t="shared" si="129"/>
        <v>@rockfordsball</v>
      </c>
      <c r="O161" s="45" t="str">
        <f t="shared" si="130"/>
        <v>Questionnaire</v>
      </c>
      <c r="P161" s="108" t="s">
        <v>2527</v>
      </c>
      <c r="Q161" s="60" t="s">
        <v>1721</v>
      </c>
      <c r="R161" s="48" t="s">
        <v>2527</v>
      </c>
      <c r="S161" s="48" t="s">
        <v>238</v>
      </c>
      <c r="T161" s="49" t="s">
        <v>63</v>
      </c>
      <c r="U161" s="48" t="s">
        <v>75</v>
      </c>
      <c r="V161" s="49"/>
      <c r="W161" s="37">
        <v>3.23</v>
      </c>
      <c r="X161" s="49" t="s">
        <v>2528</v>
      </c>
      <c r="Y161" s="49" t="s">
        <v>720</v>
      </c>
      <c r="Z161" s="49" t="s">
        <v>125</v>
      </c>
      <c r="AA161" s="65">
        <v>0.54</v>
      </c>
      <c r="AB161" s="39">
        <v>42020</v>
      </c>
      <c r="AC161" s="52" t="s">
        <v>2527</v>
      </c>
      <c r="AD161" s="53" t="str">
        <f t="shared" si="131"/>
        <v>Link</v>
      </c>
      <c r="AE161" s="54">
        <v>1075</v>
      </c>
      <c r="AF161" s="55"/>
      <c r="AG161" s="55"/>
      <c r="AH161" s="56">
        <v>148405</v>
      </c>
      <c r="AI161" s="56"/>
    </row>
    <row r="162" spans="1:35" ht="15" x14ac:dyDescent="0.2">
      <c r="A162" s="7"/>
      <c r="B162" s="64" t="s">
        <v>1705</v>
      </c>
      <c r="C162" s="36" t="s">
        <v>43</v>
      </c>
      <c r="D162" s="86">
        <v>5</v>
      </c>
      <c r="E162" s="2" t="s">
        <v>2545</v>
      </c>
      <c r="F162" s="7"/>
      <c r="G162" s="86"/>
      <c r="H162" s="2" t="s">
        <v>2521</v>
      </c>
      <c r="I162" s="2" t="s">
        <v>1822</v>
      </c>
      <c r="J162" s="2" t="s">
        <v>2547</v>
      </c>
      <c r="K162" s="2" t="s">
        <v>55</v>
      </c>
      <c r="L162" s="2" t="s">
        <v>2548</v>
      </c>
      <c r="M162" s="2"/>
      <c r="N162" s="45" t="str">
        <f t="shared" si="129"/>
        <v>@rockfordsball</v>
      </c>
      <c r="O162" s="45" t="str">
        <f t="shared" si="130"/>
        <v>Questionnaire</v>
      </c>
      <c r="P162" s="108" t="s">
        <v>2527</v>
      </c>
      <c r="Q162" s="60" t="s">
        <v>1721</v>
      </c>
      <c r="R162" s="48" t="s">
        <v>2527</v>
      </c>
      <c r="S162" s="48" t="s">
        <v>238</v>
      </c>
      <c r="T162" s="49" t="s">
        <v>63</v>
      </c>
      <c r="U162" s="48" t="s">
        <v>75</v>
      </c>
      <c r="V162" s="49"/>
      <c r="W162" s="37">
        <v>3.23</v>
      </c>
      <c r="X162" s="49" t="s">
        <v>2528</v>
      </c>
      <c r="Y162" s="49" t="s">
        <v>720</v>
      </c>
      <c r="Z162" s="49" t="s">
        <v>125</v>
      </c>
      <c r="AA162" s="65">
        <v>0.54</v>
      </c>
      <c r="AB162" s="39">
        <v>42020</v>
      </c>
      <c r="AC162" s="52" t="s">
        <v>2527</v>
      </c>
      <c r="AD162" s="53" t="str">
        <f t="shared" si="131"/>
        <v>Link</v>
      </c>
      <c r="AE162" s="54">
        <v>1075</v>
      </c>
      <c r="AF162" s="55"/>
      <c r="AG162" s="55"/>
      <c r="AH162" s="56">
        <v>148405</v>
      </c>
      <c r="AI162" s="56"/>
    </row>
    <row r="163" spans="1:35" ht="13" x14ac:dyDescent="0.15">
      <c r="A163" s="7"/>
      <c r="B163" s="64" t="s">
        <v>1705</v>
      </c>
      <c r="C163" s="36" t="s">
        <v>43</v>
      </c>
      <c r="D163" s="86">
        <v>5</v>
      </c>
      <c r="E163" s="7" t="s">
        <v>2552</v>
      </c>
      <c r="F163" s="7"/>
      <c r="G163" s="86"/>
      <c r="H163" s="2" t="s">
        <v>2553</v>
      </c>
      <c r="I163" s="2" t="s">
        <v>2554</v>
      </c>
      <c r="J163" s="2" t="s">
        <v>2555</v>
      </c>
      <c r="K163" s="2" t="s">
        <v>48</v>
      </c>
      <c r="L163" s="2" t="s">
        <v>2558</v>
      </c>
      <c r="M163" s="2" t="s">
        <v>2559</v>
      </c>
      <c r="N163" s="48"/>
      <c r="O163" s="45" t="str">
        <f t="shared" ref="O163:O167" si="132">HYPERLINK("https://athletics.wheaton.edu/sb_output.aspx?form=3","Questionnaire")</f>
        <v>Questionnaire</v>
      </c>
      <c r="P163" s="48" t="s">
        <v>2560</v>
      </c>
      <c r="Q163" s="60" t="s">
        <v>1721</v>
      </c>
      <c r="R163" s="48" t="s">
        <v>2561</v>
      </c>
      <c r="S163" s="48" t="s">
        <v>186</v>
      </c>
      <c r="T163" s="49" t="s">
        <v>63</v>
      </c>
      <c r="U163" s="6" t="s">
        <v>1028</v>
      </c>
      <c r="V163" s="49"/>
      <c r="W163" s="37">
        <v>3.7</v>
      </c>
      <c r="X163" s="49" t="s">
        <v>2563</v>
      </c>
      <c r="Y163" s="49" t="s">
        <v>2565</v>
      </c>
      <c r="Z163" s="49" t="s">
        <v>1246</v>
      </c>
      <c r="AA163" s="65">
        <v>0.79</v>
      </c>
      <c r="AB163" s="39">
        <v>46310</v>
      </c>
      <c r="AC163" s="84" t="s">
        <v>2560</v>
      </c>
      <c r="AD163" s="53" t="str">
        <f t="shared" ref="AD163:AD167" si="133">HYPERLINK("https://www.wheaton.edu/academics/","Link")</f>
        <v>Link</v>
      </c>
      <c r="AE163" s="54">
        <v>2456</v>
      </c>
      <c r="AF163" s="55"/>
      <c r="AG163" s="54">
        <v>63</v>
      </c>
      <c r="AH163" s="56">
        <v>149781</v>
      </c>
      <c r="AI163" s="56"/>
    </row>
    <row r="164" spans="1:35" ht="13" x14ac:dyDescent="0.15">
      <c r="A164" s="7"/>
      <c r="B164" s="64" t="s">
        <v>1705</v>
      </c>
      <c r="C164" s="36" t="s">
        <v>43</v>
      </c>
      <c r="D164" s="86">
        <v>5</v>
      </c>
      <c r="E164" s="2" t="s">
        <v>2573</v>
      </c>
      <c r="F164" s="7"/>
      <c r="G164" s="86"/>
      <c r="H164" s="2" t="s">
        <v>2553</v>
      </c>
      <c r="I164" s="2" t="s">
        <v>772</v>
      </c>
      <c r="J164" s="2" t="s">
        <v>2574</v>
      </c>
      <c r="K164" s="2" t="s">
        <v>55</v>
      </c>
      <c r="L164" s="2"/>
      <c r="M164" s="2"/>
      <c r="N164" s="48"/>
      <c r="O164" s="45" t="str">
        <f t="shared" si="132"/>
        <v>Questionnaire</v>
      </c>
      <c r="P164" s="48" t="s">
        <v>2560</v>
      </c>
      <c r="Q164" s="60" t="s">
        <v>1721</v>
      </c>
      <c r="R164" s="48" t="s">
        <v>2561</v>
      </c>
      <c r="S164" s="48" t="s">
        <v>186</v>
      </c>
      <c r="T164" s="49" t="s">
        <v>63</v>
      </c>
      <c r="U164" s="6" t="s">
        <v>1028</v>
      </c>
      <c r="V164" s="49"/>
      <c r="W164" s="37">
        <v>3.7</v>
      </c>
      <c r="X164" s="49" t="s">
        <v>2563</v>
      </c>
      <c r="Y164" s="49" t="s">
        <v>2565</v>
      </c>
      <c r="Z164" s="49" t="s">
        <v>1246</v>
      </c>
      <c r="AA164" s="65">
        <v>0.79</v>
      </c>
      <c r="AB164" s="39">
        <v>46310</v>
      </c>
      <c r="AC164" s="84" t="s">
        <v>2560</v>
      </c>
      <c r="AD164" s="53" t="str">
        <f t="shared" si="133"/>
        <v>Link</v>
      </c>
      <c r="AE164" s="54">
        <v>2456</v>
      </c>
      <c r="AF164" s="55"/>
      <c r="AG164" s="54">
        <v>63</v>
      </c>
      <c r="AH164" s="56">
        <v>149781</v>
      </c>
      <c r="AI164" s="56"/>
    </row>
    <row r="165" spans="1:35" ht="13" x14ac:dyDescent="0.15">
      <c r="A165" s="7"/>
      <c r="B165" s="64" t="s">
        <v>1705</v>
      </c>
      <c r="C165" s="36" t="s">
        <v>43</v>
      </c>
      <c r="D165" s="86">
        <v>5</v>
      </c>
      <c r="E165" s="7" t="s">
        <v>2582</v>
      </c>
      <c r="F165" s="7"/>
      <c r="G165" s="86"/>
      <c r="H165" s="2" t="s">
        <v>2553</v>
      </c>
      <c r="I165" s="2" t="s">
        <v>234</v>
      </c>
      <c r="J165" s="2" t="s">
        <v>2583</v>
      </c>
      <c r="K165" s="2" t="s">
        <v>55</v>
      </c>
      <c r="L165" s="2"/>
      <c r="M165" s="2"/>
      <c r="N165" s="48"/>
      <c r="O165" s="45" t="str">
        <f t="shared" si="132"/>
        <v>Questionnaire</v>
      </c>
      <c r="P165" s="48" t="s">
        <v>2560</v>
      </c>
      <c r="Q165" s="60" t="s">
        <v>1721</v>
      </c>
      <c r="R165" s="48" t="s">
        <v>2561</v>
      </c>
      <c r="S165" s="48" t="s">
        <v>186</v>
      </c>
      <c r="T165" s="49" t="s">
        <v>63</v>
      </c>
      <c r="U165" s="6" t="s">
        <v>1028</v>
      </c>
      <c r="V165" s="49"/>
      <c r="W165" s="37">
        <v>3.7</v>
      </c>
      <c r="X165" s="49" t="s">
        <v>2563</v>
      </c>
      <c r="Y165" s="49" t="s">
        <v>2565</v>
      </c>
      <c r="Z165" s="49" t="s">
        <v>1246</v>
      </c>
      <c r="AA165" s="65">
        <v>0.79</v>
      </c>
      <c r="AB165" s="39">
        <v>46310</v>
      </c>
      <c r="AC165" s="84" t="s">
        <v>2560</v>
      </c>
      <c r="AD165" s="53" t="str">
        <f t="shared" si="133"/>
        <v>Link</v>
      </c>
      <c r="AE165" s="54">
        <v>2456</v>
      </c>
      <c r="AF165" s="55"/>
      <c r="AG165" s="54">
        <v>63</v>
      </c>
      <c r="AH165" s="56">
        <v>149781</v>
      </c>
      <c r="AI165" s="56"/>
    </row>
    <row r="166" spans="1:35" ht="13" x14ac:dyDescent="0.15">
      <c r="A166" s="7"/>
      <c r="B166" s="64" t="s">
        <v>1705</v>
      </c>
      <c r="C166" s="36" t="s">
        <v>43</v>
      </c>
      <c r="D166" s="86">
        <v>5</v>
      </c>
      <c r="E166" s="2" t="s">
        <v>2590</v>
      </c>
      <c r="F166" s="7"/>
      <c r="G166" s="86"/>
      <c r="H166" s="2" t="s">
        <v>2553</v>
      </c>
      <c r="I166" s="2" t="s">
        <v>2591</v>
      </c>
      <c r="J166" s="2" t="s">
        <v>2592</v>
      </c>
      <c r="K166" s="2" t="s">
        <v>55</v>
      </c>
      <c r="L166" s="2"/>
      <c r="M166" s="2"/>
      <c r="N166" s="48"/>
      <c r="O166" s="45" t="str">
        <f t="shared" si="132"/>
        <v>Questionnaire</v>
      </c>
      <c r="P166" s="48" t="s">
        <v>2560</v>
      </c>
      <c r="Q166" s="60" t="s">
        <v>1721</v>
      </c>
      <c r="R166" s="48" t="s">
        <v>2561</v>
      </c>
      <c r="S166" s="48" t="s">
        <v>186</v>
      </c>
      <c r="T166" s="49" t="s">
        <v>63</v>
      </c>
      <c r="U166" s="6" t="s">
        <v>1028</v>
      </c>
      <c r="V166" s="49"/>
      <c r="W166" s="37">
        <v>3.7</v>
      </c>
      <c r="X166" s="49" t="s">
        <v>2563</v>
      </c>
      <c r="Y166" s="49" t="s">
        <v>2565</v>
      </c>
      <c r="Z166" s="49" t="s">
        <v>1246</v>
      </c>
      <c r="AA166" s="65">
        <v>0.79</v>
      </c>
      <c r="AB166" s="39">
        <v>46310</v>
      </c>
      <c r="AC166" s="84" t="s">
        <v>2560</v>
      </c>
      <c r="AD166" s="53" t="str">
        <f t="shared" si="133"/>
        <v>Link</v>
      </c>
      <c r="AE166" s="54">
        <v>2456</v>
      </c>
      <c r="AF166" s="55"/>
      <c r="AG166" s="54">
        <v>63</v>
      </c>
      <c r="AH166" s="56">
        <v>149781</v>
      </c>
      <c r="AI166" s="56"/>
    </row>
    <row r="167" spans="1:35" ht="13" x14ac:dyDescent="0.15">
      <c r="A167" s="7"/>
      <c r="B167" s="64" t="s">
        <v>1705</v>
      </c>
      <c r="C167" s="36" t="s">
        <v>43</v>
      </c>
      <c r="D167" s="86">
        <v>5</v>
      </c>
      <c r="E167" s="7" t="s">
        <v>2595</v>
      </c>
      <c r="F167" s="7"/>
      <c r="G167" s="86"/>
      <c r="H167" s="2" t="s">
        <v>2553</v>
      </c>
      <c r="I167" s="2" t="s">
        <v>2599</v>
      </c>
      <c r="J167" s="2" t="s">
        <v>2600</v>
      </c>
      <c r="K167" s="2" t="s">
        <v>55</v>
      </c>
      <c r="L167" s="2"/>
      <c r="M167" s="2"/>
      <c r="N167" s="48"/>
      <c r="O167" s="45" t="str">
        <f t="shared" si="132"/>
        <v>Questionnaire</v>
      </c>
      <c r="P167" s="48" t="s">
        <v>2560</v>
      </c>
      <c r="Q167" s="60" t="s">
        <v>1721</v>
      </c>
      <c r="R167" s="48" t="s">
        <v>2561</v>
      </c>
      <c r="S167" s="48" t="s">
        <v>186</v>
      </c>
      <c r="T167" s="49" t="s">
        <v>63</v>
      </c>
      <c r="U167" s="6" t="s">
        <v>1028</v>
      </c>
      <c r="V167" s="49"/>
      <c r="W167" s="37">
        <v>3.7</v>
      </c>
      <c r="X167" s="49" t="s">
        <v>2563</v>
      </c>
      <c r="Y167" s="49" t="s">
        <v>2565</v>
      </c>
      <c r="Z167" s="49" t="s">
        <v>1246</v>
      </c>
      <c r="AA167" s="65">
        <v>0.79</v>
      </c>
      <c r="AB167" s="39">
        <v>46310</v>
      </c>
      <c r="AC167" s="84" t="s">
        <v>2560</v>
      </c>
      <c r="AD167" s="53" t="str">
        <f t="shared" si="133"/>
        <v>Link</v>
      </c>
      <c r="AE167" s="54">
        <v>2456</v>
      </c>
      <c r="AF167" s="55"/>
      <c r="AG167" s="54">
        <v>63</v>
      </c>
      <c r="AH167" s="56">
        <v>149781</v>
      </c>
      <c r="AI167" s="56"/>
    </row>
    <row r="168" spans="1:35" ht="13" x14ac:dyDescent="0.15">
      <c r="A168" s="7"/>
      <c r="B168" s="64" t="s">
        <v>2602</v>
      </c>
      <c r="C168" s="36" t="s">
        <v>43</v>
      </c>
      <c r="D168" s="44">
        <v>5</v>
      </c>
      <c r="E168" s="2" t="s">
        <v>2604</v>
      </c>
      <c r="F168" s="7"/>
      <c r="G168" s="7"/>
      <c r="H168" s="2" t="s">
        <v>2607</v>
      </c>
      <c r="I168" s="7" t="s">
        <v>2608</v>
      </c>
      <c r="J168" s="7" t="s">
        <v>2609</v>
      </c>
      <c r="K168" s="7" t="s">
        <v>55</v>
      </c>
      <c r="L168" s="7"/>
      <c r="M168" s="7"/>
      <c r="N168" s="48"/>
      <c r="O168" s="48"/>
      <c r="P168" s="60" t="s">
        <v>2613</v>
      </c>
      <c r="Q168" s="60" t="s">
        <v>1151</v>
      </c>
      <c r="R168" s="6" t="s">
        <v>894</v>
      </c>
      <c r="S168" s="4" t="s">
        <v>186</v>
      </c>
      <c r="T168" s="49" t="s">
        <v>63</v>
      </c>
      <c r="U168" s="4" t="s">
        <v>2615</v>
      </c>
      <c r="V168" s="49"/>
      <c r="W168" s="37">
        <v>3.4</v>
      </c>
      <c r="X168" s="49" t="s">
        <v>397</v>
      </c>
      <c r="Y168" s="49" t="s">
        <v>521</v>
      </c>
      <c r="Z168" s="4" t="s">
        <v>746</v>
      </c>
      <c r="AA168" s="38">
        <v>0.66410000000000002</v>
      </c>
      <c r="AB168" s="39">
        <v>42200</v>
      </c>
      <c r="AC168" s="66" t="s">
        <v>2613</v>
      </c>
      <c r="AD168" s="67" t="str">
        <f t="shared" ref="AD168:AD171" si="134">HYPERLINK("https://www.anderson.edu/academics","Link")</f>
        <v>Link</v>
      </c>
      <c r="AE168" s="42">
        <v>1883</v>
      </c>
      <c r="AF168" s="55"/>
      <c r="AG168" s="55"/>
      <c r="AH168" s="56">
        <v>150066</v>
      </c>
      <c r="AI168" s="56"/>
    </row>
    <row r="169" spans="1:35" ht="13" x14ac:dyDescent="0.15">
      <c r="A169" s="7"/>
      <c r="B169" s="88" t="s">
        <v>2602</v>
      </c>
      <c r="C169" s="36" t="s">
        <v>43</v>
      </c>
      <c r="D169" s="86">
        <v>5</v>
      </c>
      <c r="E169" s="7" t="s">
        <v>2621</v>
      </c>
      <c r="F169" s="7"/>
      <c r="G169" s="86"/>
      <c r="H169" s="2" t="s">
        <v>2607</v>
      </c>
      <c r="I169" s="2" t="s">
        <v>2622</v>
      </c>
      <c r="J169" s="2" t="s">
        <v>2623</v>
      </c>
      <c r="K169" s="2" t="s">
        <v>48</v>
      </c>
      <c r="L169" s="2" t="s">
        <v>2624</v>
      </c>
      <c r="M169" s="2" t="s">
        <v>2625</v>
      </c>
      <c r="N169" s="45" t="str">
        <f t="shared" ref="N169:N171" si="135">HYPERLINK("twitter.com/auravensoftball","@auravensoftball")</f>
        <v>@auravensoftball</v>
      </c>
      <c r="O169" s="45" t="str">
        <f t="shared" ref="O169:O171" si="136">HYPERLINK("https://www.frontrush.com/FR_Web_App/Player/PlayerSubmit.aspx?sid=1439&amp;ptype=recruit","Questionnaire")</f>
        <v>Questionnaire</v>
      </c>
      <c r="P169" s="60" t="s">
        <v>2613</v>
      </c>
      <c r="Q169" s="60" t="s">
        <v>1151</v>
      </c>
      <c r="R169" s="48" t="s">
        <v>894</v>
      </c>
      <c r="S169" s="48" t="s">
        <v>186</v>
      </c>
      <c r="T169" s="49" t="s">
        <v>63</v>
      </c>
      <c r="U169" s="6" t="s">
        <v>2615</v>
      </c>
      <c r="V169" s="49"/>
      <c r="W169" s="37">
        <v>3.4</v>
      </c>
      <c r="X169" s="49" t="s">
        <v>397</v>
      </c>
      <c r="Y169" s="49" t="s">
        <v>521</v>
      </c>
      <c r="Z169" s="49" t="s">
        <v>746</v>
      </c>
      <c r="AA169" s="38">
        <v>0.66410000000000002</v>
      </c>
      <c r="AB169" s="39">
        <v>42200</v>
      </c>
      <c r="AC169" s="90" t="s">
        <v>2613</v>
      </c>
      <c r="AD169" s="53" t="str">
        <f t="shared" si="134"/>
        <v>Link</v>
      </c>
      <c r="AE169" s="54">
        <v>1883</v>
      </c>
      <c r="AF169" s="55"/>
      <c r="AG169" s="55"/>
      <c r="AH169" s="56">
        <v>150066</v>
      </c>
      <c r="AI169" s="56"/>
    </row>
    <row r="170" spans="1:35" ht="13" x14ac:dyDescent="0.15">
      <c r="A170" s="7"/>
      <c r="B170" s="88" t="s">
        <v>2602</v>
      </c>
      <c r="C170" s="36" t="s">
        <v>43</v>
      </c>
      <c r="D170" s="86">
        <v>5</v>
      </c>
      <c r="E170" s="2" t="s">
        <v>2633</v>
      </c>
      <c r="F170" s="7"/>
      <c r="G170" s="86"/>
      <c r="H170" s="2" t="s">
        <v>2607</v>
      </c>
      <c r="I170" s="2" t="s">
        <v>562</v>
      </c>
      <c r="J170" s="2" t="s">
        <v>2634</v>
      </c>
      <c r="K170" s="2" t="s">
        <v>55</v>
      </c>
      <c r="L170" s="2" t="s">
        <v>2635</v>
      </c>
      <c r="M170" s="2"/>
      <c r="N170" s="45" t="str">
        <f t="shared" si="135"/>
        <v>@auravensoftball</v>
      </c>
      <c r="O170" s="45" t="str">
        <f t="shared" si="136"/>
        <v>Questionnaire</v>
      </c>
      <c r="P170" s="60" t="s">
        <v>2613</v>
      </c>
      <c r="Q170" s="60" t="s">
        <v>1151</v>
      </c>
      <c r="R170" s="48" t="s">
        <v>894</v>
      </c>
      <c r="S170" s="48" t="s">
        <v>186</v>
      </c>
      <c r="T170" s="49" t="s">
        <v>63</v>
      </c>
      <c r="U170" s="6" t="s">
        <v>2615</v>
      </c>
      <c r="V170" s="49"/>
      <c r="W170" s="37">
        <v>3.4</v>
      </c>
      <c r="X170" s="49" t="s">
        <v>397</v>
      </c>
      <c r="Y170" s="49" t="s">
        <v>521</v>
      </c>
      <c r="Z170" s="49" t="s">
        <v>746</v>
      </c>
      <c r="AA170" s="38">
        <v>0.66410000000000002</v>
      </c>
      <c r="AB170" s="39">
        <v>42200</v>
      </c>
      <c r="AC170" s="90" t="s">
        <v>2613</v>
      </c>
      <c r="AD170" s="53" t="str">
        <f t="shared" si="134"/>
        <v>Link</v>
      </c>
      <c r="AE170" s="54">
        <v>1883</v>
      </c>
      <c r="AF170" s="55"/>
      <c r="AG170" s="55"/>
      <c r="AH170" s="56">
        <v>150066</v>
      </c>
      <c r="AI170" s="56"/>
    </row>
    <row r="171" spans="1:35" ht="13" x14ac:dyDescent="0.15">
      <c r="A171" s="7"/>
      <c r="B171" s="88" t="s">
        <v>2602</v>
      </c>
      <c r="C171" s="36" t="s">
        <v>43</v>
      </c>
      <c r="D171" s="86">
        <v>5</v>
      </c>
      <c r="E171" s="7" t="s">
        <v>2644</v>
      </c>
      <c r="F171" s="7"/>
      <c r="G171" s="86"/>
      <c r="H171" s="2" t="s">
        <v>2607</v>
      </c>
      <c r="I171" s="2" t="s">
        <v>904</v>
      </c>
      <c r="J171" s="2" t="s">
        <v>2646</v>
      </c>
      <c r="K171" s="2" t="s">
        <v>55</v>
      </c>
      <c r="L171" s="2"/>
      <c r="M171" s="2"/>
      <c r="N171" s="45" t="str">
        <f t="shared" si="135"/>
        <v>@auravensoftball</v>
      </c>
      <c r="O171" s="45" t="str">
        <f t="shared" si="136"/>
        <v>Questionnaire</v>
      </c>
      <c r="P171" s="60" t="s">
        <v>2613</v>
      </c>
      <c r="Q171" s="60" t="s">
        <v>1151</v>
      </c>
      <c r="R171" s="48" t="s">
        <v>894</v>
      </c>
      <c r="S171" s="48" t="s">
        <v>186</v>
      </c>
      <c r="T171" s="49" t="s">
        <v>63</v>
      </c>
      <c r="U171" s="6" t="s">
        <v>2615</v>
      </c>
      <c r="V171" s="49"/>
      <c r="W171" s="37">
        <v>3.4</v>
      </c>
      <c r="X171" s="49" t="s">
        <v>397</v>
      </c>
      <c r="Y171" s="49" t="s">
        <v>521</v>
      </c>
      <c r="Z171" s="49" t="s">
        <v>746</v>
      </c>
      <c r="AA171" s="38">
        <v>0.66410000000000002</v>
      </c>
      <c r="AB171" s="39">
        <v>42200</v>
      </c>
      <c r="AC171" s="90" t="s">
        <v>2613</v>
      </c>
      <c r="AD171" s="53" t="str">
        <f t="shared" si="134"/>
        <v>Link</v>
      </c>
      <c r="AE171" s="54">
        <v>1883</v>
      </c>
      <c r="AF171" s="55"/>
      <c r="AG171" s="55"/>
      <c r="AH171" s="56">
        <v>150066</v>
      </c>
      <c r="AI171" s="56"/>
    </row>
    <row r="172" spans="1:35" ht="13" x14ac:dyDescent="0.15">
      <c r="A172" s="7"/>
      <c r="B172" s="64" t="s">
        <v>2602</v>
      </c>
      <c r="C172" s="36" t="s">
        <v>43</v>
      </c>
      <c r="D172" s="86">
        <v>5</v>
      </c>
      <c r="E172" s="7" t="s">
        <v>2652</v>
      </c>
      <c r="F172" s="7"/>
      <c r="G172" s="86"/>
      <c r="H172" s="2" t="s">
        <v>2653</v>
      </c>
      <c r="I172" s="2" t="s">
        <v>2348</v>
      </c>
      <c r="J172" s="2" t="s">
        <v>2654</v>
      </c>
      <c r="K172" s="2" t="s">
        <v>48</v>
      </c>
      <c r="L172" s="2" t="s">
        <v>2655</v>
      </c>
      <c r="M172" s="2" t="s">
        <v>2656</v>
      </c>
      <c r="N172" s="45" t="str">
        <f t="shared" ref="N172:N174" si="137">HYPERLINK("twitter.com/depauwsoftball","@depauwsoftball")</f>
        <v>@depauwsoftball</v>
      </c>
      <c r="O172" s="45" t="str">
        <f t="shared" ref="O172:O174" si="138">HYPERLINK("https://www.depauwtigers.com/sports/sball/questionnaire","Questionnaire")</f>
        <v>Questionnaire</v>
      </c>
      <c r="P172" s="48" t="s">
        <v>2665</v>
      </c>
      <c r="Q172" s="60" t="s">
        <v>1151</v>
      </c>
      <c r="R172" s="48" t="s">
        <v>2667</v>
      </c>
      <c r="S172" s="48" t="s">
        <v>172</v>
      </c>
      <c r="T172" s="49" t="s">
        <v>63</v>
      </c>
      <c r="U172" s="48" t="s">
        <v>75</v>
      </c>
      <c r="V172" s="49"/>
      <c r="W172" s="37">
        <v>3.81</v>
      </c>
      <c r="X172" s="49" t="s">
        <v>1723</v>
      </c>
      <c r="Y172" s="49" t="s">
        <v>2672</v>
      </c>
      <c r="Z172" s="49" t="s">
        <v>1408</v>
      </c>
      <c r="AA172" s="65">
        <v>0.65</v>
      </c>
      <c r="AB172" s="39">
        <v>60888</v>
      </c>
      <c r="AC172" s="84" t="s">
        <v>2665</v>
      </c>
      <c r="AD172" s="53" t="str">
        <f t="shared" ref="AD172:AD174" si="139">HYPERLINK("https://www.depauw.edu/academics/departments-programs/","Link")</f>
        <v>Link</v>
      </c>
      <c r="AE172" s="54">
        <v>2225</v>
      </c>
      <c r="AF172" s="55"/>
      <c r="AG172" s="54">
        <v>53</v>
      </c>
      <c r="AH172" s="56">
        <v>150400</v>
      </c>
      <c r="AI172" s="56"/>
    </row>
    <row r="173" spans="1:35" ht="13" x14ac:dyDescent="0.15">
      <c r="A173" s="7"/>
      <c r="B173" s="64" t="s">
        <v>2602</v>
      </c>
      <c r="C173" s="36" t="s">
        <v>43</v>
      </c>
      <c r="D173" s="86">
        <v>5</v>
      </c>
      <c r="E173" s="2" t="s">
        <v>2676</v>
      </c>
      <c r="F173" s="7"/>
      <c r="G173" s="86"/>
      <c r="H173" s="2" t="s">
        <v>2653</v>
      </c>
      <c r="I173" s="2" t="s">
        <v>2677</v>
      </c>
      <c r="J173" s="2" t="s">
        <v>2678</v>
      </c>
      <c r="K173" s="2" t="s">
        <v>55</v>
      </c>
      <c r="L173" s="2" t="s">
        <v>2679</v>
      </c>
      <c r="M173" s="2"/>
      <c r="N173" s="45" t="str">
        <f t="shared" si="137"/>
        <v>@depauwsoftball</v>
      </c>
      <c r="O173" s="45" t="str">
        <f t="shared" si="138"/>
        <v>Questionnaire</v>
      </c>
      <c r="P173" s="48" t="s">
        <v>2665</v>
      </c>
      <c r="Q173" s="60" t="s">
        <v>1151</v>
      </c>
      <c r="R173" s="48" t="s">
        <v>2667</v>
      </c>
      <c r="S173" s="48" t="s">
        <v>172</v>
      </c>
      <c r="T173" s="49" t="s">
        <v>63</v>
      </c>
      <c r="U173" s="48" t="s">
        <v>75</v>
      </c>
      <c r="V173" s="49"/>
      <c r="W173" s="37">
        <v>3.81</v>
      </c>
      <c r="X173" s="49" t="s">
        <v>1723</v>
      </c>
      <c r="Y173" s="49" t="s">
        <v>2672</v>
      </c>
      <c r="Z173" s="49" t="s">
        <v>1408</v>
      </c>
      <c r="AA173" s="65">
        <v>0.65</v>
      </c>
      <c r="AB173" s="39">
        <v>60888</v>
      </c>
      <c r="AC173" s="84" t="s">
        <v>2665</v>
      </c>
      <c r="AD173" s="53" t="str">
        <f t="shared" si="139"/>
        <v>Link</v>
      </c>
      <c r="AE173" s="54">
        <v>2225</v>
      </c>
      <c r="AF173" s="55"/>
      <c r="AG173" s="54">
        <v>53</v>
      </c>
      <c r="AH173" s="56">
        <v>150400</v>
      </c>
      <c r="AI173" s="56"/>
    </row>
    <row r="174" spans="1:35" ht="13" x14ac:dyDescent="0.15">
      <c r="A174" s="7"/>
      <c r="B174" s="64" t="s">
        <v>2602</v>
      </c>
      <c r="C174" s="36" t="s">
        <v>43</v>
      </c>
      <c r="D174" s="86">
        <v>5</v>
      </c>
      <c r="E174" s="7" t="s">
        <v>2689</v>
      </c>
      <c r="F174" s="7"/>
      <c r="G174" s="86"/>
      <c r="H174" s="2" t="s">
        <v>2653</v>
      </c>
      <c r="I174" s="2" t="s">
        <v>481</v>
      </c>
      <c r="J174" s="2" t="s">
        <v>2691</v>
      </c>
      <c r="K174" s="2" t="s">
        <v>139</v>
      </c>
      <c r="L174" s="2"/>
      <c r="M174" s="2"/>
      <c r="N174" s="45" t="str">
        <f t="shared" si="137"/>
        <v>@depauwsoftball</v>
      </c>
      <c r="O174" s="45" t="str">
        <f t="shared" si="138"/>
        <v>Questionnaire</v>
      </c>
      <c r="P174" s="48" t="s">
        <v>2665</v>
      </c>
      <c r="Q174" s="60" t="s">
        <v>1151</v>
      </c>
      <c r="R174" s="48" t="s">
        <v>2667</v>
      </c>
      <c r="S174" s="48" t="s">
        <v>172</v>
      </c>
      <c r="T174" s="49" t="s">
        <v>63</v>
      </c>
      <c r="U174" s="48" t="s">
        <v>75</v>
      </c>
      <c r="V174" s="49"/>
      <c r="W174" s="37">
        <v>3.81</v>
      </c>
      <c r="X174" s="49" t="s">
        <v>1723</v>
      </c>
      <c r="Y174" s="49" t="s">
        <v>2672</v>
      </c>
      <c r="Z174" s="49" t="s">
        <v>1408</v>
      </c>
      <c r="AA174" s="65">
        <v>0.65</v>
      </c>
      <c r="AB174" s="39">
        <v>60888</v>
      </c>
      <c r="AC174" s="84" t="s">
        <v>2665</v>
      </c>
      <c r="AD174" s="53" t="str">
        <f t="shared" si="139"/>
        <v>Link</v>
      </c>
      <c r="AE174" s="54">
        <v>2225</v>
      </c>
      <c r="AF174" s="55"/>
      <c r="AG174" s="54">
        <v>53</v>
      </c>
      <c r="AH174" s="56">
        <v>150400</v>
      </c>
      <c r="AI174" s="56"/>
    </row>
    <row r="175" spans="1:35" ht="15" x14ac:dyDescent="0.2">
      <c r="A175" s="7"/>
      <c r="B175" s="64" t="s">
        <v>2602</v>
      </c>
      <c r="C175" s="36" t="s">
        <v>43</v>
      </c>
      <c r="D175" s="86">
        <v>5</v>
      </c>
      <c r="E175" s="2" t="s">
        <v>2703</v>
      </c>
      <c r="F175" s="7"/>
      <c r="G175" s="86"/>
      <c r="H175" s="2" t="s">
        <v>2704</v>
      </c>
      <c r="I175" s="2" t="s">
        <v>2705</v>
      </c>
      <c r="J175" s="2" t="s">
        <v>812</v>
      </c>
      <c r="K175" s="2" t="s">
        <v>48</v>
      </c>
      <c r="L175" s="2" t="s">
        <v>2706</v>
      </c>
      <c r="M175" s="2" t="s">
        <v>2707</v>
      </c>
      <c r="N175" s="48"/>
      <c r="O175" s="45" t="str">
        <f>HYPERLINK("http://franklingrizzlies.com/sports/sball/SB_RECRUIT_FORM","Questionnaire")</f>
        <v>Questionnaire</v>
      </c>
      <c r="P175" s="108" t="s">
        <v>2712</v>
      </c>
      <c r="Q175" s="60" t="s">
        <v>1151</v>
      </c>
      <c r="R175" s="48" t="s">
        <v>2586</v>
      </c>
      <c r="S175" s="48" t="s">
        <v>172</v>
      </c>
      <c r="T175" s="49" t="s">
        <v>63</v>
      </c>
      <c r="U175" s="6" t="s">
        <v>2715</v>
      </c>
      <c r="V175" s="49"/>
      <c r="W175" s="37">
        <v>3.5</v>
      </c>
      <c r="X175" s="49" t="s">
        <v>1338</v>
      </c>
      <c r="Y175" s="49" t="s">
        <v>1628</v>
      </c>
      <c r="Z175" s="49" t="s">
        <v>746</v>
      </c>
      <c r="AA175" s="65">
        <v>0.78</v>
      </c>
      <c r="AB175" s="39">
        <v>43180</v>
      </c>
      <c r="AC175" s="52" t="s">
        <v>2712</v>
      </c>
      <c r="AD175" s="53" t="str">
        <f>HYPERLINK("https://www.franklin.edu/degrees/bachelors","Link")</f>
        <v>Link</v>
      </c>
      <c r="AE175" s="54">
        <v>1015</v>
      </c>
      <c r="AF175" s="55"/>
      <c r="AG175" s="54">
        <v>147</v>
      </c>
      <c r="AH175" s="56">
        <v>150604</v>
      </c>
      <c r="AI175" s="56"/>
    </row>
    <row r="176" spans="1:35" ht="13" x14ac:dyDescent="0.15">
      <c r="A176" s="7"/>
      <c r="B176" s="64" t="s">
        <v>2602</v>
      </c>
      <c r="C176" s="36" t="s">
        <v>43</v>
      </c>
      <c r="D176" s="86">
        <v>5</v>
      </c>
      <c r="E176" s="2" t="s">
        <v>2724</v>
      </c>
      <c r="F176" s="7" t="s">
        <v>116</v>
      </c>
      <c r="G176" s="57"/>
      <c r="H176" s="7" t="s">
        <v>2725</v>
      </c>
      <c r="I176" s="7" t="s">
        <v>1412</v>
      </c>
      <c r="J176" s="7" t="s">
        <v>2726</v>
      </c>
      <c r="K176" s="7" t="s">
        <v>48</v>
      </c>
      <c r="L176" s="7" t="s">
        <v>2727</v>
      </c>
      <c r="M176" s="7" t="s">
        <v>2728</v>
      </c>
      <c r="N176" s="48"/>
      <c r="O176" s="45" t="str">
        <f t="shared" ref="O176:O177" si="140">HYPERLINK("https://athletics.hanover.edu/information/recruit_form/index","Questionnaire")</f>
        <v>Questionnaire</v>
      </c>
      <c r="P176" s="48" t="s">
        <v>2733</v>
      </c>
      <c r="Q176" s="60" t="s">
        <v>1151</v>
      </c>
      <c r="R176" s="48" t="s">
        <v>2735</v>
      </c>
      <c r="S176" s="60" t="s">
        <v>205</v>
      </c>
      <c r="T176" s="49" t="s">
        <v>63</v>
      </c>
      <c r="U176" s="6" t="s">
        <v>248</v>
      </c>
      <c r="V176" s="49"/>
      <c r="W176" s="37">
        <v>3.67</v>
      </c>
      <c r="X176" s="49" t="s">
        <v>2341</v>
      </c>
      <c r="Y176" s="49" t="s">
        <v>522</v>
      </c>
      <c r="Z176" s="49" t="s">
        <v>320</v>
      </c>
      <c r="AA176" s="65">
        <v>0.56999999999999995</v>
      </c>
      <c r="AB176" s="39">
        <v>49064</v>
      </c>
      <c r="AC176" s="84" t="s">
        <v>2733</v>
      </c>
      <c r="AD176" s="53" t="str">
        <f t="shared" ref="AD176:AD177" si="141">HYPERLINK("https://www.hanover.edu/academics/programs","Link")</f>
        <v>Link</v>
      </c>
      <c r="AE176" s="54">
        <v>1090</v>
      </c>
      <c r="AF176" s="55"/>
      <c r="AG176" s="54">
        <v>112</v>
      </c>
      <c r="AH176" s="56">
        <v>150756</v>
      </c>
      <c r="AI176" s="56"/>
    </row>
    <row r="177" spans="1:35" ht="13" x14ac:dyDescent="0.15">
      <c r="A177" s="7"/>
      <c r="B177" s="64" t="s">
        <v>2602</v>
      </c>
      <c r="C177" s="36" t="s">
        <v>43</v>
      </c>
      <c r="D177" s="86">
        <v>5</v>
      </c>
      <c r="E177" s="7" t="s">
        <v>2746</v>
      </c>
      <c r="F177" s="7"/>
      <c r="G177" s="86"/>
      <c r="H177" s="2" t="s">
        <v>2725</v>
      </c>
      <c r="I177" s="2" t="s">
        <v>2747</v>
      </c>
      <c r="J177" s="2" t="s">
        <v>2748</v>
      </c>
      <c r="K177" s="2" t="s">
        <v>55</v>
      </c>
      <c r="L177" s="95" t="s">
        <v>2749</v>
      </c>
      <c r="M177" s="2" t="s">
        <v>2728</v>
      </c>
      <c r="N177" s="48"/>
      <c r="O177" s="45" t="str">
        <f t="shared" si="140"/>
        <v>Questionnaire</v>
      </c>
      <c r="P177" s="48" t="s">
        <v>2733</v>
      </c>
      <c r="Q177" s="60" t="s">
        <v>1151</v>
      </c>
      <c r="R177" s="48" t="s">
        <v>2735</v>
      </c>
      <c r="S177" s="60" t="s">
        <v>205</v>
      </c>
      <c r="T177" s="49" t="s">
        <v>63</v>
      </c>
      <c r="U177" s="6" t="s">
        <v>248</v>
      </c>
      <c r="V177" s="49"/>
      <c r="W177" s="37">
        <v>3.67</v>
      </c>
      <c r="X177" s="49" t="s">
        <v>2341</v>
      </c>
      <c r="Y177" s="49" t="s">
        <v>522</v>
      </c>
      <c r="Z177" s="49" t="s">
        <v>320</v>
      </c>
      <c r="AA177" s="65">
        <v>0.56999999999999995</v>
      </c>
      <c r="AB177" s="39">
        <v>49064</v>
      </c>
      <c r="AC177" s="84" t="s">
        <v>2733</v>
      </c>
      <c r="AD177" s="53" t="str">
        <f t="shared" si="141"/>
        <v>Link</v>
      </c>
      <c r="AE177" s="54">
        <v>1090</v>
      </c>
      <c r="AF177" s="55"/>
      <c r="AG177" s="54">
        <v>112</v>
      </c>
      <c r="AH177" s="56">
        <v>150756</v>
      </c>
      <c r="AI177" s="56"/>
    </row>
    <row r="178" spans="1:35" ht="13" x14ac:dyDescent="0.15">
      <c r="A178" s="7"/>
      <c r="B178" s="64" t="s">
        <v>2602</v>
      </c>
      <c r="C178" s="36" t="s">
        <v>43</v>
      </c>
      <c r="D178" s="86">
        <v>5</v>
      </c>
      <c r="E178" s="7" t="s">
        <v>2758</v>
      </c>
      <c r="F178" s="7"/>
      <c r="G178" s="86"/>
      <c r="H178" s="2" t="s">
        <v>2759</v>
      </c>
      <c r="I178" s="2" t="s">
        <v>501</v>
      </c>
      <c r="J178" s="2" t="s">
        <v>2760</v>
      </c>
      <c r="K178" s="2" t="s">
        <v>48</v>
      </c>
      <c r="L178" s="2" t="s">
        <v>2761</v>
      </c>
      <c r="M178" s="2" t="s">
        <v>2762</v>
      </c>
      <c r="N178" s="45" t="str">
        <f t="shared" ref="N178:N179" si="142">HYPERLINK("twitter.com/mu_spartansb","@mu_spartansb")</f>
        <v>@mu_spartansb</v>
      </c>
      <c r="O178" s="45" t="str">
        <f t="shared" ref="O178:O179" si="143">HYPERLINK("https://www.muspartans.com/information/Front_Rush_links","Questionnaire")</f>
        <v>Questionnaire</v>
      </c>
      <c r="P178" s="60" t="s">
        <v>2767</v>
      </c>
      <c r="Q178" s="60" t="s">
        <v>1151</v>
      </c>
      <c r="R178" s="48" t="s">
        <v>2768</v>
      </c>
      <c r="S178" s="60" t="s">
        <v>205</v>
      </c>
      <c r="T178" s="49" t="s">
        <v>63</v>
      </c>
      <c r="U178" s="6" t="s">
        <v>2769</v>
      </c>
      <c r="V178" s="49"/>
      <c r="W178" s="37">
        <v>3.29</v>
      </c>
      <c r="X178" s="49" t="s">
        <v>1453</v>
      </c>
      <c r="Y178" s="49" t="s">
        <v>2187</v>
      </c>
      <c r="Z178" s="49" t="s">
        <v>125</v>
      </c>
      <c r="AA178" s="65">
        <v>0.71</v>
      </c>
      <c r="AB178" s="39">
        <v>43152</v>
      </c>
      <c r="AC178" s="90" t="s">
        <v>2767</v>
      </c>
      <c r="AD178" s="53" t="str">
        <f t="shared" ref="AD178:AD179" si="144">HYPERLINK("https://www.manchester.edu/admissions/degrees-and-academics/areas-of-study","Link")</f>
        <v>Link</v>
      </c>
      <c r="AE178" s="54">
        <v>1272</v>
      </c>
      <c r="AF178" s="55"/>
      <c r="AG178" s="55"/>
      <c r="AH178" s="56">
        <v>151777</v>
      </c>
      <c r="AI178" s="56"/>
    </row>
    <row r="179" spans="1:35" ht="13" x14ac:dyDescent="0.15">
      <c r="A179" s="7"/>
      <c r="B179" s="64" t="s">
        <v>2602</v>
      </c>
      <c r="C179" s="36" t="s">
        <v>43</v>
      </c>
      <c r="D179" s="86">
        <v>5</v>
      </c>
      <c r="E179" s="2" t="s">
        <v>2775</v>
      </c>
      <c r="F179" s="7"/>
      <c r="G179" s="86"/>
      <c r="H179" s="2" t="s">
        <v>2759</v>
      </c>
      <c r="I179" s="2" t="s">
        <v>2037</v>
      </c>
      <c r="J179" s="2" t="s">
        <v>2776</v>
      </c>
      <c r="K179" s="2" t="s">
        <v>55</v>
      </c>
      <c r="L179" s="2" t="s">
        <v>2777</v>
      </c>
      <c r="M179" s="2" t="s">
        <v>2778</v>
      </c>
      <c r="N179" s="45" t="str">
        <f t="shared" si="142"/>
        <v>@mu_spartansb</v>
      </c>
      <c r="O179" s="45" t="str">
        <f t="shared" si="143"/>
        <v>Questionnaire</v>
      </c>
      <c r="P179" s="60" t="s">
        <v>2767</v>
      </c>
      <c r="Q179" s="60" t="s">
        <v>1151</v>
      </c>
      <c r="R179" s="48" t="s">
        <v>2768</v>
      </c>
      <c r="S179" s="60" t="s">
        <v>205</v>
      </c>
      <c r="T179" s="49" t="s">
        <v>63</v>
      </c>
      <c r="U179" s="6" t="s">
        <v>2769</v>
      </c>
      <c r="V179" s="49"/>
      <c r="W179" s="37">
        <v>3.29</v>
      </c>
      <c r="X179" s="49" t="s">
        <v>1453</v>
      </c>
      <c r="Y179" s="49" t="s">
        <v>2187</v>
      </c>
      <c r="Z179" s="49" t="s">
        <v>125</v>
      </c>
      <c r="AA179" s="65">
        <v>0.71</v>
      </c>
      <c r="AB179" s="39">
        <v>43152</v>
      </c>
      <c r="AC179" s="90" t="s">
        <v>2767</v>
      </c>
      <c r="AD179" s="53" t="str">
        <f t="shared" si="144"/>
        <v>Link</v>
      </c>
      <c r="AE179" s="54">
        <v>1272</v>
      </c>
      <c r="AF179" s="55"/>
      <c r="AG179" s="55"/>
      <c r="AH179" s="56">
        <v>151777</v>
      </c>
      <c r="AI179" s="56"/>
    </row>
    <row r="180" spans="1:35" ht="13" x14ac:dyDescent="0.15">
      <c r="A180" s="7"/>
      <c r="B180" s="64" t="s">
        <v>2602</v>
      </c>
      <c r="C180" s="36" t="s">
        <v>43</v>
      </c>
      <c r="D180" s="86">
        <v>5</v>
      </c>
      <c r="E180" s="2" t="s">
        <v>2788</v>
      </c>
      <c r="F180" s="7"/>
      <c r="G180" s="86"/>
      <c r="H180" s="2" t="s">
        <v>2789</v>
      </c>
      <c r="I180" s="2" t="s">
        <v>2790</v>
      </c>
      <c r="J180" s="2" t="s">
        <v>2791</v>
      </c>
      <c r="K180" s="2" t="s">
        <v>48</v>
      </c>
      <c r="L180" s="2" t="s">
        <v>2792</v>
      </c>
      <c r="M180" s="2" t="s">
        <v>2793</v>
      </c>
      <c r="N180" s="45" t="str">
        <f t="shared" ref="N180:N181" si="145">HYPERLINK("twitter.com/RoseHulmanSB","@RoseHulmanSB")</f>
        <v>@RoseHulmanSB</v>
      </c>
      <c r="O180" s="45" t="str">
        <f t="shared" ref="O180:O181" si="146">HYPERLINK("https://rosehulman.prestosports.com/sports/Recruiting","Questionnaire")</f>
        <v>Questionnaire</v>
      </c>
      <c r="P180" s="60" t="s">
        <v>2801</v>
      </c>
      <c r="Q180" s="60" t="s">
        <v>1151</v>
      </c>
      <c r="R180" s="48" t="s">
        <v>2802</v>
      </c>
      <c r="S180" s="48" t="s">
        <v>186</v>
      </c>
      <c r="T180" s="49" t="s">
        <v>63</v>
      </c>
      <c r="U180" s="48" t="s">
        <v>75</v>
      </c>
      <c r="V180" s="49"/>
      <c r="W180" s="37">
        <v>3.77</v>
      </c>
      <c r="X180" s="49" t="s">
        <v>2804</v>
      </c>
      <c r="Y180" s="49" t="s">
        <v>2805</v>
      </c>
      <c r="Z180" s="49" t="s">
        <v>1246</v>
      </c>
      <c r="AA180" s="65">
        <v>0.61</v>
      </c>
      <c r="AB180" s="39">
        <v>62503</v>
      </c>
      <c r="AC180" s="90" t="s">
        <v>2801</v>
      </c>
      <c r="AD180" s="53" t="str">
        <f t="shared" ref="AD180:AD181" si="147">HYPERLINK("https://www.rose-hulman.edu/academics/degrees-and-programs/index.html","Link")</f>
        <v>Link</v>
      </c>
      <c r="AE180" s="54">
        <v>2202</v>
      </c>
      <c r="AF180" s="55"/>
      <c r="AG180" s="55"/>
      <c r="AH180" s="56">
        <v>152318</v>
      </c>
      <c r="AI180" s="56"/>
    </row>
    <row r="181" spans="1:35" ht="13" x14ac:dyDescent="0.15">
      <c r="A181" s="7"/>
      <c r="B181" s="64" t="s">
        <v>2602</v>
      </c>
      <c r="C181" s="36" t="s">
        <v>43</v>
      </c>
      <c r="D181" s="86">
        <v>5</v>
      </c>
      <c r="E181" s="7" t="s">
        <v>2815</v>
      </c>
      <c r="F181" s="7"/>
      <c r="G181" s="86"/>
      <c r="H181" s="2" t="s">
        <v>2789</v>
      </c>
      <c r="I181" s="2" t="s">
        <v>852</v>
      </c>
      <c r="J181" s="2" t="s">
        <v>2820</v>
      </c>
      <c r="K181" s="2" t="s">
        <v>55</v>
      </c>
      <c r="L181" s="95" t="s">
        <v>2821</v>
      </c>
      <c r="M181" s="2" t="s">
        <v>2823</v>
      </c>
      <c r="N181" s="45" t="str">
        <f t="shared" si="145"/>
        <v>@RoseHulmanSB</v>
      </c>
      <c r="O181" s="45" t="str">
        <f t="shared" si="146"/>
        <v>Questionnaire</v>
      </c>
      <c r="P181" s="60" t="s">
        <v>2801</v>
      </c>
      <c r="Q181" s="60" t="s">
        <v>1151</v>
      </c>
      <c r="R181" s="48" t="s">
        <v>2802</v>
      </c>
      <c r="S181" s="48" t="s">
        <v>186</v>
      </c>
      <c r="T181" s="49" t="s">
        <v>63</v>
      </c>
      <c r="U181" s="48" t="s">
        <v>75</v>
      </c>
      <c r="V181" s="49"/>
      <c r="W181" s="37">
        <v>3.77</v>
      </c>
      <c r="X181" s="49" t="s">
        <v>2804</v>
      </c>
      <c r="Y181" s="49" t="s">
        <v>2805</v>
      </c>
      <c r="Z181" s="49" t="s">
        <v>1246</v>
      </c>
      <c r="AA181" s="65">
        <v>0.61</v>
      </c>
      <c r="AB181" s="39">
        <v>62503</v>
      </c>
      <c r="AC181" s="90" t="s">
        <v>2801</v>
      </c>
      <c r="AD181" s="53" t="str">
        <f t="shared" si="147"/>
        <v>Link</v>
      </c>
      <c r="AE181" s="54">
        <v>2202</v>
      </c>
      <c r="AF181" s="55"/>
      <c r="AG181" s="55"/>
      <c r="AH181" s="56">
        <v>152318</v>
      </c>
      <c r="AI181" s="56"/>
    </row>
    <row r="182" spans="1:35" ht="13" x14ac:dyDescent="0.15">
      <c r="A182" s="7"/>
      <c r="B182" s="64" t="s">
        <v>2602</v>
      </c>
      <c r="C182" s="36" t="s">
        <v>43</v>
      </c>
      <c r="D182" s="86">
        <v>5</v>
      </c>
      <c r="E182" s="7" t="s">
        <v>2831</v>
      </c>
      <c r="F182" s="7"/>
      <c r="G182" s="86"/>
      <c r="H182" s="2" t="s">
        <v>2832</v>
      </c>
      <c r="I182" s="2" t="s">
        <v>2080</v>
      </c>
      <c r="J182" s="2" t="s">
        <v>2833</v>
      </c>
      <c r="K182" s="2" t="s">
        <v>48</v>
      </c>
      <c r="L182" s="2" t="s">
        <v>2834</v>
      </c>
      <c r="M182" s="2" t="s">
        <v>2835</v>
      </c>
      <c r="N182" s="48"/>
      <c r="O182" s="45" t="str">
        <f t="shared" ref="O182:O185" si="148">HYPERLINK("https://www.saintmarys.edu/softball/recruit-questionnaire","Questionnaire")</f>
        <v>Questionnaire</v>
      </c>
      <c r="P182" s="60" t="s">
        <v>2839</v>
      </c>
      <c r="Q182" s="60" t="s">
        <v>1151</v>
      </c>
      <c r="R182" s="48" t="s">
        <v>2842</v>
      </c>
      <c r="S182" s="60" t="s">
        <v>205</v>
      </c>
      <c r="T182" s="49" t="s">
        <v>63</v>
      </c>
      <c r="U182" s="48" t="s">
        <v>343</v>
      </c>
      <c r="V182" s="49" t="s">
        <v>1006</v>
      </c>
      <c r="W182" s="37">
        <v>3.7</v>
      </c>
      <c r="X182" s="49" t="s">
        <v>345</v>
      </c>
      <c r="Y182" s="49" t="s">
        <v>895</v>
      </c>
      <c r="Z182" s="49" t="s">
        <v>689</v>
      </c>
      <c r="AA182" s="65">
        <v>0.82</v>
      </c>
      <c r="AB182" s="39">
        <v>52900</v>
      </c>
      <c r="AC182" s="90" t="s">
        <v>2839</v>
      </c>
      <c r="AD182" s="53" t="str">
        <f t="shared" ref="AD182:AD185" si="149">HYPERLINK("https://www.saintmarys.edu/academics/undergraduate/majors","Link")</f>
        <v>Link</v>
      </c>
      <c r="AE182" s="54">
        <v>1625</v>
      </c>
      <c r="AF182" s="55"/>
      <c r="AG182" s="54">
        <v>101</v>
      </c>
      <c r="AH182" s="56">
        <v>152390</v>
      </c>
      <c r="AI182" s="56"/>
    </row>
    <row r="183" spans="1:35" ht="13" x14ac:dyDescent="0.15">
      <c r="A183" s="7"/>
      <c r="B183" s="64" t="s">
        <v>2602</v>
      </c>
      <c r="C183" s="36" t="s">
        <v>43</v>
      </c>
      <c r="D183" s="86">
        <v>5</v>
      </c>
      <c r="E183" s="2" t="s">
        <v>2848</v>
      </c>
      <c r="F183" s="7"/>
      <c r="G183" s="86"/>
      <c r="H183" s="2" t="s">
        <v>2832</v>
      </c>
      <c r="I183" s="2" t="s">
        <v>2080</v>
      </c>
      <c r="J183" s="2" t="s">
        <v>2833</v>
      </c>
      <c r="K183" s="2" t="s">
        <v>1048</v>
      </c>
      <c r="L183" s="2" t="s">
        <v>2850</v>
      </c>
      <c r="M183" s="2" t="s">
        <v>2835</v>
      </c>
      <c r="N183" s="48"/>
      <c r="O183" s="45" t="str">
        <f t="shared" si="148"/>
        <v>Questionnaire</v>
      </c>
      <c r="P183" s="60" t="s">
        <v>2839</v>
      </c>
      <c r="Q183" s="60" t="s">
        <v>1151</v>
      </c>
      <c r="R183" s="48" t="s">
        <v>2842</v>
      </c>
      <c r="S183" s="60" t="s">
        <v>205</v>
      </c>
      <c r="T183" s="49" t="s">
        <v>63</v>
      </c>
      <c r="U183" s="48" t="s">
        <v>343</v>
      </c>
      <c r="V183" s="49" t="s">
        <v>1006</v>
      </c>
      <c r="W183" s="37">
        <v>3.7</v>
      </c>
      <c r="X183" s="49" t="s">
        <v>345</v>
      </c>
      <c r="Y183" s="49" t="s">
        <v>895</v>
      </c>
      <c r="Z183" s="49" t="s">
        <v>689</v>
      </c>
      <c r="AA183" s="65">
        <v>0.82</v>
      </c>
      <c r="AB183" s="39">
        <v>52900</v>
      </c>
      <c r="AC183" s="90" t="s">
        <v>2839</v>
      </c>
      <c r="AD183" s="53" t="str">
        <f t="shared" si="149"/>
        <v>Link</v>
      </c>
      <c r="AE183" s="54">
        <v>1625</v>
      </c>
      <c r="AF183" s="55"/>
      <c r="AG183" s="54">
        <v>101</v>
      </c>
      <c r="AH183" s="56">
        <v>152390</v>
      </c>
      <c r="AI183" s="56"/>
    </row>
    <row r="184" spans="1:35" ht="13" x14ac:dyDescent="0.15">
      <c r="A184" s="7"/>
      <c r="B184" s="64" t="s">
        <v>2602</v>
      </c>
      <c r="C184" s="36" t="s">
        <v>43</v>
      </c>
      <c r="D184" s="86">
        <v>5</v>
      </c>
      <c r="E184" s="7" t="s">
        <v>2862</v>
      </c>
      <c r="F184" s="7"/>
      <c r="G184" s="86"/>
      <c r="H184" s="2" t="s">
        <v>2832</v>
      </c>
      <c r="I184" s="2" t="s">
        <v>2867</v>
      </c>
      <c r="J184" s="2" t="s">
        <v>378</v>
      </c>
      <c r="K184" s="2" t="s">
        <v>55</v>
      </c>
      <c r="L184" s="2"/>
      <c r="M184" s="2"/>
      <c r="N184" s="48"/>
      <c r="O184" s="45" t="str">
        <f t="shared" si="148"/>
        <v>Questionnaire</v>
      </c>
      <c r="P184" s="60" t="s">
        <v>2839</v>
      </c>
      <c r="Q184" s="60" t="s">
        <v>1151</v>
      </c>
      <c r="R184" s="48" t="s">
        <v>2842</v>
      </c>
      <c r="S184" s="60" t="s">
        <v>205</v>
      </c>
      <c r="T184" s="49" t="s">
        <v>63</v>
      </c>
      <c r="U184" s="48" t="s">
        <v>343</v>
      </c>
      <c r="V184" s="49" t="s">
        <v>1006</v>
      </c>
      <c r="W184" s="37">
        <v>3.7</v>
      </c>
      <c r="X184" s="49" t="s">
        <v>345</v>
      </c>
      <c r="Y184" s="49" t="s">
        <v>895</v>
      </c>
      <c r="Z184" s="49" t="s">
        <v>689</v>
      </c>
      <c r="AA184" s="65">
        <v>0.82</v>
      </c>
      <c r="AB184" s="39">
        <v>52900</v>
      </c>
      <c r="AC184" s="90" t="s">
        <v>2839</v>
      </c>
      <c r="AD184" s="53" t="str">
        <f t="shared" si="149"/>
        <v>Link</v>
      </c>
      <c r="AE184" s="54">
        <v>1625</v>
      </c>
      <c r="AF184" s="55"/>
      <c r="AG184" s="54">
        <v>101</v>
      </c>
      <c r="AH184" s="56">
        <v>152390</v>
      </c>
      <c r="AI184" s="56"/>
    </row>
    <row r="185" spans="1:35" ht="13" x14ac:dyDescent="0.15">
      <c r="A185" s="7"/>
      <c r="B185" s="64" t="s">
        <v>2602</v>
      </c>
      <c r="C185" s="36" t="s">
        <v>43</v>
      </c>
      <c r="D185" s="86">
        <v>5</v>
      </c>
      <c r="E185" s="2" t="s">
        <v>2877</v>
      </c>
      <c r="F185" s="7"/>
      <c r="G185" s="86"/>
      <c r="H185" s="2" t="s">
        <v>2832</v>
      </c>
      <c r="I185" s="2" t="s">
        <v>1217</v>
      </c>
      <c r="J185" s="2" t="s">
        <v>378</v>
      </c>
      <c r="K185" s="2" t="s">
        <v>55</v>
      </c>
      <c r="L185" s="2"/>
      <c r="M185" s="2"/>
      <c r="N185" s="48"/>
      <c r="O185" s="45" t="str">
        <f t="shared" si="148"/>
        <v>Questionnaire</v>
      </c>
      <c r="P185" s="60" t="s">
        <v>2839</v>
      </c>
      <c r="Q185" s="60" t="s">
        <v>1151</v>
      </c>
      <c r="R185" s="48" t="s">
        <v>2842</v>
      </c>
      <c r="S185" s="60" t="s">
        <v>205</v>
      </c>
      <c r="T185" s="49" t="s">
        <v>63</v>
      </c>
      <c r="U185" s="48" t="s">
        <v>343</v>
      </c>
      <c r="V185" s="49" t="s">
        <v>1006</v>
      </c>
      <c r="W185" s="37">
        <v>3.7</v>
      </c>
      <c r="X185" s="49" t="s">
        <v>345</v>
      </c>
      <c r="Y185" s="49" t="s">
        <v>895</v>
      </c>
      <c r="Z185" s="49" t="s">
        <v>689</v>
      </c>
      <c r="AA185" s="65">
        <v>0.82</v>
      </c>
      <c r="AB185" s="39">
        <v>52900</v>
      </c>
      <c r="AC185" s="90" t="s">
        <v>2839</v>
      </c>
      <c r="AD185" s="53" t="str">
        <f t="shared" si="149"/>
        <v>Link</v>
      </c>
      <c r="AE185" s="54">
        <v>1625</v>
      </c>
      <c r="AF185" s="55"/>
      <c r="AG185" s="54">
        <v>101</v>
      </c>
      <c r="AH185" s="56">
        <v>152390</v>
      </c>
      <c r="AI185" s="56"/>
    </row>
    <row r="186" spans="1:35" ht="13" x14ac:dyDescent="0.15">
      <c r="A186" s="7"/>
      <c r="B186" s="64" t="s">
        <v>2602</v>
      </c>
      <c r="C186" s="36" t="s">
        <v>43</v>
      </c>
      <c r="D186" s="86">
        <v>5</v>
      </c>
      <c r="E186" s="7" t="s">
        <v>2887</v>
      </c>
      <c r="F186" s="7"/>
      <c r="G186" s="86"/>
      <c r="H186" s="2" t="s">
        <v>2890</v>
      </c>
      <c r="I186" s="2" t="s">
        <v>2891</v>
      </c>
      <c r="J186" s="2" t="s">
        <v>2892</v>
      </c>
      <c r="K186" s="2" t="s">
        <v>48</v>
      </c>
      <c r="L186" s="2" t="s">
        <v>2893</v>
      </c>
      <c r="M186" s="2" t="s">
        <v>2894</v>
      </c>
      <c r="N186" s="45" t="str">
        <f>HYPERLINK("twitter.com/coachdtusb","@coachdtusb")</f>
        <v>@coachdtusb</v>
      </c>
      <c r="O186" s="45" t="str">
        <f t="shared" ref="O186:O188" si="150">HYPERLINK("https://www.trinethunder.com/recruits/recruitinghome","Questionnaire")</f>
        <v>Questionnaire</v>
      </c>
      <c r="P186" s="60" t="s">
        <v>2898</v>
      </c>
      <c r="Q186" s="60" t="s">
        <v>1151</v>
      </c>
      <c r="R186" s="48" t="s">
        <v>2899</v>
      </c>
      <c r="S186" s="60" t="s">
        <v>205</v>
      </c>
      <c r="T186" s="49" t="s">
        <v>63</v>
      </c>
      <c r="U186" s="48" t="s">
        <v>75</v>
      </c>
      <c r="V186" s="49"/>
      <c r="W186" s="37">
        <v>3.45</v>
      </c>
      <c r="X186" s="49" t="s">
        <v>1622</v>
      </c>
      <c r="Y186" s="49" t="s">
        <v>2510</v>
      </c>
      <c r="Z186" s="49" t="s">
        <v>2190</v>
      </c>
      <c r="AA186" s="65">
        <v>0.77</v>
      </c>
      <c r="AB186" s="39">
        <v>48210</v>
      </c>
      <c r="AC186" s="90" t="s">
        <v>2898</v>
      </c>
      <c r="AD186" s="53" t="str">
        <f t="shared" ref="AD186:AD188" si="151">HYPERLINK("https://www.trine.edu/academics/majors-degrees/","Link")</f>
        <v>Link</v>
      </c>
      <c r="AE186" s="54">
        <v>3354</v>
      </c>
      <c r="AF186" s="55"/>
      <c r="AG186" s="55"/>
      <c r="AH186" s="56">
        <v>152567</v>
      </c>
      <c r="AI186" s="56"/>
    </row>
    <row r="187" spans="1:35" ht="13" x14ac:dyDescent="0.15">
      <c r="A187" s="7"/>
      <c r="B187" s="64" t="s">
        <v>2602</v>
      </c>
      <c r="C187" s="36" t="s">
        <v>43</v>
      </c>
      <c r="D187" s="86">
        <v>5</v>
      </c>
      <c r="E187" s="2" t="s">
        <v>2905</v>
      </c>
      <c r="F187" s="7"/>
      <c r="G187" s="86"/>
      <c r="H187" s="2" t="s">
        <v>2890</v>
      </c>
      <c r="I187" s="2" t="s">
        <v>2028</v>
      </c>
      <c r="J187" s="2" t="s">
        <v>2906</v>
      </c>
      <c r="K187" s="2" t="s">
        <v>55</v>
      </c>
      <c r="L187" s="2" t="s">
        <v>2907</v>
      </c>
      <c r="M187" s="2"/>
      <c r="N187" s="48"/>
      <c r="O187" s="45" t="str">
        <f t="shared" si="150"/>
        <v>Questionnaire</v>
      </c>
      <c r="P187" s="60" t="s">
        <v>2898</v>
      </c>
      <c r="Q187" s="60" t="s">
        <v>1151</v>
      </c>
      <c r="R187" s="48" t="s">
        <v>2899</v>
      </c>
      <c r="S187" s="60" t="s">
        <v>205</v>
      </c>
      <c r="T187" s="49" t="s">
        <v>63</v>
      </c>
      <c r="U187" s="48" t="s">
        <v>75</v>
      </c>
      <c r="V187" s="49"/>
      <c r="W187" s="37">
        <v>3.45</v>
      </c>
      <c r="X187" s="49" t="s">
        <v>1622</v>
      </c>
      <c r="Y187" s="49" t="s">
        <v>2510</v>
      </c>
      <c r="Z187" s="49" t="s">
        <v>2190</v>
      </c>
      <c r="AA187" s="65">
        <v>0.77</v>
      </c>
      <c r="AB187" s="39">
        <v>48210</v>
      </c>
      <c r="AC187" s="90" t="s">
        <v>2898</v>
      </c>
      <c r="AD187" s="53" t="str">
        <f t="shared" si="151"/>
        <v>Link</v>
      </c>
      <c r="AE187" s="54">
        <v>3354</v>
      </c>
      <c r="AF187" s="55"/>
      <c r="AG187" s="55"/>
      <c r="AH187" s="56">
        <v>152567</v>
      </c>
      <c r="AI187" s="56"/>
    </row>
    <row r="188" spans="1:35" ht="13" x14ac:dyDescent="0.15">
      <c r="A188" s="7"/>
      <c r="B188" s="64" t="s">
        <v>2602</v>
      </c>
      <c r="C188" s="36" t="s">
        <v>43</v>
      </c>
      <c r="D188" s="86">
        <v>5</v>
      </c>
      <c r="E188" s="7" t="s">
        <v>2918</v>
      </c>
      <c r="F188" s="7"/>
      <c r="G188" s="86"/>
      <c r="H188" s="2" t="s">
        <v>2890</v>
      </c>
      <c r="I188" s="2" t="s">
        <v>562</v>
      </c>
      <c r="J188" s="2" t="s">
        <v>2919</v>
      </c>
      <c r="K188" s="2" t="s">
        <v>55</v>
      </c>
      <c r="L188" s="2" t="s">
        <v>2920</v>
      </c>
      <c r="M188" s="2"/>
      <c r="N188" s="48"/>
      <c r="O188" s="45" t="str">
        <f t="shared" si="150"/>
        <v>Questionnaire</v>
      </c>
      <c r="P188" s="60" t="s">
        <v>2898</v>
      </c>
      <c r="Q188" s="60" t="s">
        <v>1151</v>
      </c>
      <c r="R188" s="48" t="s">
        <v>2899</v>
      </c>
      <c r="S188" s="60" t="s">
        <v>205</v>
      </c>
      <c r="T188" s="49" t="s">
        <v>63</v>
      </c>
      <c r="U188" s="48" t="s">
        <v>75</v>
      </c>
      <c r="V188" s="49"/>
      <c r="W188" s="37">
        <v>3.45</v>
      </c>
      <c r="X188" s="49" t="s">
        <v>1622</v>
      </c>
      <c r="Y188" s="49" t="s">
        <v>2510</v>
      </c>
      <c r="Z188" s="49" t="s">
        <v>2190</v>
      </c>
      <c r="AA188" s="65">
        <v>0.77</v>
      </c>
      <c r="AB188" s="39">
        <v>48210</v>
      </c>
      <c r="AC188" s="90" t="s">
        <v>2898</v>
      </c>
      <c r="AD188" s="53" t="str">
        <f t="shared" si="151"/>
        <v>Link</v>
      </c>
      <c r="AE188" s="54">
        <v>3354</v>
      </c>
      <c r="AF188" s="55"/>
      <c r="AG188" s="55"/>
      <c r="AH188" s="56">
        <v>152567</v>
      </c>
      <c r="AI188" s="56"/>
    </row>
    <row r="189" spans="1:35" ht="13" x14ac:dyDescent="0.15">
      <c r="A189" s="7"/>
      <c r="B189" s="64" t="s">
        <v>2926</v>
      </c>
      <c r="C189" s="36" t="s">
        <v>43</v>
      </c>
      <c r="D189" s="86">
        <v>5</v>
      </c>
      <c r="E189" s="7" t="s">
        <v>2928</v>
      </c>
      <c r="F189" s="7"/>
      <c r="G189" s="86"/>
      <c r="H189" s="2" t="s">
        <v>2929</v>
      </c>
      <c r="I189" s="2" t="s">
        <v>741</v>
      </c>
      <c r="J189" s="2" t="s">
        <v>2930</v>
      </c>
      <c r="K189" s="2" t="s">
        <v>48</v>
      </c>
      <c r="L189" s="2" t="s">
        <v>2931</v>
      </c>
      <c r="M189" s="2" t="s">
        <v>2932</v>
      </c>
      <c r="N189" s="45" t="str">
        <f t="shared" ref="N189:N193" si="152">HYPERLINK("twitter.com/bvusoftball","@bvusoftball")</f>
        <v>@bvusoftball</v>
      </c>
      <c r="O189" s="45" t="str">
        <f t="shared" ref="O189:O193" si="153">HYPERLINK("https://bvuathletics.com/sports/2019/4/12/recruits-recruiting-forms.aspx","Questionnaire")</f>
        <v>Questionnaire</v>
      </c>
      <c r="P189" s="60" t="s">
        <v>2940</v>
      </c>
      <c r="Q189" s="60" t="s">
        <v>2663</v>
      </c>
      <c r="R189" s="48" t="s">
        <v>2941</v>
      </c>
      <c r="S189" s="48" t="s">
        <v>172</v>
      </c>
      <c r="T189" s="49" t="s">
        <v>63</v>
      </c>
      <c r="U189" s="6" t="s">
        <v>248</v>
      </c>
      <c r="V189" s="49"/>
      <c r="W189" s="37">
        <v>3.41</v>
      </c>
      <c r="X189" s="49" t="s">
        <v>1947</v>
      </c>
      <c r="Y189" s="49" t="s">
        <v>778</v>
      </c>
      <c r="Z189" s="49" t="s">
        <v>1689</v>
      </c>
      <c r="AA189" s="38">
        <v>0.63690000000000002</v>
      </c>
      <c r="AB189" s="39">
        <v>44788</v>
      </c>
      <c r="AC189" s="90" t="s">
        <v>2940</v>
      </c>
      <c r="AD189" s="53" t="str">
        <f t="shared" ref="AD189:AD193" si="154">HYPERLINK("https://www.bvu.edu/admissions/landing/prepared/programs-majors.dot","Link")</f>
        <v>Link</v>
      </c>
      <c r="AE189" s="54">
        <v>1921</v>
      </c>
      <c r="AF189" s="55"/>
      <c r="AG189" s="55"/>
      <c r="AH189" s="56">
        <v>153001</v>
      </c>
      <c r="AI189" s="56"/>
    </row>
    <row r="190" spans="1:35" ht="13" x14ac:dyDescent="0.15">
      <c r="A190" s="7"/>
      <c r="B190" s="64" t="s">
        <v>2926</v>
      </c>
      <c r="C190" s="36" t="s">
        <v>43</v>
      </c>
      <c r="D190" s="86">
        <v>5</v>
      </c>
      <c r="E190" s="2" t="s">
        <v>2949</v>
      </c>
      <c r="F190" s="7"/>
      <c r="G190" s="86"/>
      <c r="H190" s="2" t="s">
        <v>2929</v>
      </c>
      <c r="I190" s="2" t="s">
        <v>878</v>
      </c>
      <c r="J190" s="2" t="s">
        <v>2950</v>
      </c>
      <c r="K190" s="2" t="s">
        <v>55</v>
      </c>
      <c r="L190" s="2" t="s">
        <v>2951</v>
      </c>
      <c r="M190" s="2" t="s">
        <v>2952</v>
      </c>
      <c r="N190" s="45" t="str">
        <f t="shared" si="152"/>
        <v>@bvusoftball</v>
      </c>
      <c r="O190" s="45" t="str">
        <f t="shared" si="153"/>
        <v>Questionnaire</v>
      </c>
      <c r="P190" s="60" t="s">
        <v>2940</v>
      </c>
      <c r="Q190" s="60" t="s">
        <v>2663</v>
      </c>
      <c r="R190" s="48" t="s">
        <v>2941</v>
      </c>
      <c r="S190" s="48" t="s">
        <v>172</v>
      </c>
      <c r="T190" s="49" t="s">
        <v>63</v>
      </c>
      <c r="U190" s="6" t="s">
        <v>248</v>
      </c>
      <c r="V190" s="49"/>
      <c r="W190" s="37">
        <v>3.41</v>
      </c>
      <c r="X190" s="49" t="s">
        <v>1947</v>
      </c>
      <c r="Y190" s="49" t="s">
        <v>778</v>
      </c>
      <c r="Z190" s="49" t="s">
        <v>1689</v>
      </c>
      <c r="AA190" s="38">
        <v>0.63690000000000002</v>
      </c>
      <c r="AB190" s="39">
        <v>44788</v>
      </c>
      <c r="AC190" s="90" t="s">
        <v>2940</v>
      </c>
      <c r="AD190" s="53" t="str">
        <f t="shared" si="154"/>
        <v>Link</v>
      </c>
      <c r="AE190" s="54">
        <v>1921</v>
      </c>
      <c r="AF190" s="55"/>
      <c r="AG190" s="55"/>
      <c r="AH190" s="56">
        <v>153001</v>
      </c>
      <c r="AI190" s="56"/>
    </row>
    <row r="191" spans="1:35" ht="13" x14ac:dyDescent="0.15">
      <c r="A191" s="7"/>
      <c r="B191" s="64" t="s">
        <v>2926</v>
      </c>
      <c r="C191" s="36" t="s">
        <v>43</v>
      </c>
      <c r="D191" s="86">
        <v>5</v>
      </c>
      <c r="E191" s="7" t="s">
        <v>2960</v>
      </c>
      <c r="F191" s="7"/>
      <c r="G191" s="86"/>
      <c r="H191" s="2" t="s">
        <v>2929</v>
      </c>
      <c r="I191" s="2" t="s">
        <v>2961</v>
      </c>
      <c r="J191" s="2" t="s">
        <v>2962</v>
      </c>
      <c r="K191" s="2" t="s">
        <v>55</v>
      </c>
      <c r="L191" s="2"/>
      <c r="M191" s="2"/>
      <c r="N191" s="45" t="str">
        <f t="shared" si="152"/>
        <v>@bvusoftball</v>
      </c>
      <c r="O191" s="45" t="str">
        <f t="shared" si="153"/>
        <v>Questionnaire</v>
      </c>
      <c r="P191" s="60" t="s">
        <v>2940</v>
      </c>
      <c r="Q191" s="60" t="s">
        <v>2663</v>
      </c>
      <c r="R191" s="48" t="s">
        <v>2941</v>
      </c>
      <c r="S191" s="48" t="s">
        <v>172</v>
      </c>
      <c r="T191" s="49" t="s">
        <v>63</v>
      </c>
      <c r="U191" s="6" t="s">
        <v>248</v>
      </c>
      <c r="V191" s="49"/>
      <c r="W191" s="37">
        <v>3.41</v>
      </c>
      <c r="X191" s="49" t="s">
        <v>1947</v>
      </c>
      <c r="Y191" s="49" t="s">
        <v>778</v>
      </c>
      <c r="Z191" s="49" t="s">
        <v>1689</v>
      </c>
      <c r="AA191" s="38">
        <v>0.63690000000000002</v>
      </c>
      <c r="AB191" s="39">
        <v>44788</v>
      </c>
      <c r="AC191" s="90" t="s">
        <v>2940</v>
      </c>
      <c r="AD191" s="53" t="str">
        <f t="shared" si="154"/>
        <v>Link</v>
      </c>
      <c r="AE191" s="54">
        <v>1921</v>
      </c>
      <c r="AF191" s="55"/>
      <c r="AG191" s="55"/>
      <c r="AH191" s="56">
        <v>153001</v>
      </c>
      <c r="AI191" s="56"/>
    </row>
    <row r="192" spans="1:35" ht="13" x14ac:dyDescent="0.15">
      <c r="A192" s="7"/>
      <c r="B192" s="64" t="s">
        <v>2926</v>
      </c>
      <c r="C192" s="36" t="s">
        <v>43</v>
      </c>
      <c r="D192" s="86">
        <v>5</v>
      </c>
      <c r="E192" s="2" t="s">
        <v>2974</v>
      </c>
      <c r="F192" s="7"/>
      <c r="G192" s="86"/>
      <c r="H192" s="2" t="s">
        <v>2929</v>
      </c>
      <c r="I192" s="2" t="s">
        <v>2975</v>
      </c>
      <c r="J192" s="2" t="s">
        <v>2976</v>
      </c>
      <c r="K192" s="2" t="s">
        <v>139</v>
      </c>
      <c r="L192" s="2"/>
      <c r="M192" s="2"/>
      <c r="N192" s="45" t="str">
        <f t="shared" si="152"/>
        <v>@bvusoftball</v>
      </c>
      <c r="O192" s="45" t="str">
        <f t="shared" si="153"/>
        <v>Questionnaire</v>
      </c>
      <c r="P192" s="60" t="s">
        <v>2940</v>
      </c>
      <c r="Q192" s="60" t="s">
        <v>2663</v>
      </c>
      <c r="R192" s="48" t="s">
        <v>2941</v>
      </c>
      <c r="S192" s="48" t="s">
        <v>172</v>
      </c>
      <c r="T192" s="49" t="s">
        <v>63</v>
      </c>
      <c r="U192" s="6" t="s">
        <v>248</v>
      </c>
      <c r="V192" s="49"/>
      <c r="W192" s="37">
        <v>3.41</v>
      </c>
      <c r="X192" s="49" t="s">
        <v>1947</v>
      </c>
      <c r="Y192" s="49" t="s">
        <v>778</v>
      </c>
      <c r="Z192" s="49" t="s">
        <v>1689</v>
      </c>
      <c r="AA192" s="38">
        <v>0.63690000000000002</v>
      </c>
      <c r="AB192" s="39">
        <v>44788</v>
      </c>
      <c r="AC192" s="90" t="s">
        <v>2940</v>
      </c>
      <c r="AD192" s="53" t="str">
        <f t="shared" si="154"/>
        <v>Link</v>
      </c>
      <c r="AE192" s="54">
        <v>1921</v>
      </c>
      <c r="AF192" s="55"/>
      <c r="AG192" s="55"/>
      <c r="AH192" s="56">
        <v>153001</v>
      </c>
      <c r="AI192" s="56"/>
    </row>
    <row r="193" spans="1:35" ht="13" x14ac:dyDescent="0.15">
      <c r="A193" s="7"/>
      <c r="B193" s="64" t="s">
        <v>2926</v>
      </c>
      <c r="C193" s="36" t="s">
        <v>43</v>
      </c>
      <c r="D193" s="86">
        <v>5</v>
      </c>
      <c r="E193" s="7" t="s">
        <v>2983</v>
      </c>
      <c r="F193" s="7"/>
      <c r="G193" s="86"/>
      <c r="H193" s="2" t="s">
        <v>2929</v>
      </c>
      <c r="I193" s="2" t="s">
        <v>750</v>
      </c>
      <c r="J193" s="2" t="s">
        <v>2984</v>
      </c>
      <c r="K193" s="2" t="s">
        <v>139</v>
      </c>
      <c r="L193" s="2"/>
      <c r="M193" s="2"/>
      <c r="N193" s="45" t="str">
        <f t="shared" si="152"/>
        <v>@bvusoftball</v>
      </c>
      <c r="O193" s="45" t="str">
        <f t="shared" si="153"/>
        <v>Questionnaire</v>
      </c>
      <c r="P193" s="60" t="s">
        <v>2940</v>
      </c>
      <c r="Q193" s="60" t="s">
        <v>2663</v>
      </c>
      <c r="R193" s="48" t="s">
        <v>2941</v>
      </c>
      <c r="S193" s="48" t="s">
        <v>172</v>
      </c>
      <c r="T193" s="49" t="s">
        <v>63</v>
      </c>
      <c r="U193" s="6" t="s">
        <v>248</v>
      </c>
      <c r="V193" s="49"/>
      <c r="W193" s="37">
        <v>3.41</v>
      </c>
      <c r="X193" s="49" t="s">
        <v>1947</v>
      </c>
      <c r="Y193" s="49" t="s">
        <v>778</v>
      </c>
      <c r="Z193" s="49" t="s">
        <v>1689</v>
      </c>
      <c r="AA193" s="38">
        <v>0.63690000000000002</v>
      </c>
      <c r="AB193" s="39">
        <v>44788</v>
      </c>
      <c r="AC193" s="90" t="s">
        <v>2940</v>
      </c>
      <c r="AD193" s="53" t="str">
        <f t="shared" si="154"/>
        <v>Link</v>
      </c>
      <c r="AE193" s="54">
        <v>1921</v>
      </c>
      <c r="AF193" s="55"/>
      <c r="AG193" s="55"/>
      <c r="AH193" s="56">
        <v>153001</v>
      </c>
      <c r="AI193" s="56"/>
    </row>
    <row r="194" spans="1:35" ht="13" x14ac:dyDescent="0.15">
      <c r="A194" s="7"/>
      <c r="B194" s="64" t="s">
        <v>2926</v>
      </c>
      <c r="C194" s="36" t="s">
        <v>43</v>
      </c>
      <c r="D194" s="86">
        <v>5</v>
      </c>
      <c r="E194" s="2" t="s">
        <v>2991</v>
      </c>
      <c r="F194" s="7"/>
      <c r="G194" s="86"/>
      <c r="H194" s="2" t="s">
        <v>2992</v>
      </c>
      <c r="I194" s="2" t="s">
        <v>2993</v>
      </c>
      <c r="J194" s="2" t="s">
        <v>2994</v>
      </c>
      <c r="K194" s="2" t="s">
        <v>48</v>
      </c>
      <c r="L194" s="2" t="s">
        <v>2995</v>
      </c>
      <c r="M194" s="2" t="s">
        <v>2996</v>
      </c>
      <c r="N194" s="48"/>
      <c r="O194" s="45" t="str">
        <f t="shared" ref="O194:O197" si="155">HYPERLINK("https://athletics.central.edu/sb_output.aspx?form=4","Questionnaire")</f>
        <v>Questionnaire</v>
      </c>
      <c r="P194" s="60" t="s">
        <v>3003</v>
      </c>
      <c r="Q194" s="60" t="s">
        <v>2663</v>
      </c>
      <c r="R194" s="48" t="s">
        <v>3005</v>
      </c>
      <c r="S194" s="48" t="s">
        <v>172</v>
      </c>
      <c r="T194" s="49" t="s">
        <v>63</v>
      </c>
      <c r="U194" s="6" t="s">
        <v>3009</v>
      </c>
      <c r="V194" s="49"/>
      <c r="W194" s="37">
        <v>3.61</v>
      </c>
      <c r="X194" s="49" t="s">
        <v>3012</v>
      </c>
      <c r="Y194" s="49" t="s">
        <v>2455</v>
      </c>
      <c r="Z194" s="49" t="s">
        <v>1650</v>
      </c>
      <c r="AA194" s="38">
        <v>0.73419999999999996</v>
      </c>
      <c r="AB194" s="39">
        <v>49214</v>
      </c>
      <c r="AC194" s="90" t="s">
        <v>3003</v>
      </c>
      <c r="AD194" s="53" t="str">
        <f t="shared" ref="AD194:AD197" si="156">HYPERLINK("https://www.central.edu/academics/majors/","Link")</f>
        <v>Link</v>
      </c>
      <c r="AE194" s="54">
        <v>1248</v>
      </c>
      <c r="AF194" s="55"/>
      <c r="AG194" s="54">
        <v>128</v>
      </c>
      <c r="AH194" s="56">
        <v>153108</v>
      </c>
      <c r="AI194" s="56"/>
    </row>
    <row r="195" spans="1:35" ht="13" x14ac:dyDescent="0.15">
      <c r="A195" s="7"/>
      <c r="B195" s="64" t="s">
        <v>2926</v>
      </c>
      <c r="C195" s="36" t="s">
        <v>43</v>
      </c>
      <c r="D195" s="86">
        <v>5</v>
      </c>
      <c r="E195" s="7" t="s">
        <v>3014</v>
      </c>
      <c r="F195" s="7"/>
      <c r="G195" s="86"/>
      <c r="H195" s="2" t="s">
        <v>2992</v>
      </c>
      <c r="I195" s="2" t="s">
        <v>1298</v>
      </c>
      <c r="J195" s="2" t="s">
        <v>3016</v>
      </c>
      <c r="K195" s="2" t="s">
        <v>55</v>
      </c>
      <c r="L195" s="2" t="s">
        <v>3017</v>
      </c>
      <c r="M195" s="2" t="s">
        <v>3018</v>
      </c>
      <c r="N195" s="48"/>
      <c r="O195" s="45" t="str">
        <f t="shared" si="155"/>
        <v>Questionnaire</v>
      </c>
      <c r="P195" s="60" t="s">
        <v>3003</v>
      </c>
      <c r="Q195" s="60" t="s">
        <v>2663</v>
      </c>
      <c r="R195" s="48" t="s">
        <v>3005</v>
      </c>
      <c r="S195" s="48" t="s">
        <v>172</v>
      </c>
      <c r="T195" s="49" t="s">
        <v>63</v>
      </c>
      <c r="U195" s="6" t="s">
        <v>3009</v>
      </c>
      <c r="V195" s="49"/>
      <c r="W195" s="37">
        <v>3.61</v>
      </c>
      <c r="X195" s="49" t="s">
        <v>3012</v>
      </c>
      <c r="Y195" s="49" t="s">
        <v>2455</v>
      </c>
      <c r="Z195" s="49" t="s">
        <v>1650</v>
      </c>
      <c r="AA195" s="38">
        <v>0.73419999999999996</v>
      </c>
      <c r="AB195" s="39">
        <v>49214</v>
      </c>
      <c r="AC195" s="90" t="s">
        <v>3003</v>
      </c>
      <c r="AD195" s="53" t="str">
        <f t="shared" si="156"/>
        <v>Link</v>
      </c>
      <c r="AE195" s="54">
        <v>1248</v>
      </c>
      <c r="AF195" s="55"/>
      <c r="AG195" s="54">
        <v>128</v>
      </c>
      <c r="AH195" s="56">
        <v>153108</v>
      </c>
      <c r="AI195" s="56"/>
    </row>
    <row r="196" spans="1:35" ht="13" x14ac:dyDescent="0.15">
      <c r="A196" s="7"/>
      <c r="B196" s="64" t="s">
        <v>2926</v>
      </c>
      <c r="C196" s="36" t="s">
        <v>43</v>
      </c>
      <c r="D196" s="86">
        <v>5</v>
      </c>
      <c r="E196" s="2" t="s">
        <v>3025</v>
      </c>
      <c r="F196" s="7"/>
      <c r="G196" s="86"/>
      <c r="H196" s="2" t="s">
        <v>2992</v>
      </c>
      <c r="I196" s="2" t="s">
        <v>3026</v>
      </c>
      <c r="J196" s="2" t="s">
        <v>812</v>
      </c>
      <c r="K196" s="2" t="s">
        <v>55</v>
      </c>
      <c r="L196" s="2" t="s">
        <v>3027</v>
      </c>
      <c r="M196" s="2" t="s">
        <v>3028</v>
      </c>
      <c r="N196" s="48"/>
      <c r="O196" s="45" t="str">
        <f t="shared" si="155"/>
        <v>Questionnaire</v>
      </c>
      <c r="P196" s="60" t="s">
        <v>3003</v>
      </c>
      <c r="Q196" s="60" t="s">
        <v>2663</v>
      </c>
      <c r="R196" s="48" t="s">
        <v>3005</v>
      </c>
      <c r="S196" s="48" t="s">
        <v>172</v>
      </c>
      <c r="T196" s="49" t="s">
        <v>63</v>
      </c>
      <c r="U196" s="6" t="s">
        <v>3009</v>
      </c>
      <c r="V196" s="49"/>
      <c r="W196" s="37">
        <v>3.61</v>
      </c>
      <c r="X196" s="49" t="s">
        <v>3012</v>
      </c>
      <c r="Y196" s="49" t="s">
        <v>2455</v>
      </c>
      <c r="Z196" s="49" t="s">
        <v>1650</v>
      </c>
      <c r="AA196" s="38">
        <v>0.73419999999999996</v>
      </c>
      <c r="AB196" s="39">
        <v>49214</v>
      </c>
      <c r="AC196" s="90" t="s">
        <v>3003</v>
      </c>
      <c r="AD196" s="53" t="str">
        <f t="shared" si="156"/>
        <v>Link</v>
      </c>
      <c r="AE196" s="54">
        <v>1248</v>
      </c>
      <c r="AF196" s="55"/>
      <c r="AG196" s="54">
        <v>128</v>
      </c>
      <c r="AH196" s="56">
        <v>153108</v>
      </c>
      <c r="AI196" s="56"/>
    </row>
    <row r="197" spans="1:35" ht="13" x14ac:dyDescent="0.15">
      <c r="A197" s="7"/>
      <c r="B197" s="64" t="s">
        <v>2926</v>
      </c>
      <c r="C197" s="36" t="s">
        <v>43</v>
      </c>
      <c r="D197" s="86">
        <v>5</v>
      </c>
      <c r="E197" s="7" t="s">
        <v>3038</v>
      </c>
      <c r="F197" s="7"/>
      <c r="G197" s="86"/>
      <c r="H197" s="2" t="s">
        <v>2992</v>
      </c>
      <c r="I197" s="2" t="s">
        <v>658</v>
      </c>
      <c r="J197" s="2" t="s">
        <v>2335</v>
      </c>
      <c r="K197" s="2" t="s">
        <v>55</v>
      </c>
      <c r="L197" s="2"/>
      <c r="M197" s="2"/>
      <c r="N197" s="48"/>
      <c r="O197" s="45" t="str">
        <f t="shared" si="155"/>
        <v>Questionnaire</v>
      </c>
      <c r="P197" s="60" t="s">
        <v>3003</v>
      </c>
      <c r="Q197" s="60" t="s">
        <v>2663</v>
      </c>
      <c r="R197" s="48" t="s">
        <v>3005</v>
      </c>
      <c r="S197" s="48" t="s">
        <v>172</v>
      </c>
      <c r="T197" s="49" t="s">
        <v>63</v>
      </c>
      <c r="U197" s="6" t="s">
        <v>3009</v>
      </c>
      <c r="V197" s="49"/>
      <c r="W197" s="37">
        <v>3.61</v>
      </c>
      <c r="X197" s="49" t="s">
        <v>3012</v>
      </c>
      <c r="Y197" s="49" t="s">
        <v>2455</v>
      </c>
      <c r="Z197" s="49" t="s">
        <v>1650</v>
      </c>
      <c r="AA197" s="38">
        <v>0.73419999999999996</v>
      </c>
      <c r="AB197" s="39">
        <v>49214</v>
      </c>
      <c r="AC197" s="90" t="s">
        <v>3003</v>
      </c>
      <c r="AD197" s="53" t="str">
        <f t="shared" si="156"/>
        <v>Link</v>
      </c>
      <c r="AE197" s="54">
        <v>1248</v>
      </c>
      <c r="AF197" s="55"/>
      <c r="AG197" s="54">
        <v>128</v>
      </c>
      <c r="AH197" s="56">
        <v>153108</v>
      </c>
      <c r="AI197" s="56"/>
    </row>
    <row r="198" spans="1:35" ht="13" x14ac:dyDescent="0.15">
      <c r="A198" s="7"/>
      <c r="B198" s="64" t="s">
        <v>2926</v>
      </c>
      <c r="C198" s="36" t="s">
        <v>43</v>
      </c>
      <c r="D198" s="86">
        <v>5</v>
      </c>
      <c r="E198" s="7" t="s">
        <v>3050</v>
      </c>
      <c r="F198" s="7"/>
      <c r="G198" s="86"/>
      <c r="H198" s="2" t="s">
        <v>3052</v>
      </c>
      <c r="I198" s="2" t="s">
        <v>3053</v>
      </c>
      <c r="J198" s="2" t="s">
        <v>3054</v>
      </c>
      <c r="K198" s="2" t="s">
        <v>48</v>
      </c>
      <c r="L198" s="2" t="s">
        <v>3055</v>
      </c>
      <c r="M198" s="2" t="s">
        <v>3056</v>
      </c>
      <c r="N198" s="45" t="str">
        <f t="shared" ref="N198:N201" si="157">HYPERLINK("twitter.com/CoeSoftball","@CoeSoftball")</f>
        <v>@CoeSoftball</v>
      </c>
      <c r="O198" s="45" t="str">
        <f t="shared" ref="O198:O201" si="158">HYPERLINK("https://kohawkathletics.com/sports/2019/7/8/become-a-kohawk.aspx?id=378","Questionnaire")</f>
        <v>Questionnaire</v>
      </c>
      <c r="P198" s="60" t="s">
        <v>3061</v>
      </c>
      <c r="Q198" s="60" t="s">
        <v>2663</v>
      </c>
      <c r="R198" s="48" t="s">
        <v>3062</v>
      </c>
      <c r="S198" s="48" t="s">
        <v>238</v>
      </c>
      <c r="T198" s="49" t="s">
        <v>63</v>
      </c>
      <c r="U198" s="6" t="s">
        <v>248</v>
      </c>
      <c r="V198" s="49"/>
      <c r="W198" s="37">
        <v>3.58</v>
      </c>
      <c r="X198" s="49" t="s">
        <v>1723</v>
      </c>
      <c r="Y198" s="49" t="s">
        <v>3063</v>
      </c>
      <c r="Z198" s="49" t="s">
        <v>689</v>
      </c>
      <c r="AA198" s="65">
        <v>0.5</v>
      </c>
      <c r="AB198" s="39">
        <v>53490</v>
      </c>
      <c r="AC198" s="90" t="s">
        <v>3061</v>
      </c>
      <c r="AD198" s="53" t="str">
        <f t="shared" ref="AD198:AD201" si="159">HYPERLINK("http://www.coe.edu/majors_firstyear","Link")</f>
        <v>Link</v>
      </c>
      <c r="AE198" s="54">
        <v>1406</v>
      </c>
      <c r="AF198" s="55"/>
      <c r="AG198" s="54">
        <v>123</v>
      </c>
      <c r="AH198" s="56">
        <v>153144</v>
      </c>
      <c r="AI198" s="56"/>
    </row>
    <row r="199" spans="1:35" ht="13" x14ac:dyDescent="0.15">
      <c r="A199" s="7"/>
      <c r="B199" s="64" t="s">
        <v>2926</v>
      </c>
      <c r="C199" s="36" t="s">
        <v>43</v>
      </c>
      <c r="D199" s="86">
        <v>5</v>
      </c>
      <c r="E199" s="2" t="s">
        <v>3067</v>
      </c>
      <c r="F199" s="7"/>
      <c r="G199" s="86"/>
      <c r="H199" s="2" t="s">
        <v>3052</v>
      </c>
      <c r="I199" s="2" t="s">
        <v>736</v>
      </c>
      <c r="J199" s="2" t="s">
        <v>3068</v>
      </c>
      <c r="K199" s="2" t="s">
        <v>55</v>
      </c>
      <c r="L199" s="2" t="s">
        <v>3069</v>
      </c>
      <c r="M199" s="7" t="s">
        <v>3071</v>
      </c>
      <c r="N199" s="45" t="str">
        <f t="shared" si="157"/>
        <v>@CoeSoftball</v>
      </c>
      <c r="O199" s="45" t="str">
        <f t="shared" si="158"/>
        <v>Questionnaire</v>
      </c>
      <c r="P199" s="60" t="s">
        <v>3061</v>
      </c>
      <c r="Q199" s="60" t="s">
        <v>2663</v>
      </c>
      <c r="R199" s="48" t="s">
        <v>3062</v>
      </c>
      <c r="S199" s="48" t="s">
        <v>238</v>
      </c>
      <c r="T199" s="49" t="s">
        <v>63</v>
      </c>
      <c r="U199" s="6" t="s">
        <v>248</v>
      </c>
      <c r="V199" s="49"/>
      <c r="W199" s="37">
        <v>3.58</v>
      </c>
      <c r="X199" s="49" t="s">
        <v>1723</v>
      </c>
      <c r="Y199" s="49" t="s">
        <v>3063</v>
      </c>
      <c r="Z199" s="49" t="s">
        <v>689</v>
      </c>
      <c r="AA199" s="65">
        <v>0.5</v>
      </c>
      <c r="AB199" s="39">
        <v>53490</v>
      </c>
      <c r="AC199" s="90" t="s">
        <v>3061</v>
      </c>
      <c r="AD199" s="53" t="str">
        <f t="shared" si="159"/>
        <v>Link</v>
      </c>
      <c r="AE199" s="54">
        <v>1406</v>
      </c>
      <c r="AF199" s="55"/>
      <c r="AG199" s="54">
        <v>123</v>
      </c>
      <c r="AH199" s="56">
        <v>153144</v>
      </c>
      <c r="AI199" s="56"/>
    </row>
    <row r="200" spans="1:35" ht="13" x14ac:dyDescent="0.15">
      <c r="A200" s="7"/>
      <c r="B200" s="64" t="s">
        <v>2926</v>
      </c>
      <c r="C200" s="36" t="s">
        <v>43</v>
      </c>
      <c r="D200" s="86">
        <v>5</v>
      </c>
      <c r="E200" s="7" t="s">
        <v>3081</v>
      </c>
      <c r="F200" s="7"/>
      <c r="G200" s="86"/>
      <c r="H200" s="2" t="s">
        <v>3052</v>
      </c>
      <c r="I200" s="2" t="s">
        <v>2402</v>
      </c>
      <c r="J200" s="2" t="s">
        <v>3082</v>
      </c>
      <c r="K200" s="2" t="s">
        <v>55</v>
      </c>
      <c r="L200" s="2" t="s">
        <v>3083</v>
      </c>
      <c r="M200" s="2" t="s">
        <v>3056</v>
      </c>
      <c r="N200" s="45" t="str">
        <f t="shared" si="157"/>
        <v>@CoeSoftball</v>
      </c>
      <c r="O200" s="45" t="str">
        <f t="shared" si="158"/>
        <v>Questionnaire</v>
      </c>
      <c r="P200" s="60" t="s">
        <v>3061</v>
      </c>
      <c r="Q200" s="60" t="s">
        <v>2663</v>
      </c>
      <c r="R200" s="48" t="s">
        <v>3062</v>
      </c>
      <c r="S200" s="48" t="s">
        <v>238</v>
      </c>
      <c r="T200" s="49" t="s">
        <v>63</v>
      </c>
      <c r="U200" s="6" t="s">
        <v>248</v>
      </c>
      <c r="V200" s="49"/>
      <c r="W200" s="37">
        <v>3.58</v>
      </c>
      <c r="X200" s="49" t="s">
        <v>1723</v>
      </c>
      <c r="Y200" s="49" t="s">
        <v>3063</v>
      </c>
      <c r="Z200" s="49" t="s">
        <v>689</v>
      </c>
      <c r="AA200" s="65">
        <v>0.5</v>
      </c>
      <c r="AB200" s="39">
        <v>53490</v>
      </c>
      <c r="AC200" s="90" t="s">
        <v>3061</v>
      </c>
      <c r="AD200" s="53" t="str">
        <f t="shared" si="159"/>
        <v>Link</v>
      </c>
      <c r="AE200" s="54">
        <v>1406</v>
      </c>
      <c r="AF200" s="55"/>
      <c r="AG200" s="54">
        <v>123</v>
      </c>
      <c r="AH200" s="56">
        <v>153144</v>
      </c>
      <c r="AI200" s="56"/>
    </row>
    <row r="201" spans="1:35" ht="13" x14ac:dyDescent="0.15">
      <c r="A201" s="7"/>
      <c r="B201" s="64" t="s">
        <v>2926</v>
      </c>
      <c r="C201" s="36" t="s">
        <v>43</v>
      </c>
      <c r="D201" s="86">
        <v>5</v>
      </c>
      <c r="E201" s="2" t="s">
        <v>3092</v>
      </c>
      <c r="F201" s="7"/>
      <c r="G201" s="86"/>
      <c r="H201" s="2" t="s">
        <v>3052</v>
      </c>
      <c r="I201" s="2" t="s">
        <v>3093</v>
      </c>
      <c r="J201" s="2" t="s">
        <v>3094</v>
      </c>
      <c r="K201" s="2" t="s">
        <v>139</v>
      </c>
      <c r="L201" s="2"/>
      <c r="M201" s="2"/>
      <c r="N201" s="45" t="str">
        <f t="shared" si="157"/>
        <v>@CoeSoftball</v>
      </c>
      <c r="O201" s="45" t="str">
        <f t="shared" si="158"/>
        <v>Questionnaire</v>
      </c>
      <c r="P201" s="60" t="s">
        <v>3061</v>
      </c>
      <c r="Q201" s="60" t="s">
        <v>2663</v>
      </c>
      <c r="R201" s="48" t="s">
        <v>3062</v>
      </c>
      <c r="S201" s="48" t="s">
        <v>238</v>
      </c>
      <c r="T201" s="49" t="s">
        <v>63</v>
      </c>
      <c r="U201" s="6" t="s">
        <v>248</v>
      </c>
      <c r="V201" s="49"/>
      <c r="W201" s="37">
        <v>3.58</v>
      </c>
      <c r="X201" s="49" t="s">
        <v>1723</v>
      </c>
      <c r="Y201" s="49" t="s">
        <v>3063</v>
      </c>
      <c r="Z201" s="49" t="s">
        <v>689</v>
      </c>
      <c r="AA201" s="65">
        <v>0.5</v>
      </c>
      <c r="AB201" s="39">
        <v>53490</v>
      </c>
      <c r="AC201" s="90" t="s">
        <v>3061</v>
      </c>
      <c r="AD201" s="53" t="str">
        <f t="shared" si="159"/>
        <v>Link</v>
      </c>
      <c r="AE201" s="54">
        <v>1406</v>
      </c>
      <c r="AF201" s="55"/>
      <c r="AG201" s="54">
        <v>123</v>
      </c>
      <c r="AH201" s="56">
        <v>153144</v>
      </c>
      <c r="AI201" s="56"/>
    </row>
    <row r="202" spans="1:35" ht="13" x14ac:dyDescent="0.15">
      <c r="A202" s="7"/>
      <c r="B202" s="31" t="s">
        <v>2926</v>
      </c>
      <c r="C202" s="36" t="s">
        <v>43</v>
      </c>
      <c r="D202" s="7"/>
      <c r="E202" s="86">
        <v>5</v>
      </c>
      <c r="F202" s="7"/>
      <c r="G202" s="7"/>
      <c r="H202" s="2" t="s">
        <v>3101</v>
      </c>
      <c r="I202" s="2" t="s">
        <v>2829</v>
      </c>
      <c r="J202" s="2" t="s">
        <v>3102</v>
      </c>
      <c r="K202" s="2" t="s">
        <v>48</v>
      </c>
      <c r="L202" s="2" t="s">
        <v>3103</v>
      </c>
      <c r="M202" s="2" t="s">
        <v>3104</v>
      </c>
      <c r="N202" s="45" t="str">
        <f t="shared" ref="N202:N203" si="160">HYPERLINK("twitter.com/cornellramssb","@cornellramssb")</f>
        <v>@cornellramssb</v>
      </c>
      <c r="O202" s="45" t="str">
        <f t="shared" ref="O202:O203" si="161">HYPERLINK("https://www.cornellrams.com/Recruit_Information","Questionnaire")</f>
        <v>Questionnaire</v>
      </c>
      <c r="P202" s="60" t="s">
        <v>3114</v>
      </c>
      <c r="Q202" s="60" t="s">
        <v>2663</v>
      </c>
      <c r="R202" s="48" t="s">
        <v>3115</v>
      </c>
      <c r="S202" s="48" t="s">
        <v>186</v>
      </c>
      <c r="T202" s="49" t="s">
        <v>63</v>
      </c>
      <c r="U202" s="6" t="s">
        <v>65</v>
      </c>
      <c r="V202" s="49"/>
      <c r="W202" s="37">
        <v>3.46</v>
      </c>
      <c r="X202" s="49" t="s">
        <v>3118</v>
      </c>
      <c r="Y202" s="49" t="s">
        <v>3120</v>
      </c>
      <c r="Z202" s="49" t="s">
        <v>2734</v>
      </c>
      <c r="AA202" s="65">
        <v>0.71</v>
      </c>
      <c r="AB202" s="39">
        <v>54011</v>
      </c>
      <c r="AC202" s="90" t="s">
        <v>3114</v>
      </c>
      <c r="AD202" s="53" t="str">
        <f t="shared" ref="AD202:AD203" si="162">HYPERLINK("https://www.cornellcollege.edu/registrar/degree-requirement-checklists/current-majors/index.shtml","Link")</f>
        <v>Link</v>
      </c>
      <c r="AE202" s="54">
        <v>978</v>
      </c>
      <c r="AF202" s="55"/>
      <c r="AG202" s="54">
        <v>87</v>
      </c>
      <c r="AH202" s="56">
        <v>153162</v>
      </c>
      <c r="AI202" s="56" t="s">
        <v>2459</v>
      </c>
    </row>
    <row r="203" spans="1:35" ht="13" x14ac:dyDescent="0.15">
      <c r="A203" s="7"/>
      <c r="B203" s="31" t="s">
        <v>2926</v>
      </c>
      <c r="C203" s="36" t="s">
        <v>43</v>
      </c>
      <c r="D203" s="7"/>
      <c r="E203" s="86">
        <v>5</v>
      </c>
      <c r="F203" s="7"/>
      <c r="G203" s="7"/>
      <c r="H203" s="2" t="s">
        <v>3101</v>
      </c>
      <c r="I203" s="2" t="s">
        <v>2747</v>
      </c>
      <c r="J203" s="2" t="s">
        <v>3128</v>
      </c>
      <c r="K203" s="2" t="s">
        <v>919</v>
      </c>
      <c r="L203" s="2"/>
      <c r="M203" s="2" t="s">
        <v>3104</v>
      </c>
      <c r="N203" s="45" t="str">
        <f t="shared" si="160"/>
        <v>@cornellramssb</v>
      </c>
      <c r="O203" s="45" t="str">
        <f t="shared" si="161"/>
        <v>Questionnaire</v>
      </c>
      <c r="P203" s="60" t="s">
        <v>3114</v>
      </c>
      <c r="Q203" s="60" t="s">
        <v>2663</v>
      </c>
      <c r="R203" s="48" t="s">
        <v>3115</v>
      </c>
      <c r="S203" s="48" t="s">
        <v>186</v>
      </c>
      <c r="T203" s="49" t="s">
        <v>63</v>
      </c>
      <c r="U203" s="6" t="s">
        <v>65</v>
      </c>
      <c r="V203" s="49"/>
      <c r="W203" s="37">
        <v>3.46</v>
      </c>
      <c r="X203" s="49" t="s">
        <v>3118</v>
      </c>
      <c r="Y203" s="49" t="s">
        <v>3120</v>
      </c>
      <c r="Z203" s="49" t="s">
        <v>2734</v>
      </c>
      <c r="AA203" s="65">
        <v>0.71</v>
      </c>
      <c r="AB203" s="39">
        <v>54011</v>
      </c>
      <c r="AC203" s="90" t="s">
        <v>3114</v>
      </c>
      <c r="AD203" s="53" t="str">
        <f t="shared" si="162"/>
        <v>Link</v>
      </c>
      <c r="AE203" s="54">
        <v>978</v>
      </c>
      <c r="AF203" s="55"/>
      <c r="AG203" s="54">
        <v>87</v>
      </c>
      <c r="AH203" s="56">
        <v>153162</v>
      </c>
      <c r="AI203" s="56" t="s">
        <v>2459</v>
      </c>
    </row>
    <row r="204" spans="1:35" ht="13" x14ac:dyDescent="0.15">
      <c r="A204" s="7"/>
      <c r="B204" s="64" t="s">
        <v>2926</v>
      </c>
      <c r="C204" s="36" t="s">
        <v>43</v>
      </c>
      <c r="D204" s="86">
        <v>5</v>
      </c>
      <c r="E204" s="2" t="s">
        <v>3136</v>
      </c>
      <c r="F204" s="7"/>
      <c r="G204" s="86"/>
      <c r="H204" s="2" t="s">
        <v>3138</v>
      </c>
      <c r="I204" s="2" t="s">
        <v>3139</v>
      </c>
      <c r="J204" s="2" t="s">
        <v>3140</v>
      </c>
      <c r="K204" s="2" t="s">
        <v>48</v>
      </c>
      <c r="L204" s="2" t="s">
        <v>3142</v>
      </c>
      <c r="M204" s="2" t="s">
        <v>3143</v>
      </c>
      <c r="N204" s="45" t="str">
        <f t="shared" ref="N204:N206" si="163">HYPERLINK("twitter.com/dubuquesoftball","@dubuquesoftball")</f>
        <v>@dubuquesoftball</v>
      </c>
      <c r="O204" s="45" t="str">
        <f t="shared" ref="O204:O206" si="164">HYPERLINK("https://www.dbq.edu/athletics/jointhespartans/?team=softball","Questionnaire")</f>
        <v>Questionnaire</v>
      </c>
      <c r="P204" s="48" t="s">
        <v>3150</v>
      </c>
      <c r="Q204" s="60" t="s">
        <v>2663</v>
      </c>
      <c r="R204" s="48" t="s">
        <v>3150</v>
      </c>
      <c r="S204" s="48" t="s">
        <v>186</v>
      </c>
      <c r="T204" s="49" t="s">
        <v>63</v>
      </c>
      <c r="U204" s="6" t="s">
        <v>248</v>
      </c>
      <c r="V204" s="49"/>
      <c r="W204" s="37">
        <v>2.95</v>
      </c>
      <c r="X204" s="49" t="s">
        <v>3151</v>
      </c>
      <c r="Y204" s="49" t="s">
        <v>3152</v>
      </c>
      <c r="Z204" s="49" t="s">
        <v>1948</v>
      </c>
      <c r="AA204" s="65">
        <v>0.76</v>
      </c>
      <c r="AB204" s="39">
        <v>39610</v>
      </c>
      <c r="AC204" s="84" t="s">
        <v>3150</v>
      </c>
      <c r="AD204" s="53" t="str">
        <f t="shared" ref="AD204:AD206" si="165">HYPERLINK("http://www.dbq.edu/Academics/OfficeofAcademicAffairs/UndergraduateMajors/","Link")</f>
        <v>Link</v>
      </c>
      <c r="AE204" s="54">
        <v>1924</v>
      </c>
      <c r="AF204" s="55"/>
      <c r="AG204" s="55"/>
      <c r="AH204" s="56">
        <v>153278</v>
      </c>
      <c r="AI204" s="56"/>
    </row>
    <row r="205" spans="1:35" ht="13" x14ac:dyDescent="0.15">
      <c r="A205" s="7"/>
      <c r="B205" s="64" t="s">
        <v>2926</v>
      </c>
      <c r="C205" s="36" t="s">
        <v>43</v>
      </c>
      <c r="D205" s="86">
        <v>5</v>
      </c>
      <c r="E205" s="7" t="s">
        <v>3157</v>
      </c>
      <c r="F205" s="7"/>
      <c r="G205" s="86"/>
      <c r="H205" s="2" t="s">
        <v>3138</v>
      </c>
      <c r="I205" s="2" t="s">
        <v>1217</v>
      </c>
      <c r="J205" s="2" t="s">
        <v>3158</v>
      </c>
      <c r="K205" s="2" t="s">
        <v>55</v>
      </c>
      <c r="L205" s="2" t="s">
        <v>3159</v>
      </c>
      <c r="M205" s="2" t="s">
        <v>3143</v>
      </c>
      <c r="N205" s="45" t="str">
        <f t="shared" si="163"/>
        <v>@dubuquesoftball</v>
      </c>
      <c r="O205" s="45" t="str">
        <f t="shared" si="164"/>
        <v>Questionnaire</v>
      </c>
      <c r="P205" s="48" t="s">
        <v>3150</v>
      </c>
      <c r="Q205" s="60" t="s">
        <v>2663</v>
      </c>
      <c r="R205" s="48" t="s">
        <v>3150</v>
      </c>
      <c r="S205" s="48" t="s">
        <v>186</v>
      </c>
      <c r="T205" s="49" t="s">
        <v>63</v>
      </c>
      <c r="U205" s="6" t="s">
        <v>248</v>
      </c>
      <c r="V205" s="49"/>
      <c r="W205" s="37">
        <v>2.95</v>
      </c>
      <c r="X205" s="49" t="s">
        <v>3151</v>
      </c>
      <c r="Y205" s="49" t="s">
        <v>3152</v>
      </c>
      <c r="Z205" s="49" t="s">
        <v>1948</v>
      </c>
      <c r="AA205" s="65">
        <v>0.76</v>
      </c>
      <c r="AB205" s="39">
        <v>39610</v>
      </c>
      <c r="AC205" s="84" t="s">
        <v>3150</v>
      </c>
      <c r="AD205" s="53" t="str">
        <f t="shared" si="165"/>
        <v>Link</v>
      </c>
      <c r="AE205" s="54">
        <v>1924</v>
      </c>
      <c r="AF205" s="55"/>
      <c r="AG205" s="55"/>
      <c r="AH205" s="56">
        <v>153278</v>
      </c>
      <c r="AI205" s="56"/>
    </row>
    <row r="206" spans="1:35" ht="13" x14ac:dyDescent="0.15">
      <c r="A206" s="7"/>
      <c r="B206" s="64" t="s">
        <v>2926</v>
      </c>
      <c r="C206" s="36" t="s">
        <v>43</v>
      </c>
      <c r="D206" s="86">
        <v>5</v>
      </c>
      <c r="E206" s="2" t="s">
        <v>3166</v>
      </c>
      <c r="F206" s="7"/>
      <c r="G206" s="86"/>
      <c r="H206" s="2" t="s">
        <v>3138</v>
      </c>
      <c r="I206" s="2" t="s">
        <v>1327</v>
      </c>
      <c r="J206" s="2" t="s">
        <v>2919</v>
      </c>
      <c r="K206" s="2" t="s">
        <v>139</v>
      </c>
      <c r="L206" s="2"/>
      <c r="M206" s="2"/>
      <c r="N206" s="45" t="str">
        <f t="shared" si="163"/>
        <v>@dubuquesoftball</v>
      </c>
      <c r="O206" s="45" t="str">
        <f t="shared" si="164"/>
        <v>Questionnaire</v>
      </c>
      <c r="P206" s="48" t="s">
        <v>3150</v>
      </c>
      <c r="Q206" s="60" t="s">
        <v>2663</v>
      </c>
      <c r="R206" s="48" t="s">
        <v>3150</v>
      </c>
      <c r="S206" s="48" t="s">
        <v>186</v>
      </c>
      <c r="T206" s="49" t="s">
        <v>63</v>
      </c>
      <c r="U206" s="6" t="s">
        <v>248</v>
      </c>
      <c r="V206" s="49"/>
      <c r="W206" s="37">
        <v>2.95</v>
      </c>
      <c r="X206" s="49" t="s">
        <v>3151</v>
      </c>
      <c r="Y206" s="49" t="s">
        <v>3152</v>
      </c>
      <c r="Z206" s="49" t="s">
        <v>1948</v>
      </c>
      <c r="AA206" s="65">
        <v>0.76</v>
      </c>
      <c r="AB206" s="39">
        <v>39610</v>
      </c>
      <c r="AC206" s="84" t="s">
        <v>3150</v>
      </c>
      <c r="AD206" s="53" t="str">
        <f t="shared" si="165"/>
        <v>Link</v>
      </c>
      <c r="AE206" s="54">
        <v>1924</v>
      </c>
      <c r="AF206" s="55"/>
      <c r="AG206" s="55"/>
      <c r="AH206" s="56">
        <v>153278</v>
      </c>
      <c r="AI206" s="56"/>
    </row>
    <row r="207" spans="1:35" ht="13" x14ac:dyDescent="0.15">
      <c r="A207" s="7"/>
      <c r="B207" s="64" t="s">
        <v>2926</v>
      </c>
      <c r="C207" s="36" t="s">
        <v>43</v>
      </c>
      <c r="D207" s="86">
        <v>5</v>
      </c>
      <c r="E207" s="2" t="s">
        <v>3177</v>
      </c>
      <c r="F207" s="7"/>
      <c r="G207" s="86"/>
      <c r="H207" s="2" t="s">
        <v>3178</v>
      </c>
      <c r="I207" s="2" t="s">
        <v>3179</v>
      </c>
      <c r="J207" s="2" t="s">
        <v>894</v>
      </c>
      <c r="K207" s="2" t="s">
        <v>48</v>
      </c>
      <c r="L207" s="2" t="s">
        <v>3180</v>
      </c>
      <c r="M207" s="2" t="s">
        <v>3181</v>
      </c>
      <c r="N207" s="45" t="str">
        <f t="shared" ref="N207:N209" si="166">HYPERLINK("twitter.com/grinnell_sb","@grinnell_sb")</f>
        <v>@grinnell_sb</v>
      </c>
      <c r="O207" s="45" t="str">
        <f t="shared" ref="O207:O209" si="167">HYPERLINK("https://pioneers.grinnell.edu/sb_output.aspx?form=3","Questionnaire")</f>
        <v>Questionnaire</v>
      </c>
      <c r="P207" s="48" t="s">
        <v>3189</v>
      </c>
      <c r="Q207" s="60" t="s">
        <v>2663</v>
      </c>
      <c r="R207" s="48" t="s">
        <v>3189</v>
      </c>
      <c r="S207" s="60" t="s">
        <v>205</v>
      </c>
      <c r="T207" s="49" t="s">
        <v>63</v>
      </c>
      <c r="U207" s="48" t="s">
        <v>75</v>
      </c>
      <c r="V207" s="49"/>
      <c r="W207" s="37">
        <v>4.03</v>
      </c>
      <c r="X207" s="49" t="s">
        <v>3190</v>
      </c>
      <c r="Y207" s="49" t="s">
        <v>1171</v>
      </c>
      <c r="Z207" s="49" t="s">
        <v>626</v>
      </c>
      <c r="AA207" s="65">
        <v>0.2</v>
      </c>
      <c r="AB207" s="39">
        <v>63838</v>
      </c>
      <c r="AC207" s="84" t="s">
        <v>3189</v>
      </c>
      <c r="AD207" s="53" t="str">
        <f t="shared" ref="AD207:AD209" si="168">HYPERLINK("https://www.grinnell.edu/academics/majors","Link")</f>
        <v>Link</v>
      </c>
      <c r="AE207" s="54">
        <v>1699</v>
      </c>
      <c r="AF207" s="55"/>
      <c r="AG207" s="54">
        <v>18</v>
      </c>
      <c r="AH207" s="56">
        <v>153384</v>
      </c>
      <c r="AI207" s="56"/>
    </row>
    <row r="208" spans="1:35" ht="13" x14ac:dyDescent="0.15">
      <c r="A208" s="7"/>
      <c r="B208" s="64" t="s">
        <v>2926</v>
      </c>
      <c r="C208" s="36" t="s">
        <v>43</v>
      </c>
      <c r="D208" s="86">
        <v>5</v>
      </c>
      <c r="E208" s="7" t="s">
        <v>3196</v>
      </c>
      <c r="F208" s="7"/>
      <c r="G208" s="86"/>
      <c r="H208" s="2" t="s">
        <v>3178</v>
      </c>
      <c r="I208" s="2" t="s">
        <v>3197</v>
      </c>
      <c r="J208" s="2" t="s">
        <v>3198</v>
      </c>
      <c r="K208" s="2" t="s">
        <v>55</v>
      </c>
      <c r="L208" s="2" t="s">
        <v>3199</v>
      </c>
      <c r="M208" s="2"/>
      <c r="N208" s="45" t="str">
        <f t="shared" si="166"/>
        <v>@grinnell_sb</v>
      </c>
      <c r="O208" s="45" t="str">
        <f t="shared" si="167"/>
        <v>Questionnaire</v>
      </c>
      <c r="P208" s="48" t="s">
        <v>3189</v>
      </c>
      <c r="Q208" s="60" t="s">
        <v>2663</v>
      </c>
      <c r="R208" s="48" t="s">
        <v>3189</v>
      </c>
      <c r="S208" s="60" t="s">
        <v>205</v>
      </c>
      <c r="T208" s="49" t="s">
        <v>63</v>
      </c>
      <c r="U208" s="48" t="s">
        <v>75</v>
      </c>
      <c r="V208" s="49"/>
      <c r="W208" s="37">
        <v>4.03</v>
      </c>
      <c r="X208" s="49" t="s">
        <v>3190</v>
      </c>
      <c r="Y208" s="49" t="s">
        <v>1171</v>
      </c>
      <c r="Z208" s="49" t="s">
        <v>626</v>
      </c>
      <c r="AA208" s="65">
        <v>0.2</v>
      </c>
      <c r="AB208" s="39">
        <v>63838</v>
      </c>
      <c r="AC208" s="84" t="s">
        <v>3189</v>
      </c>
      <c r="AD208" s="53" t="str">
        <f t="shared" si="168"/>
        <v>Link</v>
      </c>
      <c r="AE208" s="54">
        <v>1699</v>
      </c>
      <c r="AF208" s="55"/>
      <c r="AG208" s="54">
        <v>18</v>
      </c>
      <c r="AH208" s="56">
        <v>153384</v>
      </c>
      <c r="AI208" s="56"/>
    </row>
    <row r="209" spans="1:35" ht="13" x14ac:dyDescent="0.15">
      <c r="A209" s="7"/>
      <c r="B209" s="64" t="s">
        <v>2926</v>
      </c>
      <c r="C209" s="36" t="s">
        <v>43</v>
      </c>
      <c r="D209" s="86">
        <v>5</v>
      </c>
      <c r="E209" s="2" t="s">
        <v>3208</v>
      </c>
      <c r="F209" s="7"/>
      <c r="G209" s="86"/>
      <c r="H209" s="2" t="s">
        <v>3178</v>
      </c>
      <c r="I209" s="2" t="s">
        <v>847</v>
      </c>
      <c r="J209" s="2" t="s">
        <v>3210</v>
      </c>
      <c r="K209" s="2" t="s">
        <v>55</v>
      </c>
      <c r="L209" s="2"/>
      <c r="M209" s="2"/>
      <c r="N209" s="45" t="str">
        <f t="shared" si="166"/>
        <v>@grinnell_sb</v>
      </c>
      <c r="O209" s="45" t="str">
        <f t="shared" si="167"/>
        <v>Questionnaire</v>
      </c>
      <c r="P209" s="48" t="s">
        <v>3189</v>
      </c>
      <c r="Q209" s="60" t="s">
        <v>2663</v>
      </c>
      <c r="R209" s="48" t="s">
        <v>3189</v>
      </c>
      <c r="S209" s="60" t="s">
        <v>205</v>
      </c>
      <c r="T209" s="49" t="s">
        <v>63</v>
      </c>
      <c r="U209" s="48" t="s">
        <v>75</v>
      </c>
      <c r="V209" s="49"/>
      <c r="W209" s="37">
        <v>4.03</v>
      </c>
      <c r="X209" s="49" t="s">
        <v>3190</v>
      </c>
      <c r="Y209" s="49" t="s">
        <v>1171</v>
      </c>
      <c r="Z209" s="49" t="s">
        <v>626</v>
      </c>
      <c r="AA209" s="65">
        <v>0.2</v>
      </c>
      <c r="AB209" s="39">
        <v>63838</v>
      </c>
      <c r="AC209" s="84" t="s">
        <v>3189</v>
      </c>
      <c r="AD209" s="53" t="str">
        <f t="shared" si="168"/>
        <v>Link</v>
      </c>
      <c r="AE209" s="54">
        <v>1699</v>
      </c>
      <c r="AF209" s="55"/>
      <c r="AG209" s="54">
        <v>18</v>
      </c>
      <c r="AH209" s="56">
        <v>153384</v>
      </c>
      <c r="AI209" s="56"/>
    </row>
    <row r="210" spans="1:35" ht="13" x14ac:dyDescent="0.15">
      <c r="A210" s="7"/>
      <c r="B210" s="31" t="s">
        <v>2926</v>
      </c>
      <c r="C210" s="36" t="s">
        <v>43</v>
      </c>
      <c r="D210" s="7"/>
      <c r="E210" s="86">
        <v>5</v>
      </c>
      <c r="F210" s="7"/>
      <c r="G210" s="7"/>
      <c r="H210" s="2" t="s">
        <v>3220</v>
      </c>
      <c r="I210" s="2" t="s">
        <v>754</v>
      </c>
      <c r="J210" s="2" t="s">
        <v>3224</v>
      </c>
      <c r="K210" s="2" t="s">
        <v>590</v>
      </c>
      <c r="L210" s="2" t="s">
        <v>3225</v>
      </c>
      <c r="M210" s="2" t="s">
        <v>3226</v>
      </c>
      <c r="N210" s="48"/>
      <c r="O210" s="45" t="str">
        <f t="shared" ref="O210:O211" si="169">HYPERLINK("https://www.iwtigers.com/IW_Tigers_Recruits","Questionnaire")</f>
        <v>Questionnaire</v>
      </c>
      <c r="P210" s="48" t="s">
        <v>3227</v>
      </c>
      <c r="Q210" s="60" t="s">
        <v>2663</v>
      </c>
      <c r="R210" s="48" t="s">
        <v>3228</v>
      </c>
      <c r="S210" s="60" t="s">
        <v>205</v>
      </c>
      <c r="T210" s="49" t="s">
        <v>63</v>
      </c>
      <c r="U210" s="6" t="s">
        <v>65</v>
      </c>
      <c r="V210" s="49"/>
      <c r="W210" s="37">
        <v>3.02</v>
      </c>
      <c r="X210" s="49" t="s">
        <v>3229</v>
      </c>
      <c r="Y210" s="49" t="s">
        <v>1452</v>
      </c>
      <c r="Z210" s="49" t="s">
        <v>3230</v>
      </c>
      <c r="AA210" s="65">
        <v>0.51</v>
      </c>
      <c r="AB210" s="48" t="s">
        <v>3231</v>
      </c>
      <c r="AC210" s="84" t="s">
        <v>3227</v>
      </c>
      <c r="AD210" s="53" t="str">
        <f t="shared" ref="AD210:AD211" si="170">HYPERLINK("https://www.iw.edu/iowa-wesleyan-undergraduate/","Link")</f>
        <v>Link</v>
      </c>
      <c r="AE210" s="54">
        <v>520</v>
      </c>
      <c r="AF210" s="55"/>
      <c r="AG210" s="55"/>
      <c r="AH210" s="56">
        <v>153621</v>
      </c>
      <c r="AI210" s="56" t="s">
        <v>2459</v>
      </c>
    </row>
    <row r="211" spans="1:35" ht="13" x14ac:dyDescent="0.15">
      <c r="A211" s="7"/>
      <c r="B211" s="31" t="s">
        <v>2926</v>
      </c>
      <c r="C211" s="36" t="s">
        <v>43</v>
      </c>
      <c r="D211" s="7"/>
      <c r="E211" s="86">
        <v>5</v>
      </c>
      <c r="F211" s="7"/>
      <c r="G211" s="7"/>
      <c r="H211" s="2" t="s">
        <v>3220</v>
      </c>
      <c r="I211" s="2" t="s">
        <v>3197</v>
      </c>
      <c r="J211" s="2" t="s">
        <v>3241</v>
      </c>
      <c r="K211" s="2" t="s">
        <v>55</v>
      </c>
      <c r="L211" s="2" t="s">
        <v>3244</v>
      </c>
      <c r="M211" s="2"/>
      <c r="N211" s="48"/>
      <c r="O211" s="45" t="str">
        <f t="shared" si="169"/>
        <v>Questionnaire</v>
      </c>
      <c r="P211" s="48" t="s">
        <v>3227</v>
      </c>
      <c r="Q211" s="60" t="s">
        <v>2663</v>
      </c>
      <c r="R211" s="48" t="s">
        <v>3228</v>
      </c>
      <c r="S211" s="60" t="s">
        <v>205</v>
      </c>
      <c r="T211" s="49" t="s">
        <v>63</v>
      </c>
      <c r="U211" s="6" t="s">
        <v>65</v>
      </c>
      <c r="V211" s="49"/>
      <c r="W211" s="37">
        <v>3.02</v>
      </c>
      <c r="X211" s="49" t="s">
        <v>3229</v>
      </c>
      <c r="Y211" s="49" t="s">
        <v>1452</v>
      </c>
      <c r="Z211" s="49" t="s">
        <v>3230</v>
      </c>
      <c r="AA211" s="65">
        <v>0.51</v>
      </c>
      <c r="AB211" s="48" t="s">
        <v>3231</v>
      </c>
      <c r="AC211" s="84" t="s">
        <v>3227</v>
      </c>
      <c r="AD211" s="53" t="str">
        <f t="shared" si="170"/>
        <v>Link</v>
      </c>
      <c r="AE211" s="54">
        <v>520</v>
      </c>
      <c r="AF211" s="55"/>
      <c r="AG211" s="55"/>
      <c r="AH211" s="56">
        <v>153621</v>
      </c>
      <c r="AI211" s="56" t="s">
        <v>2459</v>
      </c>
    </row>
    <row r="212" spans="1:35" ht="15" x14ac:dyDescent="0.2">
      <c r="A212" s="7"/>
      <c r="B212" s="64" t="s">
        <v>2926</v>
      </c>
      <c r="C212" s="36" t="s">
        <v>43</v>
      </c>
      <c r="D212" s="86">
        <v>5</v>
      </c>
      <c r="E212" s="7" t="s">
        <v>3253</v>
      </c>
      <c r="F212" s="7"/>
      <c r="G212" s="86"/>
      <c r="H212" s="2" t="s">
        <v>3254</v>
      </c>
      <c r="I212" s="2" t="s">
        <v>981</v>
      </c>
      <c r="J212" s="2" t="s">
        <v>3256</v>
      </c>
      <c r="K212" s="2" t="s">
        <v>48</v>
      </c>
      <c r="L212" s="2" t="s">
        <v>3257</v>
      </c>
      <c r="M212" s="2" t="s">
        <v>3259</v>
      </c>
      <c r="N212" s="45" t="str">
        <f>HYPERLINK("twitter.com/LorasSoftball","@LorasSoftball")</f>
        <v>@LorasSoftball</v>
      </c>
      <c r="O212" s="45" t="str">
        <f t="shared" ref="O212:O215" si="171">HYPERLINK("https://duhawks.com/sports/2017/3/24/recruiting.aspx","Questionnaire")</f>
        <v>Questionnaire</v>
      </c>
      <c r="P212" s="108" t="s">
        <v>3269</v>
      </c>
      <c r="Q212" s="60" t="s">
        <v>2663</v>
      </c>
      <c r="R212" s="48" t="s">
        <v>3150</v>
      </c>
      <c r="S212" s="48" t="s">
        <v>186</v>
      </c>
      <c r="T212" s="49" t="s">
        <v>63</v>
      </c>
      <c r="U212" s="6" t="s">
        <v>343</v>
      </c>
      <c r="V212" s="49"/>
      <c r="W212" s="37">
        <v>3.38</v>
      </c>
      <c r="X212" s="49" t="s">
        <v>3270</v>
      </c>
      <c r="Y212" s="49" t="s">
        <v>3271</v>
      </c>
      <c r="Z212" s="49" t="s">
        <v>1994</v>
      </c>
      <c r="AA212" s="65">
        <v>0.92</v>
      </c>
      <c r="AB212" s="39">
        <v>42336</v>
      </c>
      <c r="AC212" s="52" t="s">
        <v>3269</v>
      </c>
      <c r="AD212" s="53" t="str">
        <f t="shared" ref="AD212:AD215" si="172">HYPERLINK("http://www.loras.edu/majors-programs/","Link")</f>
        <v>Link</v>
      </c>
      <c r="AE212" s="54">
        <v>1463</v>
      </c>
      <c r="AF212" s="55"/>
      <c r="AG212" s="55"/>
      <c r="AH212" s="56">
        <v>153825</v>
      </c>
      <c r="AI212" s="56"/>
    </row>
    <row r="213" spans="1:35" ht="15" x14ac:dyDescent="0.2">
      <c r="A213" s="7"/>
      <c r="B213" s="64" t="s">
        <v>2926</v>
      </c>
      <c r="C213" s="36" t="s">
        <v>43</v>
      </c>
      <c r="D213" s="86">
        <v>5</v>
      </c>
      <c r="E213" s="2" t="s">
        <v>3277</v>
      </c>
      <c r="F213" s="7"/>
      <c r="G213" s="86"/>
      <c r="H213" s="2" t="s">
        <v>3254</v>
      </c>
      <c r="I213" s="2" t="s">
        <v>3279</v>
      </c>
      <c r="J213" s="2" t="s">
        <v>3280</v>
      </c>
      <c r="K213" s="2" t="s">
        <v>55</v>
      </c>
      <c r="L213" s="2"/>
      <c r="M213" s="2"/>
      <c r="N213" s="48"/>
      <c r="O213" s="45" t="str">
        <f t="shared" si="171"/>
        <v>Questionnaire</v>
      </c>
      <c r="P213" s="108" t="s">
        <v>3269</v>
      </c>
      <c r="Q213" s="60" t="s">
        <v>2663</v>
      </c>
      <c r="R213" s="48" t="s">
        <v>3150</v>
      </c>
      <c r="S213" s="48" t="s">
        <v>186</v>
      </c>
      <c r="T213" s="49" t="s">
        <v>63</v>
      </c>
      <c r="U213" s="6" t="s">
        <v>343</v>
      </c>
      <c r="V213" s="49"/>
      <c r="W213" s="37">
        <v>3.38</v>
      </c>
      <c r="X213" s="49" t="s">
        <v>3270</v>
      </c>
      <c r="Y213" s="49" t="s">
        <v>3271</v>
      </c>
      <c r="Z213" s="49" t="s">
        <v>1994</v>
      </c>
      <c r="AA213" s="65">
        <v>0.92</v>
      </c>
      <c r="AB213" s="39">
        <v>42336</v>
      </c>
      <c r="AC213" s="52" t="s">
        <v>3269</v>
      </c>
      <c r="AD213" s="53" t="str">
        <f t="shared" si="172"/>
        <v>Link</v>
      </c>
      <c r="AE213" s="54">
        <v>1463</v>
      </c>
      <c r="AF213" s="55"/>
      <c r="AG213" s="55"/>
      <c r="AH213" s="56">
        <v>153825</v>
      </c>
      <c r="AI213" s="56"/>
    </row>
    <row r="214" spans="1:35" ht="15" x14ac:dyDescent="0.2">
      <c r="A214" s="7"/>
      <c r="B214" s="64" t="s">
        <v>2926</v>
      </c>
      <c r="C214" s="36" t="s">
        <v>43</v>
      </c>
      <c r="D214" s="86">
        <v>5</v>
      </c>
      <c r="E214" s="7" t="s">
        <v>3289</v>
      </c>
      <c r="F214" s="7"/>
      <c r="G214" s="86"/>
      <c r="H214" s="2" t="s">
        <v>3254</v>
      </c>
      <c r="I214" s="2" t="s">
        <v>807</v>
      </c>
      <c r="J214" s="2" t="s">
        <v>3291</v>
      </c>
      <c r="K214" s="2" t="s">
        <v>55</v>
      </c>
      <c r="L214" s="2"/>
      <c r="M214" s="2"/>
      <c r="N214" s="48"/>
      <c r="O214" s="45" t="str">
        <f t="shared" si="171"/>
        <v>Questionnaire</v>
      </c>
      <c r="P214" s="108" t="s">
        <v>3269</v>
      </c>
      <c r="Q214" s="60" t="s">
        <v>2663</v>
      </c>
      <c r="R214" s="48" t="s">
        <v>3150</v>
      </c>
      <c r="S214" s="48" t="s">
        <v>186</v>
      </c>
      <c r="T214" s="49" t="s">
        <v>63</v>
      </c>
      <c r="U214" s="6" t="s">
        <v>343</v>
      </c>
      <c r="V214" s="49"/>
      <c r="W214" s="37">
        <v>3.38</v>
      </c>
      <c r="X214" s="49" t="s">
        <v>3270</v>
      </c>
      <c r="Y214" s="49" t="s">
        <v>3271</v>
      </c>
      <c r="Z214" s="49" t="s">
        <v>1994</v>
      </c>
      <c r="AA214" s="65">
        <v>0.92</v>
      </c>
      <c r="AB214" s="39">
        <v>42336</v>
      </c>
      <c r="AC214" s="52" t="s">
        <v>3269</v>
      </c>
      <c r="AD214" s="53" t="str">
        <f t="shared" si="172"/>
        <v>Link</v>
      </c>
      <c r="AE214" s="54">
        <v>1463</v>
      </c>
      <c r="AF214" s="55"/>
      <c r="AG214" s="55"/>
      <c r="AH214" s="56">
        <v>153825</v>
      </c>
      <c r="AI214" s="56"/>
    </row>
    <row r="215" spans="1:35" ht="15" x14ac:dyDescent="0.2">
      <c r="A215" s="7"/>
      <c r="B215" s="64" t="s">
        <v>2926</v>
      </c>
      <c r="C215" s="36" t="s">
        <v>43</v>
      </c>
      <c r="D215" s="86">
        <v>5</v>
      </c>
      <c r="E215" s="2" t="s">
        <v>3297</v>
      </c>
      <c r="F215" s="7"/>
      <c r="G215" s="86"/>
      <c r="H215" s="2" t="s">
        <v>3254</v>
      </c>
      <c r="I215" s="2" t="s">
        <v>939</v>
      </c>
      <c r="J215" s="2" t="s">
        <v>3291</v>
      </c>
      <c r="K215" s="2" t="s">
        <v>55</v>
      </c>
      <c r="L215" s="2"/>
      <c r="M215" s="2"/>
      <c r="N215" s="48"/>
      <c r="O215" s="45" t="str">
        <f t="shared" si="171"/>
        <v>Questionnaire</v>
      </c>
      <c r="P215" s="108" t="s">
        <v>3269</v>
      </c>
      <c r="Q215" s="60" t="s">
        <v>2663</v>
      </c>
      <c r="R215" s="48" t="s">
        <v>3150</v>
      </c>
      <c r="S215" s="48" t="s">
        <v>186</v>
      </c>
      <c r="T215" s="49" t="s">
        <v>63</v>
      </c>
      <c r="U215" s="6" t="s">
        <v>343</v>
      </c>
      <c r="V215" s="49"/>
      <c r="W215" s="37">
        <v>3.38</v>
      </c>
      <c r="X215" s="49" t="s">
        <v>3270</v>
      </c>
      <c r="Y215" s="49" t="s">
        <v>3271</v>
      </c>
      <c r="Z215" s="49" t="s">
        <v>1994</v>
      </c>
      <c r="AA215" s="65">
        <v>0.92</v>
      </c>
      <c r="AB215" s="39">
        <v>42336</v>
      </c>
      <c r="AC215" s="52" t="s">
        <v>3269</v>
      </c>
      <c r="AD215" s="53" t="str">
        <f t="shared" si="172"/>
        <v>Link</v>
      </c>
      <c r="AE215" s="54">
        <v>1463</v>
      </c>
      <c r="AF215" s="55"/>
      <c r="AG215" s="55"/>
      <c r="AH215" s="56">
        <v>153825</v>
      </c>
      <c r="AI215" s="56"/>
    </row>
    <row r="216" spans="1:35" ht="13" x14ac:dyDescent="0.15">
      <c r="A216" s="7"/>
      <c r="B216" s="64" t="s">
        <v>2926</v>
      </c>
      <c r="C216" s="36" t="s">
        <v>43</v>
      </c>
      <c r="D216" s="86">
        <v>5</v>
      </c>
      <c r="E216" s="7" t="s">
        <v>3306</v>
      </c>
      <c r="F216" s="7"/>
      <c r="G216" s="86"/>
      <c r="H216" s="2" t="s">
        <v>3307</v>
      </c>
      <c r="I216" s="2" t="s">
        <v>3123</v>
      </c>
      <c r="J216" s="2" t="s">
        <v>3308</v>
      </c>
      <c r="K216" s="2" t="s">
        <v>48</v>
      </c>
      <c r="L216" s="2" t="s">
        <v>3309</v>
      </c>
      <c r="M216" s="2" t="s">
        <v>3310</v>
      </c>
      <c r="N216" s="45" t="str">
        <f>HYPERLINK("twitter.com/norsesoftball","@norsesoftball")</f>
        <v>@norsesoftball</v>
      </c>
      <c r="O216" s="45" t="str">
        <f>HYPERLINK("https://www.luther.edu/sports/recruit/recruit/","Questionnaire")</f>
        <v>Questionnaire</v>
      </c>
      <c r="P216" s="48" t="s">
        <v>3317</v>
      </c>
      <c r="Q216" s="60" t="s">
        <v>2663</v>
      </c>
      <c r="R216" s="48" t="s">
        <v>3318</v>
      </c>
      <c r="S216" s="60" t="s">
        <v>205</v>
      </c>
      <c r="T216" s="49" t="s">
        <v>63</v>
      </c>
      <c r="U216" s="6" t="s">
        <v>318</v>
      </c>
      <c r="V216" s="49"/>
      <c r="W216" s="37">
        <v>3.66</v>
      </c>
      <c r="X216" s="49" t="s">
        <v>3319</v>
      </c>
      <c r="Y216" s="49" t="s">
        <v>3320</v>
      </c>
      <c r="Z216" s="49" t="s">
        <v>78</v>
      </c>
      <c r="AA216" s="65">
        <v>0.68</v>
      </c>
      <c r="AB216" s="39">
        <v>52595</v>
      </c>
      <c r="AC216" s="84" t="s">
        <v>3317</v>
      </c>
      <c r="AD216" s="53" t="str">
        <f>HYPERLINK("http://www.luther.edu/catalog/academics/requirements/majors-minors/","Link")</f>
        <v>Link</v>
      </c>
      <c r="AE216" s="54">
        <v>2169</v>
      </c>
      <c r="AF216" s="55"/>
      <c r="AG216" s="54">
        <v>87</v>
      </c>
      <c r="AH216" s="56">
        <v>153834</v>
      </c>
      <c r="AI216" s="56"/>
    </row>
    <row r="217" spans="1:35" ht="13" x14ac:dyDescent="0.15">
      <c r="A217" s="7"/>
      <c r="B217" s="64" t="s">
        <v>2926</v>
      </c>
      <c r="C217" s="36" t="s">
        <v>43</v>
      </c>
      <c r="D217" s="44">
        <v>5</v>
      </c>
      <c r="E217" s="7" t="s">
        <v>3330</v>
      </c>
      <c r="F217" s="7" t="s">
        <v>116</v>
      </c>
      <c r="G217" s="57"/>
      <c r="H217" s="7" t="s">
        <v>3331</v>
      </c>
      <c r="I217" s="7" t="s">
        <v>3332</v>
      </c>
      <c r="J217" s="7" t="s">
        <v>3333</v>
      </c>
      <c r="K217" s="7" t="s">
        <v>55</v>
      </c>
      <c r="L217" s="7"/>
      <c r="M217" s="7"/>
      <c r="N217" s="45" t="str">
        <f t="shared" ref="N217:N222" si="173">HYPERLINK("twitter.com/scstormsoftball","@scstormsoftball")</f>
        <v>@scstormsoftball</v>
      </c>
      <c r="O217" s="45" t="str">
        <f t="shared" ref="O217:O222" si="174">HYPERLINK("http://www.simpsonathletics.com/information/recruitme/index","Questionnaire")</f>
        <v>Questionnaire</v>
      </c>
      <c r="P217" s="48" t="s">
        <v>3337</v>
      </c>
      <c r="Q217" s="60" t="s">
        <v>2663</v>
      </c>
      <c r="R217" s="48" t="s">
        <v>3339</v>
      </c>
      <c r="S217" s="48" t="s">
        <v>172</v>
      </c>
      <c r="T217" s="49" t="s">
        <v>63</v>
      </c>
      <c r="U217" s="6" t="s">
        <v>65</v>
      </c>
      <c r="V217" s="49"/>
      <c r="W217" s="7" t="s">
        <v>214</v>
      </c>
      <c r="X217" s="49" t="s">
        <v>3341</v>
      </c>
      <c r="Y217" s="49" t="s">
        <v>3342</v>
      </c>
      <c r="Z217" s="49" t="s">
        <v>545</v>
      </c>
      <c r="AA217" s="65">
        <v>0.85</v>
      </c>
      <c r="AB217" s="39">
        <v>48376</v>
      </c>
      <c r="AC217" s="84" t="s">
        <v>3337</v>
      </c>
      <c r="AD217" s="53" t="str">
        <f t="shared" ref="AD217:AD222" si="175">HYPERLINK("http://simpson.edu/academics/majors-and-minors/","Link")</f>
        <v>Link</v>
      </c>
      <c r="AE217" s="54">
        <v>1543</v>
      </c>
      <c r="AF217" s="55"/>
      <c r="AG217" s="54">
        <v>147</v>
      </c>
      <c r="AH217" s="56">
        <v>154350</v>
      </c>
      <c r="AI217" s="85"/>
    </row>
    <row r="218" spans="1:35" ht="13" x14ac:dyDescent="0.15">
      <c r="A218" s="7"/>
      <c r="B218" s="64" t="s">
        <v>2926</v>
      </c>
      <c r="C218" s="36" t="s">
        <v>43</v>
      </c>
      <c r="D218" s="86">
        <v>5</v>
      </c>
      <c r="E218" s="2" t="s">
        <v>3346</v>
      </c>
      <c r="F218" s="7"/>
      <c r="G218" s="86"/>
      <c r="H218" s="2" t="s">
        <v>3331</v>
      </c>
      <c r="I218" s="2" t="s">
        <v>3108</v>
      </c>
      <c r="J218" s="2" t="s">
        <v>3348</v>
      </c>
      <c r="K218" s="2" t="s">
        <v>48</v>
      </c>
      <c r="L218" s="2" t="s">
        <v>3349</v>
      </c>
      <c r="M218" s="2" t="s">
        <v>3350</v>
      </c>
      <c r="N218" s="45" t="str">
        <f t="shared" si="173"/>
        <v>@scstormsoftball</v>
      </c>
      <c r="O218" s="45" t="str">
        <f t="shared" si="174"/>
        <v>Questionnaire</v>
      </c>
      <c r="P218" s="48" t="s">
        <v>3337</v>
      </c>
      <c r="Q218" s="60" t="s">
        <v>2663</v>
      </c>
      <c r="R218" s="48" t="s">
        <v>3339</v>
      </c>
      <c r="S218" s="48" t="s">
        <v>172</v>
      </c>
      <c r="T218" s="49" t="s">
        <v>63</v>
      </c>
      <c r="U218" s="6" t="s">
        <v>65</v>
      </c>
      <c r="V218" s="49"/>
      <c r="W218" s="7" t="s">
        <v>214</v>
      </c>
      <c r="X218" s="49" t="s">
        <v>3341</v>
      </c>
      <c r="Y218" s="49" t="s">
        <v>3342</v>
      </c>
      <c r="Z218" s="49" t="s">
        <v>545</v>
      </c>
      <c r="AA218" s="65">
        <v>0.85</v>
      </c>
      <c r="AB218" s="39">
        <v>48376</v>
      </c>
      <c r="AC218" s="84" t="s">
        <v>3337</v>
      </c>
      <c r="AD218" s="53" t="str">
        <f t="shared" si="175"/>
        <v>Link</v>
      </c>
      <c r="AE218" s="54">
        <v>1543</v>
      </c>
      <c r="AF218" s="55"/>
      <c r="AG218" s="54">
        <v>147</v>
      </c>
      <c r="AH218" s="56">
        <v>154350</v>
      </c>
      <c r="AI218" s="56"/>
    </row>
    <row r="219" spans="1:35" ht="13" x14ac:dyDescent="0.15">
      <c r="A219" s="7"/>
      <c r="B219" s="64" t="s">
        <v>2926</v>
      </c>
      <c r="C219" s="36" t="s">
        <v>43</v>
      </c>
      <c r="D219" s="86">
        <v>5</v>
      </c>
      <c r="E219" s="7" t="s">
        <v>3360</v>
      </c>
      <c r="F219" s="7"/>
      <c r="G219" s="86"/>
      <c r="H219" s="2" t="s">
        <v>3331</v>
      </c>
      <c r="I219" s="2" t="s">
        <v>111</v>
      </c>
      <c r="J219" s="2" t="s">
        <v>3363</v>
      </c>
      <c r="K219" s="2" t="s">
        <v>55</v>
      </c>
      <c r="L219" s="7" t="s">
        <v>3365</v>
      </c>
      <c r="M219" s="7" t="s">
        <v>3366</v>
      </c>
      <c r="N219" s="45" t="str">
        <f t="shared" si="173"/>
        <v>@scstormsoftball</v>
      </c>
      <c r="O219" s="45" t="str">
        <f t="shared" si="174"/>
        <v>Questionnaire</v>
      </c>
      <c r="P219" s="48" t="s">
        <v>3337</v>
      </c>
      <c r="Q219" s="60" t="s">
        <v>2663</v>
      </c>
      <c r="R219" s="48" t="s">
        <v>3339</v>
      </c>
      <c r="S219" s="48" t="s">
        <v>172</v>
      </c>
      <c r="T219" s="49" t="s">
        <v>63</v>
      </c>
      <c r="U219" s="6" t="s">
        <v>65</v>
      </c>
      <c r="V219" s="49"/>
      <c r="W219" s="7" t="s">
        <v>214</v>
      </c>
      <c r="X219" s="49" t="s">
        <v>3341</v>
      </c>
      <c r="Y219" s="49" t="s">
        <v>3342</v>
      </c>
      <c r="Z219" s="49" t="s">
        <v>545</v>
      </c>
      <c r="AA219" s="65">
        <v>0.85</v>
      </c>
      <c r="AB219" s="39">
        <v>48376</v>
      </c>
      <c r="AC219" s="84" t="s">
        <v>3337</v>
      </c>
      <c r="AD219" s="53" t="str">
        <f t="shared" si="175"/>
        <v>Link</v>
      </c>
      <c r="AE219" s="54">
        <v>1543</v>
      </c>
      <c r="AF219" s="55"/>
      <c r="AG219" s="54">
        <v>147</v>
      </c>
      <c r="AH219" s="56">
        <v>154350</v>
      </c>
      <c r="AI219" s="56"/>
    </row>
    <row r="220" spans="1:35" ht="13" x14ac:dyDescent="0.15">
      <c r="A220" s="7"/>
      <c r="B220" s="64" t="s">
        <v>2926</v>
      </c>
      <c r="C220" s="36" t="s">
        <v>43</v>
      </c>
      <c r="D220" s="86">
        <v>5</v>
      </c>
      <c r="E220" s="2" t="s">
        <v>3372</v>
      </c>
      <c r="F220" s="7"/>
      <c r="G220" s="86"/>
      <c r="H220" s="2" t="s">
        <v>3331</v>
      </c>
      <c r="I220" s="2" t="s">
        <v>150</v>
      </c>
      <c r="J220" s="2" t="s">
        <v>494</v>
      </c>
      <c r="K220" s="2" t="s">
        <v>55</v>
      </c>
      <c r="L220" s="2" t="s">
        <v>3373</v>
      </c>
      <c r="M220" s="2"/>
      <c r="N220" s="45" t="str">
        <f t="shared" si="173"/>
        <v>@scstormsoftball</v>
      </c>
      <c r="O220" s="45" t="str">
        <f t="shared" si="174"/>
        <v>Questionnaire</v>
      </c>
      <c r="P220" s="48" t="s">
        <v>3337</v>
      </c>
      <c r="Q220" s="60" t="s">
        <v>2663</v>
      </c>
      <c r="R220" s="48" t="s">
        <v>3339</v>
      </c>
      <c r="S220" s="48" t="s">
        <v>172</v>
      </c>
      <c r="T220" s="49" t="s">
        <v>63</v>
      </c>
      <c r="U220" s="6" t="s">
        <v>65</v>
      </c>
      <c r="V220" s="49"/>
      <c r="W220" s="7" t="s">
        <v>214</v>
      </c>
      <c r="X220" s="49" t="s">
        <v>3341</v>
      </c>
      <c r="Y220" s="49" t="s">
        <v>3342</v>
      </c>
      <c r="Z220" s="49" t="s">
        <v>545</v>
      </c>
      <c r="AA220" s="65">
        <v>0.85</v>
      </c>
      <c r="AB220" s="39">
        <v>48376</v>
      </c>
      <c r="AC220" s="84" t="s">
        <v>3337</v>
      </c>
      <c r="AD220" s="53" t="str">
        <f t="shared" si="175"/>
        <v>Link</v>
      </c>
      <c r="AE220" s="54">
        <v>1543</v>
      </c>
      <c r="AF220" s="55"/>
      <c r="AG220" s="54">
        <v>147</v>
      </c>
      <c r="AH220" s="56">
        <v>154350</v>
      </c>
      <c r="AI220" s="56"/>
    </row>
    <row r="221" spans="1:35" ht="13" x14ac:dyDescent="0.15">
      <c r="A221" s="7"/>
      <c r="B221" s="64" t="s">
        <v>2926</v>
      </c>
      <c r="C221" s="36" t="s">
        <v>43</v>
      </c>
      <c r="D221" s="86">
        <v>5</v>
      </c>
      <c r="E221" s="7" t="s">
        <v>3380</v>
      </c>
      <c r="F221" s="7"/>
      <c r="G221" s="86"/>
      <c r="H221" s="2" t="s">
        <v>3331</v>
      </c>
      <c r="I221" s="2" t="s">
        <v>3382</v>
      </c>
      <c r="J221" s="2" t="s">
        <v>3383</v>
      </c>
      <c r="K221" s="2" t="s">
        <v>55</v>
      </c>
      <c r="L221" s="2"/>
      <c r="M221" s="2"/>
      <c r="N221" s="45" t="str">
        <f t="shared" si="173"/>
        <v>@scstormsoftball</v>
      </c>
      <c r="O221" s="45" t="str">
        <f t="shared" si="174"/>
        <v>Questionnaire</v>
      </c>
      <c r="P221" s="48" t="s">
        <v>3337</v>
      </c>
      <c r="Q221" s="60" t="s">
        <v>2663</v>
      </c>
      <c r="R221" s="48" t="s">
        <v>3339</v>
      </c>
      <c r="S221" s="48" t="s">
        <v>172</v>
      </c>
      <c r="T221" s="49" t="s">
        <v>63</v>
      </c>
      <c r="U221" s="6" t="s">
        <v>65</v>
      </c>
      <c r="V221" s="49"/>
      <c r="W221" s="7" t="s">
        <v>214</v>
      </c>
      <c r="X221" s="49" t="s">
        <v>3341</v>
      </c>
      <c r="Y221" s="49" t="s">
        <v>3342</v>
      </c>
      <c r="Z221" s="49" t="s">
        <v>545</v>
      </c>
      <c r="AA221" s="65">
        <v>0.85</v>
      </c>
      <c r="AB221" s="39">
        <v>48376</v>
      </c>
      <c r="AC221" s="84" t="s">
        <v>3337</v>
      </c>
      <c r="AD221" s="53" t="str">
        <f t="shared" si="175"/>
        <v>Link</v>
      </c>
      <c r="AE221" s="54">
        <v>1543</v>
      </c>
      <c r="AF221" s="55"/>
      <c r="AG221" s="54">
        <v>147</v>
      </c>
      <c r="AH221" s="56">
        <v>154350</v>
      </c>
      <c r="AI221" s="56"/>
    </row>
    <row r="222" spans="1:35" ht="13" x14ac:dyDescent="0.15">
      <c r="A222" s="7"/>
      <c r="B222" s="64" t="s">
        <v>2926</v>
      </c>
      <c r="C222" s="36" t="s">
        <v>43</v>
      </c>
      <c r="D222" s="86">
        <v>5</v>
      </c>
      <c r="E222" s="2" t="s">
        <v>3384</v>
      </c>
      <c r="F222" s="7"/>
      <c r="G222" s="86"/>
      <c r="H222" s="2" t="s">
        <v>3331</v>
      </c>
      <c r="I222" s="2" t="s">
        <v>3385</v>
      </c>
      <c r="J222" s="2" t="s">
        <v>3387</v>
      </c>
      <c r="K222" s="2" t="s">
        <v>55</v>
      </c>
      <c r="L222" s="7" t="s">
        <v>3388</v>
      </c>
      <c r="M222" s="2"/>
      <c r="N222" s="45" t="str">
        <f t="shared" si="173"/>
        <v>@scstormsoftball</v>
      </c>
      <c r="O222" s="45" t="str">
        <f t="shared" si="174"/>
        <v>Questionnaire</v>
      </c>
      <c r="P222" s="48" t="s">
        <v>3337</v>
      </c>
      <c r="Q222" s="60" t="s">
        <v>2663</v>
      </c>
      <c r="R222" s="48" t="s">
        <v>3339</v>
      </c>
      <c r="S222" s="48" t="s">
        <v>172</v>
      </c>
      <c r="T222" s="49" t="s">
        <v>63</v>
      </c>
      <c r="U222" s="6" t="s">
        <v>65</v>
      </c>
      <c r="V222" s="49"/>
      <c r="W222" s="7" t="s">
        <v>214</v>
      </c>
      <c r="X222" s="49" t="s">
        <v>3341</v>
      </c>
      <c r="Y222" s="49" t="s">
        <v>3342</v>
      </c>
      <c r="Z222" s="49" t="s">
        <v>545</v>
      </c>
      <c r="AA222" s="65">
        <v>0.85</v>
      </c>
      <c r="AB222" s="39">
        <v>48376</v>
      </c>
      <c r="AC222" s="84" t="s">
        <v>3337</v>
      </c>
      <c r="AD222" s="53" t="str">
        <f t="shared" si="175"/>
        <v>Link</v>
      </c>
      <c r="AE222" s="54">
        <v>1543</v>
      </c>
      <c r="AF222" s="55"/>
      <c r="AG222" s="54">
        <v>147</v>
      </c>
      <c r="AH222" s="56">
        <v>154350</v>
      </c>
      <c r="AI222" s="56"/>
    </row>
    <row r="223" spans="1:35" ht="13" x14ac:dyDescent="0.15">
      <c r="A223" s="7"/>
      <c r="B223" s="64" t="s">
        <v>2926</v>
      </c>
      <c r="C223" s="2" t="s">
        <v>43</v>
      </c>
      <c r="D223" s="44">
        <v>5</v>
      </c>
      <c r="E223" s="2" t="s">
        <v>3396</v>
      </c>
      <c r="F223" s="7"/>
      <c r="G223" s="7"/>
      <c r="H223" s="2" t="s">
        <v>3397</v>
      </c>
      <c r="I223" s="7" t="s">
        <v>1124</v>
      </c>
      <c r="J223" s="7" t="s">
        <v>3398</v>
      </c>
      <c r="K223" s="7" t="s">
        <v>55</v>
      </c>
      <c r="L223" s="7" t="s">
        <v>3400</v>
      </c>
      <c r="M223" s="7"/>
      <c r="N223" s="48"/>
      <c r="O223" s="48"/>
      <c r="P223" s="47" t="s">
        <v>3401</v>
      </c>
      <c r="Q223" s="47" t="s">
        <v>2663</v>
      </c>
      <c r="R223" s="48" t="s">
        <v>3404</v>
      </c>
      <c r="S223" s="48" t="s">
        <v>172</v>
      </c>
      <c r="T223" s="49" t="s">
        <v>63</v>
      </c>
      <c r="U223" s="49" t="s">
        <v>318</v>
      </c>
      <c r="V223" s="7"/>
      <c r="W223" s="44">
        <v>3.51</v>
      </c>
      <c r="X223" s="49" t="s">
        <v>3405</v>
      </c>
      <c r="Y223" s="49" t="s">
        <v>3406</v>
      </c>
      <c r="Z223" s="49" t="s">
        <v>1650</v>
      </c>
      <c r="AA223" s="61">
        <v>0.68</v>
      </c>
      <c r="AB223" s="71">
        <v>50240</v>
      </c>
      <c r="AC223" s="92" t="s">
        <v>3401</v>
      </c>
      <c r="AD223" s="53" t="str">
        <f t="shared" ref="AD223:AD224" si="176">HYPERLINK("http://www.wartburg.edu/academics/","Link")</f>
        <v>Link</v>
      </c>
      <c r="AE223" s="54">
        <v>1482</v>
      </c>
      <c r="AF223" s="55"/>
      <c r="AG223" s="44">
        <v>128</v>
      </c>
      <c r="AH223" s="56">
        <v>154527</v>
      </c>
      <c r="AI223" s="56"/>
    </row>
    <row r="224" spans="1:35" ht="13" x14ac:dyDescent="0.15">
      <c r="A224" s="7"/>
      <c r="B224" s="64" t="s">
        <v>2926</v>
      </c>
      <c r="C224" s="2" t="s">
        <v>43</v>
      </c>
      <c r="D224" s="44">
        <v>5</v>
      </c>
      <c r="E224" s="2" t="s">
        <v>3409</v>
      </c>
      <c r="F224" s="7"/>
      <c r="G224" s="7"/>
      <c r="H224" s="2" t="s">
        <v>3397</v>
      </c>
      <c r="I224" s="7" t="s">
        <v>1217</v>
      </c>
      <c r="J224" s="7" t="s">
        <v>3412</v>
      </c>
      <c r="K224" s="7" t="s">
        <v>48</v>
      </c>
      <c r="L224" s="7" t="s">
        <v>3414</v>
      </c>
      <c r="M224" s="7" t="s">
        <v>3416</v>
      </c>
      <c r="N224" s="48"/>
      <c r="O224" s="48"/>
      <c r="P224" s="47" t="s">
        <v>3401</v>
      </c>
      <c r="Q224" s="47" t="s">
        <v>2663</v>
      </c>
      <c r="R224" s="48" t="s">
        <v>3404</v>
      </c>
      <c r="S224" s="48" t="s">
        <v>172</v>
      </c>
      <c r="T224" s="49" t="s">
        <v>63</v>
      </c>
      <c r="U224" s="49" t="s">
        <v>318</v>
      </c>
      <c r="V224" s="7"/>
      <c r="W224" s="44">
        <v>3.51</v>
      </c>
      <c r="X224" s="49" t="s">
        <v>3405</v>
      </c>
      <c r="Y224" s="49" t="s">
        <v>3406</v>
      </c>
      <c r="Z224" s="49" t="s">
        <v>1650</v>
      </c>
      <c r="AA224" s="61">
        <v>0.68</v>
      </c>
      <c r="AB224" s="71">
        <v>50240</v>
      </c>
      <c r="AC224" s="92" t="s">
        <v>3401</v>
      </c>
      <c r="AD224" s="53" t="str">
        <f t="shared" si="176"/>
        <v>Link</v>
      </c>
      <c r="AE224" s="54">
        <v>1482</v>
      </c>
      <c r="AF224" s="55"/>
      <c r="AG224" s="44">
        <v>128</v>
      </c>
      <c r="AH224" s="56">
        <v>154527</v>
      </c>
      <c r="AI224" s="56"/>
    </row>
    <row r="225" spans="1:35" ht="13" x14ac:dyDescent="0.15">
      <c r="A225" s="7"/>
      <c r="B225" s="64" t="s">
        <v>3417</v>
      </c>
      <c r="C225" s="2" t="s">
        <v>43</v>
      </c>
      <c r="D225" s="44">
        <v>5</v>
      </c>
      <c r="E225" s="2" t="s">
        <v>3418</v>
      </c>
      <c r="F225" s="7"/>
      <c r="G225" s="7"/>
      <c r="H225" s="2" t="s">
        <v>3419</v>
      </c>
      <c r="I225" s="7" t="s">
        <v>2031</v>
      </c>
      <c r="J225" s="7" t="s">
        <v>3421</v>
      </c>
      <c r="K225" s="7" t="s">
        <v>55</v>
      </c>
      <c r="L225" s="7" t="s">
        <v>3423</v>
      </c>
      <c r="M225" s="7"/>
      <c r="N225" s="48"/>
      <c r="O225" s="48"/>
      <c r="P225" s="60" t="s">
        <v>3426</v>
      </c>
      <c r="Q225" s="60" t="s">
        <v>935</v>
      </c>
      <c r="R225" s="48" t="s">
        <v>3427</v>
      </c>
      <c r="S225" s="48" t="s">
        <v>172</v>
      </c>
      <c r="T225" s="49" t="s">
        <v>63</v>
      </c>
      <c r="U225" s="49" t="s">
        <v>75</v>
      </c>
      <c r="V225" s="7"/>
      <c r="W225" s="44">
        <v>3.45</v>
      </c>
      <c r="X225" s="49" t="s">
        <v>676</v>
      </c>
      <c r="Y225" s="49" t="s">
        <v>1723</v>
      </c>
      <c r="Z225" s="49" t="s">
        <v>320</v>
      </c>
      <c r="AA225" s="51">
        <v>0.32790000000000002</v>
      </c>
      <c r="AB225" s="71">
        <v>35042</v>
      </c>
      <c r="AC225" s="90" t="s">
        <v>3426</v>
      </c>
      <c r="AD225" s="53" t="str">
        <f t="shared" ref="AD225:AD227" si="177">HYPERLINK("http://catalog.berea.edu/en/Current/Catalog/Programs-of-Study","Link")</f>
        <v>Link</v>
      </c>
      <c r="AE225" s="54">
        <v>1665</v>
      </c>
      <c r="AF225" s="55"/>
      <c r="AG225" s="44">
        <v>68</v>
      </c>
      <c r="AH225" s="56">
        <v>156295</v>
      </c>
      <c r="AI225" s="56"/>
    </row>
    <row r="226" spans="1:35" ht="13" x14ac:dyDescent="0.15">
      <c r="A226" s="7"/>
      <c r="B226" s="64" t="s">
        <v>3417</v>
      </c>
      <c r="C226" s="2" t="s">
        <v>43</v>
      </c>
      <c r="D226" s="44">
        <v>5</v>
      </c>
      <c r="E226" s="2" t="s">
        <v>3431</v>
      </c>
      <c r="F226" s="7"/>
      <c r="G226" s="7"/>
      <c r="H226" s="2" t="s">
        <v>3419</v>
      </c>
      <c r="I226" s="7" t="s">
        <v>1471</v>
      </c>
      <c r="J226" s="7" t="s">
        <v>2031</v>
      </c>
      <c r="K226" s="7" t="s">
        <v>139</v>
      </c>
      <c r="L226" s="7"/>
      <c r="M226" s="7"/>
      <c r="N226" s="48"/>
      <c r="O226" s="48"/>
      <c r="P226" s="60" t="s">
        <v>3426</v>
      </c>
      <c r="Q226" s="60" t="s">
        <v>935</v>
      </c>
      <c r="R226" s="48" t="s">
        <v>3427</v>
      </c>
      <c r="S226" s="48" t="s">
        <v>172</v>
      </c>
      <c r="T226" s="49" t="s">
        <v>63</v>
      </c>
      <c r="U226" s="49" t="s">
        <v>75</v>
      </c>
      <c r="V226" s="7"/>
      <c r="W226" s="44">
        <v>3.45</v>
      </c>
      <c r="X226" s="49" t="s">
        <v>676</v>
      </c>
      <c r="Y226" s="49" t="s">
        <v>1723</v>
      </c>
      <c r="Z226" s="49" t="s">
        <v>320</v>
      </c>
      <c r="AA226" s="51">
        <v>0.32790000000000002</v>
      </c>
      <c r="AB226" s="71">
        <v>35042</v>
      </c>
      <c r="AC226" s="90" t="s">
        <v>3426</v>
      </c>
      <c r="AD226" s="53" t="str">
        <f t="shared" si="177"/>
        <v>Link</v>
      </c>
      <c r="AE226" s="54">
        <v>1665</v>
      </c>
      <c r="AF226" s="55"/>
      <c r="AG226" s="44">
        <v>68</v>
      </c>
      <c r="AH226" s="56">
        <v>156295</v>
      </c>
      <c r="AI226" s="56"/>
    </row>
    <row r="227" spans="1:35" ht="13" x14ac:dyDescent="0.15">
      <c r="A227" s="7"/>
      <c r="B227" s="64" t="s">
        <v>3417</v>
      </c>
      <c r="C227" s="2" t="s">
        <v>43</v>
      </c>
      <c r="D227" s="44">
        <v>5</v>
      </c>
      <c r="E227" s="2" t="s">
        <v>3439</v>
      </c>
      <c r="F227" s="7"/>
      <c r="G227" s="7"/>
      <c r="H227" s="2" t="s">
        <v>3419</v>
      </c>
      <c r="I227" s="7" t="s">
        <v>1052</v>
      </c>
      <c r="J227" s="7" t="s">
        <v>3440</v>
      </c>
      <c r="K227" s="7" t="s">
        <v>48</v>
      </c>
      <c r="L227" s="7" t="s">
        <v>3441</v>
      </c>
      <c r="M227" s="7" t="s">
        <v>3442</v>
      </c>
      <c r="N227" s="48"/>
      <c r="O227" s="48"/>
      <c r="P227" s="60" t="s">
        <v>3426</v>
      </c>
      <c r="Q227" s="60" t="s">
        <v>935</v>
      </c>
      <c r="R227" s="48" t="s">
        <v>3427</v>
      </c>
      <c r="S227" s="48" t="s">
        <v>172</v>
      </c>
      <c r="T227" s="49" t="s">
        <v>63</v>
      </c>
      <c r="U227" s="49" t="s">
        <v>75</v>
      </c>
      <c r="V227" s="7"/>
      <c r="W227" s="44">
        <v>3.45</v>
      </c>
      <c r="X227" s="49" t="s">
        <v>676</v>
      </c>
      <c r="Y227" s="49" t="s">
        <v>1723</v>
      </c>
      <c r="Z227" s="49" t="s">
        <v>320</v>
      </c>
      <c r="AA227" s="51">
        <v>0.32790000000000002</v>
      </c>
      <c r="AB227" s="71">
        <v>35042</v>
      </c>
      <c r="AC227" s="90" t="s">
        <v>3426</v>
      </c>
      <c r="AD227" s="53" t="str">
        <f t="shared" si="177"/>
        <v>Link</v>
      </c>
      <c r="AE227" s="54">
        <v>1665</v>
      </c>
      <c r="AF227" s="55"/>
      <c r="AG227" s="44">
        <v>68</v>
      </c>
      <c r="AH227" s="56">
        <v>156295</v>
      </c>
      <c r="AI227" s="56"/>
    </row>
    <row r="228" spans="1:35" ht="13" x14ac:dyDescent="0.15">
      <c r="A228" s="7"/>
      <c r="B228" s="88" t="s">
        <v>3417</v>
      </c>
      <c r="C228" s="36" t="s">
        <v>43</v>
      </c>
      <c r="D228" s="44">
        <v>5</v>
      </c>
      <c r="E228" s="2" t="s">
        <v>3446</v>
      </c>
      <c r="F228" s="7"/>
      <c r="G228" s="7"/>
      <c r="H228" s="2" t="s">
        <v>3447</v>
      </c>
      <c r="I228" s="7" t="s">
        <v>1717</v>
      </c>
      <c r="J228" s="7" t="s">
        <v>196</v>
      </c>
      <c r="K228" s="7" t="s">
        <v>48</v>
      </c>
      <c r="L228" s="7" t="s">
        <v>3448</v>
      </c>
      <c r="M228" s="7" t="s">
        <v>3449</v>
      </c>
      <c r="N228" s="48"/>
      <c r="O228" s="48"/>
      <c r="P228" s="60" t="s">
        <v>3450</v>
      </c>
      <c r="Q228" s="60" t="s">
        <v>935</v>
      </c>
      <c r="R228" s="6" t="s">
        <v>3452</v>
      </c>
      <c r="S228" s="6" t="s">
        <v>172</v>
      </c>
      <c r="T228" s="4" t="s">
        <v>63</v>
      </c>
      <c r="U228" s="6" t="s">
        <v>248</v>
      </c>
      <c r="V228" s="4"/>
      <c r="W228" s="37">
        <v>3.63</v>
      </c>
      <c r="X228" s="4" t="s">
        <v>3454</v>
      </c>
      <c r="Y228" s="4" t="s">
        <v>3455</v>
      </c>
      <c r="Z228" s="4" t="s">
        <v>179</v>
      </c>
      <c r="AA228" s="38">
        <v>0.74250000000000005</v>
      </c>
      <c r="AB228" s="39">
        <v>52460</v>
      </c>
      <c r="AC228" s="90" t="s">
        <v>3450</v>
      </c>
      <c r="AD228" s="67" t="str">
        <f t="shared" ref="AD228:AD229" si="178">HYPERLINK("https://www.centre.edu/academics/majors-minors/","Link")</f>
        <v>Link</v>
      </c>
      <c r="AE228" s="42">
        <v>1430</v>
      </c>
      <c r="AF228" s="55"/>
      <c r="AG228" s="42">
        <v>46</v>
      </c>
      <c r="AH228" s="56">
        <v>156408</v>
      </c>
      <c r="AI228" s="56"/>
    </row>
    <row r="229" spans="1:35" ht="13" x14ac:dyDescent="0.15">
      <c r="A229" s="7"/>
      <c r="B229" s="88" t="s">
        <v>3417</v>
      </c>
      <c r="C229" s="36" t="s">
        <v>43</v>
      </c>
      <c r="D229" s="44">
        <v>5</v>
      </c>
      <c r="E229" s="2" t="s">
        <v>3463</v>
      </c>
      <c r="F229" s="7"/>
      <c r="G229" s="7"/>
      <c r="H229" s="2" t="s">
        <v>3447</v>
      </c>
      <c r="I229" s="7" t="s">
        <v>3464</v>
      </c>
      <c r="J229" s="7" t="s">
        <v>3465</v>
      </c>
      <c r="K229" s="7" t="s">
        <v>55</v>
      </c>
      <c r="L229" s="7" t="s">
        <v>3466</v>
      </c>
      <c r="M229" s="7"/>
      <c r="N229" s="48"/>
      <c r="O229" s="48"/>
      <c r="P229" s="60" t="s">
        <v>3450</v>
      </c>
      <c r="Q229" s="60" t="s">
        <v>935</v>
      </c>
      <c r="R229" s="6" t="s">
        <v>3452</v>
      </c>
      <c r="S229" s="6" t="s">
        <v>172</v>
      </c>
      <c r="T229" s="4" t="s">
        <v>63</v>
      </c>
      <c r="U229" s="6" t="s">
        <v>248</v>
      </c>
      <c r="V229" s="4"/>
      <c r="W229" s="37">
        <v>3.63</v>
      </c>
      <c r="X229" s="4" t="s">
        <v>3454</v>
      </c>
      <c r="Y229" s="4" t="s">
        <v>3455</v>
      </c>
      <c r="Z229" s="4" t="s">
        <v>179</v>
      </c>
      <c r="AA229" s="38">
        <v>0.74250000000000005</v>
      </c>
      <c r="AB229" s="39">
        <v>52460</v>
      </c>
      <c r="AC229" s="90" t="s">
        <v>3450</v>
      </c>
      <c r="AD229" s="67" t="str">
        <f t="shared" si="178"/>
        <v>Link</v>
      </c>
      <c r="AE229" s="42">
        <v>1430</v>
      </c>
      <c r="AF229" s="55"/>
      <c r="AG229" s="42">
        <v>46</v>
      </c>
      <c r="AH229" s="56">
        <v>156408</v>
      </c>
      <c r="AI229" s="56"/>
    </row>
    <row r="230" spans="1:35" ht="13" x14ac:dyDescent="0.15">
      <c r="A230" s="7"/>
      <c r="B230" s="88" t="s">
        <v>3417</v>
      </c>
      <c r="C230" s="36" t="s">
        <v>43</v>
      </c>
      <c r="D230" s="44">
        <v>5</v>
      </c>
      <c r="E230" s="2" t="s">
        <v>3474</v>
      </c>
      <c r="F230" s="7"/>
      <c r="G230" s="7"/>
      <c r="H230" s="2" t="s">
        <v>3475</v>
      </c>
      <c r="I230" s="7" t="s">
        <v>1080</v>
      </c>
      <c r="J230" s="7" t="s">
        <v>3476</v>
      </c>
      <c r="K230" s="7" t="s">
        <v>55</v>
      </c>
      <c r="L230" s="7" t="s">
        <v>3477</v>
      </c>
      <c r="M230" s="7"/>
      <c r="N230" s="48"/>
      <c r="O230" s="48"/>
      <c r="P230" s="6" t="s">
        <v>3478</v>
      </c>
      <c r="Q230" s="60" t="s">
        <v>935</v>
      </c>
      <c r="R230" s="6" t="s">
        <v>953</v>
      </c>
      <c r="S230" s="6" t="s">
        <v>354</v>
      </c>
      <c r="T230" s="4" t="s">
        <v>63</v>
      </c>
      <c r="U230" s="6" t="s">
        <v>343</v>
      </c>
      <c r="V230" s="4"/>
      <c r="W230" s="37">
        <v>3.87</v>
      </c>
      <c r="X230" s="4" t="s">
        <v>3479</v>
      </c>
      <c r="Y230" s="4" t="s">
        <v>3480</v>
      </c>
      <c r="Z230" s="4" t="s">
        <v>449</v>
      </c>
      <c r="AA230" s="65">
        <v>0.5</v>
      </c>
      <c r="AB230" s="39">
        <v>37112</v>
      </c>
      <c r="AC230" s="84" t="s">
        <v>3478</v>
      </c>
      <c r="AD230" s="67" t="str">
        <f t="shared" ref="AD230:AD231" si="179">HYPERLINK("https://spalding.edu/programs/","Link")</f>
        <v>Link</v>
      </c>
      <c r="AE230" s="42">
        <v>1316</v>
      </c>
      <c r="AF230" s="55"/>
      <c r="AG230" s="55"/>
      <c r="AH230" s="56">
        <v>157757</v>
      </c>
      <c r="AI230" s="56"/>
    </row>
    <row r="231" spans="1:35" ht="13" x14ac:dyDescent="0.15">
      <c r="A231" s="7"/>
      <c r="B231" s="88" t="s">
        <v>3417</v>
      </c>
      <c r="C231" s="36" t="s">
        <v>43</v>
      </c>
      <c r="D231" s="44">
        <v>5</v>
      </c>
      <c r="E231" s="2" t="s">
        <v>3487</v>
      </c>
      <c r="F231" s="7"/>
      <c r="G231" s="7"/>
      <c r="H231" s="2" t="s">
        <v>3475</v>
      </c>
      <c r="I231" s="7" t="s">
        <v>3488</v>
      </c>
      <c r="J231" s="7" t="s">
        <v>1906</v>
      </c>
      <c r="K231" s="7" t="s">
        <v>48</v>
      </c>
      <c r="L231" s="7" t="s">
        <v>3489</v>
      </c>
      <c r="M231" s="7" t="s">
        <v>3491</v>
      </c>
      <c r="N231" s="48"/>
      <c r="O231" s="48"/>
      <c r="P231" s="6" t="s">
        <v>3478</v>
      </c>
      <c r="Q231" s="60" t="s">
        <v>935</v>
      </c>
      <c r="R231" s="6" t="s">
        <v>953</v>
      </c>
      <c r="S231" s="6" t="s">
        <v>354</v>
      </c>
      <c r="T231" s="4" t="s">
        <v>63</v>
      </c>
      <c r="U231" s="6" t="s">
        <v>343</v>
      </c>
      <c r="V231" s="4"/>
      <c r="W231" s="37">
        <v>3.87</v>
      </c>
      <c r="X231" s="4" t="s">
        <v>3479</v>
      </c>
      <c r="Y231" s="4" t="s">
        <v>3480</v>
      </c>
      <c r="Z231" s="4" t="s">
        <v>449</v>
      </c>
      <c r="AA231" s="65">
        <v>0.5</v>
      </c>
      <c r="AB231" s="39">
        <v>37112</v>
      </c>
      <c r="AC231" s="84" t="s">
        <v>3478</v>
      </c>
      <c r="AD231" s="67" t="str">
        <f t="shared" si="179"/>
        <v>Link</v>
      </c>
      <c r="AE231" s="42">
        <v>1316</v>
      </c>
      <c r="AF231" s="55"/>
      <c r="AG231" s="55"/>
      <c r="AH231" s="56">
        <v>157757</v>
      </c>
      <c r="AI231" s="56"/>
    </row>
    <row r="232" spans="1:35" ht="13" x14ac:dyDescent="0.15">
      <c r="A232" s="7"/>
      <c r="B232" s="64" t="s">
        <v>3417</v>
      </c>
      <c r="C232" s="36" t="s">
        <v>43</v>
      </c>
      <c r="D232" s="44">
        <v>5</v>
      </c>
      <c r="E232" s="2" t="s">
        <v>3500</v>
      </c>
      <c r="F232" s="7"/>
      <c r="G232" s="7"/>
      <c r="H232" s="2" t="s">
        <v>3502</v>
      </c>
      <c r="I232" s="7" t="s">
        <v>294</v>
      </c>
      <c r="J232" s="7" t="s">
        <v>3504</v>
      </c>
      <c r="K232" s="7" t="s">
        <v>48</v>
      </c>
      <c r="L232" s="7" t="s">
        <v>3506</v>
      </c>
      <c r="M232" s="7" t="s">
        <v>3507</v>
      </c>
      <c r="N232" s="48"/>
      <c r="O232" s="48"/>
      <c r="P232" s="60" t="s">
        <v>3508</v>
      </c>
      <c r="Q232" s="60" t="s">
        <v>935</v>
      </c>
      <c r="R232" s="6" t="s">
        <v>3509</v>
      </c>
      <c r="S232" s="94" t="s">
        <v>205</v>
      </c>
      <c r="T232" s="49" t="s">
        <v>63</v>
      </c>
      <c r="U232" s="4" t="s">
        <v>343</v>
      </c>
      <c r="V232" s="7"/>
      <c r="W232" s="37">
        <v>3.35</v>
      </c>
      <c r="X232" s="49" t="s">
        <v>2375</v>
      </c>
      <c r="Y232" s="49" t="s">
        <v>3520</v>
      </c>
      <c r="Z232" s="4" t="s">
        <v>240</v>
      </c>
      <c r="AA232" s="65">
        <v>0.89</v>
      </c>
      <c r="AB232" s="39">
        <v>39472</v>
      </c>
      <c r="AC232" s="66" t="s">
        <v>3508</v>
      </c>
      <c r="AD232" s="67" t="str">
        <f t="shared" ref="AD232:AD234" si="180">HYPERLINK("http://www.thomasmore.edu/academics/","Link")</f>
        <v>Link</v>
      </c>
      <c r="AE232" s="42">
        <v>1826</v>
      </c>
      <c r="AF232" s="55"/>
      <c r="AG232" s="7"/>
      <c r="AH232" s="56">
        <v>157809</v>
      </c>
      <c r="AI232" s="56"/>
    </row>
    <row r="233" spans="1:35" ht="13" x14ac:dyDescent="0.15">
      <c r="A233" s="7"/>
      <c r="B233" s="64" t="s">
        <v>3417</v>
      </c>
      <c r="C233" s="36" t="s">
        <v>43</v>
      </c>
      <c r="D233" s="44">
        <v>5</v>
      </c>
      <c r="E233" s="2" t="s">
        <v>3528</v>
      </c>
      <c r="F233" s="7"/>
      <c r="G233" s="7"/>
      <c r="H233" s="2" t="s">
        <v>3502</v>
      </c>
      <c r="I233" s="7" t="s">
        <v>2608</v>
      </c>
      <c r="J233" s="7" t="s">
        <v>3504</v>
      </c>
      <c r="K233" s="7" t="s">
        <v>55</v>
      </c>
      <c r="L233" s="7" t="s">
        <v>3530</v>
      </c>
      <c r="M233" s="7" t="s">
        <v>3531</v>
      </c>
      <c r="N233" s="48"/>
      <c r="O233" s="48"/>
      <c r="P233" s="60" t="s">
        <v>3508</v>
      </c>
      <c r="Q233" s="60" t="s">
        <v>935</v>
      </c>
      <c r="R233" s="6" t="s">
        <v>3509</v>
      </c>
      <c r="S233" s="94" t="s">
        <v>205</v>
      </c>
      <c r="T233" s="49" t="s">
        <v>63</v>
      </c>
      <c r="U233" s="4" t="s">
        <v>343</v>
      </c>
      <c r="V233" s="7"/>
      <c r="W233" s="37">
        <v>3.35</v>
      </c>
      <c r="X233" s="49" t="s">
        <v>2375</v>
      </c>
      <c r="Y233" s="49" t="s">
        <v>3520</v>
      </c>
      <c r="Z233" s="4" t="s">
        <v>240</v>
      </c>
      <c r="AA233" s="65">
        <v>0.89</v>
      </c>
      <c r="AB233" s="39">
        <v>39472</v>
      </c>
      <c r="AC233" s="66" t="s">
        <v>3508</v>
      </c>
      <c r="AD233" s="67" t="str">
        <f t="shared" si="180"/>
        <v>Link</v>
      </c>
      <c r="AE233" s="42">
        <v>1826</v>
      </c>
      <c r="AF233" s="55"/>
      <c r="AG233" s="7"/>
      <c r="AH233" s="56">
        <v>157809</v>
      </c>
      <c r="AI233" s="56"/>
    </row>
    <row r="234" spans="1:35" ht="13" x14ac:dyDescent="0.15">
      <c r="A234" s="7"/>
      <c r="B234" s="64" t="s">
        <v>3417</v>
      </c>
      <c r="C234" s="36" t="s">
        <v>43</v>
      </c>
      <c r="D234" s="44">
        <v>5</v>
      </c>
      <c r="E234" s="2" t="s">
        <v>3540</v>
      </c>
      <c r="F234" s="7"/>
      <c r="G234" s="7"/>
      <c r="H234" s="2" t="s">
        <v>3502</v>
      </c>
      <c r="I234" s="7" t="s">
        <v>3543</v>
      </c>
      <c r="J234" s="7" t="s">
        <v>3545</v>
      </c>
      <c r="K234" s="7" t="s">
        <v>55</v>
      </c>
      <c r="L234" s="7" t="s">
        <v>3547</v>
      </c>
      <c r="M234" s="7"/>
      <c r="N234" s="48"/>
      <c r="O234" s="48"/>
      <c r="P234" s="60" t="s">
        <v>3508</v>
      </c>
      <c r="Q234" s="60" t="s">
        <v>935</v>
      </c>
      <c r="R234" s="6" t="s">
        <v>3509</v>
      </c>
      <c r="S234" s="94" t="s">
        <v>205</v>
      </c>
      <c r="T234" s="49" t="s">
        <v>63</v>
      </c>
      <c r="U234" s="4" t="s">
        <v>343</v>
      </c>
      <c r="V234" s="7"/>
      <c r="W234" s="37">
        <v>3.35</v>
      </c>
      <c r="X234" s="49" t="s">
        <v>2375</v>
      </c>
      <c r="Y234" s="49" t="s">
        <v>3520</v>
      </c>
      <c r="Z234" s="4" t="s">
        <v>240</v>
      </c>
      <c r="AA234" s="65">
        <v>0.89</v>
      </c>
      <c r="AB234" s="39">
        <v>39472</v>
      </c>
      <c r="AC234" s="66" t="s">
        <v>3508</v>
      </c>
      <c r="AD234" s="67" t="str">
        <f t="shared" si="180"/>
        <v>Link</v>
      </c>
      <c r="AE234" s="42">
        <v>1826</v>
      </c>
      <c r="AF234" s="55"/>
      <c r="AG234" s="7"/>
      <c r="AH234" s="56">
        <v>157809</v>
      </c>
      <c r="AI234" s="56"/>
    </row>
    <row r="235" spans="1:35" ht="15" x14ac:dyDescent="0.2">
      <c r="A235" s="7"/>
      <c r="B235" s="64" t="s">
        <v>3417</v>
      </c>
      <c r="C235" s="2" t="s">
        <v>43</v>
      </c>
      <c r="D235" s="44">
        <v>5</v>
      </c>
      <c r="E235" s="2" t="s">
        <v>3557</v>
      </c>
      <c r="F235" s="7"/>
      <c r="G235" s="7"/>
      <c r="H235" s="2" t="s">
        <v>3558</v>
      </c>
      <c r="I235" s="7" t="s">
        <v>3559</v>
      </c>
      <c r="J235" s="7" t="s">
        <v>3560</v>
      </c>
      <c r="K235" s="7" t="s">
        <v>55</v>
      </c>
      <c r="L235" s="7" t="s">
        <v>3561</v>
      </c>
      <c r="M235" s="7"/>
      <c r="N235" s="48"/>
      <c r="O235" s="48"/>
      <c r="P235" s="108" t="s">
        <v>3562</v>
      </c>
      <c r="Q235" s="47" t="s">
        <v>935</v>
      </c>
      <c r="R235" s="48" t="s">
        <v>3563</v>
      </c>
      <c r="S235" s="48" t="s">
        <v>354</v>
      </c>
      <c r="T235" s="49" t="s">
        <v>63</v>
      </c>
      <c r="U235" s="49" t="s">
        <v>410</v>
      </c>
      <c r="V235" s="7"/>
      <c r="W235" s="44">
        <v>3.69</v>
      </c>
      <c r="X235" s="49" t="s">
        <v>214</v>
      </c>
      <c r="Y235" s="49" t="s">
        <v>214</v>
      </c>
      <c r="Z235" s="49" t="s">
        <v>214</v>
      </c>
      <c r="AA235" s="61">
        <v>0.95</v>
      </c>
      <c r="AB235" s="71">
        <v>48790</v>
      </c>
      <c r="AC235" s="52" t="s">
        <v>3562</v>
      </c>
      <c r="AD235" s="53" t="str">
        <f t="shared" ref="AD235:AD238" si="181">HYPERLINK("http://www.transy.edu/academics/programs","Link")</f>
        <v>Link</v>
      </c>
      <c r="AE235" s="54">
        <v>963</v>
      </c>
      <c r="AF235" s="55"/>
      <c r="AG235" s="44">
        <v>87</v>
      </c>
      <c r="AH235" s="56">
        <v>157818</v>
      </c>
      <c r="AI235" s="56"/>
    </row>
    <row r="236" spans="1:35" ht="15" x14ac:dyDescent="0.2">
      <c r="A236" s="7"/>
      <c r="B236" s="64" t="s">
        <v>3417</v>
      </c>
      <c r="C236" s="2" t="s">
        <v>43</v>
      </c>
      <c r="D236" s="44">
        <v>5</v>
      </c>
      <c r="E236" s="2" t="s">
        <v>3575</v>
      </c>
      <c r="F236" s="7"/>
      <c r="G236" s="7"/>
      <c r="H236" s="2" t="s">
        <v>3558</v>
      </c>
      <c r="I236" s="7" t="s">
        <v>1791</v>
      </c>
      <c r="J236" s="7" t="s">
        <v>3577</v>
      </c>
      <c r="K236" s="7" t="s">
        <v>48</v>
      </c>
      <c r="L236" s="7" t="s">
        <v>3580</v>
      </c>
      <c r="M236" s="7" t="s">
        <v>3582</v>
      </c>
      <c r="N236" s="48"/>
      <c r="O236" s="48"/>
      <c r="P236" s="108" t="s">
        <v>3562</v>
      </c>
      <c r="Q236" s="47" t="s">
        <v>935</v>
      </c>
      <c r="R236" s="48" t="s">
        <v>3563</v>
      </c>
      <c r="S236" s="48" t="s">
        <v>354</v>
      </c>
      <c r="T236" s="49" t="s">
        <v>63</v>
      </c>
      <c r="U236" s="49" t="s">
        <v>410</v>
      </c>
      <c r="V236" s="7"/>
      <c r="W236" s="44">
        <v>3.69</v>
      </c>
      <c r="X236" s="49" t="s">
        <v>214</v>
      </c>
      <c r="Y236" s="49" t="s">
        <v>214</v>
      </c>
      <c r="Z236" s="49" t="s">
        <v>214</v>
      </c>
      <c r="AA236" s="61">
        <v>0.95</v>
      </c>
      <c r="AB236" s="71">
        <v>48790</v>
      </c>
      <c r="AC236" s="52" t="s">
        <v>3562</v>
      </c>
      <c r="AD236" s="53" t="str">
        <f t="shared" si="181"/>
        <v>Link</v>
      </c>
      <c r="AE236" s="54">
        <v>963</v>
      </c>
      <c r="AF236" s="55"/>
      <c r="AG236" s="44">
        <v>87</v>
      </c>
      <c r="AH236" s="56">
        <v>157818</v>
      </c>
      <c r="AI236" s="56"/>
    </row>
    <row r="237" spans="1:35" ht="15" x14ac:dyDescent="0.2">
      <c r="A237" s="7"/>
      <c r="B237" s="64" t="s">
        <v>3417</v>
      </c>
      <c r="C237" s="2" t="s">
        <v>43</v>
      </c>
      <c r="D237" s="44">
        <v>5</v>
      </c>
      <c r="E237" s="2" t="s">
        <v>3588</v>
      </c>
      <c r="F237" s="7"/>
      <c r="G237" s="7"/>
      <c r="H237" s="2" t="s">
        <v>3558</v>
      </c>
      <c r="I237" s="7" t="s">
        <v>349</v>
      </c>
      <c r="J237" s="7" t="s">
        <v>2378</v>
      </c>
      <c r="K237" s="7" t="s">
        <v>55</v>
      </c>
      <c r="L237" s="7" t="s">
        <v>3592</v>
      </c>
      <c r="M237" s="7" t="s">
        <v>3593</v>
      </c>
      <c r="N237" s="48"/>
      <c r="O237" s="48"/>
      <c r="P237" s="108" t="s">
        <v>3562</v>
      </c>
      <c r="Q237" s="47" t="s">
        <v>935</v>
      </c>
      <c r="R237" s="48" t="s">
        <v>3563</v>
      </c>
      <c r="S237" s="48" t="s">
        <v>354</v>
      </c>
      <c r="T237" s="49" t="s">
        <v>63</v>
      </c>
      <c r="U237" s="49" t="s">
        <v>410</v>
      </c>
      <c r="V237" s="7"/>
      <c r="W237" s="44">
        <v>3.69</v>
      </c>
      <c r="X237" s="49" t="s">
        <v>214</v>
      </c>
      <c r="Y237" s="49" t="s">
        <v>214</v>
      </c>
      <c r="Z237" s="49" t="s">
        <v>214</v>
      </c>
      <c r="AA237" s="61">
        <v>0.95</v>
      </c>
      <c r="AB237" s="71">
        <v>48790</v>
      </c>
      <c r="AC237" s="52" t="s">
        <v>3562</v>
      </c>
      <c r="AD237" s="53" t="str">
        <f t="shared" si="181"/>
        <v>Link</v>
      </c>
      <c r="AE237" s="54">
        <v>963</v>
      </c>
      <c r="AF237" s="55"/>
      <c r="AG237" s="44">
        <v>87</v>
      </c>
      <c r="AH237" s="56">
        <v>157818</v>
      </c>
      <c r="AI237" s="56"/>
    </row>
    <row r="238" spans="1:35" ht="15" x14ac:dyDescent="0.2">
      <c r="A238" s="7"/>
      <c r="B238" s="64" t="s">
        <v>3417</v>
      </c>
      <c r="C238" s="2" t="s">
        <v>43</v>
      </c>
      <c r="D238" s="44">
        <v>5</v>
      </c>
      <c r="E238" s="2" t="s">
        <v>3594</v>
      </c>
      <c r="F238" s="7"/>
      <c r="G238" s="7"/>
      <c r="H238" s="2" t="s">
        <v>3558</v>
      </c>
      <c r="I238" s="7" t="s">
        <v>439</v>
      </c>
      <c r="J238" s="7" t="s">
        <v>3596</v>
      </c>
      <c r="K238" s="7" t="s">
        <v>139</v>
      </c>
      <c r="L238" s="7"/>
      <c r="M238" s="7"/>
      <c r="N238" s="48"/>
      <c r="O238" s="48"/>
      <c r="P238" s="108" t="s">
        <v>3562</v>
      </c>
      <c r="Q238" s="47" t="s">
        <v>935</v>
      </c>
      <c r="R238" s="48" t="s">
        <v>3563</v>
      </c>
      <c r="S238" s="48" t="s">
        <v>354</v>
      </c>
      <c r="T238" s="49" t="s">
        <v>63</v>
      </c>
      <c r="U238" s="49" t="s">
        <v>410</v>
      </c>
      <c r="V238" s="7"/>
      <c r="W238" s="44">
        <v>3.69</v>
      </c>
      <c r="X238" s="49" t="s">
        <v>214</v>
      </c>
      <c r="Y238" s="49" t="s">
        <v>214</v>
      </c>
      <c r="Z238" s="49" t="s">
        <v>214</v>
      </c>
      <c r="AA238" s="61">
        <v>0.95</v>
      </c>
      <c r="AB238" s="71">
        <v>48790</v>
      </c>
      <c r="AC238" s="52" t="s">
        <v>3562</v>
      </c>
      <c r="AD238" s="53" t="str">
        <f t="shared" si="181"/>
        <v>Link</v>
      </c>
      <c r="AE238" s="54">
        <v>963</v>
      </c>
      <c r="AF238" s="55"/>
      <c r="AG238" s="44">
        <v>87</v>
      </c>
      <c r="AH238" s="56">
        <v>157818</v>
      </c>
      <c r="AI238" s="56"/>
    </row>
    <row r="239" spans="1:35" ht="15" x14ac:dyDescent="0.2">
      <c r="A239" s="57"/>
      <c r="B239" s="31" t="s">
        <v>3601</v>
      </c>
      <c r="C239" s="36" t="s">
        <v>43</v>
      </c>
      <c r="D239" s="86">
        <v>5</v>
      </c>
      <c r="E239" s="7" t="s">
        <v>3607</v>
      </c>
      <c r="F239" s="7"/>
      <c r="G239" s="86"/>
      <c r="H239" s="2" t="s">
        <v>3609</v>
      </c>
      <c r="I239" s="2" t="s">
        <v>904</v>
      </c>
      <c r="J239" s="2" t="s">
        <v>3610</v>
      </c>
      <c r="K239" s="2" t="s">
        <v>48</v>
      </c>
      <c r="L239" s="2" t="s">
        <v>3611</v>
      </c>
      <c r="M239" s="2" t="s">
        <v>3612</v>
      </c>
      <c r="N239" s="48"/>
      <c r="O239" s="45" t="str">
        <f t="shared" ref="O239:O240" si="182">HYPERLINK("https://centenaryla.radiusbycampusmgmt.com/ssc/iform/I80G0Gd70z3R0x6702A8L.ssc","Questionnaire")</f>
        <v>Questionnaire</v>
      </c>
      <c r="P239" s="48" t="s">
        <v>3622</v>
      </c>
      <c r="Q239" s="60" t="s">
        <v>3623</v>
      </c>
      <c r="R239" s="48" t="s">
        <v>3624</v>
      </c>
      <c r="S239" s="48" t="s">
        <v>62</v>
      </c>
      <c r="T239" s="49" t="s">
        <v>63</v>
      </c>
      <c r="U239" s="6" t="s">
        <v>65</v>
      </c>
      <c r="V239" s="49"/>
      <c r="W239" s="37">
        <v>3.47</v>
      </c>
      <c r="X239" s="49" t="s">
        <v>2341</v>
      </c>
      <c r="Y239" s="49" t="s">
        <v>1648</v>
      </c>
      <c r="Z239" s="49" t="s">
        <v>689</v>
      </c>
      <c r="AA239" s="38">
        <v>0.64219999999999999</v>
      </c>
      <c r="AB239" s="39">
        <v>52000</v>
      </c>
      <c r="AC239" s="52" t="s">
        <v>3622</v>
      </c>
      <c r="AD239" s="53" t="str">
        <f t="shared" ref="AD239:AD240" si="183">HYPERLINK("https://www.centenary.edu/academics/undergraduate-graduate-programs/","Link")</f>
        <v>Link</v>
      </c>
      <c r="AE239" s="54">
        <v>490</v>
      </c>
      <c r="AF239" s="55"/>
      <c r="AG239" s="54">
        <v>147</v>
      </c>
      <c r="AH239" s="56">
        <v>158477</v>
      </c>
      <c r="AI239" s="56"/>
    </row>
    <row r="240" spans="1:35" ht="15" x14ac:dyDescent="0.2">
      <c r="A240" s="57"/>
      <c r="B240" s="31" t="s">
        <v>3601</v>
      </c>
      <c r="C240" s="36" t="s">
        <v>43</v>
      </c>
      <c r="D240" s="86">
        <v>5</v>
      </c>
      <c r="E240" s="7" t="s">
        <v>3631</v>
      </c>
      <c r="F240" s="7"/>
      <c r="G240" s="86"/>
      <c r="H240" s="2" t="s">
        <v>3609</v>
      </c>
      <c r="I240" s="2" t="s">
        <v>577</v>
      </c>
      <c r="J240" s="2" t="s">
        <v>3632</v>
      </c>
      <c r="K240" s="2" t="s">
        <v>55</v>
      </c>
      <c r="L240" s="2"/>
      <c r="M240" s="2"/>
      <c r="N240" s="48"/>
      <c r="O240" s="45" t="str">
        <f t="shared" si="182"/>
        <v>Questionnaire</v>
      </c>
      <c r="P240" s="48" t="s">
        <v>3622</v>
      </c>
      <c r="Q240" s="60" t="s">
        <v>3623</v>
      </c>
      <c r="R240" s="48" t="s">
        <v>3624</v>
      </c>
      <c r="S240" s="48" t="s">
        <v>62</v>
      </c>
      <c r="T240" s="49" t="s">
        <v>63</v>
      </c>
      <c r="U240" s="6" t="s">
        <v>65</v>
      </c>
      <c r="V240" s="49"/>
      <c r="W240" s="37">
        <v>3.47</v>
      </c>
      <c r="X240" s="49" t="s">
        <v>2341</v>
      </c>
      <c r="Y240" s="49" t="s">
        <v>1648</v>
      </c>
      <c r="Z240" s="49" t="s">
        <v>689</v>
      </c>
      <c r="AA240" s="38">
        <v>0.64219999999999999</v>
      </c>
      <c r="AB240" s="39">
        <v>52000</v>
      </c>
      <c r="AC240" s="52" t="s">
        <v>3622</v>
      </c>
      <c r="AD240" s="53" t="str">
        <f t="shared" si="183"/>
        <v>Link</v>
      </c>
      <c r="AE240" s="54">
        <v>490</v>
      </c>
      <c r="AF240" s="55"/>
      <c r="AG240" s="54">
        <v>147</v>
      </c>
      <c r="AH240" s="56">
        <v>158477</v>
      </c>
      <c r="AI240" s="56"/>
    </row>
    <row r="241" spans="1:35" ht="13" x14ac:dyDescent="0.15">
      <c r="A241" s="57"/>
      <c r="B241" s="31" t="s">
        <v>3601</v>
      </c>
      <c r="C241" s="36" t="s">
        <v>43</v>
      </c>
      <c r="D241" s="86">
        <v>5</v>
      </c>
      <c r="E241" s="7" t="s">
        <v>3640</v>
      </c>
      <c r="F241" s="7"/>
      <c r="G241" s="86"/>
      <c r="H241" s="2" t="s">
        <v>3641</v>
      </c>
      <c r="I241" s="2" t="s">
        <v>3642</v>
      </c>
      <c r="J241" s="2" t="s">
        <v>509</v>
      </c>
      <c r="K241" s="2" t="s">
        <v>48</v>
      </c>
      <c r="L241" s="130" t="s">
        <v>3643</v>
      </c>
      <c r="M241" s="2" t="s">
        <v>3645</v>
      </c>
      <c r="N241" s="45" t="str">
        <f t="shared" ref="N241:N245" si="184">HYPERLINK("twitter.com/lc_sftball","@lc_sftball")</f>
        <v>@lc_sftball</v>
      </c>
      <c r="O241" s="45" t="str">
        <f t="shared" ref="O241:O245" si="185">HYPERLINK("https://www.lcwildcats.net/sb_output.aspx?form=3","Questionnaire")</f>
        <v>Questionnaire</v>
      </c>
      <c r="P241" s="48" t="s">
        <v>3641</v>
      </c>
      <c r="Q241" s="60" t="s">
        <v>3623</v>
      </c>
      <c r="R241" s="48" t="s">
        <v>3651</v>
      </c>
      <c r="S241" s="48" t="s">
        <v>172</v>
      </c>
      <c r="T241" s="49" t="s">
        <v>63</v>
      </c>
      <c r="U241" s="6" t="s">
        <v>2619</v>
      </c>
      <c r="V241" s="49"/>
      <c r="W241" s="7" t="s">
        <v>214</v>
      </c>
      <c r="X241" s="49" t="s">
        <v>3652</v>
      </c>
      <c r="Y241" s="49" t="s">
        <v>2343</v>
      </c>
      <c r="Z241" s="49" t="s">
        <v>449</v>
      </c>
      <c r="AA241" s="65">
        <v>0.72</v>
      </c>
      <c r="AB241" s="39">
        <v>24810</v>
      </c>
      <c r="AC241" s="84" t="s">
        <v>3641</v>
      </c>
      <c r="AD241" s="53" t="str">
        <f t="shared" ref="AD241:AD245" si="186">HYPERLINK("https://www.lacollege.edu/programs%20","Link")</f>
        <v>Link</v>
      </c>
      <c r="AE241" s="54">
        <v>1300</v>
      </c>
      <c r="AF241" s="55"/>
      <c r="AG241" s="55"/>
      <c r="AH241" s="56">
        <v>159568</v>
      </c>
      <c r="AI241" s="56"/>
    </row>
    <row r="242" spans="1:35" ht="13" x14ac:dyDescent="0.15">
      <c r="A242" s="57"/>
      <c r="B242" s="31" t="s">
        <v>3601</v>
      </c>
      <c r="C242" s="36" t="s">
        <v>43</v>
      </c>
      <c r="D242" s="86">
        <v>5</v>
      </c>
      <c r="E242" s="7" t="s">
        <v>3659</v>
      </c>
      <c r="F242" s="7"/>
      <c r="G242" s="86"/>
      <c r="H242" s="2" t="s">
        <v>3641</v>
      </c>
      <c r="I242" s="2" t="s">
        <v>852</v>
      </c>
      <c r="J242" s="2" t="s">
        <v>3660</v>
      </c>
      <c r="K242" s="2" t="s">
        <v>55</v>
      </c>
      <c r="L242" s="2" t="s">
        <v>3661</v>
      </c>
      <c r="M242" s="2"/>
      <c r="N242" s="45" t="str">
        <f t="shared" si="184"/>
        <v>@lc_sftball</v>
      </c>
      <c r="O242" s="45" t="str">
        <f t="shared" si="185"/>
        <v>Questionnaire</v>
      </c>
      <c r="P242" s="48" t="s">
        <v>3641</v>
      </c>
      <c r="Q242" s="60" t="s">
        <v>3623</v>
      </c>
      <c r="R242" s="48" t="s">
        <v>3651</v>
      </c>
      <c r="S242" s="48" t="s">
        <v>172</v>
      </c>
      <c r="T242" s="49" t="s">
        <v>63</v>
      </c>
      <c r="U242" s="6" t="s">
        <v>2619</v>
      </c>
      <c r="V242" s="49"/>
      <c r="W242" s="7" t="s">
        <v>214</v>
      </c>
      <c r="X242" s="49" t="s">
        <v>3652</v>
      </c>
      <c r="Y242" s="49" t="s">
        <v>2343</v>
      </c>
      <c r="Z242" s="49" t="s">
        <v>449</v>
      </c>
      <c r="AA242" s="65">
        <v>0.72</v>
      </c>
      <c r="AB242" s="39">
        <v>24810</v>
      </c>
      <c r="AC242" s="84" t="s">
        <v>3641</v>
      </c>
      <c r="AD242" s="53" t="str">
        <f t="shared" si="186"/>
        <v>Link</v>
      </c>
      <c r="AE242" s="54">
        <v>1300</v>
      </c>
      <c r="AF242" s="55"/>
      <c r="AG242" s="55"/>
      <c r="AH242" s="56">
        <v>159568</v>
      </c>
      <c r="AI242" s="56"/>
    </row>
    <row r="243" spans="1:35" ht="13" x14ac:dyDescent="0.15">
      <c r="A243" s="57"/>
      <c r="B243" s="31" t="s">
        <v>3601</v>
      </c>
      <c r="C243" s="36" t="s">
        <v>43</v>
      </c>
      <c r="D243" s="86">
        <v>5</v>
      </c>
      <c r="E243" s="7" t="s">
        <v>3671</v>
      </c>
      <c r="F243" s="7" t="s">
        <v>116</v>
      </c>
      <c r="G243" s="7"/>
      <c r="H243" s="2" t="s">
        <v>3641</v>
      </c>
      <c r="I243" s="7" t="s">
        <v>852</v>
      </c>
      <c r="J243" s="7" t="s">
        <v>3020</v>
      </c>
      <c r="K243" s="7" t="s">
        <v>919</v>
      </c>
      <c r="L243" s="57" t="s">
        <v>3681</v>
      </c>
      <c r="M243" s="2"/>
      <c r="N243" s="45" t="str">
        <f t="shared" si="184"/>
        <v>@lc_sftball</v>
      </c>
      <c r="O243" s="45" t="str">
        <f t="shared" si="185"/>
        <v>Questionnaire</v>
      </c>
      <c r="P243" s="48" t="s">
        <v>3641</v>
      </c>
      <c r="Q243" s="60" t="s">
        <v>3623</v>
      </c>
      <c r="R243" s="48" t="s">
        <v>3651</v>
      </c>
      <c r="S243" s="48" t="s">
        <v>172</v>
      </c>
      <c r="T243" s="49" t="s">
        <v>63</v>
      </c>
      <c r="U243" s="6" t="s">
        <v>2619</v>
      </c>
      <c r="V243" s="49"/>
      <c r="W243" s="7" t="s">
        <v>214</v>
      </c>
      <c r="X243" s="49" t="s">
        <v>3652</v>
      </c>
      <c r="Y243" s="49" t="s">
        <v>2343</v>
      </c>
      <c r="Z243" s="49" t="s">
        <v>449</v>
      </c>
      <c r="AA243" s="65">
        <v>0.72</v>
      </c>
      <c r="AB243" s="39">
        <v>24810</v>
      </c>
      <c r="AC243" s="84" t="s">
        <v>3641</v>
      </c>
      <c r="AD243" s="53" t="str">
        <f t="shared" si="186"/>
        <v>Link</v>
      </c>
      <c r="AE243" s="54">
        <v>1300</v>
      </c>
      <c r="AF243" s="55"/>
      <c r="AG243" s="55"/>
      <c r="AH243" s="56">
        <v>159568</v>
      </c>
      <c r="AI243" s="56"/>
    </row>
    <row r="244" spans="1:35" ht="13" x14ac:dyDescent="0.15">
      <c r="A244" s="57"/>
      <c r="B244" s="31" t="s">
        <v>3601</v>
      </c>
      <c r="C244" s="36" t="s">
        <v>43</v>
      </c>
      <c r="D244" s="86">
        <v>5</v>
      </c>
      <c r="E244" s="7" t="s">
        <v>3688</v>
      </c>
      <c r="F244" s="7"/>
      <c r="G244" s="86"/>
      <c r="H244" s="2" t="s">
        <v>3641</v>
      </c>
      <c r="I244" s="2" t="s">
        <v>2772</v>
      </c>
      <c r="J244" s="2" t="s">
        <v>3690</v>
      </c>
      <c r="K244" s="2" t="s">
        <v>55</v>
      </c>
      <c r="L244" s="2" t="s">
        <v>3691</v>
      </c>
      <c r="M244" s="2"/>
      <c r="N244" s="45" t="str">
        <f t="shared" si="184"/>
        <v>@lc_sftball</v>
      </c>
      <c r="O244" s="45" t="str">
        <f t="shared" si="185"/>
        <v>Questionnaire</v>
      </c>
      <c r="P244" s="48" t="s">
        <v>3641</v>
      </c>
      <c r="Q244" s="60" t="s">
        <v>3623</v>
      </c>
      <c r="R244" s="48" t="s">
        <v>3651</v>
      </c>
      <c r="S244" s="48" t="s">
        <v>172</v>
      </c>
      <c r="T244" s="49" t="s">
        <v>63</v>
      </c>
      <c r="U244" s="6" t="s">
        <v>2619</v>
      </c>
      <c r="V244" s="49"/>
      <c r="W244" s="7" t="s">
        <v>214</v>
      </c>
      <c r="X244" s="49" t="s">
        <v>3652</v>
      </c>
      <c r="Y244" s="49" t="s">
        <v>2343</v>
      </c>
      <c r="Z244" s="49" t="s">
        <v>449</v>
      </c>
      <c r="AA244" s="65">
        <v>0.72</v>
      </c>
      <c r="AB244" s="39">
        <v>24810</v>
      </c>
      <c r="AC244" s="84" t="s">
        <v>3641</v>
      </c>
      <c r="AD244" s="53" t="str">
        <f t="shared" si="186"/>
        <v>Link</v>
      </c>
      <c r="AE244" s="54">
        <v>1300</v>
      </c>
      <c r="AF244" s="55"/>
      <c r="AG244" s="55"/>
      <c r="AH244" s="56">
        <v>159568</v>
      </c>
      <c r="AI244" s="56"/>
    </row>
    <row r="245" spans="1:35" ht="13" x14ac:dyDescent="0.15">
      <c r="A245" s="57"/>
      <c r="B245" s="31" t="s">
        <v>3601</v>
      </c>
      <c r="C245" s="36" t="s">
        <v>43</v>
      </c>
      <c r="D245" s="86">
        <v>5</v>
      </c>
      <c r="E245" s="7" t="s">
        <v>3699</v>
      </c>
      <c r="F245" s="7" t="s">
        <v>116</v>
      </c>
      <c r="G245" s="7"/>
      <c r="H245" s="2" t="s">
        <v>3641</v>
      </c>
      <c r="I245" s="7" t="s">
        <v>3700</v>
      </c>
      <c r="J245" s="7" t="s">
        <v>3701</v>
      </c>
      <c r="K245" s="7" t="s">
        <v>3703</v>
      </c>
      <c r="L245" s="57" t="s">
        <v>3709</v>
      </c>
      <c r="M245" s="2"/>
      <c r="N245" s="69" t="str">
        <f t="shared" si="184"/>
        <v>@lc_sftball</v>
      </c>
      <c r="O245" s="45" t="str">
        <f t="shared" si="185"/>
        <v>Questionnaire</v>
      </c>
      <c r="P245" s="48" t="s">
        <v>3641</v>
      </c>
      <c r="Q245" s="60" t="s">
        <v>3623</v>
      </c>
      <c r="R245" s="48" t="s">
        <v>3651</v>
      </c>
      <c r="S245" s="48" t="s">
        <v>172</v>
      </c>
      <c r="T245" s="49" t="s">
        <v>63</v>
      </c>
      <c r="U245" s="6" t="s">
        <v>2619</v>
      </c>
      <c r="V245" s="49"/>
      <c r="W245" s="7" t="s">
        <v>214</v>
      </c>
      <c r="X245" s="49" t="s">
        <v>3652</v>
      </c>
      <c r="Y245" s="49" t="s">
        <v>2343</v>
      </c>
      <c r="Z245" s="49" t="s">
        <v>449</v>
      </c>
      <c r="AA245" s="65">
        <v>0.72</v>
      </c>
      <c r="AB245" s="39">
        <v>24810</v>
      </c>
      <c r="AC245" s="84" t="s">
        <v>3641</v>
      </c>
      <c r="AD245" s="53" t="str">
        <f t="shared" si="186"/>
        <v>Link</v>
      </c>
      <c r="AE245" s="54">
        <v>1300</v>
      </c>
      <c r="AF245" s="55"/>
      <c r="AG245" s="55"/>
      <c r="AH245" s="56">
        <v>159568</v>
      </c>
      <c r="AI245" s="56"/>
    </row>
    <row r="246" spans="1:35" ht="13" x14ac:dyDescent="0.15">
      <c r="A246" s="57"/>
      <c r="B246" s="31" t="s">
        <v>1646</v>
      </c>
      <c r="C246" s="36" t="s">
        <v>43</v>
      </c>
      <c r="D246" s="86">
        <v>5</v>
      </c>
      <c r="E246" s="7" t="s">
        <v>3724</v>
      </c>
      <c r="F246" s="7"/>
      <c r="G246" s="86"/>
      <c r="H246" s="2" t="s">
        <v>3727</v>
      </c>
      <c r="I246" s="2" t="s">
        <v>3728</v>
      </c>
      <c r="J246" s="2" t="s">
        <v>3729</v>
      </c>
      <c r="K246" s="2" t="s">
        <v>48</v>
      </c>
      <c r="L246" s="2" t="s">
        <v>3730</v>
      </c>
      <c r="M246" s="2" t="s">
        <v>3731</v>
      </c>
      <c r="N246" s="45" t="str">
        <f>HYPERLINK("twitter.com/batessball","@batessball")</f>
        <v>@batessball</v>
      </c>
      <c r="O246" s="45" t="str">
        <f>HYPERLINK("https://www.gobatesbobcats.com/landing/future-students","Questionnaire")</f>
        <v>Questionnaire</v>
      </c>
      <c r="P246" s="48" t="s">
        <v>3737</v>
      </c>
      <c r="Q246" s="60" t="s">
        <v>1634</v>
      </c>
      <c r="R246" s="48" t="s">
        <v>3739</v>
      </c>
      <c r="S246" s="48" t="s">
        <v>468</v>
      </c>
      <c r="T246" s="5" t="s">
        <v>63</v>
      </c>
      <c r="U246" s="48" t="s">
        <v>75</v>
      </c>
      <c r="V246" s="49"/>
      <c r="W246" s="37">
        <v>3.82</v>
      </c>
      <c r="X246" s="49" t="s">
        <v>3742</v>
      </c>
      <c r="Y246" s="49" t="s">
        <v>3742</v>
      </c>
      <c r="Z246" s="49" t="s">
        <v>3374</v>
      </c>
      <c r="AA246" s="38">
        <v>0.22639999999999999</v>
      </c>
      <c r="AB246" s="39">
        <v>66550</v>
      </c>
      <c r="AC246" s="90" t="s">
        <v>3737</v>
      </c>
      <c r="AD246" s="53" t="str">
        <f>HYPERLINK("http://www.bates.edu/academics/","Link")</f>
        <v>Link</v>
      </c>
      <c r="AE246" s="54">
        <v>1780</v>
      </c>
      <c r="AF246" s="55"/>
      <c r="AG246" s="54">
        <v>23</v>
      </c>
      <c r="AH246" s="56">
        <v>160977</v>
      </c>
      <c r="AI246" s="56"/>
    </row>
    <row r="247" spans="1:35" ht="13" x14ac:dyDescent="0.15">
      <c r="A247" s="57"/>
      <c r="B247" s="31" t="s">
        <v>1646</v>
      </c>
      <c r="C247" s="36" t="s">
        <v>43</v>
      </c>
      <c r="D247" s="86">
        <v>5</v>
      </c>
      <c r="E247" s="7" t="s">
        <v>3746</v>
      </c>
      <c r="F247" s="7"/>
      <c r="G247" s="86"/>
      <c r="H247" s="2" t="s">
        <v>3747</v>
      </c>
      <c r="I247" s="2" t="s">
        <v>2316</v>
      </c>
      <c r="J247" s="2" t="s">
        <v>3748</v>
      </c>
      <c r="K247" s="2" t="s">
        <v>48</v>
      </c>
      <c r="L247" s="2" t="s">
        <v>3749</v>
      </c>
      <c r="M247" s="2" t="s">
        <v>3750</v>
      </c>
      <c r="N247" s="45" t="str">
        <f t="shared" ref="N247:N248" si="187">HYPERLINK("twitter.com/softballbowdoin","@softballbowdoin")</f>
        <v>@softballbowdoin</v>
      </c>
      <c r="O247" s="45" t="str">
        <f t="shared" ref="O247:O248" si="188">HYPERLINK("https://athletics.bowdoin.edu/information/prospect/index","Questionnaire")</f>
        <v>Questionnaire</v>
      </c>
      <c r="P247" s="48" t="s">
        <v>3760</v>
      </c>
      <c r="Q247" s="60" t="s">
        <v>1634</v>
      </c>
      <c r="R247" s="48" t="s">
        <v>3761</v>
      </c>
      <c r="S247" s="48" t="s">
        <v>172</v>
      </c>
      <c r="T247" s="49" t="s">
        <v>63</v>
      </c>
      <c r="U247" s="48" t="s">
        <v>75</v>
      </c>
      <c r="V247" s="49"/>
      <c r="W247" s="37">
        <v>3.8</v>
      </c>
      <c r="X247" s="49" t="s">
        <v>3762</v>
      </c>
      <c r="Y247" s="49" t="s">
        <v>2805</v>
      </c>
      <c r="Z247" s="49" t="s">
        <v>889</v>
      </c>
      <c r="AA247" s="38">
        <v>0.1484</v>
      </c>
      <c r="AB247" s="39">
        <v>65590</v>
      </c>
      <c r="AC247" s="90" t="s">
        <v>3760</v>
      </c>
      <c r="AD247" s="53" t="str">
        <f t="shared" ref="AD247:AD248" si="189">HYPERLINK("https://www.bowdoin.edu/ir/data/currentmajorsminors.shtml","Link")</f>
        <v>Link</v>
      </c>
      <c r="AE247" s="54">
        <v>1806</v>
      </c>
      <c r="AF247" s="55"/>
      <c r="AG247" s="54">
        <v>3</v>
      </c>
      <c r="AH247" s="56">
        <v>161004</v>
      </c>
      <c r="AI247" s="56"/>
    </row>
    <row r="248" spans="1:35" ht="13" x14ac:dyDescent="0.15">
      <c r="A248" s="57"/>
      <c r="B248" s="31" t="s">
        <v>1646</v>
      </c>
      <c r="C248" s="36" t="s">
        <v>43</v>
      </c>
      <c r="D248" s="86">
        <v>5</v>
      </c>
      <c r="E248" s="7" t="s">
        <v>3772</v>
      </c>
      <c r="F248" s="7"/>
      <c r="G248" s="86"/>
      <c r="H248" s="2" t="s">
        <v>3747</v>
      </c>
      <c r="I248" s="2" t="s">
        <v>1092</v>
      </c>
      <c r="J248" s="2" t="s">
        <v>3775</v>
      </c>
      <c r="K248" s="2" t="s">
        <v>55</v>
      </c>
      <c r="L248" s="2" t="s">
        <v>3776</v>
      </c>
      <c r="M248" s="2" t="s">
        <v>3777</v>
      </c>
      <c r="N248" s="45" t="str">
        <f t="shared" si="187"/>
        <v>@softballbowdoin</v>
      </c>
      <c r="O248" s="45" t="str">
        <f t="shared" si="188"/>
        <v>Questionnaire</v>
      </c>
      <c r="P248" s="48" t="s">
        <v>3760</v>
      </c>
      <c r="Q248" s="60" t="s">
        <v>1634</v>
      </c>
      <c r="R248" s="48" t="s">
        <v>3761</v>
      </c>
      <c r="S248" s="48" t="s">
        <v>172</v>
      </c>
      <c r="T248" s="49" t="s">
        <v>63</v>
      </c>
      <c r="U248" s="48" t="s">
        <v>75</v>
      </c>
      <c r="V248" s="49"/>
      <c r="W248" s="37">
        <v>3.8</v>
      </c>
      <c r="X248" s="49" t="s">
        <v>3762</v>
      </c>
      <c r="Y248" s="49" t="s">
        <v>2805</v>
      </c>
      <c r="Z248" s="49" t="s">
        <v>889</v>
      </c>
      <c r="AA248" s="38">
        <v>0.1484</v>
      </c>
      <c r="AB248" s="39">
        <v>65590</v>
      </c>
      <c r="AC248" s="90" t="s">
        <v>3760</v>
      </c>
      <c r="AD248" s="53" t="str">
        <f t="shared" si="189"/>
        <v>Link</v>
      </c>
      <c r="AE248" s="54">
        <v>1806</v>
      </c>
      <c r="AF248" s="55"/>
      <c r="AG248" s="54">
        <v>3</v>
      </c>
      <c r="AH248" s="56">
        <v>161004</v>
      </c>
      <c r="AI248" s="56"/>
    </row>
    <row r="249" spans="1:35" ht="13" x14ac:dyDescent="0.15">
      <c r="A249" s="57"/>
      <c r="B249" s="31" t="s">
        <v>1646</v>
      </c>
      <c r="C249" s="36" t="s">
        <v>43</v>
      </c>
      <c r="D249" s="86">
        <v>5</v>
      </c>
      <c r="E249" s="7" t="s">
        <v>3787</v>
      </c>
      <c r="F249" s="7"/>
      <c r="G249" s="86"/>
      <c r="H249" s="2" t="s">
        <v>3788</v>
      </c>
      <c r="I249" s="2" t="s">
        <v>3789</v>
      </c>
      <c r="J249" s="2" t="s">
        <v>3020</v>
      </c>
      <c r="K249" s="2" t="s">
        <v>48</v>
      </c>
      <c r="L249" s="95" t="s">
        <v>3791</v>
      </c>
      <c r="M249" s="2" t="s">
        <v>3792</v>
      </c>
      <c r="N249" s="69" t="str">
        <f t="shared" ref="N249:N251" si="190">HYPERLINK("twitter.com/colbysoftball","@colbysoftball")</f>
        <v>@colbysoftball</v>
      </c>
      <c r="O249" s="45" t="str">
        <f t="shared" ref="O249:O251" si="191">HYPERLINK("https://www.gocolbymules.com/recruiting/teams-list","Questionnaire")</f>
        <v>Questionnaire</v>
      </c>
      <c r="P249" s="48" t="s">
        <v>3798</v>
      </c>
      <c r="Q249" s="60" t="s">
        <v>1634</v>
      </c>
      <c r="R249" s="48" t="s">
        <v>3801</v>
      </c>
      <c r="S249" s="48" t="s">
        <v>172</v>
      </c>
      <c r="T249" s="49" t="s">
        <v>63</v>
      </c>
      <c r="U249" s="48" t="s">
        <v>75</v>
      </c>
      <c r="V249" s="49"/>
      <c r="W249" s="37">
        <v>3.77</v>
      </c>
      <c r="X249" s="49" t="s">
        <v>3805</v>
      </c>
      <c r="Y249" s="49" t="s">
        <v>3806</v>
      </c>
      <c r="Z249" s="49" t="s">
        <v>626</v>
      </c>
      <c r="AA249" s="65">
        <v>0.19</v>
      </c>
      <c r="AB249" s="42">
        <v>65824</v>
      </c>
      <c r="AC249" s="90" t="s">
        <v>3798</v>
      </c>
      <c r="AD249" s="53" t="str">
        <f t="shared" ref="AD249:AD251" si="192">HYPERLINK("http://www.colby.edu/academics/majors-minors/","Link")</f>
        <v>Link</v>
      </c>
      <c r="AE249" s="54">
        <v>1879</v>
      </c>
      <c r="AF249" s="55"/>
      <c r="AG249" s="54">
        <v>12</v>
      </c>
      <c r="AH249" s="56">
        <v>161086</v>
      </c>
      <c r="AI249" s="56"/>
    </row>
    <row r="250" spans="1:35" ht="13" x14ac:dyDescent="0.15">
      <c r="A250" s="57"/>
      <c r="B250" s="31" t="s">
        <v>1646</v>
      </c>
      <c r="C250" s="36" t="s">
        <v>43</v>
      </c>
      <c r="D250" s="86">
        <v>5</v>
      </c>
      <c r="E250" s="7" t="s">
        <v>3809</v>
      </c>
      <c r="F250" s="7"/>
      <c r="G250" s="86"/>
      <c r="H250" s="2" t="s">
        <v>3788</v>
      </c>
      <c r="I250" s="2" t="s">
        <v>3811</v>
      </c>
      <c r="J250" s="2" t="s">
        <v>3813</v>
      </c>
      <c r="K250" s="2" t="s">
        <v>55</v>
      </c>
      <c r="L250" s="2" t="s">
        <v>3815</v>
      </c>
      <c r="M250" s="2"/>
      <c r="N250" s="45" t="str">
        <f t="shared" si="190"/>
        <v>@colbysoftball</v>
      </c>
      <c r="O250" s="45" t="str">
        <f t="shared" si="191"/>
        <v>Questionnaire</v>
      </c>
      <c r="P250" s="48" t="s">
        <v>3798</v>
      </c>
      <c r="Q250" s="60" t="s">
        <v>1634</v>
      </c>
      <c r="R250" s="48" t="s">
        <v>3801</v>
      </c>
      <c r="S250" s="48" t="s">
        <v>172</v>
      </c>
      <c r="T250" s="49" t="s">
        <v>63</v>
      </c>
      <c r="U250" s="48" t="s">
        <v>75</v>
      </c>
      <c r="V250" s="49"/>
      <c r="W250" s="37">
        <v>3.77</v>
      </c>
      <c r="X250" s="49" t="s">
        <v>3805</v>
      </c>
      <c r="Y250" s="49" t="s">
        <v>3806</v>
      </c>
      <c r="Z250" s="49" t="s">
        <v>626</v>
      </c>
      <c r="AA250" s="65">
        <v>0.19</v>
      </c>
      <c r="AB250" s="42">
        <v>65824</v>
      </c>
      <c r="AC250" s="90" t="s">
        <v>3798</v>
      </c>
      <c r="AD250" s="53" t="str">
        <f t="shared" si="192"/>
        <v>Link</v>
      </c>
      <c r="AE250" s="54">
        <v>1879</v>
      </c>
      <c r="AF250" s="55"/>
      <c r="AG250" s="54">
        <v>12</v>
      </c>
      <c r="AH250" s="56">
        <v>161086</v>
      </c>
      <c r="AI250" s="56"/>
    </row>
    <row r="251" spans="1:35" ht="13" x14ac:dyDescent="0.15">
      <c r="A251" s="57"/>
      <c r="B251" s="31" t="s">
        <v>1646</v>
      </c>
      <c r="C251" s="36" t="s">
        <v>43</v>
      </c>
      <c r="D251" s="86">
        <v>5</v>
      </c>
      <c r="E251" s="7" t="s">
        <v>3824</v>
      </c>
      <c r="F251" s="7"/>
      <c r="G251" s="86"/>
      <c r="H251" s="2" t="s">
        <v>3788</v>
      </c>
      <c r="I251" s="2" t="s">
        <v>1610</v>
      </c>
      <c r="J251" s="2" t="s">
        <v>1267</v>
      </c>
      <c r="K251" s="2" t="s">
        <v>139</v>
      </c>
      <c r="L251" s="7"/>
      <c r="M251" s="6"/>
      <c r="N251" s="45" t="str">
        <f t="shared" si="190"/>
        <v>@colbysoftball</v>
      </c>
      <c r="O251" s="45" t="str">
        <f t="shared" si="191"/>
        <v>Questionnaire</v>
      </c>
      <c r="P251" s="48" t="s">
        <v>3798</v>
      </c>
      <c r="Q251" s="60" t="s">
        <v>1634</v>
      </c>
      <c r="R251" s="48" t="s">
        <v>3801</v>
      </c>
      <c r="S251" s="48" t="s">
        <v>172</v>
      </c>
      <c r="T251" s="49" t="s">
        <v>63</v>
      </c>
      <c r="U251" s="48" t="s">
        <v>75</v>
      </c>
      <c r="V251" s="49"/>
      <c r="W251" s="37">
        <v>3.77</v>
      </c>
      <c r="X251" s="49" t="s">
        <v>3805</v>
      </c>
      <c r="Y251" s="49" t="s">
        <v>3806</v>
      </c>
      <c r="Z251" s="49" t="s">
        <v>626</v>
      </c>
      <c r="AA251" s="65">
        <v>0.19</v>
      </c>
      <c r="AB251" s="42">
        <v>65824</v>
      </c>
      <c r="AC251" s="90" t="s">
        <v>3798</v>
      </c>
      <c r="AD251" s="53" t="str">
        <f t="shared" si="192"/>
        <v>Link</v>
      </c>
      <c r="AE251" s="54">
        <v>1879</v>
      </c>
      <c r="AF251" s="55"/>
      <c r="AG251" s="54">
        <v>12</v>
      </c>
      <c r="AH251" s="56">
        <v>161086</v>
      </c>
      <c r="AI251" s="56"/>
    </row>
    <row r="252" spans="1:35" ht="13" x14ac:dyDescent="0.15">
      <c r="A252" s="57"/>
      <c r="B252" s="131" t="s">
        <v>1646</v>
      </c>
      <c r="C252" s="132" t="s">
        <v>43</v>
      </c>
      <c r="D252" s="44">
        <v>5</v>
      </c>
      <c r="E252" s="7" t="s">
        <v>3844</v>
      </c>
      <c r="F252" s="7"/>
      <c r="G252" s="7"/>
      <c r="H252" s="133" t="s">
        <v>3846</v>
      </c>
      <c r="I252" s="7" t="s">
        <v>2005</v>
      </c>
      <c r="J252" s="7" t="s">
        <v>2482</v>
      </c>
      <c r="K252" s="7" t="s">
        <v>55</v>
      </c>
      <c r="L252" s="7"/>
      <c r="M252" s="7"/>
      <c r="N252" s="48"/>
      <c r="O252" s="48"/>
      <c r="P252" s="48" t="s">
        <v>3847</v>
      </c>
      <c r="Q252" s="60" t="s">
        <v>1634</v>
      </c>
      <c r="R252" s="6" t="s">
        <v>3848</v>
      </c>
      <c r="S252" s="94" t="s">
        <v>205</v>
      </c>
      <c r="T252" s="4" t="s">
        <v>74</v>
      </c>
      <c r="U252" s="48" t="s">
        <v>75</v>
      </c>
      <c r="V252" s="49"/>
      <c r="W252" s="134">
        <v>3.05</v>
      </c>
      <c r="X252" s="49" t="s">
        <v>3853</v>
      </c>
      <c r="Y252" s="49" t="s">
        <v>3854</v>
      </c>
      <c r="Z252" s="4" t="s">
        <v>357</v>
      </c>
      <c r="AA252" s="65">
        <v>0.8</v>
      </c>
      <c r="AB252" s="6" t="s">
        <v>3855</v>
      </c>
      <c r="AC252" s="84" t="s">
        <v>3848</v>
      </c>
      <c r="AD252" s="67" t="str">
        <f>HYPERLINK("http://www.umf.maine.edu/majors-academics/","Link")</f>
        <v>Link</v>
      </c>
      <c r="AE252" s="42">
        <v>1782</v>
      </c>
      <c r="AF252" s="55"/>
      <c r="AG252" s="55"/>
      <c r="AH252" s="56">
        <v>161226</v>
      </c>
      <c r="AI252" s="56"/>
    </row>
    <row r="253" spans="1:35" ht="13" x14ac:dyDescent="0.15">
      <c r="A253" s="57"/>
      <c r="B253" s="31" t="s">
        <v>1646</v>
      </c>
      <c r="C253" s="36" t="s">
        <v>43</v>
      </c>
      <c r="D253" s="86">
        <v>5</v>
      </c>
      <c r="E253" s="7" t="s">
        <v>3858</v>
      </c>
      <c r="F253" s="7"/>
      <c r="G253" s="86"/>
      <c r="H253" s="2" t="s">
        <v>3859</v>
      </c>
      <c r="I253" s="2" t="s">
        <v>3860</v>
      </c>
      <c r="J253" s="2" t="s">
        <v>3861</v>
      </c>
      <c r="K253" s="2" t="s">
        <v>48</v>
      </c>
      <c r="L253" s="95" t="s">
        <v>3862</v>
      </c>
      <c r="M253" s="2" t="s">
        <v>3863</v>
      </c>
      <c r="N253" s="45" t="str">
        <f t="shared" ref="N253:N256" si="193">HYPERLINK("twitter.com/hussonsoftball","@hussonsoftball")</f>
        <v>@hussonsoftball</v>
      </c>
      <c r="O253" s="45" t="str">
        <f t="shared" ref="O253:O256" si="194">HYPERLINK("https://www.hussoneagles.com/information/recruiting/recruit","Questionnaire")</f>
        <v>Questionnaire</v>
      </c>
      <c r="P253" s="48" t="s">
        <v>3870</v>
      </c>
      <c r="Q253" s="60" t="s">
        <v>1634</v>
      </c>
      <c r="R253" s="48" t="s">
        <v>3871</v>
      </c>
      <c r="S253" s="48" t="s">
        <v>468</v>
      </c>
      <c r="T253" s="49" t="s">
        <v>63</v>
      </c>
      <c r="U253" s="48" t="s">
        <v>75</v>
      </c>
      <c r="V253" s="49"/>
      <c r="W253" s="37">
        <v>3.3</v>
      </c>
      <c r="X253" s="49" t="s">
        <v>253</v>
      </c>
      <c r="Y253" s="49" t="s">
        <v>3872</v>
      </c>
      <c r="Z253" s="49" t="s">
        <v>1339</v>
      </c>
      <c r="AA253" s="65">
        <v>0.8</v>
      </c>
      <c r="AB253" s="39">
        <v>29405</v>
      </c>
      <c r="AC253" s="90" t="s">
        <v>3870</v>
      </c>
      <c r="AD253" s="53" t="str">
        <f t="shared" ref="AD253:AD256" si="195">HYPERLINK("http://www.husson.edu/academics/degrees/","Link")</f>
        <v>Link</v>
      </c>
      <c r="AE253" s="54">
        <v>2833</v>
      </c>
      <c r="AF253" s="55"/>
      <c r="AG253" s="55"/>
      <c r="AH253" s="56">
        <v>161165</v>
      </c>
      <c r="AI253" s="56"/>
    </row>
    <row r="254" spans="1:35" ht="13" x14ac:dyDescent="0.15">
      <c r="A254" s="57"/>
      <c r="B254" s="31" t="s">
        <v>1646</v>
      </c>
      <c r="C254" s="36" t="s">
        <v>43</v>
      </c>
      <c r="D254" s="86">
        <v>5</v>
      </c>
      <c r="E254" s="7" t="s">
        <v>3880</v>
      </c>
      <c r="F254" s="7"/>
      <c r="G254" s="86"/>
      <c r="H254" s="2" t="s">
        <v>3859</v>
      </c>
      <c r="I254" s="2" t="s">
        <v>3882</v>
      </c>
      <c r="J254" s="2" t="s">
        <v>3886</v>
      </c>
      <c r="K254" s="2" t="s">
        <v>55</v>
      </c>
      <c r="L254" s="95" t="s">
        <v>3888</v>
      </c>
      <c r="M254" s="2" t="s">
        <v>3889</v>
      </c>
      <c r="N254" s="45" t="str">
        <f t="shared" si="193"/>
        <v>@hussonsoftball</v>
      </c>
      <c r="O254" s="45" t="str">
        <f t="shared" si="194"/>
        <v>Questionnaire</v>
      </c>
      <c r="P254" s="48" t="s">
        <v>3870</v>
      </c>
      <c r="Q254" s="60" t="s">
        <v>1634</v>
      </c>
      <c r="R254" s="48" t="s">
        <v>3871</v>
      </c>
      <c r="S254" s="48" t="s">
        <v>468</v>
      </c>
      <c r="T254" s="49" t="s">
        <v>63</v>
      </c>
      <c r="U254" s="48" t="s">
        <v>75</v>
      </c>
      <c r="V254" s="49"/>
      <c r="W254" s="37">
        <v>3.3</v>
      </c>
      <c r="X254" s="49" t="s">
        <v>253</v>
      </c>
      <c r="Y254" s="49" t="s">
        <v>3872</v>
      </c>
      <c r="Z254" s="49" t="s">
        <v>1339</v>
      </c>
      <c r="AA254" s="65">
        <v>0.8</v>
      </c>
      <c r="AB254" s="39">
        <v>29405</v>
      </c>
      <c r="AC254" s="90" t="s">
        <v>3870</v>
      </c>
      <c r="AD254" s="53" t="str">
        <f t="shared" si="195"/>
        <v>Link</v>
      </c>
      <c r="AE254" s="54">
        <v>2833</v>
      </c>
      <c r="AF254" s="55"/>
      <c r="AG254" s="55"/>
      <c r="AH254" s="56">
        <v>161165</v>
      </c>
      <c r="AI254" s="56"/>
    </row>
    <row r="255" spans="1:35" ht="13" x14ac:dyDescent="0.15">
      <c r="A255" s="57"/>
      <c r="B255" s="31" t="s">
        <v>1646</v>
      </c>
      <c r="C255" s="36" t="s">
        <v>43</v>
      </c>
      <c r="D255" s="86">
        <v>5</v>
      </c>
      <c r="E255" s="7" t="s">
        <v>3896</v>
      </c>
      <c r="F255" s="7"/>
      <c r="G255" s="86"/>
      <c r="H255" s="2" t="s">
        <v>3859</v>
      </c>
      <c r="I255" s="2" t="s">
        <v>3899</v>
      </c>
      <c r="J255" s="2" t="s">
        <v>509</v>
      </c>
      <c r="K255" s="2" t="s">
        <v>55</v>
      </c>
      <c r="L255" s="130" t="s">
        <v>3900</v>
      </c>
      <c r="M255" s="2" t="s">
        <v>3863</v>
      </c>
      <c r="N255" s="45" t="str">
        <f t="shared" si="193"/>
        <v>@hussonsoftball</v>
      </c>
      <c r="O255" s="45" t="str">
        <f t="shared" si="194"/>
        <v>Questionnaire</v>
      </c>
      <c r="P255" s="48" t="s">
        <v>3870</v>
      </c>
      <c r="Q255" s="60" t="s">
        <v>1634</v>
      </c>
      <c r="R255" s="48" t="s">
        <v>3871</v>
      </c>
      <c r="S255" s="48" t="s">
        <v>468</v>
      </c>
      <c r="T255" s="49" t="s">
        <v>63</v>
      </c>
      <c r="U255" s="48" t="s">
        <v>75</v>
      </c>
      <c r="V255" s="49"/>
      <c r="W255" s="37">
        <v>3.3</v>
      </c>
      <c r="X255" s="49" t="s">
        <v>253</v>
      </c>
      <c r="Y255" s="49" t="s">
        <v>3872</v>
      </c>
      <c r="Z255" s="49" t="s">
        <v>1339</v>
      </c>
      <c r="AA255" s="65">
        <v>0.8</v>
      </c>
      <c r="AB255" s="39">
        <v>29405</v>
      </c>
      <c r="AC255" s="90" t="s">
        <v>3870</v>
      </c>
      <c r="AD255" s="53" t="str">
        <f t="shared" si="195"/>
        <v>Link</v>
      </c>
      <c r="AE255" s="54">
        <v>2833</v>
      </c>
      <c r="AF255" s="55"/>
      <c r="AG255" s="55"/>
      <c r="AH255" s="56">
        <v>161165</v>
      </c>
      <c r="AI255" s="56"/>
    </row>
    <row r="256" spans="1:35" ht="13" x14ac:dyDescent="0.15">
      <c r="A256" s="57"/>
      <c r="B256" s="31" t="s">
        <v>1646</v>
      </c>
      <c r="C256" s="36" t="s">
        <v>43</v>
      </c>
      <c r="D256" s="86">
        <v>5</v>
      </c>
      <c r="E256" s="7" t="s">
        <v>3907</v>
      </c>
      <c r="F256" s="7"/>
      <c r="G256" s="86"/>
      <c r="H256" s="2" t="s">
        <v>3859</v>
      </c>
      <c r="I256" s="2" t="s">
        <v>3909</v>
      </c>
      <c r="J256" s="2" t="s">
        <v>3910</v>
      </c>
      <c r="K256" s="2" t="s">
        <v>55</v>
      </c>
      <c r="L256" s="95" t="s">
        <v>3862</v>
      </c>
      <c r="M256" s="2" t="s">
        <v>3863</v>
      </c>
      <c r="N256" s="45" t="str">
        <f t="shared" si="193"/>
        <v>@hussonsoftball</v>
      </c>
      <c r="O256" s="45" t="str">
        <f t="shared" si="194"/>
        <v>Questionnaire</v>
      </c>
      <c r="P256" s="48" t="s">
        <v>3870</v>
      </c>
      <c r="Q256" s="60" t="s">
        <v>1634</v>
      </c>
      <c r="R256" s="48" t="s">
        <v>3871</v>
      </c>
      <c r="S256" s="48" t="s">
        <v>468</v>
      </c>
      <c r="T256" s="49" t="s">
        <v>63</v>
      </c>
      <c r="U256" s="48" t="s">
        <v>75</v>
      </c>
      <c r="V256" s="49"/>
      <c r="W256" s="37">
        <v>3.3</v>
      </c>
      <c r="X256" s="49" t="s">
        <v>253</v>
      </c>
      <c r="Y256" s="49" t="s">
        <v>3872</v>
      </c>
      <c r="Z256" s="49" t="s">
        <v>1339</v>
      </c>
      <c r="AA256" s="65">
        <v>0.8</v>
      </c>
      <c r="AB256" s="39">
        <v>29405</v>
      </c>
      <c r="AC256" s="90" t="s">
        <v>3870</v>
      </c>
      <c r="AD256" s="53" t="str">
        <f t="shared" si="195"/>
        <v>Link</v>
      </c>
      <c r="AE256" s="54">
        <v>2833</v>
      </c>
      <c r="AF256" s="55"/>
      <c r="AG256" s="55"/>
      <c r="AH256" s="56">
        <v>161165</v>
      </c>
      <c r="AI256" s="56"/>
    </row>
    <row r="257" spans="1:38" ht="13" x14ac:dyDescent="0.15">
      <c r="A257" s="57"/>
      <c r="B257" s="31" t="s">
        <v>1646</v>
      </c>
      <c r="C257" s="36" t="s">
        <v>43</v>
      </c>
      <c r="D257" s="86">
        <v>5</v>
      </c>
      <c r="E257" s="7" t="s">
        <v>3915</v>
      </c>
      <c r="F257" s="7"/>
      <c r="G257" s="86"/>
      <c r="H257" s="2" t="s">
        <v>3846</v>
      </c>
      <c r="I257" s="2" t="s">
        <v>3916</v>
      </c>
      <c r="J257" s="2" t="s">
        <v>3917</v>
      </c>
      <c r="K257" s="2" t="s">
        <v>48</v>
      </c>
      <c r="L257" s="2" t="s">
        <v>3918</v>
      </c>
      <c r="M257" s="2" t="s">
        <v>3919</v>
      </c>
      <c r="N257" s="45" t="str">
        <f>HYPERLINK("twitter.com/umfsoftball","@umfsoftball")</f>
        <v>@umfsoftball</v>
      </c>
      <c r="O257" s="45" t="str">
        <f>HYPERLINK("https://athletics.umf.maine.edu/information/forms/recruiting/Softball","Questionnaire")</f>
        <v>Questionnaire</v>
      </c>
      <c r="P257" s="48" t="s">
        <v>3847</v>
      </c>
      <c r="Q257" s="60" t="s">
        <v>1634</v>
      </c>
      <c r="R257" s="48" t="s">
        <v>3848</v>
      </c>
      <c r="S257" s="60" t="s">
        <v>205</v>
      </c>
      <c r="T257" s="49" t="s">
        <v>74</v>
      </c>
      <c r="U257" s="48" t="s">
        <v>75</v>
      </c>
      <c r="V257" s="49"/>
      <c r="W257" s="37">
        <v>3.05</v>
      </c>
      <c r="X257" s="49" t="s">
        <v>3853</v>
      </c>
      <c r="Y257" s="49" t="s">
        <v>3854</v>
      </c>
      <c r="Z257" s="49" t="s">
        <v>357</v>
      </c>
      <c r="AA257" s="65">
        <v>0.8</v>
      </c>
      <c r="AB257" s="48" t="s">
        <v>3855</v>
      </c>
      <c r="AC257" s="84" t="s">
        <v>3847</v>
      </c>
      <c r="AD257" s="53" t="str">
        <f>HYPERLINK("http://www.umf.maine.edu/majors-academics/","Link")</f>
        <v>Link</v>
      </c>
      <c r="AE257" s="54">
        <v>1782</v>
      </c>
      <c r="AF257" s="55"/>
      <c r="AG257" s="55"/>
      <c r="AH257" s="56">
        <v>161226</v>
      </c>
      <c r="AI257" s="56"/>
    </row>
    <row r="258" spans="1:38" ht="13" x14ac:dyDescent="0.15">
      <c r="A258" s="57"/>
      <c r="B258" s="31" t="s">
        <v>1646</v>
      </c>
      <c r="C258" s="36" t="s">
        <v>43</v>
      </c>
      <c r="D258" s="86">
        <v>5</v>
      </c>
      <c r="E258" s="7" t="s">
        <v>3936</v>
      </c>
      <c r="F258" s="7"/>
      <c r="G258" s="86"/>
      <c r="H258" s="2" t="s">
        <v>3938</v>
      </c>
      <c r="I258" s="2" t="s">
        <v>3939</v>
      </c>
      <c r="J258" s="2" t="s">
        <v>2335</v>
      </c>
      <c r="K258" s="2" t="s">
        <v>48</v>
      </c>
      <c r="L258" s="95" t="s">
        <v>3942</v>
      </c>
      <c r="M258" s="2" t="s">
        <v>3944</v>
      </c>
      <c r="N258" s="45" t="str">
        <f>HYPERLINK("twitter.com/SoftballUmpi","@SoftballUmpi")</f>
        <v>@SoftballUmpi</v>
      </c>
      <c r="O258" s="45" t="str">
        <f>HYPERLINK("http://wp.umpi.edu/forms/prospective-student-athlete-form/","Questionnaire")</f>
        <v>Questionnaire</v>
      </c>
      <c r="P258" s="48" t="s">
        <v>3947</v>
      </c>
      <c r="Q258" s="60" t="s">
        <v>1634</v>
      </c>
      <c r="R258" s="48" t="s">
        <v>3948</v>
      </c>
      <c r="S258" s="60" t="s">
        <v>205</v>
      </c>
      <c r="T258" s="49" t="s">
        <v>74</v>
      </c>
      <c r="U258" s="48" t="s">
        <v>75</v>
      </c>
      <c r="V258" s="49"/>
      <c r="W258" s="37">
        <v>3.04</v>
      </c>
      <c r="X258" s="49" t="s">
        <v>3950</v>
      </c>
      <c r="Y258" s="49" t="s">
        <v>3151</v>
      </c>
      <c r="Z258" s="49" t="s">
        <v>3952</v>
      </c>
      <c r="AA258" s="65">
        <v>0.87</v>
      </c>
      <c r="AB258" s="48" t="s">
        <v>3955</v>
      </c>
      <c r="AC258" s="84" t="s">
        <v>3947</v>
      </c>
      <c r="AD258" s="53" t="str">
        <f>HYPERLINK("http://www.umpi.edu/academics/","Link")</f>
        <v>Link</v>
      </c>
      <c r="AE258" s="54">
        <v>1326</v>
      </c>
      <c r="AF258" s="55"/>
      <c r="AG258" s="55"/>
      <c r="AH258" s="56">
        <v>161341</v>
      </c>
      <c r="AI258" s="56"/>
    </row>
    <row r="259" spans="1:38" ht="15" x14ac:dyDescent="0.2">
      <c r="A259" s="57"/>
      <c r="B259" s="31" t="s">
        <v>1646</v>
      </c>
      <c r="C259" s="36" t="s">
        <v>43</v>
      </c>
      <c r="D259" s="86">
        <v>5</v>
      </c>
      <c r="E259" s="7" t="s">
        <v>3959</v>
      </c>
      <c r="F259" s="7"/>
      <c r="G259" s="86"/>
      <c r="H259" s="2" t="s">
        <v>3960</v>
      </c>
      <c r="I259" s="2" t="s">
        <v>539</v>
      </c>
      <c r="J259" s="2" t="s">
        <v>3961</v>
      </c>
      <c r="K259" s="2" t="s">
        <v>48</v>
      </c>
      <c r="L259" s="2" t="s">
        <v>3962</v>
      </c>
      <c r="M259" s="2" t="s">
        <v>3963</v>
      </c>
      <c r="N259" s="45" t="str">
        <f t="shared" ref="N259:N260" si="196">HYPERLINK("twitter.com/usm_softball","@usm_softball")</f>
        <v>@usm_softball</v>
      </c>
      <c r="O259" s="45" t="str">
        <f t="shared" ref="O259:O260" si="197">HYPERLINK("https://www.southernmainehuskies.com/sports/sball/recruitform","Questionnaire")</f>
        <v>Questionnaire</v>
      </c>
      <c r="P259" s="48" t="s">
        <v>3970</v>
      </c>
      <c r="Q259" s="60" t="s">
        <v>1634</v>
      </c>
      <c r="R259" s="48" t="s">
        <v>3684</v>
      </c>
      <c r="S259" s="48" t="s">
        <v>186</v>
      </c>
      <c r="T259" s="49" t="s">
        <v>74</v>
      </c>
      <c r="U259" s="48" t="s">
        <v>75</v>
      </c>
      <c r="V259" s="49"/>
      <c r="W259" s="37">
        <v>3.16</v>
      </c>
      <c r="X259" s="49" t="s">
        <v>1144</v>
      </c>
      <c r="Y259" s="49" t="s">
        <v>1453</v>
      </c>
      <c r="Z259" s="49" t="s">
        <v>746</v>
      </c>
      <c r="AA259" s="65">
        <v>0.8</v>
      </c>
      <c r="AB259" s="48" t="s">
        <v>3971</v>
      </c>
      <c r="AC259" s="52" t="s">
        <v>3970</v>
      </c>
      <c r="AD259" s="53" t="str">
        <f t="shared" ref="AD259:AD260" si="198">HYPERLINK("https://usm.maine.edu/majors-minors-programs","Link")</f>
        <v>Link</v>
      </c>
      <c r="AE259" s="54">
        <v>6189</v>
      </c>
      <c r="AF259" s="55"/>
      <c r="AG259" s="55"/>
      <c r="AH259" s="56">
        <v>161554</v>
      </c>
      <c r="AI259" s="56"/>
    </row>
    <row r="260" spans="1:38" ht="15" x14ac:dyDescent="0.2">
      <c r="A260" s="57"/>
      <c r="B260" s="31" t="s">
        <v>1646</v>
      </c>
      <c r="C260" s="36" t="s">
        <v>43</v>
      </c>
      <c r="D260" s="86">
        <v>5</v>
      </c>
      <c r="E260" s="7" t="s">
        <v>3978</v>
      </c>
      <c r="F260" s="7"/>
      <c r="G260" s="86"/>
      <c r="H260" s="2" t="s">
        <v>3960</v>
      </c>
      <c r="I260" s="2" t="s">
        <v>481</v>
      </c>
      <c r="J260" s="2" t="s">
        <v>3189</v>
      </c>
      <c r="K260" s="2" t="s">
        <v>55</v>
      </c>
      <c r="L260" s="2"/>
      <c r="M260" s="2"/>
      <c r="N260" s="45" t="str">
        <f t="shared" si="196"/>
        <v>@usm_softball</v>
      </c>
      <c r="O260" s="45" t="str">
        <f t="shared" si="197"/>
        <v>Questionnaire</v>
      </c>
      <c r="P260" s="48" t="s">
        <v>3970</v>
      </c>
      <c r="Q260" s="60" t="s">
        <v>1634</v>
      </c>
      <c r="R260" s="48" t="s">
        <v>3684</v>
      </c>
      <c r="S260" s="48" t="s">
        <v>186</v>
      </c>
      <c r="T260" s="49" t="s">
        <v>74</v>
      </c>
      <c r="U260" s="48" t="s">
        <v>75</v>
      </c>
      <c r="V260" s="49"/>
      <c r="W260" s="37">
        <v>3.16</v>
      </c>
      <c r="X260" s="49" t="s">
        <v>1144</v>
      </c>
      <c r="Y260" s="49" t="s">
        <v>1453</v>
      </c>
      <c r="Z260" s="49" t="s">
        <v>746</v>
      </c>
      <c r="AA260" s="65">
        <v>0.8</v>
      </c>
      <c r="AB260" s="48" t="s">
        <v>3971</v>
      </c>
      <c r="AC260" s="52" t="s">
        <v>3970</v>
      </c>
      <c r="AD260" s="53" t="str">
        <f t="shared" si="198"/>
        <v>Link</v>
      </c>
      <c r="AE260" s="54">
        <v>6189</v>
      </c>
      <c r="AF260" s="55"/>
      <c r="AG260" s="55"/>
      <c r="AH260" s="56">
        <v>161554</v>
      </c>
      <c r="AI260" s="56"/>
    </row>
    <row r="261" spans="1:38" ht="15" x14ac:dyDescent="0.2">
      <c r="A261" s="57"/>
      <c r="B261" s="31" t="s">
        <v>1646</v>
      </c>
      <c r="C261" s="36" t="s">
        <v>43</v>
      </c>
      <c r="D261" s="86">
        <v>5</v>
      </c>
      <c r="E261" s="7" t="s">
        <v>3985</v>
      </c>
      <c r="F261" s="7"/>
      <c r="G261" s="86"/>
      <c r="H261" s="2" t="s">
        <v>3986</v>
      </c>
      <c r="I261" s="2" t="s">
        <v>1217</v>
      </c>
      <c r="J261" s="2" t="s">
        <v>3987</v>
      </c>
      <c r="K261" s="2" t="s">
        <v>48</v>
      </c>
      <c r="L261" s="7" t="s">
        <v>3988</v>
      </c>
      <c r="M261" s="2" t="s">
        <v>3989</v>
      </c>
      <c r="N261" s="48"/>
      <c r="O261" s="45" t="str">
        <f t="shared" ref="O261:O264" si="199">HYPERLINK("https://www.gomonks.com/information/recruit_central","Questionnaire")</f>
        <v>Questionnaire</v>
      </c>
      <c r="P261" s="48" t="s">
        <v>3992</v>
      </c>
      <c r="Q261" s="60" t="s">
        <v>1634</v>
      </c>
      <c r="R261" s="48" t="s">
        <v>3993</v>
      </c>
      <c r="S261" s="60" t="s">
        <v>205</v>
      </c>
      <c r="T261" s="49" t="s">
        <v>63</v>
      </c>
      <c r="U261" s="6" t="s">
        <v>343</v>
      </c>
      <c r="V261" s="49"/>
      <c r="W261" s="37">
        <v>3</v>
      </c>
      <c r="X261" s="49" t="s">
        <v>1785</v>
      </c>
      <c r="Y261" s="49" t="s">
        <v>252</v>
      </c>
      <c r="Z261" s="49" t="s">
        <v>3995</v>
      </c>
      <c r="AA261" s="80">
        <v>0.78</v>
      </c>
      <c r="AB261" s="39">
        <v>43390</v>
      </c>
      <c r="AC261" s="84" t="s">
        <v>3992</v>
      </c>
      <c r="AD261" s="53" t="str">
        <f t="shared" ref="AD261:AD265" si="200">HYPERLINK("https://www.sjcme.edu/academics/areas_of_study/oncampus/","Link")</f>
        <v>Link</v>
      </c>
      <c r="AE261" s="54">
        <v>1504</v>
      </c>
      <c r="AF261" s="55"/>
      <c r="AG261" s="55"/>
      <c r="AH261" s="56">
        <v>161518</v>
      </c>
      <c r="AI261" s="56"/>
    </row>
    <row r="262" spans="1:38" ht="15" x14ac:dyDescent="0.2">
      <c r="A262" s="57"/>
      <c r="B262" s="31" t="s">
        <v>1646</v>
      </c>
      <c r="C262" s="36" t="s">
        <v>43</v>
      </c>
      <c r="D262" s="86">
        <v>5</v>
      </c>
      <c r="E262" s="7" t="s">
        <v>3997</v>
      </c>
      <c r="F262" s="7"/>
      <c r="G262" s="86"/>
      <c r="H262" s="2" t="s">
        <v>3986</v>
      </c>
      <c r="I262" s="2" t="s">
        <v>2943</v>
      </c>
      <c r="J262" s="2" t="s">
        <v>852</v>
      </c>
      <c r="K262" s="2" t="s">
        <v>3999</v>
      </c>
      <c r="L262" s="7"/>
      <c r="M262" s="2"/>
      <c r="N262" s="48"/>
      <c r="O262" s="45" t="str">
        <f t="shared" si="199"/>
        <v>Questionnaire</v>
      </c>
      <c r="P262" s="48" t="s">
        <v>3992</v>
      </c>
      <c r="Q262" s="60" t="s">
        <v>1634</v>
      </c>
      <c r="R262" s="48" t="s">
        <v>3993</v>
      </c>
      <c r="S262" s="60" t="s">
        <v>205</v>
      </c>
      <c r="T262" s="49" t="s">
        <v>63</v>
      </c>
      <c r="U262" s="6" t="s">
        <v>343</v>
      </c>
      <c r="V262" s="49"/>
      <c r="W262" s="37">
        <v>3</v>
      </c>
      <c r="X262" s="49" t="s">
        <v>1785</v>
      </c>
      <c r="Y262" s="49" t="s">
        <v>252</v>
      </c>
      <c r="Z262" s="49" t="s">
        <v>3995</v>
      </c>
      <c r="AA262" s="80">
        <v>0.78</v>
      </c>
      <c r="AB262" s="39">
        <v>43390</v>
      </c>
      <c r="AC262" s="84" t="s">
        <v>3992</v>
      </c>
      <c r="AD262" s="53" t="str">
        <f t="shared" si="200"/>
        <v>Link</v>
      </c>
      <c r="AE262" s="54">
        <v>1504</v>
      </c>
      <c r="AF262" s="55"/>
      <c r="AG262" s="55"/>
      <c r="AH262" s="56">
        <v>161518</v>
      </c>
      <c r="AI262" s="56"/>
    </row>
    <row r="263" spans="1:38" ht="15" x14ac:dyDescent="0.2">
      <c r="A263" s="57"/>
      <c r="B263" s="31" t="s">
        <v>1646</v>
      </c>
      <c r="C263" s="36" t="s">
        <v>43</v>
      </c>
      <c r="D263" s="86">
        <v>5</v>
      </c>
      <c r="E263" s="7" t="s">
        <v>4001</v>
      </c>
      <c r="F263" s="7"/>
      <c r="G263" s="86"/>
      <c r="H263" s="2" t="s">
        <v>3986</v>
      </c>
      <c r="I263" s="2" t="s">
        <v>1080</v>
      </c>
      <c r="J263" s="2" t="s">
        <v>117</v>
      </c>
      <c r="K263" s="2" t="s">
        <v>55</v>
      </c>
      <c r="L263" s="7"/>
      <c r="M263" s="2"/>
      <c r="N263" s="48"/>
      <c r="O263" s="45" t="str">
        <f t="shared" si="199"/>
        <v>Questionnaire</v>
      </c>
      <c r="P263" s="48" t="s">
        <v>3992</v>
      </c>
      <c r="Q263" s="60" t="s">
        <v>1634</v>
      </c>
      <c r="R263" s="48" t="s">
        <v>3993</v>
      </c>
      <c r="S263" s="60" t="s">
        <v>205</v>
      </c>
      <c r="T263" s="49" t="s">
        <v>63</v>
      </c>
      <c r="U263" s="6" t="s">
        <v>343</v>
      </c>
      <c r="V263" s="49"/>
      <c r="W263" s="37">
        <v>3</v>
      </c>
      <c r="X263" s="49" t="s">
        <v>1785</v>
      </c>
      <c r="Y263" s="49" t="s">
        <v>252</v>
      </c>
      <c r="Z263" s="49" t="s">
        <v>3995</v>
      </c>
      <c r="AA263" s="80">
        <v>0.78</v>
      </c>
      <c r="AB263" s="39">
        <v>43390</v>
      </c>
      <c r="AC263" s="84" t="s">
        <v>3992</v>
      </c>
      <c r="AD263" s="53" t="str">
        <f t="shared" si="200"/>
        <v>Link</v>
      </c>
      <c r="AE263" s="54">
        <v>1504</v>
      </c>
      <c r="AF263" s="55"/>
      <c r="AG263" s="55"/>
      <c r="AH263" s="56">
        <v>161518</v>
      </c>
      <c r="AI263" s="56"/>
    </row>
    <row r="264" spans="1:38" ht="15" x14ac:dyDescent="0.2">
      <c r="A264" s="57"/>
      <c r="B264" s="31" t="s">
        <v>1646</v>
      </c>
      <c r="C264" s="36" t="s">
        <v>43</v>
      </c>
      <c r="D264" s="86">
        <v>5</v>
      </c>
      <c r="E264" s="7" t="s">
        <v>4009</v>
      </c>
      <c r="F264" s="7"/>
      <c r="G264" s="86"/>
      <c r="H264" s="2" t="s">
        <v>3986</v>
      </c>
      <c r="I264" s="2" t="s">
        <v>4010</v>
      </c>
      <c r="J264" s="2" t="s">
        <v>4011</v>
      </c>
      <c r="K264" s="2" t="s">
        <v>55</v>
      </c>
      <c r="L264" s="2"/>
      <c r="M264" s="2"/>
      <c r="N264" s="48"/>
      <c r="O264" s="45" t="str">
        <f t="shared" si="199"/>
        <v>Questionnaire</v>
      </c>
      <c r="P264" s="48" t="s">
        <v>3992</v>
      </c>
      <c r="Q264" s="60" t="s">
        <v>1634</v>
      </c>
      <c r="R264" s="48" t="s">
        <v>3993</v>
      </c>
      <c r="S264" s="60" t="s">
        <v>205</v>
      </c>
      <c r="T264" s="49" t="s">
        <v>63</v>
      </c>
      <c r="U264" s="6" t="s">
        <v>343</v>
      </c>
      <c r="V264" s="49"/>
      <c r="W264" s="37">
        <v>3</v>
      </c>
      <c r="X264" s="49" t="s">
        <v>1785</v>
      </c>
      <c r="Y264" s="49" t="s">
        <v>252</v>
      </c>
      <c r="Z264" s="49" t="s">
        <v>3995</v>
      </c>
      <c r="AA264" s="80">
        <v>0.78</v>
      </c>
      <c r="AB264" s="39">
        <v>43390</v>
      </c>
      <c r="AC264" s="84" t="s">
        <v>3992</v>
      </c>
      <c r="AD264" s="53" t="str">
        <f t="shared" si="200"/>
        <v>Link</v>
      </c>
      <c r="AE264" s="54">
        <v>1504</v>
      </c>
      <c r="AF264" s="55"/>
      <c r="AG264" s="55"/>
      <c r="AH264" s="56">
        <v>161518</v>
      </c>
      <c r="AI264" s="56"/>
    </row>
    <row r="265" spans="1:38" ht="15" x14ac:dyDescent="0.2">
      <c r="A265" s="57"/>
      <c r="B265" s="131" t="s">
        <v>1646</v>
      </c>
      <c r="C265" s="133" t="s">
        <v>43</v>
      </c>
      <c r="D265" s="44">
        <v>5</v>
      </c>
      <c r="E265" s="7" t="s">
        <v>4028</v>
      </c>
      <c r="F265" s="7"/>
      <c r="G265" s="7"/>
      <c r="H265" s="133" t="s">
        <v>3986</v>
      </c>
      <c r="I265" s="7" t="s">
        <v>844</v>
      </c>
      <c r="J265" s="7" t="s">
        <v>4031</v>
      </c>
      <c r="K265" s="7" t="s">
        <v>55</v>
      </c>
      <c r="L265" s="7"/>
      <c r="M265" s="7"/>
      <c r="N265" s="48"/>
      <c r="O265" s="48"/>
      <c r="P265" s="48" t="s">
        <v>3992</v>
      </c>
      <c r="Q265" s="60" t="s">
        <v>1634</v>
      </c>
      <c r="R265" s="48" t="s">
        <v>3993</v>
      </c>
      <c r="S265" s="60" t="s">
        <v>205</v>
      </c>
      <c r="T265" s="49" t="s">
        <v>63</v>
      </c>
      <c r="U265" s="135" t="s">
        <v>343</v>
      </c>
      <c r="V265" s="135"/>
      <c r="W265" s="136">
        <v>3</v>
      </c>
      <c r="X265" s="49" t="s">
        <v>1785</v>
      </c>
      <c r="Y265" s="49" t="s">
        <v>252</v>
      </c>
      <c r="Z265" s="49" t="s">
        <v>3995</v>
      </c>
      <c r="AA265" s="80">
        <v>0.78</v>
      </c>
      <c r="AB265" s="71">
        <v>43390</v>
      </c>
      <c r="AC265" s="62" t="s">
        <v>3992</v>
      </c>
      <c r="AD265" s="53" t="str">
        <f t="shared" si="200"/>
        <v>Link</v>
      </c>
      <c r="AE265" s="54">
        <v>1504</v>
      </c>
      <c r="AF265" s="55"/>
      <c r="AG265" s="135"/>
      <c r="AH265" s="56">
        <v>161518</v>
      </c>
      <c r="AI265" s="56"/>
    </row>
    <row r="266" spans="1:38" ht="13" x14ac:dyDescent="0.15">
      <c r="A266" s="57"/>
      <c r="B266" s="31" t="s">
        <v>1646</v>
      </c>
      <c r="C266" s="36" t="s">
        <v>43</v>
      </c>
      <c r="D266" s="86">
        <v>5</v>
      </c>
      <c r="E266" s="7" t="s">
        <v>4047</v>
      </c>
      <c r="F266" s="7"/>
      <c r="G266" s="86"/>
      <c r="H266" s="2" t="s">
        <v>4048</v>
      </c>
      <c r="I266" s="2" t="s">
        <v>4049</v>
      </c>
      <c r="J266" s="2" t="s">
        <v>4050</v>
      </c>
      <c r="K266" s="2" t="s">
        <v>48</v>
      </c>
      <c r="L266" s="2" t="s">
        <v>4052</v>
      </c>
      <c r="M266" s="2" t="s">
        <v>4053</v>
      </c>
      <c r="N266" s="48"/>
      <c r="O266" s="45" t="str">
        <f t="shared" ref="O266:O268" si="201">HYPERLINK("https://thomasathletics.com/information/recruit/Recruiting_Questionnaires","Questionnaire")</f>
        <v>Questionnaire</v>
      </c>
      <c r="P266" s="48" t="s">
        <v>4062</v>
      </c>
      <c r="Q266" s="60" t="s">
        <v>1634</v>
      </c>
      <c r="R266" s="48" t="s">
        <v>3801</v>
      </c>
      <c r="S266" s="48" t="s">
        <v>172</v>
      </c>
      <c r="T266" s="49" t="s">
        <v>63</v>
      </c>
      <c r="U266" s="48" t="s">
        <v>75</v>
      </c>
      <c r="V266" s="49"/>
      <c r="W266" s="37">
        <v>2.7</v>
      </c>
      <c r="X266" s="49" t="s">
        <v>214</v>
      </c>
      <c r="Y266" s="49" t="s">
        <v>214</v>
      </c>
      <c r="Z266" s="49" t="s">
        <v>214</v>
      </c>
      <c r="AA266" s="55" t="s">
        <v>214</v>
      </c>
      <c r="AB266" s="39">
        <v>38750</v>
      </c>
      <c r="AC266" s="90" t="s">
        <v>4062</v>
      </c>
      <c r="AD266" s="53" t="str">
        <f t="shared" ref="AD266:AD268" si="202">HYPERLINK("https://www.thomas.edu/academics/","Link")</f>
        <v>Link</v>
      </c>
      <c r="AE266" s="54">
        <v>1227</v>
      </c>
      <c r="AF266" s="55"/>
      <c r="AG266" s="55"/>
      <c r="AH266" s="56">
        <v>161563</v>
      </c>
      <c r="AI266" s="56"/>
    </row>
    <row r="267" spans="1:38" ht="13" x14ac:dyDescent="0.15">
      <c r="A267" s="57"/>
      <c r="B267" s="31" t="s">
        <v>1646</v>
      </c>
      <c r="C267" s="36" t="s">
        <v>43</v>
      </c>
      <c r="D267" s="86">
        <v>5</v>
      </c>
      <c r="E267" s="7" t="s">
        <v>4068</v>
      </c>
      <c r="F267" s="7"/>
      <c r="G267" s="86"/>
      <c r="H267" s="2" t="s">
        <v>4048</v>
      </c>
      <c r="I267" s="2" t="s">
        <v>1610</v>
      </c>
      <c r="J267" s="2" t="s">
        <v>4069</v>
      </c>
      <c r="K267" s="2" t="s">
        <v>55</v>
      </c>
      <c r="L267" s="2" t="s">
        <v>4070</v>
      </c>
      <c r="M267" s="2"/>
      <c r="N267" s="48"/>
      <c r="O267" s="45" t="str">
        <f t="shared" si="201"/>
        <v>Questionnaire</v>
      </c>
      <c r="P267" s="48" t="s">
        <v>4062</v>
      </c>
      <c r="Q267" s="60" t="s">
        <v>1634</v>
      </c>
      <c r="R267" s="48" t="s">
        <v>3801</v>
      </c>
      <c r="S267" s="48" t="s">
        <v>172</v>
      </c>
      <c r="T267" s="49" t="s">
        <v>63</v>
      </c>
      <c r="U267" s="48" t="s">
        <v>75</v>
      </c>
      <c r="V267" s="49"/>
      <c r="W267" s="37">
        <v>2.7</v>
      </c>
      <c r="X267" s="49" t="s">
        <v>214</v>
      </c>
      <c r="Y267" s="49" t="s">
        <v>214</v>
      </c>
      <c r="Z267" s="49" t="s">
        <v>214</v>
      </c>
      <c r="AA267" s="55" t="s">
        <v>214</v>
      </c>
      <c r="AB267" s="39">
        <v>38750</v>
      </c>
      <c r="AC267" s="90" t="s">
        <v>4062</v>
      </c>
      <c r="AD267" s="53" t="str">
        <f t="shared" si="202"/>
        <v>Link</v>
      </c>
      <c r="AE267" s="54">
        <v>1227</v>
      </c>
      <c r="AF267" s="55"/>
      <c r="AG267" s="55"/>
      <c r="AH267" s="56">
        <v>161563</v>
      </c>
      <c r="AI267" s="56"/>
    </row>
    <row r="268" spans="1:38" ht="13" x14ac:dyDescent="0.15">
      <c r="A268" s="57"/>
      <c r="B268" s="31" t="s">
        <v>1646</v>
      </c>
      <c r="C268" s="36" t="s">
        <v>43</v>
      </c>
      <c r="D268" s="86">
        <v>5</v>
      </c>
      <c r="E268" s="7" t="s">
        <v>4074</v>
      </c>
      <c r="F268" s="7"/>
      <c r="G268" s="86"/>
      <c r="H268" s="2" t="s">
        <v>4048</v>
      </c>
      <c r="I268" s="2" t="s">
        <v>772</v>
      </c>
      <c r="J268" s="2" t="s">
        <v>4077</v>
      </c>
      <c r="K268" s="2" t="s">
        <v>55</v>
      </c>
      <c r="L268" s="95" t="s">
        <v>4078</v>
      </c>
      <c r="M268" s="2" t="s">
        <v>4079</v>
      </c>
      <c r="N268" s="48"/>
      <c r="O268" s="45" t="str">
        <f t="shared" si="201"/>
        <v>Questionnaire</v>
      </c>
      <c r="P268" s="48" t="s">
        <v>4062</v>
      </c>
      <c r="Q268" s="60" t="s">
        <v>1634</v>
      </c>
      <c r="R268" s="48" t="s">
        <v>3801</v>
      </c>
      <c r="S268" s="48" t="s">
        <v>172</v>
      </c>
      <c r="T268" s="49" t="s">
        <v>63</v>
      </c>
      <c r="U268" s="48" t="s">
        <v>75</v>
      </c>
      <c r="V268" s="49"/>
      <c r="W268" s="37">
        <v>2.7</v>
      </c>
      <c r="X268" s="49" t="s">
        <v>214</v>
      </c>
      <c r="Y268" s="49" t="s">
        <v>214</v>
      </c>
      <c r="Z268" s="49" t="s">
        <v>214</v>
      </c>
      <c r="AA268" s="55" t="s">
        <v>214</v>
      </c>
      <c r="AB268" s="39">
        <v>38750</v>
      </c>
      <c r="AC268" s="90" t="s">
        <v>4062</v>
      </c>
      <c r="AD268" s="53" t="str">
        <f t="shared" si="202"/>
        <v>Link</v>
      </c>
      <c r="AE268" s="54">
        <v>1227</v>
      </c>
      <c r="AF268" s="55"/>
      <c r="AG268" s="55"/>
      <c r="AH268" s="56">
        <v>161563</v>
      </c>
      <c r="AI268" s="56"/>
    </row>
    <row r="269" spans="1:38" ht="13" x14ac:dyDescent="0.15">
      <c r="A269" s="57"/>
      <c r="B269" s="31" t="s">
        <v>1646</v>
      </c>
      <c r="C269" s="36" t="s">
        <v>43</v>
      </c>
      <c r="D269" s="86">
        <v>5</v>
      </c>
      <c r="E269" s="7" t="s">
        <v>4084</v>
      </c>
      <c r="F269" s="7"/>
      <c r="G269" s="86"/>
      <c r="H269" s="2" t="s">
        <v>4086</v>
      </c>
      <c r="I269" s="2" t="s">
        <v>2465</v>
      </c>
      <c r="J269" s="2" t="s">
        <v>4087</v>
      </c>
      <c r="K269" s="2" t="s">
        <v>48</v>
      </c>
      <c r="L269" s="2" t="s">
        <v>4089</v>
      </c>
      <c r="M269" s="6" t="s">
        <v>4090</v>
      </c>
      <c r="N269" s="48"/>
      <c r="O269" s="45" t="str">
        <f t="shared" ref="O269:O272" si="203">HYPERLINK("https://athletics.une.edu/sb_output.aspx?form=23&amp;path=softball","Questionnaire")</f>
        <v>Questionnaire</v>
      </c>
      <c r="P269" s="48" t="s">
        <v>4086</v>
      </c>
      <c r="Q269" s="60" t="s">
        <v>1634</v>
      </c>
      <c r="R269" s="48" t="s">
        <v>4093</v>
      </c>
      <c r="S269" s="48" t="s">
        <v>172</v>
      </c>
      <c r="T269" s="49" t="s">
        <v>63</v>
      </c>
      <c r="U269" s="48" t="s">
        <v>75</v>
      </c>
      <c r="V269" s="49"/>
      <c r="W269" s="65">
        <v>3.33</v>
      </c>
      <c r="X269" s="49" t="s">
        <v>522</v>
      </c>
      <c r="Y269" s="49" t="s">
        <v>2341</v>
      </c>
      <c r="Z269" s="49" t="s">
        <v>1650</v>
      </c>
      <c r="AA269" s="65">
        <v>0.83</v>
      </c>
      <c r="AB269" s="39">
        <v>53030</v>
      </c>
      <c r="AC269" s="84" t="s">
        <v>4086</v>
      </c>
      <c r="AD269" s="53" t="str">
        <f t="shared" ref="AD269:AD272" si="204">HYPERLINK("http://www.une.edu/academics/programs","Link")</f>
        <v>Link</v>
      </c>
      <c r="AE269" s="54">
        <v>4247</v>
      </c>
      <c r="AF269" s="55"/>
      <c r="AG269" s="55"/>
      <c r="AH269" s="56">
        <v>161457</v>
      </c>
      <c r="AI269" s="56"/>
      <c r="AJ269" s="137"/>
      <c r="AK269" s="137"/>
      <c r="AL269" s="137"/>
    </row>
    <row r="270" spans="1:38" ht="13" x14ac:dyDescent="0.15">
      <c r="A270" s="57"/>
      <c r="B270" s="31" t="s">
        <v>1646</v>
      </c>
      <c r="C270" s="36" t="s">
        <v>43</v>
      </c>
      <c r="D270" s="86">
        <v>5</v>
      </c>
      <c r="E270" s="7" t="s">
        <v>4103</v>
      </c>
      <c r="F270" s="7"/>
      <c r="G270" s="86"/>
      <c r="H270" s="2" t="s">
        <v>4086</v>
      </c>
      <c r="I270" s="2" t="s">
        <v>847</v>
      </c>
      <c r="J270" s="2" t="s">
        <v>4104</v>
      </c>
      <c r="K270" s="2" t="s">
        <v>55</v>
      </c>
      <c r="L270" s="2"/>
      <c r="M270" s="6"/>
      <c r="N270" s="48"/>
      <c r="O270" s="45" t="str">
        <f t="shared" si="203"/>
        <v>Questionnaire</v>
      </c>
      <c r="P270" s="48" t="s">
        <v>4086</v>
      </c>
      <c r="Q270" s="60" t="s">
        <v>1634</v>
      </c>
      <c r="R270" s="48" t="s">
        <v>4093</v>
      </c>
      <c r="S270" s="48" t="s">
        <v>172</v>
      </c>
      <c r="T270" s="49" t="s">
        <v>63</v>
      </c>
      <c r="U270" s="48" t="s">
        <v>75</v>
      </c>
      <c r="V270" s="49"/>
      <c r="W270" s="65">
        <v>3.33</v>
      </c>
      <c r="X270" s="49" t="s">
        <v>522</v>
      </c>
      <c r="Y270" s="49" t="s">
        <v>2341</v>
      </c>
      <c r="Z270" s="49" t="s">
        <v>1650</v>
      </c>
      <c r="AA270" s="65">
        <v>0.83</v>
      </c>
      <c r="AB270" s="39">
        <v>53030</v>
      </c>
      <c r="AC270" s="84" t="s">
        <v>4086</v>
      </c>
      <c r="AD270" s="53" t="str">
        <f t="shared" si="204"/>
        <v>Link</v>
      </c>
      <c r="AE270" s="54">
        <v>4247</v>
      </c>
      <c r="AF270" s="55"/>
      <c r="AG270" s="55"/>
      <c r="AH270" s="56">
        <v>161457</v>
      </c>
      <c r="AI270" s="56"/>
      <c r="AJ270" s="137"/>
      <c r="AK270" s="137"/>
      <c r="AL270" s="137"/>
    </row>
    <row r="271" spans="1:38" ht="13" x14ac:dyDescent="0.15">
      <c r="A271" s="57"/>
      <c r="B271" s="31" t="s">
        <v>1646</v>
      </c>
      <c r="C271" s="36" t="s">
        <v>43</v>
      </c>
      <c r="D271" s="86">
        <v>5</v>
      </c>
      <c r="E271" s="7" t="s">
        <v>4113</v>
      </c>
      <c r="F271" s="7"/>
      <c r="G271" s="86"/>
      <c r="H271" s="2" t="s">
        <v>4086</v>
      </c>
      <c r="I271" s="2" t="s">
        <v>1159</v>
      </c>
      <c r="J271" s="2" t="s">
        <v>4114</v>
      </c>
      <c r="K271" s="2" t="s">
        <v>55</v>
      </c>
      <c r="L271" s="2"/>
      <c r="M271" s="6"/>
      <c r="N271" s="48"/>
      <c r="O271" s="45" t="str">
        <f t="shared" si="203"/>
        <v>Questionnaire</v>
      </c>
      <c r="P271" s="48" t="s">
        <v>4086</v>
      </c>
      <c r="Q271" s="60" t="s">
        <v>1634</v>
      </c>
      <c r="R271" s="48" t="s">
        <v>4093</v>
      </c>
      <c r="S271" s="48" t="s">
        <v>172</v>
      </c>
      <c r="T271" s="49" t="s">
        <v>63</v>
      </c>
      <c r="U271" s="48" t="s">
        <v>75</v>
      </c>
      <c r="V271" s="49"/>
      <c r="W271" s="65">
        <v>3.33</v>
      </c>
      <c r="X271" s="49" t="s">
        <v>522</v>
      </c>
      <c r="Y271" s="49" t="s">
        <v>2341</v>
      </c>
      <c r="Z271" s="49" t="s">
        <v>1650</v>
      </c>
      <c r="AA271" s="65">
        <v>0.83</v>
      </c>
      <c r="AB271" s="39">
        <v>53030</v>
      </c>
      <c r="AC271" s="84" t="s">
        <v>4086</v>
      </c>
      <c r="AD271" s="53" t="str">
        <f t="shared" si="204"/>
        <v>Link</v>
      </c>
      <c r="AE271" s="54">
        <v>4247</v>
      </c>
      <c r="AF271" s="55"/>
      <c r="AG271" s="55"/>
      <c r="AH271" s="56">
        <v>161457</v>
      </c>
      <c r="AI271" s="56"/>
      <c r="AJ271" s="137"/>
      <c r="AK271" s="137"/>
      <c r="AL271" s="137"/>
    </row>
    <row r="272" spans="1:38" ht="13" x14ac:dyDescent="0.15">
      <c r="A272" s="57"/>
      <c r="B272" s="31" t="s">
        <v>1646</v>
      </c>
      <c r="C272" s="36" t="s">
        <v>43</v>
      </c>
      <c r="D272" s="44">
        <v>5</v>
      </c>
      <c r="E272" s="7" t="s">
        <v>4120</v>
      </c>
      <c r="F272" s="7" t="s">
        <v>116</v>
      </c>
      <c r="G272" s="57"/>
      <c r="H272" s="2" t="s">
        <v>4086</v>
      </c>
      <c r="I272" s="7" t="s">
        <v>3315</v>
      </c>
      <c r="J272" s="7" t="s">
        <v>4121</v>
      </c>
      <c r="K272" s="7" t="s">
        <v>55</v>
      </c>
      <c r="L272" s="57"/>
      <c r="M272" s="47"/>
      <c r="N272" s="48"/>
      <c r="O272" s="45" t="str">
        <f t="shared" si="203"/>
        <v>Questionnaire</v>
      </c>
      <c r="P272" s="48" t="s">
        <v>4086</v>
      </c>
      <c r="Q272" s="60" t="s">
        <v>1634</v>
      </c>
      <c r="R272" s="48" t="s">
        <v>4093</v>
      </c>
      <c r="S272" s="48" t="s">
        <v>172</v>
      </c>
      <c r="T272" s="49" t="s">
        <v>63</v>
      </c>
      <c r="U272" s="48" t="s">
        <v>75</v>
      </c>
      <c r="V272" s="49"/>
      <c r="W272" s="61">
        <v>3.33</v>
      </c>
      <c r="X272" s="49" t="s">
        <v>522</v>
      </c>
      <c r="Y272" s="49" t="s">
        <v>2341</v>
      </c>
      <c r="Z272" s="49" t="s">
        <v>1650</v>
      </c>
      <c r="AA272" s="65">
        <v>0.83</v>
      </c>
      <c r="AB272" s="39">
        <v>53030</v>
      </c>
      <c r="AC272" s="84" t="s">
        <v>4086</v>
      </c>
      <c r="AD272" s="53" t="str">
        <f t="shared" si="204"/>
        <v>Link</v>
      </c>
      <c r="AE272" s="54">
        <v>4247</v>
      </c>
      <c r="AF272" s="55"/>
      <c r="AG272" s="55"/>
      <c r="AH272" s="56">
        <v>161457</v>
      </c>
      <c r="AI272" s="59"/>
      <c r="AJ272" s="137"/>
      <c r="AK272" s="137"/>
      <c r="AL272" s="137"/>
    </row>
    <row r="273" spans="1:38" ht="15" x14ac:dyDescent="0.2">
      <c r="A273" s="57"/>
      <c r="B273" s="31" t="s">
        <v>4127</v>
      </c>
      <c r="C273" s="36" t="s">
        <v>43</v>
      </c>
      <c r="D273" s="86">
        <v>5</v>
      </c>
      <c r="E273" s="7" t="s">
        <v>4128</v>
      </c>
      <c r="F273" s="7"/>
      <c r="G273" s="86"/>
      <c r="H273" s="2" t="s">
        <v>4130</v>
      </c>
      <c r="I273" s="2" t="s">
        <v>2806</v>
      </c>
      <c r="J273" s="2" t="s">
        <v>4132</v>
      </c>
      <c r="K273" s="2" t="s">
        <v>48</v>
      </c>
      <c r="L273" s="95" t="s">
        <v>4133</v>
      </c>
      <c r="M273" s="6" t="s">
        <v>4135</v>
      </c>
      <c r="N273" s="45" t="str">
        <f t="shared" ref="N273:N274" si="205">HYPERLINK("twitter.com/frostburgsb","@frostburgsb")</f>
        <v>@frostburgsb</v>
      </c>
      <c r="O273" s="45" t="str">
        <f t="shared" ref="O273:O274" si="206">HYPERLINK("https://frostburgsports.com/sports/2017/3/9/frostburg-prospective-student-athletes.aspx?id=295","Questionnaire")</f>
        <v>Questionnaire</v>
      </c>
      <c r="P273" s="48" t="s">
        <v>4138</v>
      </c>
      <c r="Q273" s="60" t="s">
        <v>1668</v>
      </c>
      <c r="R273" s="48" t="s">
        <v>4139</v>
      </c>
      <c r="S273" s="60" t="s">
        <v>205</v>
      </c>
      <c r="T273" s="49" t="s">
        <v>74</v>
      </c>
      <c r="U273" s="48" t="s">
        <v>75</v>
      </c>
      <c r="V273" s="49"/>
      <c r="W273" s="65">
        <v>3.22</v>
      </c>
      <c r="X273" s="49" t="s">
        <v>253</v>
      </c>
      <c r="Y273" s="49" t="s">
        <v>1453</v>
      </c>
      <c r="Z273" s="49" t="s">
        <v>841</v>
      </c>
      <c r="AA273" s="65">
        <v>0.63</v>
      </c>
      <c r="AB273" s="48" t="s">
        <v>4140</v>
      </c>
      <c r="AC273" s="52" t="s">
        <v>4138</v>
      </c>
      <c r="AD273" s="53" t="str">
        <f t="shared" ref="AD273:AD274" si="207">HYPERLINK("https://www.frostburg.edu/academics/index.php","Link")</f>
        <v>Link</v>
      </c>
      <c r="AE273" s="54">
        <v>4884</v>
      </c>
      <c r="AF273" s="55"/>
      <c r="AG273" s="55"/>
      <c r="AH273" s="56">
        <v>162584</v>
      </c>
      <c r="AI273" s="56"/>
      <c r="AJ273" s="137"/>
      <c r="AK273" s="137"/>
      <c r="AL273" s="137"/>
    </row>
    <row r="274" spans="1:38" ht="15" x14ac:dyDescent="0.2">
      <c r="A274" s="57"/>
      <c r="B274" s="31" t="s">
        <v>4127</v>
      </c>
      <c r="C274" s="36" t="s">
        <v>43</v>
      </c>
      <c r="D274" s="86">
        <v>5</v>
      </c>
      <c r="E274" s="7" t="s">
        <v>4143</v>
      </c>
      <c r="F274" s="7"/>
      <c r="G274" s="86"/>
      <c r="H274" s="2" t="s">
        <v>4130</v>
      </c>
      <c r="I274" s="2" t="s">
        <v>4144</v>
      </c>
      <c r="J274" s="2" t="s">
        <v>4145</v>
      </c>
      <c r="K274" s="2" t="s">
        <v>55</v>
      </c>
      <c r="L274" s="2" t="s">
        <v>4146</v>
      </c>
      <c r="M274" s="6" t="s">
        <v>4147</v>
      </c>
      <c r="N274" s="45" t="str">
        <f t="shared" si="205"/>
        <v>@frostburgsb</v>
      </c>
      <c r="O274" s="45" t="str">
        <f t="shared" si="206"/>
        <v>Questionnaire</v>
      </c>
      <c r="P274" s="48" t="s">
        <v>4138</v>
      </c>
      <c r="Q274" s="60" t="s">
        <v>1668</v>
      </c>
      <c r="R274" s="48" t="s">
        <v>4139</v>
      </c>
      <c r="S274" s="60" t="s">
        <v>205</v>
      </c>
      <c r="T274" s="49" t="s">
        <v>74</v>
      </c>
      <c r="U274" s="48" t="s">
        <v>75</v>
      </c>
      <c r="V274" s="49"/>
      <c r="W274" s="65">
        <v>3.22</v>
      </c>
      <c r="X274" s="49" t="s">
        <v>253</v>
      </c>
      <c r="Y274" s="49" t="s">
        <v>1453</v>
      </c>
      <c r="Z274" s="49" t="s">
        <v>841</v>
      </c>
      <c r="AA274" s="65">
        <v>0.63</v>
      </c>
      <c r="AB274" s="48" t="s">
        <v>4140</v>
      </c>
      <c r="AC274" s="52" t="s">
        <v>4138</v>
      </c>
      <c r="AD274" s="53" t="str">
        <f t="shared" si="207"/>
        <v>Link</v>
      </c>
      <c r="AE274" s="54">
        <v>4884</v>
      </c>
      <c r="AF274" s="55"/>
      <c r="AG274" s="55"/>
      <c r="AH274" s="56">
        <v>162584</v>
      </c>
      <c r="AI274" s="56"/>
      <c r="AJ274" s="137"/>
      <c r="AK274" s="137"/>
      <c r="AL274" s="137"/>
    </row>
    <row r="275" spans="1:38" ht="13" x14ac:dyDescent="0.15">
      <c r="A275" s="57"/>
      <c r="B275" s="31" t="s">
        <v>4127</v>
      </c>
      <c r="C275" s="36" t="s">
        <v>43</v>
      </c>
      <c r="D275" s="86">
        <v>5</v>
      </c>
      <c r="E275" s="7" t="s">
        <v>4154</v>
      </c>
      <c r="F275" s="7"/>
      <c r="G275" s="86"/>
      <c r="H275" s="2" t="s">
        <v>4155</v>
      </c>
      <c r="I275" s="2" t="s">
        <v>4156</v>
      </c>
      <c r="J275" s="2"/>
      <c r="K275" s="2" t="s">
        <v>3472</v>
      </c>
      <c r="L275" s="2" t="s">
        <v>4157</v>
      </c>
      <c r="M275" s="2"/>
      <c r="N275" s="45" t="str">
        <f t="shared" ref="N275:N278" si="208">HYPERLINK("twitter.com/hoodcollegesb","@hoodcollegesb")</f>
        <v>@hoodcollegesb</v>
      </c>
      <c r="O275" s="45" t="str">
        <f t="shared" ref="O275:O278" si="209">HYPERLINK("https://www.hoodathletics.com/recruitme","Questionnaire")</f>
        <v>Questionnaire</v>
      </c>
      <c r="P275" s="48" t="s">
        <v>4165</v>
      </c>
      <c r="Q275" s="60" t="s">
        <v>1668</v>
      </c>
      <c r="R275" s="48" t="s">
        <v>4166</v>
      </c>
      <c r="S275" s="48" t="s">
        <v>186</v>
      </c>
      <c r="T275" s="49" t="s">
        <v>63</v>
      </c>
      <c r="U275" s="48" t="s">
        <v>75</v>
      </c>
      <c r="V275" s="49"/>
      <c r="W275" s="37">
        <v>3.52</v>
      </c>
      <c r="X275" s="49" t="s">
        <v>214</v>
      </c>
      <c r="Y275" s="49" t="s">
        <v>214</v>
      </c>
      <c r="Z275" s="49" t="s">
        <v>214</v>
      </c>
      <c r="AA275" s="65">
        <v>0.71</v>
      </c>
      <c r="AB275" s="39">
        <v>53040</v>
      </c>
      <c r="AC275" s="84" t="s">
        <v>4165</v>
      </c>
      <c r="AD275" s="53" t="str">
        <f t="shared" ref="AD275:AD278" si="210">HYPERLINK("http://www.hood.edu/majors/","Link")</f>
        <v>Link</v>
      </c>
      <c r="AE275" s="54">
        <v>1174</v>
      </c>
      <c r="AF275" s="55"/>
      <c r="AG275" s="55"/>
      <c r="AH275" s="56">
        <v>162760</v>
      </c>
      <c r="AI275" s="56"/>
    </row>
    <row r="276" spans="1:38" ht="13" x14ac:dyDescent="0.15">
      <c r="A276" s="57"/>
      <c r="B276" s="31" t="s">
        <v>4127</v>
      </c>
      <c r="C276" s="36" t="s">
        <v>43</v>
      </c>
      <c r="D276" s="86">
        <v>5</v>
      </c>
      <c r="E276" s="7" t="s">
        <v>4173</v>
      </c>
      <c r="F276" s="7"/>
      <c r="G276" s="86"/>
      <c r="H276" s="2" t="s">
        <v>4155</v>
      </c>
      <c r="I276" s="2" t="s">
        <v>1610</v>
      </c>
      <c r="J276" s="2" t="s">
        <v>4174</v>
      </c>
      <c r="K276" s="2" t="s">
        <v>48</v>
      </c>
      <c r="L276" s="2" t="s">
        <v>4175</v>
      </c>
      <c r="M276" s="2" t="s">
        <v>4176</v>
      </c>
      <c r="N276" s="45" t="str">
        <f t="shared" si="208"/>
        <v>@hoodcollegesb</v>
      </c>
      <c r="O276" s="45" t="str">
        <f t="shared" si="209"/>
        <v>Questionnaire</v>
      </c>
      <c r="P276" s="48" t="s">
        <v>4165</v>
      </c>
      <c r="Q276" s="60" t="s">
        <v>1668</v>
      </c>
      <c r="R276" s="48" t="s">
        <v>4166</v>
      </c>
      <c r="S276" s="48" t="s">
        <v>186</v>
      </c>
      <c r="T276" s="49" t="s">
        <v>63</v>
      </c>
      <c r="U276" s="48" t="s">
        <v>75</v>
      </c>
      <c r="V276" s="49"/>
      <c r="W276" s="37">
        <v>3.52</v>
      </c>
      <c r="X276" s="49" t="s">
        <v>214</v>
      </c>
      <c r="Y276" s="49" t="s">
        <v>214</v>
      </c>
      <c r="Z276" s="49" t="s">
        <v>214</v>
      </c>
      <c r="AA276" s="65">
        <v>0.71</v>
      </c>
      <c r="AB276" s="39">
        <v>53040</v>
      </c>
      <c r="AC276" s="84" t="s">
        <v>4165</v>
      </c>
      <c r="AD276" s="53" t="str">
        <f t="shared" si="210"/>
        <v>Link</v>
      </c>
      <c r="AE276" s="54">
        <v>1174</v>
      </c>
      <c r="AF276" s="55"/>
      <c r="AG276" s="55"/>
      <c r="AH276" s="56">
        <v>162760</v>
      </c>
      <c r="AI276" s="56"/>
    </row>
    <row r="277" spans="1:38" ht="13" x14ac:dyDescent="0.15">
      <c r="A277" s="57"/>
      <c r="B277" s="31" t="s">
        <v>4127</v>
      </c>
      <c r="C277" s="36" t="s">
        <v>43</v>
      </c>
      <c r="D277" s="86">
        <v>5</v>
      </c>
      <c r="E277" s="7" t="s">
        <v>4182</v>
      </c>
      <c r="F277" s="7"/>
      <c r="G277" s="86"/>
      <c r="H277" s="2" t="s">
        <v>4155</v>
      </c>
      <c r="I277" s="2" t="s">
        <v>4183</v>
      </c>
      <c r="J277" s="2" t="s">
        <v>4184</v>
      </c>
      <c r="K277" s="2" t="s">
        <v>55</v>
      </c>
      <c r="L277" s="2" t="s">
        <v>4185</v>
      </c>
      <c r="M277" s="2" t="s">
        <v>4176</v>
      </c>
      <c r="N277" s="45" t="str">
        <f t="shared" si="208"/>
        <v>@hoodcollegesb</v>
      </c>
      <c r="O277" s="45" t="str">
        <f t="shared" si="209"/>
        <v>Questionnaire</v>
      </c>
      <c r="P277" s="48" t="s">
        <v>4165</v>
      </c>
      <c r="Q277" s="60" t="s">
        <v>1668</v>
      </c>
      <c r="R277" s="48" t="s">
        <v>4166</v>
      </c>
      <c r="S277" s="48" t="s">
        <v>186</v>
      </c>
      <c r="T277" s="49" t="s">
        <v>63</v>
      </c>
      <c r="U277" s="48" t="s">
        <v>75</v>
      </c>
      <c r="V277" s="49"/>
      <c r="W277" s="37">
        <v>3.52</v>
      </c>
      <c r="X277" s="49" t="s">
        <v>214</v>
      </c>
      <c r="Y277" s="49" t="s">
        <v>214</v>
      </c>
      <c r="Z277" s="49" t="s">
        <v>214</v>
      </c>
      <c r="AA277" s="65">
        <v>0.71</v>
      </c>
      <c r="AB277" s="39">
        <v>53040</v>
      </c>
      <c r="AC277" s="84" t="s">
        <v>4165</v>
      </c>
      <c r="AD277" s="53" t="str">
        <f t="shared" si="210"/>
        <v>Link</v>
      </c>
      <c r="AE277" s="54">
        <v>1174</v>
      </c>
      <c r="AF277" s="55"/>
      <c r="AG277" s="55"/>
      <c r="AH277" s="56">
        <v>162760</v>
      </c>
      <c r="AI277" s="56"/>
    </row>
    <row r="278" spans="1:38" ht="13" x14ac:dyDescent="0.15">
      <c r="A278" s="57"/>
      <c r="B278" s="31" t="s">
        <v>4127</v>
      </c>
      <c r="C278" s="36" t="s">
        <v>43</v>
      </c>
      <c r="D278" s="86">
        <v>5</v>
      </c>
      <c r="E278" s="7" t="s">
        <v>4189</v>
      </c>
      <c r="F278" s="7"/>
      <c r="G278" s="86"/>
      <c r="H278" s="2" t="s">
        <v>4155</v>
      </c>
      <c r="I278" s="2" t="s">
        <v>4191</v>
      </c>
      <c r="J278" s="2" t="s">
        <v>3020</v>
      </c>
      <c r="K278" s="2" t="s">
        <v>55</v>
      </c>
      <c r="L278" s="2" t="s">
        <v>4192</v>
      </c>
      <c r="M278" s="2" t="s">
        <v>4176</v>
      </c>
      <c r="N278" s="45" t="str">
        <f t="shared" si="208"/>
        <v>@hoodcollegesb</v>
      </c>
      <c r="O278" s="45" t="str">
        <f t="shared" si="209"/>
        <v>Questionnaire</v>
      </c>
      <c r="P278" s="48" t="s">
        <v>4165</v>
      </c>
      <c r="Q278" s="60" t="s">
        <v>1668</v>
      </c>
      <c r="R278" s="48" t="s">
        <v>4166</v>
      </c>
      <c r="S278" s="48" t="s">
        <v>186</v>
      </c>
      <c r="T278" s="49" t="s">
        <v>63</v>
      </c>
      <c r="U278" s="48" t="s">
        <v>75</v>
      </c>
      <c r="V278" s="49"/>
      <c r="W278" s="37">
        <v>3.52</v>
      </c>
      <c r="X278" s="49" t="s">
        <v>214</v>
      </c>
      <c r="Y278" s="49" t="s">
        <v>214</v>
      </c>
      <c r="Z278" s="49" t="s">
        <v>214</v>
      </c>
      <c r="AA278" s="65">
        <v>0.71</v>
      </c>
      <c r="AB278" s="39">
        <v>53040</v>
      </c>
      <c r="AC278" s="84" t="s">
        <v>4165</v>
      </c>
      <c r="AD278" s="53" t="str">
        <f t="shared" si="210"/>
        <v>Link</v>
      </c>
      <c r="AE278" s="54">
        <v>1174</v>
      </c>
      <c r="AF278" s="55"/>
      <c r="AG278" s="55"/>
      <c r="AH278" s="56">
        <v>162760</v>
      </c>
      <c r="AI278" s="56"/>
    </row>
    <row r="279" spans="1:38" ht="13" x14ac:dyDescent="0.15">
      <c r="A279" s="57"/>
      <c r="B279" s="31" t="s">
        <v>4127</v>
      </c>
      <c r="C279" s="36" t="s">
        <v>43</v>
      </c>
      <c r="D279" s="86">
        <v>5</v>
      </c>
      <c r="E279" s="7" t="s">
        <v>4200</v>
      </c>
      <c r="F279" s="7"/>
      <c r="G279" s="86"/>
      <c r="H279" s="2" t="s">
        <v>4202</v>
      </c>
      <c r="I279" s="2" t="s">
        <v>668</v>
      </c>
      <c r="J279" s="2" t="s">
        <v>2919</v>
      </c>
      <c r="K279" s="2" t="s">
        <v>48</v>
      </c>
      <c r="L279" s="2" t="s">
        <v>4203</v>
      </c>
      <c r="M279" s="2" t="s">
        <v>4204</v>
      </c>
      <c r="N279" s="48"/>
      <c r="O279" s="45" t="str">
        <f t="shared" ref="O279:O285" si="211">HYPERLINK("https://www.mcdanielathletics.com/recruits/index","Questionnaire")</f>
        <v>Questionnaire</v>
      </c>
      <c r="P279" s="48" t="s">
        <v>4207</v>
      </c>
      <c r="Q279" s="60" t="s">
        <v>1668</v>
      </c>
      <c r="R279" s="48" t="s">
        <v>4208</v>
      </c>
      <c r="S279" s="48" t="s">
        <v>172</v>
      </c>
      <c r="T279" s="49" t="s">
        <v>63</v>
      </c>
      <c r="U279" s="48" t="s">
        <v>75</v>
      </c>
      <c r="V279" s="49"/>
      <c r="W279" s="37">
        <v>3.5</v>
      </c>
      <c r="X279" s="49" t="s">
        <v>676</v>
      </c>
      <c r="Y279" s="49" t="s">
        <v>2853</v>
      </c>
      <c r="Z279" s="49" t="s">
        <v>803</v>
      </c>
      <c r="AA279" s="65">
        <v>0.78</v>
      </c>
      <c r="AB279" s="39">
        <v>53900</v>
      </c>
      <c r="AC279" s="84" t="s">
        <v>4207</v>
      </c>
      <c r="AD279" s="53" t="str">
        <f t="shared" ref="AD279:AD286" si="212">HYPERLINK("https://www.mcdaniel.edu/undergraduate/the-mcdaniel-plan/departments","Link")</f>
        <v>Link</v>
      </c>
      <c r="AE279" s="54">
        <v>1567</v>
      </c>
      <c r="AF279" s="55"/>
      <c r="AG279" s="54">
        <v>134</v>
      </c>
      <c r="AH279" s="56">
        <v>164270</v>
      </c>
      <c r="AI279" s="56"/>
    </row>
    <row r="280" spans="1:38" ht="13" x14ac:dyDescent="0.15">
      <c r="A280" s="57"/>
      <c r="B280" s="31" t="s">
        <v>4127</v>
      </c>
      <c r="C280" s="36" t="s">
        <v>43</v>
      </c>
      <c r="D280" s="86">
        <v>5</v>
      </c>
      <c r="E280" s="7" t="s">
        <v>4214</v>
      </c>
      <c r="F280" s="7"/>
      <c r="G280" s="86"/>
      <c r="H280" s="2" t="s">
        <v>4202</v>
      </c>
      <c r="I280" s="2" t="s">
        <v>4217</v>
      </c>
      <c r="J280" s="2" t="s">
        <v>2919</v>
      </c>
      <c r="K280" s="2" t="s">
        <v>919</v>
      </c>
      <c r="L280" s="2"/>
      <c r="M280" s="2" t="s">
        <v>4204</v>
      </c>
      <c r="N280" s="48"/>
      <c r="O280" s="45" t="str">
        <f t="shared" si="211"/>
        <v>Questionnaire</v>
      </c>
      <c r="P280" s="48" t="s">
        <v>4207</v>
      </c>
      <c r="Q280" s="60" t="s">
        <v>1668</v>
      </c>
      <c r="R280" s="48" t="s">
        <v>4208</v>
      </c>
      <c r="S280" s="48" t="s">
        <v>172</v>
      </c>
      <c r="T280" s="49" t="s">
        <v>63</v>
      </c>
      <c r="U280" s="48" t="s">
        <v>75</v>
      </c>
      <c r="V280" s="49"/>
      <c r="W280" s="37">
        <v>3.5</v>
      </c>
      <c r="X280" s="49" t="s">
        <v>676</v>
      </c>
      <c r="Y280" s="49" t="s">
        <v>2853</v>
      </c>
      <c r="Z280" s="49" t="s">
        <v>803</v>
      </c>
      <c r="AA280" s="65">
        <v>0.78</v>
      </c>
      <c r="AB280" s="39">
        <v>53900</v>
      </c>
      <c r="AC280" s="84" t="s">
        <v>4207</v>
      </c>
      <c r="AD280" s="53" t="str">
        <f t="shared" si="212"/>
        <v>Link</v>
      </c>
      <c r="AE280" s="54">
        <v>1567</v>
      </c>
      <c r="AF280" s="55"/>
      <c r="AG280" s="54">
        <v>134</v>
      </c>
      <c r="AH280" s="56">
        <v>164270</v>
      </c>
      <c r="AI280" s="56"/>
    </row>
    <row r="281" spans="1:38" ht="13" x14ac:dyDescent="0.15">
      <c r="A281" s="57"/>
      <c r="B281" s="31" t="s">
        <v>4127</v>
      </c>
      <c r="C281" s="36" t="s">
        <v>43</v>
      </c>
      <c r="D281" s="86">
        <v>5</v>
      </c>
      <c r="E281" s="7" t="s">
        <v>4226</v>
      </c>
      <c r="F281" s="7"/>
      <c r="G281" s="86"/>
      <c r="H281" s="2" t="s">
        <v>4202</v>
      </c>
      <c r="I281" s="2" t="s">
        <v>2859</v>
      </c>
      <c r="J281" s="2" t="s">
        <v>4229</v>
      </c>
      <c r="K281" s="2" t="s">
        <v>55</v>
      </c>
      <c r="L281" s="2" t="s">
        <v>4231</v>
      </c>
      <c r="M281" s="2" t="s">
        <v>4204</v>
      </c>
      <c r="N281" s="48"/>
      <c r="O281" s="45" t="str">
        <f t="shared" si="211"/>
        <v>Questionnaire</v>
      </c>
      <c r="P281" s="48" t="s">
        <v>4207</v>
      </c>
      <c r="Q281" s="60" t="s">
        <v>1668</v>
      </c>
      <c r="R281" s="48" t="s">
        <v>4208</v>
      </c>
      <c r="S281" s="48" t="s">
        <v>172</v>
      </c>
      <c r="T281" s="49" t="s">
        <v>63</v>
      </c>
      <c r="U281" s="48" t="s">
        <v>75</v>
      </c>
      <c r="V281" s="49"/>
      <c r="W281" s="37">
        <v>3.5</v>
      </c>
      <c r="X281" s="49" t="s">
        <v>676</v>
      </c>
      <c r="Y281" s="49" t="s">
        <v>2853</v>
      </c>
      <c r="Z281" s="49" t="s">
        <v>803</v>
      </c>
      <c r="AA281" s="65">
        <v>0.78</v>
      </c>
      <c r="AB281" s="39">
        <v>53900</v>
      </c>
      <c r="AC281" s="84" t="s">
        <v>4207</v>
      </c>
      <c r="AD281" s="53" t="str">
        <f t="shared" si="212"/>
        <v>Link</v>
      </c>
      <c r="AE281" s="54">
        <v>1567</v>
      </c>
      <c r="AF281" s="55"/>
      <c r="AG281" s="54">
        <v>134</v>
      </c>
      <c r="AH281" s="56">
        <v>164270</v>
      </c>
      <c r="AI281" s="56"/>
    </row>
    <row r="282" spans="1:38" ht="13" x14ac:dyDescent="0.15">
      <c r="A282" s="57"/>
      <c r="B282" s="31" t="s">
        <v>4127</v>
      </c>
      <c r="C282" s="36" t="s">
        <v>43</v>
      </c>
      <c r="D282" s="86">
        <v>5</v>
      </c>
      <c r="E282" s="7" t="s">
        <v>4235</v>
      </c>
      <c r="F282" s="7"/>
      <c r="G282" s="86"/>
      <c r="H282" s="2" t="s">
        <v>4202</v>
      </c>
      <c r="I282" s="7" t="s">
        <v>143</v>
      </c>
      <c r="J282" s="7" t="s">
        <v>4237</v>
      </c>
      <c r="K282" s="7" t="s">
        <v>3703</v>
      </c>
      <c r="L282" s="7" t="s">
        <v>4238</v>
      </c>
      <c r="M282" s="7" t="s">
        <v>4204</v>
      </c>
      <c r="N282" s="48"/>
      <c r="O282" s="45" t="str">
        <f t="shared" si="211"/>
        <v>Questionnaire</v>
      </c>
      <c r="P282" s="48" t="s">
        <v>4207</v>
      </c>
      <c r="Q282" s="60" t="s">
        <v>1668</v>
      </c>
      <c r="R282" s="48" t="s">
        <v>4208</v>
      </c>
      <c r="S282" s="48" t="s">
        <v>172</v>
      </c>
      <c r="T282" s="49" t="s">
        <v>63</v>
      </c>
      <c r="U282" s="48" t="s">
        <v>75</v>
      </c>
      <c r="V282" s="49"/>
      <c r="W282" s="37">
        <v>3.5</v>
      </c>
      <c r="X282" s="49" t="s">
        <v>676</v>
      </c>
      <c r="Y282" s="49" t="s">
        <v>2853</v>
      </c>
      <c r="Z282" s="49" t="s">
        <v>803</v>
      </c>
      <c r="AA282" s="65">
        <v>0.78</v>
      </c>
      <c r="AB282" s="39">
        <v>53900</v>
      </c>
      <c r="AC282" s="84" t="s">
        <v>4207</v>
      </c>
      <c r="AD282" s="53" t="str">
        <f t="shared" si="212"/>
        <v>Link</v>
      </c>
      <c r="AE282" s="54">
        <v>1567</v>
      </c>
      <c r="AF282" s="55"/>
      <c r="AG282" s="54">
        <v>134</v>
      </c>
      <c r="AH282" s="56">
        <v>164270</v>
      </c>
      <c r="AI282" s="56"/>
    </row>
    <row r="283" spans="1:38" ht="13" x14ac:dyDescent="0.15">
      <c r="A283" s="57"/>
      <c r="B283" s="31" t="s">
        <v>4127</v>
      </c>
      <c r="C283" s="36" t="s">
        <v>43</v>
      </c>
      <c r="D283" s="86">
        <v>5</v>
      </c>
      <c r="E283" s="7" t="s">
        <v>4247</v>
      </c>
      <c r="F283" s="7"/>
      <c r="G283" s="86"/>
      <c r="H283" s="2" t="s">
        <v>4202</v>
      </c>
      <c r="I283" s="2" t="s">
        <v>4044</v>
      </c>
      <c r="J283" s="2" t="s">
        <v>4248</v>
      </c>
      <c r="K283" s="2" t="s">
        <v>55</v>
      </c>
      <c r="L283" s="2"/>
      <c r="M283" s="2" t="s">
        <v>4204</v>
      </c>
      <c r="N283" s="48"/>
      <c r="O283" s="45" t="str">
        <f t="shared" si="211"/>
        <v>Questionnaire</v>
      </c>
      <c r="P283" s="48" t="s">
        <v>4207</v>
      </c>
      <c r="Q283" s="60" t="s">
        <v>1668</v>
      </c>
      <c r="R283" s="48" t="s">
        <v>4208</v>
      </c>
      <c r="S283" s="48" t="s">
        <v>172</v>
      </c>
      <c r="T283" s="49" t="s">
        <v>63</v>
      </c>
      <c r="U283" s="48" t="s">
        <v>75</v>
      </c>
      <c r="V283" s="49"/>
      <c r="W283" s="37">
        <v>3.5</v>
      </c>
      <c r="X283" s="49" t="s">
        <v>676</v>
      </c>
      <c r="Y283" s="49" t="s">
        <v>2853</v>
      </c>
      <c r="Z283" s="49" t="s">
        <v>803</v>
      </c>
      <c r="AA283" s="65">
        <v>0.78</v>
      </c>
      <c r="AB283" s="39">
        <v>53900</v>
      </c>
      <c r="AC283" s="84" t="s">
        <v>4207</v>
      </c>
      <c r="AD283" s="53" t="str">
        <f t="shared" si="212"/>
        <v>Link</v>
      </c>
      <c r="AE283" s="54">
        <v>1567</v>
      </c>
      <c r="AF283" s="55"/>
      <c r="AG283" s="54">
        <v>134</v>
      </c>
      <c r="AH283" s="56">
        <v>164270</v>
      </c>
      <c r="AI283" s="56"/>
    </row>
    <row r="284" spans="1:38" ht="13" x14ac:dyDescent="0.15">
      <c r="A284" s="57"/>
      <c r="B284" s="31" t="s">
        <v>4127</v>
      </c>
      <c r="C284" s="36" t="s">
        <v>43</v>
      </c>
      <c r="D284" s="86">
        <v>5</v>
      </c>
      <c r="E284" s="7" t="s">
        <v>4257</v>
      </c>
      <c r="F284" s="7"/>
      <c r="G284" s="86"/>
      <c r="H284" s="2" t="s">
        <v>4202</v>
      </c>
      <c r="I284" s="2" t="s">
        <v>4258</v>
      </c>
      <c r="J284" s="2" t="s">
        <v>4259</v>
      </c>
      <c r="K284" s="2" t="s">
        <v>55</v>
      </c>
      <c r="L284" s="2"/>
      <c r="M284" s="2" t="s">
        <v>4204</v>
      </c>
      <c r="N284" s="48"/>
      <c r="O284" s="45" t="str">
        <f t="shared" si="211"/>
        <v>Questionnaire</v>
      </c>
      <c r="P284" s="48" t="s">
        <v>4207</v>
      </c>
      <c r="Q284" s="60" t="s">
        <v>1668</v>
      </c>
      <c r="R284" s="48" t="s">
        <v>4208</v>
      </c>
      <c r="S284" s="48" t="s">
        <v>172</v>
      </c>
      <c r="T284" s="49" t="s">
        <v>63</v>
      </c>
      <c r="U284" s="48" t="s">
        <v>75</v>
      </c>
      <c r="V284" s="49"/>
      <c r="W284" s="37">
        <v>3.5</v>
      </c>
      <c r="X284" s="49" t="s">
        <v>676</v>
      </c>
      <c r="Y284" s="49" t="s">
        <v>2853</v>
      </c>
      <c r="Z284" s="49" t="s">
        <v>803</v>
      </c>
      <c r="AA284" s="65">
        <v>0.78</v>
      </c>
      <c r="AB284" s="39">
        <v>53900</v>
      </c>
      <c r="AC284" s="84" t="s">
        <v>4207</v>
      </c>
      <c r="AD284" s="53" t="str">
        <f t="shared" si="212"/>
        <v>Link</v>
      </c>
      <c r="AE284" s="54">
        <v>1567</v>
      </c>
      <c r="AF284" s="55"/>
      <c r="AG284" s="54">
        <v>134</v>
      </c>
      <c r="AH284" s="56">
        <v>164270</v>
      </c>
      <c r="AI284" s="56"/>
    </row>
    <row r="285" spans="1:38" ht="13" x14ac:dyDescent="0.15">
      <c r="A285" s="57"/>
      <c r="B285" s="31" t="s">
        <v>4127</v>
      </c>
      <c r="C285" s="36" t="s">
        <v>43</v>
      </c>
      <c r="D285" s="86">
        <v>5</v>
      </c>
      <c r="E285" s="7" t="s">
        <v>4265</v>
      </c>
      <c r="F285" s="7"/>
      <c r="G285" s="86" t="s">
        <v>126</v>
      </c>
      <c r="H285" s="2" t="s">
        <v>4202</v>
      </c>
      <c r="I285" s="2" t="s">
        <v>4270</v>
      </c>
      <c r="J285" s="2"/>
      <c r="K285" s="2"/>
      <c r="L285" s="2"/>
      <c r="M285" s="2"/>
      <c r="N285" s="48"/>
      <c r="O285" s="45" t="str">
        <f t="shared" si="211"/>
        <v>Questionnaire</v>
      </c>
      <c r="P285" s="48" t="s">
        <v>4207</v>
      </c>
      <c r="Q285" s="60" t="s">
        <v>1668</v>
      </c>
      <c r="R285" s="48" t="s">
        <v>4208</v>
      </c>
      <c r="S285" s="48" t="s">
        <v>172</v>
      </c>
      <c r="T285" s="49" t="s">
        <v>63</v>
      </c>
      <c r="U285" s="48" t="s">
        <v>75</v>
      </c>
      <c r="V285" s="49"/>
      <c r="W285" s="37">
        <v>3.5</v>
      </c>
      <c r="X285" s="49" t="s">
        <v>676</v>
      </c>
      <c r="Y285" s="49" t="s">
        <v>2853</v>
      </c>
      <c r="Z285" s="49" t="s">
        <v>803</v>
      </c>
      <c r="AA285" s="65">
        <v>0.78</v>
      </c>
      <c r="AB285" s="39">
        <v>53900</v>
      </c>
      <c r="AC285" s="84" t="s">
        <v>4207</v>
      </c>
      <c r="AD285" s="53" t="str">
        <f t="shared" si="212"/>
        <v>Link</v>
      </c>
      <c r="AE285" s="54">
        <v>1567</v>
      </c>
      <c r="AF285" s="55"/>
      <c r="AG285" s="54">
        <v>134</v>
      </c>
      <c r="AH285" s="56">
        <v>164270</v>
      </c>
      <c r="AI285" s="56"/>
    </row>
    <row r="286" spans="1:38" ht="13" x14ac:dyDescent="0.15">
      <c r="A286" s="57"/>
      <c r="B286" s="131" t="s">
        <v>4127</v>
      </c>
      <c r="C286" s="133" t="s">
        <v>43</v>
      </c>
      <c r="D286" s="44">
        <v>5</v>
      </c>
      <c r="E286" s="7" t="s">
        <v>4277</v>
      </c>
      <c r="F286" s="7"/>
      <c r="G286" s="7"/>
      <c r="H286" s="133" t="s">
        <v>4202</v>
      </c>
      <c r="I286" s="7" t="s">
        <v>4044</v>
      </c>
      <c r="J286" s="7" t="s">
        <v>4248</v>
      </c>
      <c r="K286" s="7" t="s">
        <v>55</v>
      </c>
      <c r="L286" s="7"/>
      <c r="M286" s="7" t="s">
        <v>4204</v>
      </c>
      <c r="N286" s="48"/>
      <c r="O286" s="48"/>
      <c r="P286" s="48" t="s">
        <v>4207</v>
      </c>
      <c r="Q286" s="60" t="s">
        <v>1668</v>
      </c>
      <c r="R286" s="48" t="s">
        <v>4208</v>
      </c>
      <c r="S286" s="48" t="s">
        <v>172</v>
      </c>
      <c r="T286" s="49" t="s">
        <v>63</v>
      </c>
      <c r="U286" s="135" t="s">
        <v>75</v>
      </c>
      <c r="V286" s="135"/>
      <c r="W286" s="136">
        <v>3.5</v>
      </c>
      <c r="X286" s="49" t="s">
        <v>676</v>
      </c>
      <c r="Y286" s="49" t="s">
        <v>2853</v>
      </c>
      <c r="Z286" s="49" t="s">
        <v>803</v>
      </c>
      <c r="AA286" s="61">
        <v>0.78</v>
      </c>
      <c r="AB286" s="71">
        <v>53900</v>
      </c>
      <c r="AC286" s="62" t="s">
        <v>4207</v>
      </c>
      <c r="AD286" s="53" t="str">
        <f t="shared" si="212"/>
        <v>Link</v>
      </c>
      <c r="AE286" s="54">
        <v>1567</v>
      </c>
      <c r="AF286" s="55"/>
      <c r="AG286" s="136">
        <v>134</v>
      </c>
      <c r="AH286" s="56">
        <v>164270</v>
      </c>
      <c r="AI286" s="56"/>
    </row>
    <row r="287" spans="1:38" ht="13" x14ac:dyDescent="0.15">
      <c r="A287" s="57"/>
      <c r="B287" s="31" t="s">
        <v>4127</v>
      </c>
      <c r="C287" s="36" t="s">
        <v>43</v>
      </c>
      <c r="D287" s="86">
        <v>5</v>
      </c>
      <c r="E287" s="7" t="s">
        <v>4286</v>
      </c>
      <c r="F287" s="7"/>
      <c r="G287" s="86"/>
      <c r="H287" s="2" t="s">
        <v>4288</v>
      </c>
      <c r="I287" s="2" t="s">
        <v>4289</v>
      </c>
      <c r="J287" s="2" t="s">
        <v>4290</v>
      </c>
      <c r="K287" s="2" t="s">
        <v>48</v>
      </c>
      <c r="L287" s="2" t="s">
        <v>4292</v>
      </c>
      <c r="M287" s="2" t="s">
        <v>4293</v>
      </c>
      <c r="N287" s="48"/>
      <c r="O287" s="45" t="str">
        <f t="shared" ref="O287:O288" si="213">HYPERLINK("https://notredamefalcons.com/sb_output.aspx?form=3","Questionnaire")</f>
        <v>Questionnaire</v>
      </c>
      <c r="P287" s="48" t="s">
        <v>4301</v>
      </c>
      <c r="Q287" s="60" t="s">
        <v>1668</v>
      </c>
      <c r="R287" s="48" t="s">
        <v>1681</v>
      </c>
      <c r="S287" s="48" t="s">
        <v>354</v>
      </c>
      <c r="T287" s="49" t="s">
        <v>63</v>
      </c>
      <c r="U287" s="48" t="s">
        <v>343</v>
      </c>
      <c r="V287" s="49" t="s">
        <v>1006</v>
      </c>
      <c r="W287" s="37">
        <v>3.66</v>
      </c>
      <c r="X287" s="49" t="s">
        <v>1509</v>
      </c>
      <c r="Y287" s="49" t="s">
        <v>3013</v>
      </c>
      <c r="Z287" s="49" t="s">
        <v>545</v>
      </c>
      <c r="AA287" s="65">
        <v>0.59</v>
      </c>
      <c r="AB287" s="39">
        <v>48831</v>
      </c>
      <c r="AC287" s="84" t="s">
        <v>4301</v>
      </c>
      <c r="AD287" s="53" t="str">
        <f t="shared" ref="AD287:AD288" si="214">HYPERLINK("http://archive.ndm.edu/admissions/womens-college/majors-and-minors/","Link")</f>
        <v>Link</v>
      </c>
      <c r="AE287" s="54">
        <v>874</v>
      </c>
      <c r="AF287" s="55"/>
      <c r="AG287" s="55"/>
      <c r="AH287" s="56">
        <v>163578</v>
      </c>
      <c r="AI287" s="56"/>
    </row>
    <row r="288" spans="1:38" ht="13" x14ac:dyDescent="0.15">
      <c r="A288" s="57"/>
      <c r="B288" s="31" t="s">
        <v>4127</v>
      </c>
      <c r="C288" s="36" t="s">
        <v>43</v>
      </c>
      <c r="D288" s="86">
        <v>5</v>
      </c>
      <c r="E288" s="7" t="s">
        <v>4312</v>
      </c>
      <c r="F288" s="7"/>
      <c r="G288" s="86"/>
      <c r="H288" s="2" t="s">
        <v>4288</v>
      </c>
      <c r="I288" s="2" t="s">
        <v>2289</v>
      </c>
      <c r="J288" s="2" t="s">
        <v>4315</v>
      </c>
      <c r="K288" s="2" t="s">
        <v>55</v>
      </c>
      <c r="L288" s="95" t="s">
        <v>4317</v>
      </c>
      <c r="M288" s="2" t="s">
        <v>4318</v>
      </c>
      <c r="N288" s="48"/>
      <c r="O288" s="45" t="str">
        <f t="shared" si="213"/>
        <v>Questionnaire</v>
      </c>
      <c r="P288" s="48" t="s">
        <v>4301</v>
      </c>
      <c r="Q288" s="60" t="s">
        <v>1668</v>
      </c>
      <c r="R288" s="48" t="s">
        <v>1681</v>
      </c>
      <c r="S288" s="48" t="s">
        <v>354</v>
      </c>
      <c r="T288" s="49" t="s">
        <v>63</v>
      </c>
      <c r="U288" s="48" t="s">
        <v>343</v>
      </c>
      <c r="V288" s="49" t="s">
        <v>1006</v>
      </c>
      <c r="W288" s="37">
        <v>3.66</v>
      </c>
      <c r="X288" s="49" t="s">
        <v>1509</v>
      </c>
      <c r="Y288" s="49" t="s">
        <v>3013</v>
      </c>
      <c r="Z288" s="49" t="s">
        <v>545</v>
      </c>
      <c r="AA288" s="65">
        <v>0.59</v>
      </c>
      <c r="AB288" s="39">
        <v>48831</v>
      </c>
      <c r="AC288" s="84" t="s">
        <v>4301</v>
      </c>
      <c r="AD288" s="53" t="str">
        <f t="shared" si="214"/>
        <v>Link</v>
      </c>
      <c r="AE288" s="54">
        <v>874</v>
      </c>
      <c r="AF288" s="55"/>
      <c r="AG288" s="55"/>
      <c r="AH288" s="56">
        <v>163578</v>
      </c>
      <c r="AI288" s="56"/>
    </row>
    <row r="289" spans="1:35" ht="13" x14ac:dyDescent="0.15">
      <c r="A289" s="57"/>
      <c r="B289" s="31" t="s">
        <v>4127</v>
      </c>
      <c r="C289" s="36" t="s">
        <v>43</v>
      </c>
      <c r="D289" s="86">
        <v>5</v>
      </c>
      <c r="E289" s="7" t="s">
        <v>4324</v>
      </c>
      <c r="F289" s="7"/>
      <c r="G289" s="86"/>
      <c r="H289" s="2" t="s">
        <v>4327</v>
      </c>
      <c r="I289" s="2" t="s">
        <v>4328</v>
      </c>
      <c r="J289" s="2" t="s">
        <v>4329</v>
      </c>
      <c r="K289" s="2" t="s">
        <v>48</v>
      </c>
      <c r="L289" s="2" t="s">
        <v>4330</v>
      </c>
      <c r="M289" s="2" t="s">
        <v>4331</v>
      </c>
      <c r="N289" s="45" t="str">
        <f t="shared" ref="N289:N295" si="215">HYPERLINK("twitter.com/salisburysb","@salisburysb")</f>
        <v>@salisburysb</v>
      </c>
      <c r="O289" s="45" t="str">
        <f t="shared" ref="O289:O295" si="216">HYPERLINK("https://www.suseagulls.com/prospectivestudents/index","Questionnaire")</f>
        <v>Questionnaire</v>
      </c>
      <c r="P289" s="48" t="s">
        <v>4334</v>
      </c>
      <c r="Q289" s="60" t="s">
        <v>1668</v>
      </c>
      <c r="R289" s="48" t="s">
        <v>4334</v>
      </c>
      <c r="S289" s="48" t="s">
        <v>468</v>
      </c>
      <c r="T289" s="49" t="s">
        <v>74</v>
      </c>
      <c r="U289" s="48" t="s">
        <v>75</v>
      </c>
      <c r="V289" s="49"/>
      <c r="W289" s="37">
        <v>3.67</v>
      </c>
      <c r="X289" s="49" t="s">
        <v>4339</v>
      </c>
      <c r="Y289" s="49" t="s">
        <v>4340</v>
      </c>
      <c r="Z289" s="49" t="s">
        <v>1715</v>
      </c>
      <c r="AA289" s="65">
        <v>0.66</v>
      </c>
      <c r="AB289" s="48" t="s">
        <v>4341</v>
      </c>
      <c r="AC289" s="84" t="s">
        <v>4334</v>
      </c>
      <c r="AD289" s="53" t="str">
        <f t="shared" ref="AD289:AD295" si="217">HYPERLINK("www.salisbury.edu/henson/programs/majors.html","Link")</f>
        <v>Link</v>
      </c>
      <c r="AE289" s="54">
        <v>7861</v>
      </c>
      <c r="AF289" s="55"/>
      <c r="AG289" s="55"/>
      <c r="AH289" s="56">
        <v>163851</v>
      </c>
      <c r="AI289" s="56"/>
    </row>
    <row r="290" spans="1:35" ht="13" x14ac:dyDescent="0.15">
      <c r="A290" s="57"/>
      <c r="B290" s="31" t="s">
        <v>4127</v>
      </c>
      <c r="C290" s="36" t="s">
        <v>43</v>
      </c>
      <c r="D290" s="86">
        <v>5</v>
      </c>
      <c r="E290" s="7" t="s">
        <v>4348</v>
      </c>
      <c r="F290" s="7"/>
      <c r="G290" s="86"/>
      <c r="H290" s="2" t="s">
        <v>4327</v>
      </c>
      <c r="I290" s="2" t="s">
        <v>1447</v>
      </c>
      <c r="J290" s="2" t="s">
        <v>4349</v>
      </c>
      <c r="K290" s="2" t="s">
        <v>55</v>
      </c>
      <c r="L290" s="95" t="s">
        <v>4350</v>
      </c>
      <c r="M290" s="2" t="s">
        <v>4331</v>
      </c>
      <c r="N290" s="45" t="str">
        <f t="shared" si="215"/>
        <v>@salisburysb</v>
      </c>
      <c r="O290" s="45" t="str">
        <f t="shared" si="216"/>
        <v>Questionnaire</v>
      </c>
      <c r="P290" s="48" t="s">
        <v>4334</v>
      </c>
      <c r="Q290" s="60" t="s">
        <v>1668</v>
      </c>
      <c r="R290" s="48" t="s">
        <v>4334</v>
      </c>
      <c r="S290" s="48" t="s">
        <v>468</v>
      </c>
      <c r="T290" s="49" t="s">
        <v>74</v>
      </c>
      <c r="U290" s="48" t="s">
        <v>75</v>
      </c>
      <c r="V290" s="49"/>
      <c r="W290" s="37">
        <v>3.67</v>
      </c>
      <c r="X290" s="49" t="s">
        <v>4339</v>
      </c>
      <c r="Y290" s="49" t="s">
        <v>4340</v>
      </c>
      <c r="Z290" s="49" t="s">
        <v>1715</v>
      </c>
      <c r="AA290" s="65">
        <v>0.66</v>
      </c>
      <c r="AB290" s="48" t="s">
        <v>4341</v>
      </c>
      <c r="AC290" s="84" t="s">
        <v>4334</v>
      </c>
      <c r="AD290" s="53" t="str">
        <f t="shared" si="217"/>
        <v>Link</v>
      </c>
      <c r="AE290" s="54">
        <v>7861</v>
      </c>
      <c r="AF290" s="55"/>
      <c r="AG290" s="55"/>
      <c r="AH290" s="56">
        <v>163851</v>
      </c>
      <c r="AI290" s="56"/>
    </row>
    <row r="291" spans="1:35" ht="13" x14ac:dyDescent="0.15">
      <c r="A291" s="57"/>
      <c r="B291" s="31" t="s">
        <v>4127</v>
      </c>
      <c r="C291" s="36" t="s">
        <v>43</v>
      </c>
      <c r="D291" s="86">
        <v>5</v>
      </c>
      <c r="E291" s="7" t="s">
        <v>4351</v>
      </c>
      <c r="F291" s="7"/>
      <c r="G291" s="86"/>
      <c r="H291" s="2" t="s">
        <v>4327</v>
      </c>
      <c r="I291" s="2" t="s">
        <v>930</v>
      </c>
      <c r="J291" s="2" t="s">
        <v>4352</v>
      </c>
      <c r="K291" s="2" t="s">
        <v>55</v>
      </c>
      <c r="L291" s="2" t="s">
        <v>4353</v>
      </c>
      <c r="M291" s="2" t="s">
        <v>4356</v>
      </c>
      <c r="N291" s="45" t="str">
        <f t="shared" si="215"/>
        <v>@salisburysb</v>
      </c>
      <c r="O291" s="45" t="str">
        <f t="shared" si="216"/>
        <v>Questionnaire</v>
      </c>
      <c r="P291" s="48" t="s">
        <v>4334</v>
      </c>
      <c r="Q291" s="60" t="s">
        <v>1668</v>
      </c>
      <c r="R291" s="48" t="s">
        <v>4334</v>
      </c>
      <c r="S291" s="48" t="s">
        <v>468</v>
      </c>
      <c r="T291" s="49" t="s">
        <v>74</v>
      </c>
      <c r="U291" s="48" t="s">
        <v>75</v>
      </c>
      <c r="V291" s="49"/>
      <c r="W291" s="37">
        <v>3.67</v>
      </c>
      <c r="X291" s="49" t="s">
        <v>4339</v>
      </c>
      <c r="Y291" s="49" t="s">
        <v>4340</v>
      </c>
      <c r="Z291" s="49" t="s">
        <v>1715</v>
      </c>
      <c r="AA291" s="65">
        <v>0.66</v>
      </c>
      <c r="AB291" s="48" t="s">
        <v>4341</v>
      </c>
      <c r="AC291" s="84" t="s">
        <v>4334</v>
      </c>
      <c r="AD291" s="53" t="str">
        <f t="shared" si="217"/>
        <v>Link</v>
      </c>
      <c r="AE291" s="54">
        <v>7861</v>
      </c>
      <c r="AF291" s="55"/>
      <c r="AG291" s="55"/>
      <c r="AH291" s="56">
        <v>163851</v>
      </c>
      <c r="AI291" s="56"/>
    </row>
    <row r="292" spans="1:35" ht="13" x14ac:dyDescent="0.15">
      <c r="A292" s="57"/>
      <c r="B292" s="31" t="s">
        <v>4127</v>
      </c>
      <c r="C292" s="36" t="s">
        <v>43</v>
      </c>
      <c r="D292" s="86">
        <v>5</v>
      </c>
      <c r="E292" s="7" t="s">
        <v>4364</v>
      </c>
      <c r="F292" s="7"/>
      <c r="G292" s="86"/>
      <c r="H292" s="2" t="s">
        <v>4327</v>
      </c>
      <c r="I292" s="2" t="s">
        <v>4368</v>
      </c>
      <c r="J292" s="2" t="s">
        <v>4370</v>
      </c>
      <c r="K292" s="2" t="s">
        <v>55</v>
      </c>
      <c r="L292" s="2"/>
      <c r="M292" s="2" t="s">
        <v>4331</v>
      </c>
      <c r="N292" s="45" t="str">
        <f t="shared" si="215"/>
        <v>@salisburysb</v>
      </c>
      <c r="O292" s="45" t="str">
        <f t="shared" si="216"/>
        <v>Questionnaire</v>
      </c>
      <c r="P292" s="48" t="s">
        <v>4334</v>
      </c>
      <c r="Q292" s="60" t="s">
        <v>1668</v>
      </c>
      <c r="R292" s="48" t="s">
        <v>4334</v>
      </c>
      <c r="S292" s="48" t="s">
        <v>468</v>
      </c>
      <c r="T292" s="49" t="s">
        <v>74</v>
      </c>
      <c r="U292" s="48" t="s">
        <v>75</v>
      </c>
      <c r="V292" s="49"/>
      <c r="W292" s="37">
        <v>3.67</v>
      </c>
      <c r="X292" s="49" t="s">
        <v>4339</v>
      </c>
      <c r="Y292" s="49" t="s">
        <v>4340</v>
      </c>
      <c r="Z292" s="49" t="s">
        <v>1715</v>
      </c>
      <c r="AA292" s="65">
        <v>0.66</v>
      </c>
      <c r="AB292" s="48" t="s">
        <v>4341</v>
      </c>
      <c r="AC292" s="84" t="s">
        <v>4334</v>
      </c>
      <c r="AD292" s="53" t="str">
        <f t="shared" si="217"/>
        <v>Link</v>
      </c>
      <c r="AE292" s="54">
        <v>7861</v>
      </c>
      <c r="AF292" s="55"/>
      <c r="AG292" s="55"/>
      <c r="AH292" s="56">
        <v>163851</v>
      </c>
      <c r="AI292" s="56"/>
    </row>
    <row r="293" spans="1:35" ht="13" x14ac:dyDescent="0.15">
      <c r="A293" s="57"/>
      <c r="B293" s="31" t="s">
        <v>4127</v>
      </c>
      <c r="C293" s="36" t="s">
        <v>43</v>
      </c>
      <c r="D293" s="86">
        <v>5</v>
      </c>
      <c r="E293" s="7" t="s">
        <v>4371</v>
      </c>
      <c r="F293" s="7"/>
      <c r="G293" s="86"/>
      <c r="H293" s="2" t="s">
        <v>4327</v>
      </c>
      <c r="I293" s="2" t="s">
        <v>1528</v>
      </c>
      <c r="J293" s="2" t="s">
        <v>4372</v>
      </c>
      <c r="K293" s="2" t="s">
        <v>55</v>
      </c>
      <c r="L293" s="2"/>
      <c r="M293" s="2" t="s">
        <v>4331</v>
      </c>
      <c r="N293" s="45" t="str">
        <f t="shared" si="215"/>
        <v>@salisburysb</v>
      </c>
      <c r="O293" s="45" t="str">
        <f t="shared" si="216"/>
        <v>Questionnaire</v>
      </c>
      <c r="P293" s="48" t="s">
        <v>4334</v>
      </c>
      <c r="Q293" s="60" t="s">
        <v>1668</v>
      </c>
      <c r="R293" s="48" t="s">
        <v>4334</v>
      </c>
      <c r="S293" s="48" t="s">
        <v>468</v>
      </c>
      <c r="T293" s="49" t="s">
        <v>74</v>
      </c>
      <c r="U293" s="48" t="s">
        <v>75</v>
      </c>
      <c r="V293" s="49"/>
      <c r="W293" s="37">
        <v>3.67</v>
      </c>
      <c r="X293" s="49" t="s">
        <v>4339</v>
      </c>
      <c r="Y293" s="49" t="s">
        <v>4340</v>
      </c>
      <c r="Z293" s="49" t="s">
        <v>1715</v>
      </c>
      <c r="AA293" s="65">
        <v>0.66</v>
      </c>
      <c r="AB293" s="48" t="s">
        <v>4341</v>
      </c>
      <c r="AC293" s="84" t="s">
        <v>4334</v>
      </c>
      <c r="AD293" s="53" t="str">
        <f t="shared" si="217"/>
        <v>Link</v>
      </c>
      <c r="AE293" s="54">
        <v>7861</v>
      </c>
      <c r="AF293" s="55"/>
      <c r="AG293" s="55"/>
      <c r="AH293" s="56">
        <v>163851</v>
      </c>
      <c r="AI293" s="56"/>
    </row>
    <row r="294" spans="1:35" ht="13" x14ac:dyDescent="0.15">
      <c r="A294" s="57"/>
      <c r="B294" s="31" t="s">
        <v>4127</v>
      </c>
      <c r="C294" s="36" t="s">
        <v>43</v>
      </c>
      <c r="D294" s="86">
        <v>5</v>
      </c>
      <c r="E294" s="7" t="s">
        <v>4378</v>
      </c>
      <c r="F294" s="7"/>
      <c r="G294" s="86"/>
      <c r="H294" s="2" t="s">
        <v>4327</v>
      </c>
      <c r="I294" s="2" t="s">
        <v>4379</v>
      </c>
      <c r="J294" s="2" t="s">
        <v>4380</v>
      </c>
      <c r="K294" s="2" t="s">
        <v>55</v>
      </c>
      <c r="L294" s="2"/>
      <c r="M294" s="2" t="s">
        <v>4331</v>
      </c>
      <c r="N294" s="45" t="str">
        <f t="shared" si="215"/>
        <v>@salisburysb</v>
      </c>
      <c r="O294" s="45" t="str">
        <f t="shared" si="216"/>
        <v>Questionnaire</v>
      </c>
      <c r="P294" s="48" t="s">
        <v>4334</v>
      </c>
      <c r="Q294" s="60" t="s">
        <v>1668</v>
      </c>
      <c r="R294" s="48" t="s">
        <v>4334</v>
      </c>
      <c r="S294" s="48" t="s">
        <v>468</v>
      </c>
      <c r="T294" s="49" t="s">
        <v>74</v>
      </c>
      <c r="U294" s="48" t="s">
        <v>75</v>
      </c>
      <c r="V294" s="49"/>
      <c r="W294" s="37">
        <v>3.67</v>
      </c>
      <c r="X294" s="49" t="s">
        <v>4339</v>
      </c>
      <c r="Y294" s="49" t="s">
        <v>4340</v>
      </c>
      <c r="Z294" s="49" t="s">
        <v>1715</v>
      </c>
      <c r="AA294" s="65">
        <v>0.66</v>
      </c>
      <c r="AB294" s="48" t="s">
        <v>4341</v>
      </c>
      <c r="AC294" s="84" t="s">
        <v>4334</v>
      </c>
      <c r="AD294" s="53" t="str">
        <f t="shared" si="217"/>
        <v>Link</v>
      </c>
      <c r="AE294" s="54">
        <v>7861</v>
      </c>
      <c r="AF294" s="55"/>
      <c r="AG294" s="55"/>
      <c r="AH294" s="56">
        <v>163851</v>
      </c>
      <c r="AI294" s="56"/>
    </row>
    <row r="295" spans="1:35" ht="13" x14ac:dyDescent="0.15">
      <c r="A295" s="57"/>
      <c r="B295" s="31" t="s">
        <v>4127</v>
      </c>
      <c r="C295" s="36" t="s">
        <v>43</v>
      </c>
      <c r="D295" s="86">
        <v>5</v>
      </c>
      <c r="E295" s="7" t="s">
        <v>4389</v>
      </c>
      <c r="F295" s="7"/>
      <c r="G295" s="86"/>
      <c r="H295" s="2" t="s">
        <v>4327</v>
      </c>
      <c r="I295" s="2" t="s">
        <v>1280</v>
      </c>
      <c r="J295" s="2" t="s">
        <v>4390</v>
      </c>
      <c r="K295" s="2" t="s">
        <v>55</v>
      </c>
      <c r="L295" s="2"/>
      <c r="M295" s="2" t="s">
        <v>4331</v>
      </c>
      <c r="N295" s="45" t="str">
        <f t="shared" si="215"/>
        <v>@salisburysb</v>
      </c>
      <c r="O295" s="45" t="str">
        <f t="shared" si="216"/>
        <v>Questionnaire</v>
      </c>
      <c r="P295" s="48" t="s">
        <v>4334</v>
      </c>
      <c r="Q295" s="60" t="s">
        <v>1668</v>
      </c>
      <c r="R295" s="48" t="s">
        <v>4334</v>
      </c>
      <c r="S295" s="48" t="s">
        <v>468</v>
      </c>
      <c r="T295" s="49" t="s">
        <v>74</v>
      </c>
      <c r="U295" s="48" t="s">
        <v>75</v>
      </c>
      <c r="V295" s="49"/>
      <c r="W295" s="37">
        <v>3.67</v>
      </c>
      <c r="X295" s="49" t="s">
        <v>4339</v>
      </c>
      <c r="Y295" s="49" t="s">
        <v>4340</v>
      </c>
      <c r="Z295" s="49" t="s">
        <v>1715</v>
      </c>
      <c r="AA295" s="65">
        <v>0.66</v>
      </c>
      <c r="AB295" s="48" t="s">
        <v>4341</v>
      </c>
      <c r="AC295" s="84" t="s">
        <v>4334</v>
      </c>
      <c r="AD295" s="53" t="str">
        <f t="shared" si="217"/>
        <v>Link</v>
      </c>
      <c r="AE295" s="54">
        <v>7861</v>
      </c>
      <c r="AF295" s="55"/>
      <c r="AG295" s="55"/>
      <c r="AH295" s="56">
        <v>163851</v>
      </c>
      <c r="AI295" s="56"/>
    </row>
    <row r="296" spans="1:35" ht="13" x14ac:dyDescent="0.15">
      <c r="A296" s="57"/>
      <c r="B296" s="31" t="s">
        <v>4127</v>
      </c>
      <c r="C296" s="36" t="s">
        <v>43</v>
      </c>
      <c r="D296" s="86">
        <v>5</v>
      </c>
      <c r="E296" s="7" t="s">
        <v>4400</v>
      </c>
      <c r="F296" s="7"/>
      <c r="G296" s="86"/>
      <c r="H296" s="2" t="s">
        <v>4401</v>
      </c>
      <c r="I296" s="2" t="s">
        <v>4402</v>
      </c>
      <c r="J296" s="2" t="s">
        <v>4403</v>
      </c>
      <c r="K296" s="2" t="s">
        <v>48</v>
      </c>
      <c r="L296" s="2" t="s">
        <v>4404</v>
      </c>
      <c r="M296" s="2" t="s">
        <v>4405</v>
      </c>
      <c r="N296" s="48"/>
      <c r="O296" s="45" t="str">
        <f t="shared" ref="O296:O297" si="218">HYPERLINK("https://www.gomustangsports.com/recruits/index","Questionnaire")</f>
        <v>Questionnaire</v>
      </c>
      <c r="P296" s="48" t="s">
        <v>4410</v>
      </c>
      <c r="Q296" s="60" t="s">
        <v>1668</v>
      </c>
      <c r="R296" s="48" t="s">
        <v>4411</v>
      </c>
      <c r="S296" s="60" t="s">
        <v>205</v>
      </c>
      <c r="T296" s="49" t="s">
        <v>63</v>
      </c>
      <c r="U296" s="48" t="s">
        <v>75</v>
      </c>
      <c r="V296" s="49"/>
      <c r="W296" s="37">
        <v>3.1</v>
      </c>
      <c r="X296" s="49" t="s">
        <v>521</v>
      </c>
      <c r="Y296" s="49" t="s">
        <v>1029</v>
      </c>
      <c r="Z296" s="49" t="s">
        <v>746</v>
      </c>
      <c r="AA296" s="65">
        <v>0.61</v>
      </c>
      <c r="AB296" s="39">
        <v>49319</v>
      </c>
      <c r="AC296" s="84" t="s">
        <v>4410</v>
      </c>
      <c r="AD296" s="53" t="str">
        <f t="shared" ref="AD296:AD297" si="219">HYPERLINK("http://www.stevenson.edu/academics/undergraduate-programs/","Link")</f>
        <v>Link</v>
      </c>
      <c r="AE296" s="54">
        <v>3621</v>
      </c>
      <c r="AF296" s="55"/>
      <c r="AG296" s="55"/>
      <c r="AH296" s="56">
        <v>164173</v>
      </c>
      <c r="AI296" s="56"/>
    </row>
    <row r="297" spans="1:35" ht="13" x14ac:dyDescent="0.15">
      <c r="A297" s="57"/>
      <c r="B297" s="31" t="s">
        <v>4127</v>
      </c>
      <c r="C297" s="36" t="s">
        <v>43</v>
      </c>
      <c r="D297" s="86">
        <v>5</v>
      </c>
      <c r="E297" s="7" t="s">
        <v>4414</v>
      </c>
      <c r="F297" s="7"/>
      <c r="G297" s="86"/>
      <c r="H297" s="2" t="s">
        <v>4401</v>
      </c>
      <c r="I297" s="2" t="s">
        <v>2157</v>
      </c>
      <c r="J297" s="2" t="s">
        <v>4417</v>
      </c>
      <c r="K297" s="2" t="s">
        <v>55</v>
      </c>
      <c r="L297" s="2" t="s">
        <v>4418</v>
      </c>
      <c r="M297" s="2"/>
      <c r="N297" s="48"/>
      <c r="O297" s="45" t="str">
        <f t="shared" si="218"/>
        <v>Questionnaire</v>
      </c>
      <c r="P297" s="48" t="s">
        <v>4410</v>
      </c>
      <c r="Q297" s="60" t="s">
        <v>1668</v>
      </c>
      <c r="R297" s="48" t="s">
        <v>4411</v>
      </c>
      <c r="S297" s="60" t="s">
        <v>205</v>
      </c>
      <c r="T297" s="49" t="s">
        <v>63</v>
      </c>
      <c r="U297" s="48" t="s">
        <v>75</v>
      </c>
      <c r="V297" s="49"/>
      <c r="W297" s="37">
        <v>3.1</v>
      </c>
      <c r="X297" s="49" t="s">
        <v>521</v>
      </c>
      <c r="Y297" s="49" t="s">
        <v>1029</v>
      </c>
      <c r="Z297" s="49" t="s">
        <v>746</v>
      </c>
      <c r="AA297" s="65">
        <v>0.61</v>
      </c>
      <c r="AB297" s="39">
        <v>49319</v>
      </c>
      <c r="AC297" s="84" t="s">
        <v>4410</v>
      </c>
      <c r="AD297" s="53" t="str">
        <f t="shared" si="219"/>
        <v>Link</v>
      </c>
      <c r="AE297" s="54">
        <v>3621</v>
      </c>
      <c r="AF297" s="55"/>
      <c r="AG297" s="55"/>
      <c r="AH297" s="56">
        <v>164173</v>
      </c>
      <c r="AI297" s="56"/>
    </row>
    <row r="298" spans="1:35" ht="13" x14ac:dyDescent="0.15">
      <c r="A298" s="57"/>
      <c r="B298" s="31" t="s">
        <v>4127</v>
      </c>
      <c r="C298" s="36" t="s">
        <v>43</v>
      </c>
      <c r="D298" s="86">
        <v>5</v>
      </c>
      <c r="E298" s="7" t="s">
        <v>4424</v>
      </c>
      <c r="F298" s="7"/>
      <c r="G298" s="86"/>
      <c r="H298" s="2" t="s">
        <v>4426</v>
      </c>
      <c r="I298" s="2" t="s">
        <v>4428</v>
      </c>
      <c r="J298" s="2" t="s">
        <v>4430</v>
      </c>
      <c r="K298" s="2" t="s">
        <v>48</v>
      </c>
      <c r="L298" s="2" t="s">
        <v>4432</v>
      </c>
      <c r="M298" s="2" t="s">
        <v>4433</v>
      </c>
      <c r="N298" s="48"/>
      <c r="O298" s="45" t="str">
        <f t="shared" ref="O298:O300" si="220">HYPERLINK("https://www.washingtoncollegesports.com/sports/bsb/baseball_prospective","Questionnaire")</f>
        <v>Questionnaire</v>
      </c>
      <c r="P298" s="48" t="s">
        <v>4437</v>
      </c>
      <c r="Q298" s="60" t="s">
        <v>1668</v>
      </c>
      <c r="R298" s="48" t="s">
        <v>4438</v>
      </c>
      <c r="S298" s="60" t="s">
        <v>205</v>
      </c>
      <c r="T298" s="49" t="s">
        <v>63</v>
      </c>
      <c r="U298" s="48" t="s">
        <v>75</v>
      </c>
      <c r="V298" s="49"/>
      <c r="W298" s="37">
        <v>3.63</v>
      </c>
      <c r="X298" s="49" t="s">
        <v>292</v>
      </c>
      <c r="Y298" s="49" t="s">
        <v>1230</v>
      </c>
      <c r="Z298" s="49" t="s">
        <v>78</v>
      </c>
      <c r="AA298" s="65">
        <v>0.49</v>
      </c>
      <c r="AB298" s="39">
        <v>58506</v>
      </c>
      <c r="AC298" s="84" t="s">
        <v>4437</v>
      </c>
      <c r="AD298" s="53" t="str">
        <f t="shared" ref="AD298:AD300" si="221">HYPERLINK("https://www.washcoll.edu/academics/","Link")</f>
        <v>Link</v>
      </c>
      <c r="AE298" s="54">
        <v>1479</v>
      </c>
      <c r="AF298" s="55"/>
      <c r="AG298" s="54">
        <v>96</v>
      </c>
      <c r="AH298" s="56">
        <v>164216</v>
      </c>
      <c r="AI298" s="56"/>
    </row>
    <row r="299" spans="1:35" ht="13" x14ac:dyDescent="0.15">
      <c r="A299" s="57"/>
      <c r="B299" s="31" t="s">
        <v>4127</v>
      </c>
      <c r="C299" s="36" t="s">
        <v>43</v>
      </c>
      <c r="D299" s="86">
        <v>5</v>
      </c>
      <c r="E299" s="7" t="s">
        <v>4444</v>
      </c>
      <c r="F299" s="7"/>
      <c r="G299" s="86"/>
      <c r="H299" s="2" t="s">
        <v>4426</v>
      </c>
      <c r="I299" s="2" t="s">
        <v>728</v>
      </c>
      <c r="J299" s="2" t="s">
        <v>4446</v>
      </c>
      <c r="K299" s="2" t="s">
        <v>55</v>
      </c>
      <c r="L299" s="2" t="s">
        <v>4448</v>
      </c>
      <c r="M299" s="2" t="s">
        <v>4449</v>
      </c>
      <c r="N299" s="48"/>
      <c r="O299" s="45" t="str">
        <f t="shared" si="220"/>
        <v>Questionnaire</v>
      </c>
      <c r="P299" s="48" t="s">
        <v>4437</v>
      </c>
      <c r="Q299" s="60" t="s">
        <v>1668</v>
      </c>
      <c r="R299" s="48" t="s">
        <v>4438</v>
      </c>
      <c r="S299" s="60" t="s">
        <v>205</v>
      </c>
      <c r="T299" s="49" t="s">
        <v>63</v>
      </c>
      <c r="U299" s="48" t="s">
        <v>75</v>
      </c>
      <c r="V299" s="49"/>
      <c r="W299" s="37">
        <v>3.63</v>
      </c>
      <c r="X299" s="49" t="s">
        <v>292</v>
      </c>
      <c r="Y299" s="49" t="s">
        <v>1230</v>
      </c>
      <c r="Z299" s="49" t="s">
        <v>78</v>
      </c>
      <c r="AA299" s="65">
        <v>0.49</v>
      </c>
      <c r="AB299" s="39">
        <v>58506</v>
      </c>
      <c r="AC299" s="84" t="s">
        <v>4437</v>
      </c>
      <c r="AD299" s="53" t="str">
        <f t="shared" si="221"/>
        <v>Link</v>
      </c>
      <c r="AE299" s="54">
        <v>1479</v>
      </c>
      <c r="AF299" s="55"/>
      <c r="AG299" s="54">
        <v>96</v>
      </c>
      <c r="AH299" s="56">
        <v>164216</v>
      </c>
      <c r="AI299" s="56"/>
    </row>
    <row r="300" spans="1:35" ht="13" x14ac:dyDescent="0.15">
      <c r="A300" s="57"/>
      <c r="B300" s="31" t="s">
        <v>4127</v>
      </c>
      <c r="C300" s="36" t="s">
        <v>43</v>
      </c>
      <c r="D300" s="86">
        <v>5</v>
      </c>
      <c r="E300" s="7" t="s">
        <v>4457</v>
      </c>
      <c r="F300" s="7"/>
      <c r="G300" s="86"/>
      <c r="H300" s="2" t="s">
        <v>4426</v>
      </c>
      <c r="I300" s="2" t="s">
        <v>4459</v>
      </c>
      <c r="J300" s="2" t="s">
        <v>4460</v>
      </c>
      <c r="K300" s="2" t="s">
        <v>55</v>
      </c>
      <c r="L300" s="2" t="s">
        <v>4461</v>
      </c>
      <c r="M300" s="2" t="s">
        <v>4449</v>
      </c>
      <c r="N300" s="48"/>
      <c r="O300" s="45" t="str">
        <f t="shared" si="220"/>
        <v>Questionnaire</v>
      </c>
      <c r="P300" s="48" t="s">
        <v>4437</v>
      </c>
      <c r="Q300" s="60" t="s">
        <v>1668</v>
      </c>
      <c r="R300" s="48" t="s">
        <v>4438</v>
      </c>
      <c r="S300" s="60" t="s">
        <v>205</v>
      </c>
      <c r="T300" s="49" t="s">
        <v>63</v>
      </c>
      <c r="U300" s="48" t="s">
        <v>75</v>
      </c>
      <c r="V300" s="49"/>
      <c r="W300" s="37">
        <v>3.63</v>
      </c>
      <c r="X300" s="49" t="s">
        <v>292</v>
      </c>
      <c r="Y300" s="49" t="s">
        <v>1230</v>
      </c>
      <c r="Z300" s="49" t="s">
        <v>78</v>
      </c>
      <c r="AA300" s="65">
        <v>0.49</v>
      </c>
      <c r="AB300" s="39">
        <v>58506</v>
      </c>
      <c r="AC300" s="84" t="s">
        <v>4437</v>
      </c>
      <c r="AD300" s="53" t="str">
        <f t="shared" si="221"/>
        <v>Link</v>
      </c>
      <c r="AE300" s="54">
        <v>1479</v>
      </c>
      <c r="AF300" s="55"/>
      <c r="AG300" s="54">
        <v>96</v>
      </c>
      <c r="AH300" s="56">
        <v>164216</v>
      </c>
      <c r="AI300" s="56"/>
    </row>
    <row r="301" spans="1:35" ht="13" x14ac:dyDescent="0.15">
      <c r="A301" s="57"/>
      <c r="B301" s="110" t="s">
        <v>4463</v>
      </c>
      <c r="C301" s="36" t="s">
        <v>43</v>
      </c>
      <c r="D301" s="86">
        <v>5</v>
      </c>
      <c r="E301" s="7" t="s">
        <v>4466</v>
      </c>
      <c r="F301" s="7"/>
      <c r="G301" s="86"/>
      <c r="H301" s="2" t="s">
        <v>4467</v>
      </c>
      <c r="I301" s="2" t="s">
        <v>201</v>
      </c>
      <c r="J301" s="2" t="s">
        <v>263</v>
      </c>
      <c r="K301" s="7" t="s">
        <v>48</v>
      </c>
      <c r="L301" s="2" t="s">
        <v>4471</v>
      </c>
      <c r="M301" s="2" t="s">
        <v>4472</v>
      </c>
      <c r="N301" s="45" t="str">
        <f t="shared" ref="N301:N304" si="222">HYPERLINK("twitter.com/amherst_sball","@amherst_sball")</f>
        <v>@amherst_sball</v>
      </c>
      <c r="O301" s="45" t="str">
        <f t="shared" ref="O301:O304" si="223">HYPERLINK("http://athletics.amherst.edu/prospective_students/recruiting_form","Questionnaire")</f>
        <v>Questionnaire</v>
      </c>
      <c r="P301" s="48" t="s">
        <v>2085</v>
      </c>
      <c r="Q301" s="60" t="s">
        <v>595</v>
      </c>
      <c r="R301" s="48" t="s">
        <v>2085</v>
      </c>
      <c r="S301" s="48" t="s">
        <v>468</v>
      </c>
      <c r="T301" s="5" t="s">
        <v>63</v>
      </c>
      <c r="U301" s="48" t="s">
        <v>75</v>
      </c>
      <c r="V301" s="49"/>
      <c r="W301" s="37">
        <v>4.07</v>
      </c>
      <c r="X301" s="49" t="s">
        <v>4481</v>
      </c>
      <c r="Y301" s="49" t="s">
        <v>1171</v>
      </c>
      <c r="Z301" s="49" t="s">
        <v>765</v>
      </c>
      <c r="AA301" s="38">
        <v>0.1368</v>
      </c>
      <c r="AB301" s="39">
        <v>68986</v>
      </c>
      <c r="AC301" s="90" t="s">
        <v>2085</v>
      </c>
      <c r="AD301" s="53" t="str">
        <f t="shared" ref="AD301:AD304" si="224">HYPERLINK("https://www.amherst.edu/academiclife/departments","Link")</f>
        <v>Link</v>
      </c>
      <c r="AE301" s="54">
        <v>1849</v>
      </c>
      <c r="AF301" s="55"/>
      <c r="AG301" s="54">
        <v>2</v>
      </c>
      <c r="AH301" s="56">
        <v>164465</v>
      </c>
      <c r="AI301" s="56"/>
    </row>
    <row r="302" spans="1:35" ht="13" x14ac:dyDescent="0.15">
      <c r="A302" s="57"/>
      <c r="B302" s="110" t="s">
        <v>4463</v>
      </c>
      <c r="C302" s="36" t="s">
        <v>43</v>
      </c>
      <c r="D302" s="86">
        <v>5</v>
      </c>
      <c r="E302" s="7" t="s">
        <v>4485</v>
      </c>
      <c r="F302" s="7"/>
      <c r="G302" s="86"/>
      <c r="H302" s="2" t="s">
        <v>4467</v>
      </c>
      <c r="I302" s="2" t="s">
        <v>3235</v>
      </c>
      <c r="J302" s="2" t="s">
        <v>4486</v>
      </c>
      <c r="K302" s="2" t="s">
        <v>55</v>
      </c>
      <c r="L302" s="2" t="s">
        <v>4487</v>
      </c>
      <c r="M302" s="2" t="s">
        <v>4490</v>
      </c>
      <c r="N302" s="45" t="str">
        <f t="shared" si="222"/>
        <v>@amherst_sball</v>
      </c>
      <c r="O302" s="45" t="str">
        <f t="shared" si="223"/>
        <v>Questionnaire</v>
      </c>
      <c r="P302" s="48" t="s">
        <v>2085</v>
      </c>
      <c r="Q302" s="60" t="s">
        <v>595</v>
      </c>
      <c r="R302" s="48" t="s">
        <v>2085</v>
      </c>
      <c r="S302" s="48" t="s">
        <v>468</v>
      </c>
      <c r="T302" s="5" t="s">
        <v>63</v>
      </c>
      <c r="U302" s="48" t="s">
        <v>75</v>
      </c>
      <c r="V302" s="49"/>
      <c r="W302" s="37">
        <v>4.07</v>
      </c>
      <c r="X302" s="49" t="s">
        <v>4481</v>
      </c>
      <c r="Y302" s="49" t="s">
        <v>1171</v>
      </c>
      <c r="Z302" s="49" t="s">
        <v>765</v>
      </c>
      <c r="AA302" s="38">
        <v>0.1368</v>
      </c>
      <c r="AB302" s="39">
        <v>68986</v>
      </c>
      <c r="AC302" s="90" t="s">
        <v>2085</v>
      </c>
      <c r="AD302" s="53" t="str">
        <f t="shared" si="224"/>
        <v>Link</v>
      </c>
      <c r="AE302" s="54">
        <v>1849</v>
      </c>
      <c r="AF302" s="55"/>
      <c r="AG302" s="54">
        <v>2</v>
      </c>
      <c r="AH302" s="56">
        <v>164465</v>
      </c>
      <c r="AI302" s="56"/>
    </row>
    <row r="303" spans="1:35" ht="13" x14ac:dyDescent="0.15">
      <c r="A303" s="57"/>
      <c r="B303" s="110" t="s">
        <v>4463</v>
      </c>
      <c r="C303" s="36" t="s">
        <v>43</v>
      </c>
      <c r="D303" s="86">
        <v>5</v>
      </c>
      <c r="E303" s="7" t="s">
        <v>4498</v>
      </c>
      <c r="F303" s="7"/>
      <c r="G303" s="86" t="s">
        <v>126</v>
      </c>
      <c r="H303" s="2" t="s">
        <v>4467</v>
      </c>
      <c r="I303" s="2" t="s">
        <v>4500</v>
      </c>
      <c r="J303" s="2"/>
      <c r="K303" s="2"/>
      <c r="L303" s="2"/>
      <c r="M303" s="2"/>
      <c r="N303" s="45" t="str">
        <f t="shared" si="222"/>
        <v>@amherst_sball</v>
      </c>
      <c r="O303" s="45" t="str">
        <f t="shared" si="223"/>
        <v>Questionnaire</v>
      </c>
      <c r="P303" s="48" t="s">
        <v>2085</v>
      </c>
      <c r="Q303" s="60" t="s">
        <v>595</v>
      </c>
      <c r="R303" s="48" t="s">
        <v>2085</v>
      </c>
      <c r="S303" s="48" t="s">
        <v>468</v>
      </c>
      <c r="T303" s="5" t="s">
        <v>63</v>
      </c>
      <c r="U303" s="48" t="s">
        <v>75</v>
      </c>
      <c r="V303" s="49"/>
      <c r="W303" s="37">
        <v>4.07</v>
      </c>
      <c r="X303" s="49" t="s">
        <v>4481</v>
      </c>
      <c r="Y303" s="49" t="s">
        <v>1171</v>
      </c>
      <c r="Z303" s="49" t="s">
        <v>765</v>
      </c>
      <c r="AA303" s="38">
        <v>0.1368</v>
      </c>
      <c r="AB303" s="39">
        <v>68986</v>
      </c>
      <c r="AC303" s="90" t="s">
        <v>2085</v>
      </c>
      <c r="AD303" s="53" t="str">
        <f t="shared" si="224"/>
        <v>Link</v>
      </c>
      <c r="AE303" s="54">
        <v>1849</v>
      </c>
      <c r="AF303" s="55"/>
      <c r="AG303" s="54">
        <v>2</v>
      </c>
      <c r="AH303" s="56">
        <v>164465</v>
      </c>
      <c r="AI303" s="56"/>
    </row>
    <row r="304" spans="1:35" ht="13" x14ac:dyDescent="0.15">
      <c r="A304" s="57"/>
      <c r="B304" s="110" t="s">
        <v>4463</v>
      </c>
      <c r="C304" s="36" t="s">
        <v>43</v>
      </c>
      <c r="D304" s="44">
        <v>5</v>
      </c>
      <c r="E304" s="7" t="s">
        <v>4506</v>
      </c>
      <c r="F304" s="7" t="s">
        <v>116</v>
      </c>
      <c r="G304" s="57"/>
      <c r="H304" s="2" t="s">
        <v>4467</v>
      </c>
      <c r="I304" s="7" t="s">
        <v>4507</v>
      </c>
      <c r="J304" s="7" t="s">
        <v>4508</v>
      </c>
      <c r="K304" s="7" t="s">
        <v>55</v>
      </c>
      <c r="L304" s="57"/>
      <c r="M304" s="57"/>
      <c r="N304" s="45" t="str">
        <f t="shared" si="222"/>
        <v>@amherst_sball</v>
      </c>
      <c r="O304" s="45" t="str">
        <f t="shared" si="223"/>
        <v>Questionnaire</v>
      </c>
      <c r="P304" s="48" t="s">
        <v>2085</v>
      </c>
      <c r="Q304" s="60" t="s">
        <v>595</v>
      </c>
      <c r="R304" s="48" t="s">
        <v>2085</v>
      </c>
      <c r="S304" s="48" t="s">
        <v>468</v>
      </c>
      <c r="T304" s="5" t="s">
        <v>63</v>
      </c>
      <c r="U304" s="48" t="s">
        <v>75</v>
      </c>
      <c r="V304" s="49"/>
      <c r="W304" s="44">
        <v>4.07</v>
      </c>
      <c r="X304" s="49" t="s">
        <v>4481</v>
      </c>
      <c r="Y304" s="49" t="s">
        <v>1171</v>
      </c>
      <c r="Z304" s="49" t="s">
        <v>765</v>
      </c>
      <c r="AA304" s="38">
        <v>0.1368</v>
      </c>
      <c r="AB304" s="39">
        <v>68986</v>
      </c>
      <c r="AC304" s="90" t="s">
        <v>2085</v>
      </c>
      <c r="AD304" s="53" t="str">
        <f t="shared" si="224"/>
        <v>Link</v>
      </c>
      <c r="AE304" s="54">
        <v>1849</v>
      </c>
      <c r="AF304" s="55"/>
      <c r="AG304" s="54">
        <v>2</v>
      </c>
      <c r="AH304" s="56">
        <v>164465</v>
      </c>
      <c r="AI304" s="59"/>
    </row>
    <row r="305" spans="1:35" ht="15" x14ac:dyDescent="0.2">
      <c r="A305" s="57"/>
      <c r="B305" s="110" t="s">
        <v>4463</v>
      </c>
      <c r="C305" s="36" t="s">
        <v>43</v>
      </c>
      <c r="D305" s="86">
        <v>5</v>
      </c>
      <c r="E305" s="7" t="s">
        <v>4512</v>
      </c>
      <c r="F305" s="7"/>
      <c r="G305" s="86"/>
      <c r="H305" s="2" t="s">
        <v>4514</v>
      </c>
      <c r="I305" s="2" t="s">
        <v>2731</v>
      </c>
      <c r="J305" s="2" t="s">
        <v>4516</v>
      </c>
      <c r="K305" s="2" t="s">
        <v>48</v>
      </c>
      <c r="L305" s="2" t="s">
        <v>4517</v>
      </c>
      <c r="M305" s="2" t="s">
        <v>4519</v>
      </c>
      <c r="N305" s="45" t="str">
        <f t="shared" ref="N305:N309" si="225">HYPERLINK("twitter.com/gyrenesoftball","@gyrenesoftball")</f>
        <v>@gyrenesoftball</v>
      </c>
      <c r="O305" s="45" t="str">
        <f t="shared" ref="O305:O309" si="226">HYPERLINK("https://www.goamcats.com/inside_athletics/recruitme","Questionnaire")</f>
        <v>Questionnaire</v>
      </c>
      <c r="P305" s="48" t="s">
        <v>4523</v>
      </c>
      <c r="Q305" s="60" t="s">
        <v>595</v>
      </c>
      <c r="R305" s="48" t="s">
        <v>4524</v>
      </c>
      <c r="S305" s="60" t="s">
        <v>205</v>
      </c>
      <c r="T305" s="49" t="s">
        <v>63</v>
      </c>
      <c r="U305" s="6" t="s">
        <v>343</v>
      </c>
      <c r="V305" s="49"/>
      <c r="W305" s="37">
        <v>2.78</v>
      </c>
      <c r="X305" s="49" t="s">
        <v>4525</v>
      </c>
      <c r="Y305" s="49" t="s">
        <v>4526</v>
      </c>
      <c r="Z305" s="49" t="s">
        <v>2879</v>
      </c>
      <c r="AA305" s="38">
        <v>0.82699999999999996</v>
      </c>
      <c r="AB305" s="39">
        <v>51620</v>
      </c>
      <c r="AC305" s="52" t="s">
        <v>4523</v>
      </c>
      <c r="AD305" s="53" t="str">
        <f t="shared" ref="AD305:AD309" si="227">HYPERLINK("https://www.annamaria.edu/undergraduate","Link")</f>
        <v>Link</v>
      </c>
      <c r="AE305" s="54">
        <v>1060</v>
      </c>
      <c r="AF305" s="55"/>
      <c r="AG305" s="55"/>
      <c r="AH305" s="56">
        <v>439321</v>
      </c>
      <c r="AI305" s="56"/>
    </row>
    <row r="306" spans="1:35" ht="15" x14ac:dyDescent="0.2">
      <c r="A306" s="57"/>
      <c r="B306" s="110" t="s">
        <v>4463</v>
      </c>
      <c r="C306" s="36" t="s">
        <v>43</v>
      </c>
      <c r="D306" s="86">
        <v>5</v>
      </c>
      <c r="E306" s="7" t="s">
        <v>4532</v>
      </c>
      <c r="F306" s="7"/>
      <c r="G306" s="86"/>
      <c r="H306" s="2" t="s">
        <v>4514</v>
      </c>
      <c r="I306" s="2" t="s">
        <v>4535</v>
      </c>
      <c r="J306" s="2" t="s">
        <v>4516</v>
      </c>
      <c r="K306" s="2" t="s">
        <v>55</v>
      </c>
      <c r="L306" s="2" t="s">
        <v>4537</v>
      </c>
      <c r="M306" s="2"/>
      <c r="N306" s="45" t="str">
        <f t="shared" si="225"/>
        <v>@gyrenesoftball</v>
      </c>
      <c r="O306" s="45" t="str">
        <f t="shared" si="226"/>
        <v>Questionnaire</v>
      </c>
      <c r="P306" s="48" t="s">
        <v>4523</v>
      </c>
      <c r="Q306" s="60" t="s">
        <v>595</v>
      </c>
      <c r="R306" s="48" t="s">
        <v>4524</v>
      </c>
      <c r="S306" s="60" t="s">
        <v>205</v>
      </c>
      <c r="T306" s="49" t="s">
        <v>63</v>
      </c>
      <c r="U306" s="6" t="s">
        <v>343</v>
      </c>
      <c r="V306" s="49"/>
      <c r="W306" s="37">
        <v>2.78</v>
      </c>
      <c r="X306" s="49" t="s">
        <v>4525</v>
      </c>
      <c r="Y306" s="49" t="s">
        <v>4526</v>
      </c>
      <c r="Z306" s="49" t="s">
        <v>2879</v>
      </c>
      <c r="AA306" s="38">
        <v>0.82699999999999996</v>
      </c>
      <c r="AB306" s="39">
        <v>51620</v>
      </c>
      <c r="AC306" s="52" t="s">
        <v>4523</v>
      </c>
      <c r="AD306" s="53" t="str">
        <f t="shared" si="227"/>
        <v>Link</v>
      </c>
      <c r="AE306" s="54">
        <v>1060</v>
      </c>
      <c r="AF306" s="55"/>
      <c r="AG306" s="55"/>
      <c r="AH306" s="56">
        <v>439321</v>
      </c>
      <c r="AI306" s="56"/>
    </row>
    <row r="307" spans="1:35" ht="15" x14ac:dyDescent="0.2">
      <c r="A307" s="57"/>
      <c r="B307" s="110" t="s">
        <v>4463</v>
      </c>
      <c r="C307" s="36" t="s">
        <v>43</v>
      </c>
      <c r="D307" s="86">
        <v>5</v>
      </c>
      <c r="E307" s="7" t="s">
        <v>4546</v>
      </c>
      <c r="F307" s="7"/>
      <c r="G307" s="86"/>
      <c r="H307" s="2" t="s">
        <v>4514</v>
      </c>
      <c r="I307" s="2" t="s">
        <v>1080</v>
      </c>
      <c r="J307" s="2" t="s">
        <v>4549</v>
      </c>
      <c r="K307" s="2" t="s">
        <v>919</v>
      </c>
      <c r="L307" s="2" t="s">
        <v>4551</v>
      </c>
      <c r="M307" s="2"/>
      <c r="N307" s="45" t="str">
        <f t="shared" si="225"/>
        <v>@gyrenesoftball</v>
      </c>
      <c r="O307" s="45" t="str">
        <f t="shared" si="226"/>
        <v>Questionnaire</v>
      </c>
      <c r="P307" s="48" t="s">
        <v>4523</v>
      </c>
      <c r="Q307" s="60" t="s">
        <v>595</v>
      </c>
      <c r="R307" s="48" t="s">
        <v>4524</v>
      </c>
      <c r="S307" s="60" t="s">
        <v>205</v>
      </c>
      <c r="T307" s="49" t="s">
        <v>63</v>
      </c>
      <c r="U307" s="6" t="s">
        <v>343</v>
      </c>
      <c r="V307" s="49"/>
      <c r="W307" s="37">
        <v>2.78</v>
      </c>
      <c r="X307" s="49" t="s">
        <v>4525</v>
      </c>
      <c r="Y307" s="49" t="s">
        <v>4526</v>
      </c>
      <c r="Z307" s="49" t="s">
        <v>2879</v>
      </c>
      <c r="AA307" s="38">
        <v>0.82699999999999996</v>
      </c>
      <c r="AB307" s="39">
        <v>51620</v>
      </c>
      <c r="AC307" s="52" t="s">
        <v>4523</v>
      </c>
      <c r="AD307" s="53" t="str">
        <f t="shared" si="227"/>
        <v>Link</v>
      </c>
      <c r="AE307" s="54">
        <v>1060</v>
      </c>
      <c r="AF307" s="55"/>
      <c r="AG307" s="55"/>
      <c r="AH307" s="56">
        <v>439321</v>
      </c>
      <c r="AI307" s="56"/>
    </row>
    <row r="308" spans="1:35" ht="15" x14ac:dyDescent="0.2">
      <c r="A308" s="57"/>
      <c r="B308" s="110" t="s">
        <v>4463</v>
      </c>
      <c r="C308" s="36" t="s">
        <v>43</v>
      </c>
      <c r="D308" s="86">
        <v>5</v>
      </c>
      <c r="E308" s="7" t="s">
        <v>4559</v>
      </c>
      <c r="F308" s="7"/>
      <c r="G308" s="86"/>
      <c r="H308" s="2" t="s">
        <v>4514</v>
      </c>
      <c r="I308" s="2" t="s">
        <v>2829</v>
      </c>
      <c r="J308" s="2" t="s">
        <v>4561</v>
      </c>
      <c r="K308" s="2" t="s">
        <v>4562</v>
      </c>
      <c r="L308" s="2"/>
      <c r="M308" s="2"/>
      <c r="N308" s="45" t="str">
        <f t="shared" si="225"/>
        <v>@gyrenesoftball</v>
      </c>
      <c r="O308" s="45" t="str">
        <f t="shared" si="226"/>
        <v>Questionnaire</v>
      </c>
      <c r="P308" s="48" t="s">
        <v>4523</v>
      </c>
      <c r="Q308" s="60" t="s">
        <v>595</v>
      </c>
      <c r="R308" s="48" t="s">
        <v>4524</v>
      </c>
      <c r="S308" s="60" t="s">
        <v>205</v>
      </c>
      <c r="T308" s="49" t="s">
        <v>63</v>
      </c>
      <c r="U308" s="6" t="s">
        <v>343</v>
      </c>
      <c r="V308" s="49"/>
      <c r="W308" s="37">
        <v>2.78</v>
      </c>
      <c r="X308" s="49" t="s">
        <v>4525</v>
      </c>
      <c r="Y308" s="49" t="s">
        <v>4526</v>
      </c>
      <c r="Z308" s="49" t="s">
        <v>2879</v>
      </c>
      <c r="AA308" s="38">
        <v>0.82699999999999996</v>
      </c>
      <c r="AB308" s="39">
        <v>51620</v>
      </c>
      <c r="AC308" s="52" t="s">
        <v>4523</v>
      </c>
      <c r="AD308" s="53" t="str">
        <f t="shared" si="227"/>
        <v>Link</v>
      </c>
      <c r="AE308" s="54">
        <v>1060</v>
      </c>
      <c r="AF308" s="55"/>
      <c r="AG308" s="55"/>
      <c r="AH308" s="56">
        <v>439321</v>
      </c>
      <c r="AI308" s="56"/>
    </row>
    <row r="309" spans="1:35" ht="15" x14ac:dyDescent="0.2">
      <c r="A309" s="57"/>
      <c r="B309" s="110" t="s">
        <v>4463</v>
      </c>
      <c r="C309" s="36" t="s">
        <v>43</v>
      </c>
      <c r="D309" s="86">
        <v>5</v>
      </c>
      <c r="E309" s="7" t="s">
        <v>4567</v>
      </c>
      <c r="F309" s="7"/>
      <c r="G309" s="86"/>
      <c r="H309" s="2" t="s">
        <v>4514</v>
      </c>
      <c r="I309" s="2" t="s">
        <v>4570</v>
      </c>
      <c r="J309" s="2" t="s">
        <v>4571</v>
      </c>
      <c r="K309" s="2" t="s">
        <v>3703</v>
      </c>
      <c r="L309" s="2"/>
      <c r="M309" s="2"/>
      <c r="N309" s="45" t="str">
        <f t="shared" si="225"/>
        <v>@gyrenesoftball</v>
      </c>
      <c r="O309" s="45" t="str">
        <f t="shared" si="226"/>
        <v>Questionnaire</v>
      </c>
      <c r="P309" s="48" t="s">
        <v>4523</v>
      </c>
      <c r="Q309" s="60" t="s">
        <v>595</v>
      </c>
      <c r="R309" s="48" t="s">
        <v>4524</v>
      </c>
      <c r="S309" s="60" t="s">
        <v>205</v>
      </c>
      <c r="T309" s="49" t="s">
        <v>63</v>
      </c>
      <c r="U309" s="6" t="s">
        <v>343</v>
      </c>
      <c r="V309" s="49"/>
      <c r="W309" s="37">
        <v>2.78</v>
      </c>
      <c r="X309" s="49" t="s">
        <v>4525</v>
      </c>
      <c r="Y309" s="49" t="s">
        <v>4526</v>
      </c>
      <c r="Z309" s="49" t="s">
        <v>2879</v>
      </c>
      <c r="AA309" s="38">
        <v>0.82699999999999996</v>
      </c>
      <c r="AB309" s="39">
        <v>51620</v>
      </c>
      <c r="AC309" s="52" t="s">
        <v>4523</v>
      </c>
      <c r="AD309" s="53" t="str">
        <f t="shared" si="227"/>
        <v>Link</v>
      </c>
      <c r="AE309" s="54">
        <v>1060</v>
      </c>
      <c r="AF309" s="55"/>
      <c r="AG309" s="55"/>
      <c r="AH309" s="56">
        <v>439321</v>
      </c>
      <c r="AI309" s="56"/>
    </row>
    <row r="310" spans="1:35" ht="13" x14ac:dyDescent="0.15">
      <c r="A310" s="57"/>
      <c r="B310" s="31" t="s">
        <v>4463</v>
      </c>
      <c r="C310" s="36" t="s">
        <v>43</v>
      </c>
      <c r="D310" s="86">
        <v>5</v>
      </c>
      <c r="E310" s="7" t="s">
        <v>4576</v>
      </c>
      <c r="F310" s="7"/>
      <c r="G310" s="86"/>
      <c r="H310" s="2" t="s">
        <v>4577</v>
      </c>
      <c r="I310" s="2" t="s">
        <v>329</v>
      </c>
      <c r="J310" s="2" t="s">
        <v>4579</v>
      </c>
      <c r="K310" s="2" t="s">
        <v>48</v>
      </c>
      <c r="L310" s="2" t="s">
        <v>4580</v>
      </c>
      <c r="M310" s="2" t="s">
        <v>4582</v>
      </c>
      <c r="N310" s="45" t="str">
        <f t="shared" ref="N310:N312" si="228">HYPERLINK("twitter.com/babsonsoftball","@babsonsoftball")</f>
        <v>@babsonsoftball</v>
      </c>
      <c r="O310" s="45" t="str">
        <f t="shared" ref="O310:O312" si="229">HYPERLINK("http://www.babsonathletics.com/information/recruitingforms/index","Questionnaire")</f>
        <v>Questionnaire</v>
      </c>
      <c r="P310" s="48" t="s">
        <v>4586</v>
      </c>
      <c r="Q310" s="60" t="s">
        <v>595</v>
      </c>
      <c r="R310" s="48" t="s">
        <v>4588</v>
      </c>
      <c r="S310" s="48" t="s">
        <v>468</v>
      </c>
      <c r="T310" s="49" t="s">
        <v>63</v>
      </c>
      <c r="U310" s="48" t="s">
        <v>75</v>
      </c>
      <c r="V310" s="49"/>
      <c r="W310" s="37">
        <v>3.79</v>
      </c>
      <c r="X310" s="49" t="s">
        <v>411</v>
      </c>
      <c r="Y310" s="49" t="s">
        <v>1022</v>
      </c>
      <c r="Z310" s="49" t="s">
        <v>1900</v>
      </c>
      <c r="AA310" s="38">
        <v>0.24590000000000001</v>
      </c>
      <c r="AB310" s="39">
        <v>66564</v>
      </c>
      <c r="AC310" s="90" t="s">
        <v>4586</v>
      </c>
      <c r="AD310" s="53" t="str">
        <f t="shared" ref="AD310:AD312" si="230">HYPERLINK("http://www.babson.edu/Academics/undergraduate/concentrations/Pages/default.aspx","Link")</f>
        <v>Link</v>
      </c>
      <c r="AE310" s="54">
        <v>3165</v>
      </c>
      <c r="AF310" s="55"/>
      <c r="AG310" s="55"/>
      <c r="AH310" s="56">
        <v>164580</v>
      </c>
      <c r="AI310" s="56"/>
    </row>
    <row r="311" spans="1:35" ht="13" x14ac:dyDescent="0.15">
      <c r="A311" s="57"/>
      <c r="B311" s="31" t="s">
        <v>4463</v>
      </c>
      <c r="C311" s="36" t="s">
        <v>43</v>
      </c>
      <c r="D311" s="86">
        <v>5</v>
      </c>
      <c r="E311" s="7" t="s">
        <v>4594</v>
      </c>
      <c r="F311" s="7"/>
      <c r="G311" s="86"/>
      <c r="H311" s="2" t="s">
        <v>4577</v>
      </c>
      <c r="I311" s="2" t="s">
        <v>1280</v>
      </c>
      <c r="J311" s="2" t="s">
        <v>4595</v>
      </c>
      <c r="K311" s="2" t="s">
        <v>55</v>
      </c>
      <c r="L311" s="2" t="s">
        <v>4596</v>
      </c>
      <c r="M311" s="2" t="s">
        <v>4597</v>
      </c>
      <c r="N311" s="45" t="str">
        <f t="shared" si="228"/>
        <v>@babsonsoftball</v>
      </c>
      <c r="O311" s="45" t="str">
        <f t="shared" si="229"/>
        <v>Questionnaire</v>
      </c>
      <c r="P311" s="48" t="s">
        <v>4586</v>
      </c>
      <c r="Q311" s="60" t="s">
        <v>595</v>
      </c>
      <c r="R311" s="48" t="s">
        <v>4588</v>
      </c>
      <c r="S311" s="48" t="s">
        <v>468</v>
      </c>
      <c r="T311" s="49" t="s">
        <v>63</v>
      </c>
      <c r="U311" s="48" t="s">
        <v>75</v>
      </c>
      <c r="V311" s="49"/>
      <c r="W311" s="37">
        <v>3.79</v>
      </c>
      <c r="X311" s="49" t="s">
        <v>411</v>
      </c>
      <c r="Y311" s="49" t="s">
        <v>1022</v>
      </c>
      <c r="Z311" s="49" t="s">
        <v>1900</v>
      </c>
      <c r="AA311" s="38">
        <v>0.24590000000000001</v>
      </c>
      <c r="AB311" s="39">
        <v>66564</v>
      </c>
      <c r="AC311" s="90" t="s">
        <v>4586</v>
      </c>
      <c r="AD311" s="53" t="str">
        <f t="shared" si="230"/>
        <v>Link</v>
      </c>
      <c r="AE311" s="54">
        <v>3165</v>
      </c>
      <c r="AF311" s="55"/>
      <c r="AG311" s="55"/>
      <c r="AH311" s="56">
        <v>164580</v>
      </c>
      <c r="AI311" s="56"/>
    </row>
    <row r="312" spans="1:35" ht="13" x14ac:dyDescent="0.15">
      <c r="A312" s="57"/>
      <c r="B312" s="31" t="s">
        <v>4463</v>
      </c>
      <c r="C312" s="36" t="s">
        <v>43</v>
      </c>
      <c r="D312" s="86">
        <v>5</v>
      </c>
      <c r="E312" s="7" t="s">
        <v>4598</v>
      </c>
      <c r="F312" s="7"/>
      <c r="G312" s="86"/>
      <c r="H312" s="2" t="s">
        <v>4577</v>
      </c>
      <c r="I312" s="2" t="s">
        <v>4599</v>
      </c>
      <c r="J312" s="2" t="s">
        <v>3206</v>
      </c>
      <c r="K312" s="2" t="s">
        <v>919</v>
      </c>
      <c r="L312" s="95" t="s">
        <v>4600</v>
      </c>
      <c r="M312" s="2" t="s">
        <v>4601</v>
      </c>
      <c r="N312" s="45" t="str">
        <f t="shared" si="228"/>
        <v>@babsonsoftball</v>
      </c>
      <c r="O312" s="45" t="str">
        <f t="shared" si="229"/>
        <v>Questionnaire</v>
      </c>
      <c r="P312" s="48" t="s">
        <v>4586</v>
      </c>
      <c r="Q312" s="60" t="s">
        <v>595</v>
      </c>
      <c r="R312" s="48" t="s">
        <v>4588</v>
      </c>
      <c r="S312" s="48" t="s">
        <v>468</v>
      </c>
      <c r="T312" s="49" t="s">
        <v>63</v>
      </c>
      <c r="U312" s="48" t="s">
        <v>75</v>
      </c>
      <c r="V312" s="49"/>
      <c r="W312" s="37">
        <v>3.79</v>
      </c>
      <c r="X312" s="49" t="s">
        <v>411</v>
      </c>
      <c r="Y312" s="49" t="s">
        <v>1022</v>
      </c>
      <c r="Z312" s="49" t="s">
        <v>1900</v>
      </c>
      <c r="AA312" s="38">
        <v>0.24590000000000001</v>
      </c>
      <c r="AB312" s="39">
        <v>66564</v>
      </c>
      <c r="AC312" s="90" t="s">
        <v>4586</v>
      </c>
      <c r="AD312" s="53" t="str">
        <f t="shared" si="230"/>
        <v>Link</v>
      </c>
      <c r="AE312" s="54">
        <v>3165</v>
      </c>
      <c r="AF312" s="55"/>
      <c r="AG312" s="55"/>
      <c r="AH312" s="56">
        <v>164580</v>
      </c>
      <c r="AI312" s="56"/>
    </row>
    <row r="313" spans="1:35" ht="13" x14ac:dyDescent="0.15">
      <c r="A313" s="57"/>
      <c r="B313" s="31" t="s">
        <v>4463</v>
      </c>
      <c r="C313" s="36" t="s">
        <v>43</v>
      </c>
      <c r="D313" s="86">
        <v>5</v>
      </c>
      <c r="E313" s="7" t="s">
        <v>4608</v>
      </c>
      <c r="F313" s="7"/>
      <c r="G313" s="86"/>
      <c r="H313" s="2" t="s">
        <v>4610</v>
      </c>
      <c r="I313" s="2" t="s">
        <v>4611</v>
      </c>
      <c r="J313" s="2" t="s">
        <v>2919</v>
      </c>
      <c r="K313" s="2" t="s">
        <v>48</v>
      </c>
      <c r="L313" s="2" t="s">
        <v>4612</v>
      </c>
      <c r="M313" s="2" t="s">
        <v>4613</v>
      </c>
      <c r="N313" s="48"/>
      <c r="O313" s="45" t="str">
        <f t="shared" ref="O313:O314" si="231">HYPERLINK("http://athletics.baypath.edu/RecruitForms","Questionnaire")</f>
        <v>Questionnaire</v>
      </c>
      <c r="P313" s="48" t="s">
        <v>4615</v>
      </c>
      <c r="Q313" s="60" t="s">
        <v>595</v>
      </c>
      <c r="R313" s="48" t="s">
        <v>4616</v>
      </c>
      <c r="S313" s="48" t="s">
        <v>172</v>
      </c>
      <c r="T313" s="5" t="s">
        <v>63</v>
      </c>
      <c r="U313" s="48" t="s">
        <v>75</v>
      </c>
      <c r="V313" s="49" t="s">
        <v>1006</v>
      </c>
      <c r="W313" s="37">
        <v>3.21</v>
      </c>
      <c r="X313" s="49" t="s">
        <v>4620</v>
      </c>
      <c r="Y313" s="49" t="s">
        <v>4621</v>
      </c>
      <c r="Z313" s="49" t="s">
        <v>746</v>
      </c>
      <c r="AA313" s="38">
        <v>0.59919999999999995</v>
      </c>
      <c r="AB313" s="39">
        <v>48349</v>
      </c>
      <c r="AC313" s="90" t="s">
        <v>4615</v>
      </c>
      <c r="AD313" s="53" t="str">
        <f t="shared" ref="AD313:AD314" si="232">HYPERLINK("https://www.baypath.edu/academics/undergraduate-programs/","Link")</f>
        <v>Link</v>
      </c>
      <c r="AE313" s="54">
        <v>1893</v>
      </c>
      <c r="AF313" s="55"/>
      <c r="AG313" s="55"/>
      <c r="AH313" s="56">
        <v>164632</v>
      </c>
      <c r="AI313" s="56"/>
    </row>
    <row r="314" spans="1:35" ht="13" x14ac:dyDescent="0.15">
      <c r="A314" s="57"/>
      <c r="B314" s="31" t="s">
        <v>4463</v>
      </c>
      <c r="C314" s="36" t="s">
        <v>43</v>
      </c>
      <c r="D314" s="86">
        <v>5</v>
      </c>
      <c r="E314" s="7" t="s">
        <v>4629</v>
      </c>
      <c r="F314" s="7"/>
      <c r="G314" s="86"/>
      <c r="H314" s="2" t="s">
        <v>4610</v>
      </c>
      <c r="I314" s="2" t="s">
        <v>369</v>
      </c>
      <c r="J314" s="2" t="s">
        <v>4630</v>
      </c>
      <c r="K314" s="2" t="s">
        <v>55</v>
      </c>
      <c r="L314" s="95" t="s">
        <v>4631</v>
      </c>
      <c r="M314" s="2" t="s">
        <v>4613</v>
      </c>
      <c r="N314" s="48"/>
      <c r="O314" s="45" t="str">
        <f t="shared" si="231"/>
        <v>Questionnaire</v>
      </c>
      <c r="P314" s="48" t="s">
        <v>4615</v>
      </c>
      <c r="Q314" s="60" t="s">
        <v>595</v>
      </c>
      <c r="R314" s="48" t="s">
        <v>4616</v>
      </c>
      <c r="S314" s="48" t="s">
        <v>172</v>
      </c>
      <c r="T314" s="5" t="s">
        <v>63</v>
      </c>
      <c r="U314" s="48" t="s">
        <v>75</v>
      </c>
      <c r="V314" s="49" t="s">
        <v>1006</v>
      </c>
      <c r="W314" s="37">
        <v>3.21</v>
      </c>
      <c r="X314" s="49" t="s">
        <v>4620</v>
      </c>
      <c r="Y314" s="49" t="s">
        <v>4621</v>
      </c>
      <c r="Z314" s="49" t="s">
        <v>746</v>
      </c>
      <c r="AA314" s="38">
        <v>0.59919999999999995</v>
      </c>
      <c r="AB314" s="39">
        <v>48349</v>
      </c>
      <c r="AC314" s="90" t="s">
        <v>4615</v>
      </c>
      <c r="AD314" s="53" t="str">
        <f t="shared" si="232"/>
        <v>Link</v>
      </c>
      <c r="AE314" s="54">
        <v>1893</v>
      </c>
      <c r="AF314" s="55"/>
      <c r="AG314" s="55"/>
      <c r="AH314" s="56">
        <v>164632</v>
      </c>
      <c r="AI314" s="56"/>
    </row>
    <row r="315" spans="1:35" ht="15" x14ac:dyDescent="0.2">
      <c r="A315" s="57"/>
      <c r="B315" s="31" t="s">
        <v>4463</v>
      </c>
      <c r="C315" s="36" t="s">
        <v>43</v>
      </c>
      <c r="D315" s="86">
        <v>5</v>
      </c>
      <c r="E315" s="7" t="s">
        <v>4639</v>
      </c>
      <c r="F315" s="7"/>
      <c r="G315" s="86"/>
      <c r="H315" s="2" t="s">
        <v>4640</v>
      </c>
      <c r="I315" s="2" t="s">
        <v>2943</v>
      </c>
      <c r="J315" s="2" t="s">
        <v>4641</v>
      </c>
      <c r="K315" s="2" t="s">
        <v>48</v>
      </c>
      <c r="L315" s="2" t="s">
        <v>4643</v>
      </c>
      <c r="M315" s="2"/>
      <c r="N315" s="48"/>
      <c r="O315" s="45" t="str">
        <f t="shared" ref="O315:O316" si="233">HYPERLINK("https://recruitweb.becker.edu/Apply/Pages/prospectinquiry.aspx?f=962d967c-194c-45c7-8cf5-53fd03058b21&amp;o=54bdda6b-e3fc-4a4d-ae84-9d431dcd6a9f","Questionnaire")</f>
        <v>Questionnaire</v>
      </c>
      <c r="P315" s="48" t="s">
        <v>4649</v>
      </c>
      <c r="Q315" s="60" t="s">
        <v>595</v>
      </c>
      <c r="R315" s="48" t="s">
        <v>4650</v>
      </c>
      <c r="S315" s="48" t="s">
        <v>62</v>
      </c>
      <c r="T315" s="49" t="s">
        <v>63</v>
      </c>
      <c r="U315" s="48" t="s">
        <v>75</v>
      </c>
      <c r="V315" s="49"/>
      <c r="W315" s="37">
        <v>3.18</v>
      </c>
      <c r="X315" s="49" t="s">
        <v>720</v>
      </c>
      <c r="Y315" s="49" t="s">
        <v>521</v>
      </c>
      <c r="Z315" s="49" t="s">
        <v>1650</v>
      </c>
      <c r="AA315" s="38">
        <v>0.65339999999999998</v>
      </c>
      <c r="AB315" s="39">
        <v>54282</v>
      </c>
      <c r="AC315" s="52" t="s">
        <v>4649</v>
      </c>
      <c r="AD315" s="53" t="str">
        <f t="shared" ref="AD315:AD316" si="234">HYPERLINK("https://www.becker.edu/academics/undergrad","Link")</f>
        <v>Link</v>
      </c>
      <c r="AE315" s="54">
        <v>2178</v>
      </c>
      <c r="AF315" s="55"/>
      <c r="AG315" s="55"/>
      <c r="AH315" s="56">
        <v>164720</v>
      </c>
      <c r="AI315" s="56"/>
    </row>
    <row r="316" spans="1:35" ht="15" x14ac:dyDescent="0.2">
      <c r="A316" s="57"/>
      <c r="B316" s="31" t="s">
        <v>4463</v>
      </c>
      <c r="C316" s="36" t="s">
        <v>43</v>
      </c>
      <c r="D316" s="86">
        <v>5</v>
      </c>
      <c r="E316" s="7" t="s">
        <v>4657</v>
      </c>
      <c r="F316" s="7"/>
      <c r="G316" s="86"/>
      <c r="H316" s="2" t="s">
        <v>4640</v>
      </c>
      <c r="I316" s="2" t="s">
        <v>4659</v>
      </c>
      <c r="J316" s="2" t="s">
        <v>185</v>
      </c>
      <c r="K316" s="2" t="s">
        <v>55</v>
      </c>
      <c r="L316" s="2"/>
      <c r="M316" s="2"/>
      <c r="N316" s="48"/>
      <c r="O316" s="45" t="str">
        <f t="shared" si="233"/>
        <v>Questionnaire</v>
      </c>
      <c r="P316" s="48" t="s">
        <v>4649</v>
      </c>
      <c r="Q316" s="60" t="s">
        <v>595</v>
      </c>
      <c r="R316" s="48" t="s">
        <v>4650</v>
      </c>
      <c r="S316" s="48" t="s">
        <v>62</v>
      </c>
      <c r="T316" s="49" t="s">
        <v>63</v>
      </c>
      <c r="U316" s="48" t="s">
        <v>75</v>
      </c>
      <c r="V316" s="49"/>
      <c r="W316" s="37">
        <v>3.18</v>
      </c>
      <c r="X316" s="49" t="s">
        <v>720</v>
      </c>
      <c r="Y316" s="49" t="s">
        <v>521</v>
      </c>
      <c r="Z316" s="49" t="s">
        <v>1650</v>
      </c>
      <c r="AA316" s="38">
        <v>0.65339999999999998</v>
      </c>
      <c r="AB316" s="39">
        <v>54282</v>
      </c>
      <c r="AC316" s="52" t="s">
        <v>4649</v>
      </c>
      <c r="AD316" s="53" t="str">
        <f t="shared" si="234"/>
        <v>Link</v>
      </c>
      <c r="AE316" s="54">
        <v>2178</v>
      </c>
      <c r="AF316" s="55"/>
      <c r="AG316" s="55"/>
      <c r="AH316" s="56">
        <v>164720</v>
      </c>
      <c r="AI316" s="56"/>
    </row>
    <row r="317" spans="1:35" ht="13" x14ac:dyDescent="0.15">
      <c r="A317" s="57"/>
      <c r="B317" s="31" t="s">
        <v>4463</v>
      </c>
      <c r="C317" s="36" t="s">
        <v>43</v>
      </c>
      <c r="D317" s="86">
        <v>5</v>
      </c>
      <c r="E317" s="7" t="s">
        <v>4667</v>
      </c>
      <c r="F317" s="7" t="s">
        <v>116</v>
      </c>
      <c r="G317" s="86"/>
      <c r="H317" s="2" t="s">
        <v>4668</v>
      </c>
      <c r="I317" s="2" t="s">
        <v>421</v>
      </c>
      <c r="J317" s="2"/>
      <c r="K317" s="2" t="s">
        <v>48</v>
      </c>
      <c r="L317" s="2"/>
      <c r="M317" s="2"/>
      <c r="N317" s="45" t="str">
        <f t="shared" ref="N317:N321" si="235">HYPERLINK("twitter.com/judgessoftball","@judgessoftball")</f>
        <v>@judgessoftball</v>
      </c>
      <c r="O317" s="45" t="str">
        <f t="shared" ref="O317:O321" si="236">HYPERLINK("https://www.brandeisjudges.com/recruiting/index","Questionnaire")</f>
        <v>Questionnaire</v>
      </c>
      <c r="P317" s="48" t="s">
        <v>4681</v>
      </c>
      <c r="Q317" s="60" t="s">
        <v>595</v>
      </c>
      <c r="R317" s="48" t="s">
        <v>4682</v>
      </c>
      <c r="S317" s="48" t="s">
        <v>186</v>
      </c>
      <c r="T317" s="49" t="s">
        <v>63</v>
      </c>
      <c r="U317" s="48" t="s">
        <v>75</v>
      </c>
      <c r="V317" s="49"/>
      <c r="W317" s="37">
        <v>3.88</v>
      </c>
      <c r="X317" s="49" t="s">
        <v>4686</v>
      </c>
      <c r="Y317" s="49" t="s">
        <v>1539</v>
      </c>
      <c r="Z317" s="49" t="s">
        <v>1376</v>
      </c>
      <c r="AA317" s="38">
        <v>0.33439999999999998</v>
      </c>
      <c r="AB317" s="39">
        <v>68125</v>
      </c>
      <c r="AC317" s="90" t="s">
        <v>4681</v>
      </c>
      <c r="AD317" s="53" t="str">
        <f t="shared" ref="AD317:AD321" si="237">HYPERLINK("https://www.brandeis.edu/registrar/bulletin/provisional/courses/subjects/major-minor.html","Link")</f>
        <v>Link</v>
      </c>
      <c r="AE317" s="54">
        <v>3608</v>
      </c>
      <c r="AF317" s="54">
        <v>34</v>
      </c>
      <c r="AG317" s="55"/>
      <c r="AH317" s="56">
        <v>165015</v>
      </c>
      <c r="AI317" s="56"/>
    </row>
    <row r="318" spans="1:35" ht="13" x14ac:dyDescent="0.15">
      <c r="A318" s="57"/>
      <c r="B318" s="31" t="s">
        <v>4463</v>
      </c>
      <c r="C318" s="36" t="s">
        <v>43</v>
      </c>
      <c r="D318" s="86">
        <v>5</v>
      </c>
      <c r="E318" s="7" t="s">
        <v>4667</v>
      </c>
      <c r="F318" s="7"/>
      <c r="G318" s="86" t="s">
        <v>126</v>
      </c>
      <c r="H318" s="2" t="s">
        <v>4668</v>
      </c>
      <c r="I318" s="2" t="s">
        <v>4691</v>
      </c>
      <c r="J318" s="2"/>
      <c r="K318" s="2"/>
      <c r="L318" s="2"/>
      <c r="M318" s="2"/>
      <c r="N318" s="45" t="str">
        <f t="shared" si="235"/>
        <v>@judgessoftball</v>
      </c>
      <c r="O318" s="45" t="str">
        <f t="shared" si="236"/>
        <v>Questionnaire</v>
      </c>
      <c r="P318" s="48" t="s">
        <v>4681</v>
      </c>
      <c r="Q318" s="60" t="s">
        <v>595</v>
      </c>
      <c r="R318" s="48" t="s">
        <v>4682</v>
      </c>
      <c r="S318" s="48" t="s">
        <v>186</v>
      </c>
      <c r="T318" s="49" t="s">
        <v>63</v>
      </c>
      <c r="U318" s="48" t="s">
        <v>75</v>
      </c>
      <c r="V318" s="49"/>
      <c r="W318" s="37">
        <v>3.88</v>
      </c>
      <c r="X318" s="49" t="s">
        <v>4686</v>
      </c>
      <c r="Y318" s="49" t="s">
        <v>1539</v>
      </c>
      <c r="Z318" s="49" t="s">
        <v>1376</v>
      </c>
      <c r="AA318" s="38">
        <v>0.33439999999999998</v>
      </c>
      <c r="AB318" s="39">
        <v>68125</v>
      </c>
      <c r="AC318" s="90" t="s">
        <v>4681</v>
      </c>
      <c r="AD318" s="53" t="str">
        <f t="shared" si="237"/>
        <v>Link</v>
      </c>
      <c r="AE318" s="54">
        <v>3608</v>
      </c>
      <c r="AF318" s="54">
        <v>34</v>
      </c>
      <c r="AG318" s="55"/>
      <c r="AH318" s="56">
        <v>165015</v>
      </c>
      <c r="AI318" s="56"/>
    </row>
    <row r="319" spans="1:35" ht="13" x14ac:dyDescent="0.15">
      <c r="A319" s="57"/>
      <c r="B319" s="31" t="s">
        <v>4463</v>
      </c>
      <c r="C319" s="36" t="s">
        <v>43</v>
      </c>
      <c r="D319" s="86">
        <v>5</v>
      </c>
      <c r="E319" s="7" t="s">
        <v>4699</v>
      </c>
      <c r="F319" s="7" t="s">
        <v>116</v>
      </c>
      <c r="G319" s="57"/>
      <c r="H319" s="2" t="s">
        <v>4668</v>
      </c>
      <c r="I319" s="7" t="s">
        <v>143</v>
      </c>
      <c r="J319" s="7" t="s">
        <v>4700</v>
      </c>
      <c r="K319" s="7" t="s">
        <v>1423</v>
      </c>
      <c r="L319" s="57" t="s">
        <v>4701</v>
      </c>
      <c r="M319" s="57"/>
      <c r="N319" s="45" t="str">
        <f t="shared" si="235"/>
        <v>@judgessoftball</v>
      </c>
      <c r="O319" s="45" t="str">
        <f t="shared" si="236"/>
        <v>Questionnaire</v>
      </c>
      <c r="P319" s="48" t="s">
        <v>4681</v>
      </c>
      <c r="Q319" s="60" t="s">
        <v>595</v>
      </c>
      <c r="R319" s="48" t="s">
        <v>4682</v>
      </c>
      <c r="S319" s="48" t="s">
        <v>186</v>
      </c>
      <c r="T319" s="49" t="s">
        <v>63</v>
      </c>
      <c r="U319" s="48" t="s">
        <v>75</v>
      </c>
      <c r="V319" s="49"/>
      <c r="W319" s="37">
        <v>3.88</v>
      </c>
      <c r="X319" s="49" t="s">
        <v>4686</v>
      </c>
      <c r="Y319" s="49" t="s">
        <v>1539</v>
      </c>
      <c r="Z319" s="49" t="s">
        <v>1376</v>
      </c>
      <c r="AA319" s="38">
        <v>0.33439999999999998</v>
      </c>
      <c r="AB319" s="39">
        <v>68125</v>
      </c>
      <c r="AC319" s="90" t="s">
        <v>4681</v>
      </c>
      <c r="AD319" s="53" t="str">
        <f t="shared" si="237"/>
        <v>Link</v>
      </c>
      <c r="AE319" s="54">
        <v>3608</v>
      </c>
      <c r="AF319" s="54">
        <v>34</v>
      </c>
      <c r="AG319" s="55"/>
      <c r="AH319" s="56">
        <v>165015</v>
      </c>
      <c r="AI319" s="56"/>
    </row>
    <row r="320" spans="1:35" ht="13" x14ac:dyDescent="0.15">
      <c r="A320" s="57"/>
      <c r="B320" s="31" t="s">
        <v>4463</v>
      </c>
      <c r="C320" s="36" t="s">
        <v>43</v>
      </c>
      <c r="D320" s="86">
        <v>5</v>
      </c>
      <c r="E320" s="7" t="s">
        <v>4708</v>
      </c>
      <c r="F320" s="7"/>
      <c r="G320" s="86"/>
      <c r="H320" s="2" t="s">
        <v>4668</v>
      </c>
      <c r="I320" s="2" t="s">
        <v>4193</v>
      </c>
      <c r="J320" s="2" t="s">
        <v>1585</v>
      </c>
      <c r="K320" s="2" t="s">
        <v>55</v>
      </c>
      <c r="L320" s="2"/>
      <c r="M320" s="2"/>
      <c r="N320" s="45" t="str">
        <f t="shared" si="235"/>
        <v>@judgessoftball</v>
      </c>
      <c r="O320" s="45" t="str">
        <f t="shared" si="236"/>
        <v>Questionnaire</v>
      </c>
      <c r="P320" s="48" t="s">
        <v>4681</v>
      </c>
      <c r="Q320" s="60" t="s">
        <v>595</v>
      </c>
      <c r="R320" s="48" t="s">
        <v>4682</v>
      </c>
      <c r="S320" s="48" t="s">
        <v>186</v>
      </c>
      <c r="T320" s="49" t="s">
        <v>63</v>
      </c>
      <c r="U320" s="48" t="s">
        <v>75</v>
      </c>
      <c r="V320" s="49"/>
      <c r="W320" s="37">
        <v>3.88</v>
      </c>
      <c r="X320" s="49" t="s">
        <v>4686</v>
      </c>
      <c r="Y320" s="49" t="s">
        <v>1539</v>
      </c>
      <c r="Z320" s="49" t="s">
        <v>1376</v>
      </c>
      <c r="AA320" s="38">
        <v>0.33439999999999998</v>
      </c>
      <c r="AB320" s="39">
        <v>68125</v>
      </c>
      <c r="AC320" s="90" t="s">
        <v>4681</v>
      </c>
      <c r="AD320" s="53" t="str">
        <f t="shared" si="237"/>
        <v>Link</v>
      </c>
      <c r="AE320" s="54">
        <v>3608</v>
      </c>
      <c r="AF320" s="54">
        <v>34</v>
      </c>
      <c r="AG320" s="55"/>
      <c r="AH320" s="56">
        <v>165015</v>
      </c>
      <c r="AI320" s="56"/>
    </row>
    <row r="321" spans="1:35" ht="13" x14ac:dyDescent="0.15">
      <c r="A321" s="57"/>
      <c r="B321" s="31" t="s">
        <v>4463</v>
      </c>
      <c r="C321" s="36" t="s">
        <v>43</v>
      </c>
      <c r="D321" s="86">
        <v>5</v>
      </c>
      <c r="E321" s="7" t="s">
        <v>4716</v>
      </c>
      <c r="F321" s="7"/>
      <c r="G321" s="86"/>
      <c r="H321" s="2" t="s">
        <v>4668</v>
      </c>
      <c r="I321" s="2" t="s">
        <v>1875</v>
      </c>
      <c r="J321" s="2" t="s">
        <v>4717</v>
      </c>
      <c r="K321" s="2" t="s">
        <v>55</v>
      </c>
      <c r="L321" s="2"/>
      <c r="M321" s="2"/>
      <c r="N321" s="45" t="str">
        <f t="shared" si="235"/>
        <v>@judgessoftball</v>
      </c>
      <c r="O321" s="45" t="str">
        <f t="shared" si="236"/>
        <v>Questionnaire</v>
      </c>
      <c r="P321" s="48" t="s">
        <v>4681</v>
      </c>
      <c r="Q321" s="60" t="s">
        <v>595</v>
      </c>
      <c r="R321" s="48" t="s">
        <v>4682</v>
      </c>
      <c r="S321" s="48" t="s">
        <v>186</v>
      </c>
      <c r="T321" s="49" t="s">
        <v>63</v>
      </c>
      <c r="U321" s="48" t="s">
        <v>75</v>
      </c>
      <c r="V321" s="49"/>
      <c r="W321" s="37">
        <v>3.88</v>
      </c>
      <c r="X321" s="49" t="s">
        <v>4686</v>
      </c>
      <c r="Y321" s="49" t="s">
        <v>1539</v>
      </c>
      <c r="Z321" s="49" t="s">
        <v>1376</v>
      </c>
      <c r="AA321" s="38">
        <v>0.33439999999999998</v>
      </c>
      <c r="AB321" s="39">
        <v>68125</v>
      </c>
      <c r="AC321" s="90" t="s">
        <v>4681</v>
      </c>
      <c r="AD321" s="53" t="str">
        <f t="shared" si="237"/>
        <v>Link</v>
      </c>
      <c r="AE321" s="54">
        <v>3608</v>
      </c>
      <c r="AF321" s="54">
        <v>34</v>
      </c>
      <c r="AG321" s="55"/>
      <c r="AH321" s="56">
        <v>165015</v>
      </c>
      <c r="AI321" s="56"/>
    </row>
    <row r="322" spans="1:35" ht="13" x14ac:dyDescent="0.15">
      <c r="A322" s="57"/>
      <c r="B322" s="31" t="s">
        <v>4463</v>
      </c>
      <c r="C322" s="36" t="s">
        <v>43</v>
      </c>
      <c r="D322" s="86">
        <v>5</v>
      </c>
      <c r="E322" s="7" t="s">
        <v>4729</v>
      </c>
      <c r="F322" s="7"/>
      <c r="G322" s="86"/>
      <c r="H322" s="2" t="s">
        <v>4730</v>
      </c>
      <c r="I322" s="2" t="s">
        <v>1447</v>
      </c>
      <c r="J322" s="2" t="s">
        <v>4731</v>
      </c>
      <c r="K322" s="2" t="s">
        <v>48</v>
      </c>
      <c r="L322" s="2" t="s">
        <v>4732</v>
      </c>
      <c r="M322" s="2" t="s">
        <v>4733</v>
      </c>
      <c r="N322" s="45" t="str">
        <f t="shared" ref="N322:N324" si="238">HYPERLINK("twitter.com/bsusball","@bsusball")</f>
        <v>@bsusball</v>
      </c>
      <c r="O322" s="45" t="str">
        <f t="shared" ref="O322:O324" si="239">HYPERLINK("http://www.bsubears.com/ProspectiveAthletes/index","Questionnaire")</f>
        <v>Questionnaire</v>
      </c>
      <c r="P322" s="48" t="s">
        <v>4738</v>
      </c>
      <c r="Q322" s="60" t="s">
        <v>595</v>
      </c>
      <c r="R322" s="48" t="s">
        <v>4740</v>
      </c>
      <c r="S322" s="48" t="s">
        <v>468</v>
      </c>
      <c r="T322" s="49" t="s">
        <v>74</v>
      </c>
      <c r="U322" s="48" t="s">
        <v>75</v>
      </c>
      <c r="V322" s="49"/>
      <c r="W322" s="37">
        <v>3.14</v>
      </c>
      <c r="X322" s="49" t="s">
        <v>1144</v>
      </c>
      <c r="Y322" s="49" t="s">
        <v>3338</v>
      </c>
      <c r="Z322" s="49" t="s">
        <v>125</v>
      </c>
      <c r="AA322" s="38">
        <v>0.8095</v>
      </c>
      <c r="AB322" s="48" t="s">
        <v>4744</v>
      </c>
      <c r="AC322" s="84" t="s">
        <v>4738</v>
      </c>
      <c r="AD322" s="53" t="str">
        <f t="shared" ref="AD322:AD324" si="240">HYPERLINK("https://www.bridgew.edu/majors-and-minors/undergraduate","Link")</f>
        <v>Link</v>
      </c>
      <c r="AE322" s="54">
        <v>9562</v>
      </c>
      <c r="AF322" s="55"/>
      <c r="AG322" s="55"/>
      <c r="AH322" s="56">
        <v>165024</v>
      </c>
      <c r="AI322" s="56"/>
    </row>
    <row r="323" spans="1:35" ht="13" x14ac:dyDescent="0.15">
      <c r="A323" s="57"/>
      <c r="B323" s="31" t="s">
        <v>4463</v>
      </c>
      <c r="C323" s="36" t="s">
        <v>43</v>
      </c>
      <c r="D323" s="86">
        <v>5</v>
      </c>
      <c r="E323" s="7" t="s">
        <v>4749</v>
      </c>
      <c r="F323" s="7"/>
      <c r="G323" s="86"/>
      <c r="H323" s="2" t="s">
        <v>4730</v>
      </c>
      <c r="I323" s="2" t="s">
        <v>2028</v>
      </c>
      <c r="J323" s="2" t="s">
        <v>4750</v>
      </c>
      <c r="K323" s="2" t="s">
        <v>55</v>
      </c>
      <c r="L323" s="2" t="s">
        <v>4752</v>
      </c>
      <c r="M323" s="2" t="s">
        <v>4733</v>
      </c>
      <c r="N323" s="45" t="str">
        <f t="shared" si="238"/>
        <v>@bsusball</v>
      </c>
      <c r="O323" s="45" t="str">
        <f t="shared" si="239"/>
        <v>Questionnaire</v>
      </c>
      <c r="P323" s="48" t="s">
        <v>4738</v>
      </c>
      <c r="Q323" s="60" t="s">
        <v>595</v>
      </c>
      <c r="R323" s="48" t="s">
        <v>4740</v>
      </c>
      <c r="S323" s="48" t="s">
        <v>468</v>
      </c>
      <c r="T323" s="49" t="s">
        <v>74</v>
      </c>
      <c r="U323" s="48" t="s">
        <v>75</v>
      </c>
      <c r="V323" s="49"/>
      <c r="W323" s="37">
        <v>3.14</v>
      </c>
      <c r="X323" s="49" t="s">
        <v>1144</v>
      </c>
      <c r="Y323" s="49" t="s">
        <v>3338</v>
      </c>
      <c r="Z323" s="49" t="s">
        <v>125</v>
      </c>
      <c r="AA323" s="38">
        <v>0.8095</v>
      </c>
      <c r="AB323" s="48" t="s">
        <v>4744</v>
      </c>
      <c r="AC323" s="84" t="s">
        <v>4738</v>
      </c>
      <c r="AD323" s="53" t="str">
        <f t="shared" si="240"/>
        <v>Link</v>
      </c>
      <c r="AE323" s="54">
        <v>9562</v>
      </c>
      <c r="AF323" s="55"/>
      <c r="AG323" s="55"/>
      <c r="AH323" s="56">
        <v>165024</v>
      </c>
      <c r="AI323" s="56"/>
    </row>
    <row r="324" spans="1:35" ht="13" x14ac:dyDescent="0.15">
      <c r="A324" s="57"/>
      <c r="B324" s="31" t="s">
        <v>4463</v>
      </c>
      <c r="C324" s="36" t="s">
        <v>43</v>
      </c>
      <c r="D324" s="86">
        <v>5</v>
      </c>
      <c r="E324" s="7" t="s">
        <v>4758</v>
      </c>
      <c r="F324" s="7"/>
      <c r="G324" s="86"/>
      <c r="H324" s="2" t="s">
        <v>4730</v>
      </c>
      <c r="I324" s="2" t="s">
        <v>3235</v>
      </c>
      <c r="J324" s="2" t="s">
        <v>4761</v>
      </c>
      <c r="K324" s="2" t="s">
        <v>55</v>
      </c>
      <c r="L324" s="2" t="s">
        <v>4763</v>
      </c>
      <c r="M324" s="2" t="s">
        <v>4733</v>
      </c>
      <c r="N324" s="45" t="str">
        <f t="shared" si="238"/>
        <v>@bsusball</v>
      </c>
      <c r="O324" s="45" t="str">
        <f t="shared" si="239"/>
        <v>Questionnaire</v>
      </c>
      <c r="P324" s="48" t="s">
        <v>4738</v>
      </c>
      <c r="Q324" s="60" t="s">
        <v>595</v>
      </c>
      <c r="R324" s="48" t="s">
        <v>4740</v>
      </c>
      <c r="S324" s="48" t="s">
        <v>468</v>
      </c>
      <c r="T324" s="49" t="s">
        <v>74</v>
      </c>
      <c r="U324" s="48" t="s">
        <v>75</v>
      </c>
      <c r="V324" s="49"/>
      <c r="W324" s="37">
        <v>3.14</v>
      </c>
      <c r="X324" s="49" t="s">
        <v>1144</v>
      </c>
      <c r="Y324" s="49" t="s">
        <v>3338</v>
      </c>
      <c r="Z324" s="49" t="s">
        <v>125</v>
      </c>
      <c r="AA324" s="38">
        <v>0.8095</v>
      </c>
      <c r="AB324" s="48" t="s">
        <v>4744</v>
      </c>
      <c r="AC324" s="84" t="s">
        <v>4738</v>
      </c>
      <c r="AD324" s="53" t="str">
        <f t="shared" si="240"/>
        <v>Link</v>
      </c>
      <c r="AE324" s="54">
        <v>9562</v>
      </c>
      <c r="AF324" s="55"/>
      <c r="AG324" s="55"/>
      <c r="AH324" s="56">
        <v>165024</v>
      </c>
      <c r="AI324" s="56"/>
    </row>
    <row r="325" spans="1:35" ht="15" x14ac:dyDescent="0.2">
      <c r="A325" s="57"/>
      <c r="B325" s="31" t="s">
        <v>4463</v>
      </c>
      <c r="C325" s="36" t="s">
        <v>43</v>
      </c>
      <c r="D325" s="86">
        <v>5</v>
      </c>
      <c r="E325" s="7" t="s">
        <v>4772</v>
      </c>
      <c r="F325" s="7"/>
      <c r="G325" s="86"/>
      <c r="H325" s="2" t="s">
        <v>4774</v>
      </c>
      <c r="I325" s="2" t="s">
        <v>4762</v>
      </c>
      <c r="J325" s="2" t="s">
        <v>4775</v>
      </c>
      <c r="K325" s="2" t="s">
        <v>48</v>
      </c>
      <c r="L325" s="2" t="s">
        <v>4776</v>
      </c>
      <c r="M325" s="2" t="s">
        <v>4778</v>
      </c>
      <c r="N325" s="45" t="str">
        <f t="shared" ref="N325:N327" si="241">HYPERLINK("twitter.com/clarku_softball","@clarku_softball")</f>
        <v>@clarku_softball</v>
      </c>
      <c r="O325" s="45" t="str">
        <f t="shared" ref="O325:O327" si="242">HYPERLINK("https://www.clarkathletics.com/Recruiting/Matrix","Questionnaire")</f>
        <v>Questionnaire</v>
      </c>
      <c r="P325" s="48" t="s">
        <v>4782</v>
      </c>
      <c r="Q325" s="60" t="s">
        <v>595</v>
      </c>
      <c r="R325" s="48" t="s">
        <v>4650</v>
      </c>
      <c r="S325" s="48" t="s">
        <v>62</v>
      </c>
      <c r="T325" s="49" t="s">
        <v>63</v>
      </c>
      <c r="U325" s="48" t="s">
        <v>75</v>
      </c>
      <c r="V325" s="49"/>
      <c r="W325" s="37">
        <v>3.66</v>
      </c>
      <c r="X325" s="49" t="s">
        <v>4788</v>
      </c>
      <c r="Y325" s="49" t="s">
        <v>1777</v>
      </c>
      <c r="Z325" s="49" t="s">
        <v>1900</v>
      </c>
      <c r="AA325" s="38">
        <v>0.54720000000000002</v>
      </c>
      <c r="AB325" s="39">
        <v>53350</v>
      </c>
      <c r="AC325" s="52" t="s">
        <v>4782</v>
      </c>
      <c r="AD325" s="53" t="str">
        <f t="shared" ref="AD325:AD327" si="243">HYPERLINK("http://www.clarku.edu/academics/undergraduate/majors-minors-and-accelerated-degrees","Link")</f>
        <v>Link</v>
      </c>
      <c r="AE325" s="54">
        <v>2289</v>
      </c>
      <c r="AF325" s="54">
        <v>81</v>
      </c>
      <c r="AG325" s="55"/>
      <c r="AH325" s="56">
        <v>165334</v>
      </c>
      <c r="AI325" s="56"/>
    </row>
    <row r="326" spans="1:35" ht="15" x14ac:dyDescent="0.2">
      <c r="A326" s="57"/>
      <c r="B326" s="31" t="s">
        <v>4463</v>
      </c>
      <c r="C326" s="36" t="s">
        <v>43</v>
      </c>
      <c r="D326" s="86">
        <v>5</v>
      </c>
      <c r="E326" s="7" t="s">
        <v>4798</v>
      </c>
      <c r="F326" s="7"/>
      <c r="G326" s="86"/>
      <c r="H326" s="2" t="s">
        <v>4774</v>
      </c>
      <c r="I326" s="2" t="s">
        <v>2806</v>
      </c>
      <c r="J326" s="2" t="s">
        <v>4799</v>
      </c>
      <c r="K326" s="2" t="s">
        <v>55</v>
      </c>
      <c r="L326" s="2" t="s">
        <v>4800</v>
      </c>
      <c r="M326" s="2"/>
      <c r="N326" s="45" t="str">
        <f t="shared" si="241"/>
        <v>@clarku_softball</v>
      </c>
      <c r="O326" s="45" t="str">
        <f t="shared" si="242"/>
        <v>Questionnaire</v>
      </c>
      <c r="P326" s="48" t="s">
        <v>4782</v>
      </c>
      <c r="Q326" s="60" t="s">
        <v>595</v>
      </c>
      <c r="R326" s="48" t="s">
        <v>4650</v>
      </c>
      <c r="S326" s="48" t="s">
        <v>62</v>
      </c>
      <c r="T326" s="49" t="s">
        <v>63</v>
      </c>
      <c r="U326" s="48" t="s">
        <v>75</v>
      </c>
      <c r="V326" s="49"/>
      <c r="W326" s="37">
        <v>3.66</v>
      </c>
      <c r="X326" s="49" t="s">
        <v>4788</v>
      </c>
      <c r="Y326" s="49" t="s">
        <v>1777</v>
      </c>
      <c r="Z326" s="49" t="s">
        <v>1900</v>
      </c>
      <c r="AA326" s="38">
        <v>0.54720000000000002</v>
      </c>
      <c r="AB326" s="39">
        <v>53350</v>
      </c>
      <c r="AC326" s="52" t="s">
        <v>4782</v>
      </c>
      <c r="AD326" s="53" t="str">
        <f t="shared" si="243"/>
        <v>Link</v>
      </c>
      <c r="AE326" s="54">
        <v>2289</v>
      </c>
      <c r="AF326" s="54">
        <v>81</v>
      </c>
      <c r="AG326" s="55"/>
      <c r="AH326" s="56">
        <v>165334</v>
      </c>
      <c r="AI326" s="56"/>
    </row>
    <row r="327" spans="1:35" ht="15" x14ac:dyDescent="0.2">
      <c r="A327" s="57"/>
      <c r="B327" s="31" t="s">
        <v>4463</v>
      </c>
      <c r="C327" s="36" t="s">
        <v>43</v>
      </c>
      <c r="D327" s="86">
        <v>5</v>
      </c>
      <c r="E327" s="7" t="s">
        <v>4810</v>
      </c>
      <c r="F327" s="7"/>
      <c r="G327" s="86"/>
      <c r="H327" s="2" t="s">
        <v>4774</v>
      </c>
      <c r="I327" s="2" t="s">
        <v>363</v>
      </c>
      <c r="J327" s="2" t="s">
        <v>4811</v>
      </c>
      <c r="K327" s="2" t="s">
        <v>55</v>
      </c>
      <c r="L327" s="2" t="s">
        <v>4812</v>
      </c>
      <c r="M327" s="2"/>
      <c r="N327" s="45" t="str">
        <f t="shared" si="241"/>
        <v>@clarku_softball</v>
      </c>
      <c r="O327" s="45" t="str">
        <f t="shared" si="242"/>
        <v>Questionnaire</v>
      </c>
      <c r="P327" s="48" t="s">
        <v>4782</v>
      </c>
      <c r="Q327" s="60" t="s">
        <v>595</v>
      </c>
      <c r="R327" s="48" t="s">
        <v>4650</v>
      </c>
      <c r="S327" s="48" t="s">
        <v>62</v>
      </c>
      <c r="T327" s="49" t="s">
        <v>63</v>
      </c>
      <c r="U327" s="48" t="s">
        <v>75</v>
      </c>
      <c r="V327" s="49"/>
      <c r="W327" s="37">
        <v>3.66</v>
      </c>
      <c r="X327" s="49" t="s">
        <v>4788</v>
      </c>
      <c r="Y327" s="49" t="s">
        <v>1777</v>
      </c>
      <c r="Z327" s="49" t="s">
        <v>1900</v>
      </c>
      <c r="AA327" s="38">
        <v>0.54720000000000002</v>
      </c>
      <c r="AB327" s="39">
        <v>53350</v>
      </c>
      <c r="AC327" s="52" t="s">
        <v>4782</v>
      </c>
      <c r="AD327" s="53" t="str">
        <f t="shared" si="243"/>
        <v>Link</v>
      </c>
      <c r="AE327" s="54">
        <v>2289</v>
      </c>
      <c r="AF327" s="54">
        <v>81</v>
      </c>
      <c r="AG327" s="55"/>
      <c r="AH327" s="56">
        <v>165334</v>
      </c>
      <c r="AI327" s="56"/>
    </row>
    <row r="328" spans="1:35" ht="13" x14ac:dyDescent="0.15">
      <c r="A328" s="57"/>
      <c r="B328" s="31" t="s">
        <v>4463</v>
      </c>
      <c r="C328" s="36" t="s">
        <v>43</v>
      </c>
      <c r="D328" s="86">
        <v>5</v>
      </c>
      <c r="E328" s="7" t="s">
        <v>4817</v>
      </c>
      <c r="F328" s="7"/>
      <c r="G328" s="86"/>
      <c r="H328" s="2" t="s">
        <v>4819</v>
      </c>
      <c r="I328" s="2" t="s">
        <v>1212</v>
      </c>
      <c r="J328" s="2" t="s">
        <v>4821</v>
      </c>
      <c r="K328" s="2" t="s">
        <v>48</v>
      </c>
      <c r="L328" s="2" t="s">
        <v>4824</v>
      </c>
      <c r="M328" s="2" t="s">
        <v>4825</v>
      </c>
      <c r="N328" s="45" t="str">
        <f t="shared" ref="N328:N330" si="244">HYPERLINK("twitter.com/currysoftball","@currysoftball")</f>
        <v>@currysoftball</v>
      </c>
      <c r="O328" s="45" t="str">
        <f t="shared" ref="O328:O330" si="245">HYPERLINK("https://www.curryathletics.com/information/recruiting_questionnaire/Index","Questionnaire")</f>
        <v>Questionnaire</v>
      </c>
      <c r="P328" s="48" t="s">
        <v>4829</v>
      </c>
      <c r="Q328" s="60" t="s">
        <v>595</v>
      </c>
      <c r="R328" s="48" t="s">
        <v>4831</v>
      </c>
      <c r="S328" s="48" t="s">
        <v>468</v>
      </c>
      <c r="T328" s="49" t="s">
        <v>63</v>
      </c>
      <c r="U328" s="48" t="s">
        <v>75</v>
      </c>
      <c r="V328" s="49"/>
      <c r="W328" s="37">
        <v>2.8</v>
      </c>
      <c r="X328" s="49" t="s">
        <v>1785</v>
      </c>
      <c r="Y328" s="49" t="s">
        <v>1785</v>
      </c>
      <c r="Z328" s="49" t="s">
        <v>449</v>
      </c>
      <c r="AA328" s="65">
        <v>0.89</v>
      </c>
      <c r="AB328" s="39">
        <v>55295</v>
      </c>
      <c r="AC328" s="84" t="s">
        <v>4829</v>
      </c>
      <c r="AD328" s="53" t="str">
        <f t="shared" ref="AD328:AD330" si="246">HYPERLINK("https://www.curry.edu/programs-and-courses/undergraduate-programs.html","Link")</f>
        <v>Link</v>
      </c>
      <c r="AE328" s="54">
        <v>2688</v>
      </c>
      <c r="AF328" s="55"/>
      <c r="AG328" s="55"/>
      <c r="AH328" s="56">
        <v>165529</v>
      </c>
      <c r="AI328" s="56"/>
    </row>
    <row r="329" spans="1:35" ht="13" x14ac:dyDescent="0.15">
      <c r="A329" s="57"/>
      <c r="B329" s="31" t="s">
        <v>4463</v>
      </c>
      <c r="C329" s="36" t="s">
        <v>43</v>
      </c>
      <c r="D329" s="86">
        <v>5</v>
      </c>
      <c r="E329" s="7" t="s">
        <v>4835</v>
      </c>
      <c r="F329" s="7"/>
      <c r="G329" s="86"/>
      <c r="H329" s="2" t="s">
        <v>4819</v>
      </c>
      <c r="I329" s="2" t="s">
        <v>4836</v>
      </c>
      <c r="J329" s="2" t="s">
        <v>4838</v>
      </c>
      <c r="K329" s="2" t="s">
        <v>919</v>
      </c>
      <c r="L329" s="2" t="s">
        <v>4840</v>
      </c>
      <c r="M329" s="2" t="s">
        <v>4825</v>
      </c>
      <c r="N329" s="45" t="str">
        <f t="shared" si="244"/>
        <v>@currysoftball</v>
      </c>
      <c r="O329" s="45" t="str">
        <f t="shared" si="245"/>
        <v>Questionnaire</v>
      </c>
      <c r="P329" s="48" t="s">
        <v>4829</v>
      </c>
      <c r="Q329" s="60" t="s">
        <v>595</v>
      </c>
      <c r="R329" s="48" t="s">
        <v>4831</v>
      </c>
      <c r="S329" s="48" t="s">
        <v>468</v>
      </c>
      <c r="T329" s="49" t="s">
        <v>63</v>
      </c>
      <c r="U329" s="48" t="s">
        <v>75</v>
      </c>
      <c r="V329" s="49"/>
      <c r="W329" s="37">
        <v>2.8</v>
      </c>
      <c r="X329" s="49" t="s">
        <v>1785</v>
      </c>
      <c r="Y329" s="49" t="s">
        <v>1785</v>
      </c>
      <c r="Z329" s="49" t="s">
        <v>449</v>
      </c>
      <c r="AA329" s="65">
        <v>0.89</v>
      </c>
      <c r="AB329" s="39">
        <v>55295</v>
      </c>
      <c r="AC329" s="84" t="s">
        <v>4829</v>
      </c>
      <c r="AD329" s="53" t="str">
        <f t="shared" si="246"/>
        <v>Link</v>
      </c>
      <c r="AE329" s="54">
        <v>2688</v>
      </c>
      <c r="AF329" s="55"/>
      <c r="AG329" s="55"/>
      <c r="AH329" s="56">
        <v>165529</v>
      </c>
      <c r="AI329" s="56"/>
    </row>
    <row r="330" spans="1:35" ht="13" x14ac:dyDescent="0.15">
      <c r="A330" s="57"/>
      <c r="B330" s="31" t="s">
        <v>4463</v>
      </c>
      <c r="C330" s="36" t="s">
        <v>43</v>
      </c>
      <c r="D330" s="86">
        <v>5</v>
      </c>
      <c r="E330" s="7" t="s">
        <v>4849</v>
      </c>
      <c r="F330" s="7"/>
      <c r="G330" s="86"/>
      <c r="H330" s="2" t="s">
        <v>4819</v>
      </c>
      <c r="I330" s="2" t="s">
        <v>750</v>
      </c>
      <c r="J330" s="2" t="s">
        <v>4850</v>
      </c>
      <c r="K330" s="2" t="s">
        <v>55</v>
      </c>
      <c r="L330" s="2" t="s">
        <v>4852</v>
      </c>
      <c r="M330" s="2" t="s">
        <v>4825</v>
      </c>
      <c r="N330" s="45" t="str">
        <f t="shared" si="244"/>
        <v>@currysoftball</v>
      </c>
      <c r="O330" s="45" t="str">
        <f t="shared" si="245"/>
        <v>Questionnaire</v>
      </c>
      <c r="P330" s="48" t="s">
        <v>4829</v>
      </c>
      <c r="Q330" s="60" t="s">
        <v>595</v>
      </c>
      <c r="R330" s="48" t="s">
        <v>4831</v>
      </c>
      <c r="S330" s="48" t="s">
        <v>468</v>
      </c>
      <c r="T330" s="49" t="s">
        <v>63</v>
      </c>
      <c r="U330" s="48" t="s">
        <v>75</v>
      </c>
      <c r="V330" s="49"/>
      <c r="W330" s="37">
        <v>2.8</v>
      </c>
      <c r="X330" s="49" t="s">
        <v>1785</v>
      </c>
      <c r="Y330" s="49" t="s">
        <v>1785</v>
      </c>
      <c r="Z330" s="49" t="s">
        <v>449</v>
      </c>
      <c r="AA330" s="65">
        <v>0.89</v>
      </c>
      <c r="AB330" s="39">
        <v>55295</v>
      </c>
      <c r="AC330" s="84" t="s">
        <v>4829</v>
      </c>
      <c r="AD330" s="53" t="str">
        <f t="shared" si="246"/>
        <v>Link</v>
      </c>
      <c r="AE330" s="54">
        <v>2688</v>
      </c>
      <c r="AF330" s="55"/>
      <c r="AG330" s="55"/>
      <c r="AH330" s="56">
        <v>165529</v>
      </c>
      <c r="AI330" s="56"/>
    </row>
    <row r="331" spans="1:35" ht="13" x14ac:dyDescent="0.15">
      <c r="A331" s="57"/>
      <c r="B331" s="31" t="s">
        <v>4463</v>
      </c>
      <c r="C331" s="36" t="s">
        <v>43</v>
      </c>
      <c r="D331" s="86">
        <v>5</v>
      </c>
      <c r="E331" s="7" t="s">
        <v>4863</v>
      </c>
      <c r="F331" s="7"/>
      <c r="G331" s="86"/>
      <c r="H331" s="2" t="s">
        <v>4864</v>
      </c>
      <c r="I331" s="2" t="s">
        <v>2402</v>
      </c>
      <c r="J331" s="2" t="s">
        <v>4867</v>
      </c>
      <c r="K331" s="2" t="s">
        <v>48</v>
      </c>
      <c r="L331" s="2" t="s">
        <v>4869</v>
      </c>
      <c r="M331" s="2" t="s">
        <v>4870</v>
      </c>
      <c r="N331" s="48"/>
      <c r="O331" s="45" t="str">
        <f t="shared" ref="O331:O332" si="247">HYPERLINK("http://www.deanbulldogs.com/Recruiting/Home","Questionnaire")</f>
        <v>Questionnaire</v>
      </c>
      <c r="P331" s="48" t="s">
        <v>4871</v>
      </c>
      <c r="Q331" s="60" t="s">
        <v>595</v>
      </c>
      <c r="R331" s="48" t="s">
        <v>2586</v>
      </c>
      <c r="S331" s="48" t="s">
        <v>468</v>
      </c>
      <c r="T331" s="49" t="s">
        <v>63</v>
      </c>
      <c r="U331" s="48" t="s">
        <v>75</v>
      </c>
      <c r="V331" s="49"/>
      <c r="W331" s="37">
        <v>2.4</v>
      </c>
      <c r="X331" s="49" t="s">
        <v>214</v>
      </c>
      <c r="Y331" s="49" t="s">
        <v>214</v>
      </c>
      <c r="Z331" s="49" t="s">
        <v>214</v>
      </c>
      <c r="AA331" s="65">
        <v>0.89</v>
      </c>
      <c r="AB331" s="39">
        <v>54892</v>
      </c>
      <c r="AC331" s="84" t="s">
        <v>4871</v>
      </c>
      <c r="AD331" s="53" t="str">
        <f t="shared" ref="AD331:AD332" si="248">HYPERLINK("http://www.dean.edu/majors_by_name.aspx","Link")</f>
        <v>Link</v>
      </c>
      <c r="AE331" s="54">
        <v>1339</v>
      </c>
      <c r="AF331" s="55"/>
      <c r="AG331" s="55"/>
      <c r="AH331" s="56">
        <v>165574</v>
      </c>
      <c r="AI331" s="56"/>
    </row>
    <row r="332" spans="1:35" ht="13" x14ac:dyDescent="0.15">
      <c r="A332" s="57"/>
      <c r="B332" s="31" t="s">
        <v>4463</v>
      </c>
      <c r="C332" s="36" t="s">
        <v>43</v>
      </c>
      <c r="D332" s="86">
        <v>5</v>
      </c>
      <c r="E332" s="7" t="s">
        <v>4881</v>
      </c>
      <c r="F332" s="7"/>
      <c r="G332" s="86"/>
      <c r="H332" s="2" t="s">
        <v>4864</v>
      </c>
      <c r="I332" s="2" t="s">
        <v>4884</v>
      </c>
      <c r="J332" s="2" t="s">
        <v>4885</v>
      </c>
      <c r="K332" s="2" t="s">
        <v>55</v>
      </c>
      <c r="L332" s="2" t="s">
        <v>4886</v>
      </c>
      <c r="M332" s="2" t="s">
        <v>4870</v>
      </c>
      <c r="N332" s="48"/>
      <c r="O332" s="45" t="str">
        <f t="shared" si="247"/>
        <v>Questionnaire</v>
      </c>
      <c r="P332" s="48" t="s">
        <v>4871</v>
      </c>
      <c r="Q332" s="60" t="s">
        <v>595</v>
      </c>
      <c r="R332" s="48" t="s">
        <v>2586</v>
      </c>
      <c r="S332" s="48" t="s">
        <v>468</v>
      </c>
      <c r="T332" s="49" t="s">
        <v>63</v>
      </c>
      <c r="U332" s="48" t="s">
        <v>75</v>
      </c>
      <c r="V332" s="49"/>
      <c r="W332" s="37">
        <v>2.4</v>
      </c>
      <c r="X332" s="49" t="s">
        <v>214</v>
      </c>
      <c r="Y332" s="49" t="s">
        <v>214</v>
      </c>
      <c r="Z332" s="49" t="s">
        <v>214</v>
      </c>
      <c r="AA332" s="65">
        <v>0.89</v>
      </c>
      <c r="AB332" s="39">
        <v>54892</v>
      </c>
      <c r="AC332" s="84" t="s">
        <v>4871</v>
      </c>
      <c r="AD332" s="53" t="str">
        <f t="shared" si="248"/>
        <v>Link</v>
      </c>
      <c r="AE332" s="54">
        <v>1339</v>
      </c>
      <c r="AF332" s="55"/>
      <c r="AG332" s="55"/>
      <c r="AH332" s="56">
        <v>165574</v>
      </c>
      <c r="AI332" s="56"/>
    </row>
    <row r="333" spans="1:35" ht="13" x14ac:dyDescent="0.15">
      <c r="A333" s="57"/>
      <c r="B333" s="31" t="s">
        <v>4463</v>
      </c>
      <c r="C333" s="36" t="s">
        <v>43</v>
      </c>
      <c r="D333" s="86">
        <v>5</v>
      </c>
      <c r="E333" s="7" t="s">
        <v>4891</v>
      </c>
      <c r="F333" s="7"/>
      <c r="G333" s="86"/>
      <c r="H333" s="2" t="s">
        <v>4893</v>
      </c>
      <c r="I333" s="2" t="s">
        <v>4894</v>
      </c>
      <c r="J333" s="2" t="s">
        <v>4895</v>
      </c>
      <c r="K333" s="2" t="s">
        <v>48</v>
      </c>
      <c r="L333" s="2" t="s">
        <v>4896</v>
      </c>
      <c r="M333" s="2" t="s">
        <v>4897</v>
      </c>
      <c r="N333" s="45" t="str">
        <f t="shared" ref="N333:N336" si="249">HYPERLINK("twitter.com/softballenc","@softballenc")</f>
        <v>@softballenc</v>
      </c>
      <c r="O333" s="45" t="str">
        <f t="shared" ref="O333:O336" si="250">HYPERLINK("http://athletics.enc.edu/information/Athletic_Information_Pages/recruiting/Recruiting_Questionnaires","Questionnaire")</f>
        <v>Questionnaire</v>
      </c>
      <c r="P333" s="48" t="s">
        <v>4904</v>
      </c>
      <c r="Q333" s="48" t="s">
        <v>595</v>
      </c>
      <c r="R333" s="48" t="s">
        <v>4499</v>
      </c>
      <c r="S333" s="48" t="s">
        <v>238</v>
      </c>
      <c r="T333" s="49" t="s">
        <v>63</v>
      </c>
      <c r="U333" s="6" t="s">
        <v>4316</v>
      </c>
      <c r="V333" s="49"/>
      <c r="W333" s="37">
        <v>3</v>
      </c>
      <c r="X333" s="49" t="s">
        <v>4906</v>
      </c>
      <c r="Y333" s="49" t="s">
        <v>4456</v>
      </c>
      <c r="Z333" s="49" t="s">
        <v>278</v>
      </c>
      <c r="AA333" s="65">
        <v>0.66</v>
      </c>
      <c r="AB333" s="39">
        <v>43415</v>
      </c>
      <c r="AC333" s="84" t="s">
        <v>4904</v>
      </c>
      <c r="AD333" s="53" t="str">
        <f t="shared" ref="AD333:AD336" si="251">HYPERLINK("https://enc.edu/undergraduate/academics/programs/","Link")</f>
        <v>Link</v>
      </c>
      <c r="AE333" s="54">
        <v>784</v>
      </c>
      <c r="AF333" s="55"/>
      <c r="AG333" s="55"/>
      <c r="AH333" s="56">
        <v>165644</v>
      </c>
      <c r="AI333" s="56"/>
    </row>
    <row r="334" spans="1:35" ht="13" x14ac:dyDescent="0.15">
      <c r="A334" s="57"/>
      <c r="B334" s="31" t="s">
        <v>4463</v>
      </c>
      <c r="C334" s="36" t="s">
        <v>43</v>
      </c>
      <c r="D334" s="86">
        <v>5</v>
      </c>
      <c r="E334" s="7" t="s">
        <v>4911</v>
      </c>
      <c r="F334" s="7"/>
      <c r="G334" s="86"/>
      <c r="H334" s="2" t="s">
        <v>4893</v>
      </c>
      <c r="I334" s="2" t="s">
        <v>3315</v>
      </c>
      <c r="J334" s="2" t="s">
        <v>4914</v>
      </c>
      <c r="K334" s="2" t="s">
        <v>55</v>
      </c>
      <c r="L334" s="7" t="s">
        <v>4915</v>
      </c>
      <c r="M334" s="2"/>
      <c r="N334" s="45" t="str">
        <f t="shared" si="249"/>
        <v>@softballenc</v>
      </c>
      <c r="O334" s="45" t="str">
        <f t="shared" si="250"/>
        <v>Questionnaire</v>
      </c>
      <c r="P334" s="48" t="s">
        <v>4904</v>
      </c>
      <c r="Q334" s="48" t="s">
        <v>595</v>
      </c>
      <c r="R334" s="48" t="s">
        <v>4499</v>
      </c>
      <c r="S334" s="48" t="s">
        <v>238</v>
      </c>
      <c r="T334" s="49" t="s">
        <v>63</v>
      </c>
      <c r="U334" s="6" t="s">
        <v>4316</v>
      </c>
      <c r="V334" s="49"/>
      <c r="W334" s="37">
        <v>3</v>
      </c>
      <c r="X334" s="49" t="s">
        <v>4906</v>
      </c>
      <c r="Y334" s="49" t="s">
        <v>4456</v>
      </c>
      <c r="Z334" s="49" t="s">
        <v>278</v>
      </c>
      <c r="AA334" s="65">
        <v>0.66</v>
      </c>
      <c r="AB334" s="39">
        <v>43415</v>
      </c>
      <c r="AC334" s="84" t="s">
        <v>4904</v>
      </c>
      <c r="AD334" s="53" t="str">
        <f t="shared" si="251"/>
        <v>Link</v>
      </c>
      <c r="AE334" s="54">
        <v>784</v>
      </c>
      <c r="AF334" s="55"/>
      <c r="AG334" s="55"/>
      <c r="AH334" s="56">
        <v>165644</v>
      </c>
      <c r="AI334" s="56"/>
    </row>
    <row r="335" spans="1:35" ht="13" x14ac:dyDescent="0.15">
      <c r="A335" s="57"/>
      <c r="B335" s="31" t="s">
        <v>4463</v>
      </c>
      <c r="C335" s="36" t="s">
        <v>43</v>
      </c>
      <c r="D335" s="86">
        <v>5</v>
      </c>
      <c r="E335" s="7" t="s">
        <v>4923</v>
      </c>
      <c r="F335" s="7"/>
      <c r="G335" s="86" t="s">
        <v>126</v>
      </c>
      <c r="H335" s="2" t="s">
        <v>4893</v>
      </c>
      <c r="I335" s="2" t="s">
        <v>4924</v>
      </c>
      <c r="J335" s="2"/>
      <c r="K335" s="2"/>
      <c r="L335" s="2"/>
      <c r="M335" s="2"/>
      <c r="N335" s="45" t="str">
        <f t="shared" si="249"/>
        <v>@softballenc</v>
      </c>
      <c r="O335" s="45" t="str">
        <f t="shared" si="250"/>
        <v>Questionnaire</v>
      </c>
      <c r="P335" s="48" t="s">
        <v>4904</v>
      </c>
      <c r="Q335" s="48" t="s">
        <v>595</v>
      </c>
      <c r="R335" s="48" t="s">
        <v>4499</v>
      </c>
      <c r="S335" s="48" t="s">
        <v>238</v>
      </c>
      <c r="T335" s="49" t="s">
        <v>63</v>
      </c>
      <c r="U335" s="6" t="s">
        <v>4316</v>
      </c>
      <c r="V335" s="49"/>
      <c r="W335" s="37">
        <v>3</v>
      </c>
      <c r="X335" s="49" t="s">
        <v>4906</v>
      </c>
      <c r="Y335" s="49" t="s">
        <v>4456</v>
      </c>
      <c r="Z335" s="49" t="s">
        <v>278</v>
      </c>
      <c r="AA335" s="65">
        <v>0.66</v>
      </c>
      <c r="AB335" s="39">
        <v>43415</v>
      </c>
      <c r="AC335" s="84" t="s">
        <v>4904</v>
      </c>
      <c r="AD335" s="53" t="str">
        <f t="shared" si="251"/>
        <v>Link</v>
      </c>
      <c r="AE335" s="54">
        <v>784</v>
      </c>
      <c r="AF335" s="55"/>
      <c r="AG335" s="55"/>
      <c r="AH335" s="56">
        <v>165644</v>
      </c>
      <c r="AI335" s="56"/>
    </row>
    <row r="336" spans="1:35" ht="13" x14ac:dyDescent="0.15">
      <c r="A336" s="57"/>
      <c r="B336" s="31" t="s">
        <v>4463</v>
      </c>
      <c r="C336" s="36" t="s">
        <v>43</v>
      </c>
      <c r="D336" s="86">
        <v>5</v>
      </c>
      <c r="E336" s="7" t="s">
        <v>4929</v>
      </c>
      <c r="F336" s="7"/>
      <c r="G336" s="86"/>
      <c r="H336" s="2" t="s">
        <v>4893</v>
      </c>
      <c r="I336" s="2" t="s">
        <v>658</v>
      </c>
      <c r="J336" s="2" t="s">
        <v>4933</v>
      </c>
      <c r="K336" s="2" t="s">
        <v>55</v>
      </c>
      <c r="L336" s="2"/>
      <c r="M336" s="2"/>
      <c r="N336" s="45" t="str">
        <f t="shared" si="249"/>
        <v>@softballenc</v>
      </c>
      <c r="O336" s="45" t="str">
        <f t="shared" si="250"/>
        <v>Questionnaire</v>
      </c>
      <c r="P336" s="48" t="s">
        <v>4904</v>
      </c>
      <c r="Q336" s="48" t="s">
        <v>595</v>
      </c>
      <c r="R336" s="48" t="s">
        <v>4499</v>
      </c>
      <c r="S336" s="48" t="s">
        <v>238</v>
      </c>
      <c r="T336" s="49" t="s">
        <v>63</v>
      </c>
      <c r="U336" s="6" t="s">
        <v>4316</v>
      </c>
      <c r="V336" s="49"/>
      <c r="W336" s="37">
        <v>3</v>
      </c>
      <c r="X336" s="49" t="s">
        <v>4906</v>
      </c>
      <c r="Y336" s="49" t="s">
        <v>4456</v>
      </c>
      <c r="Z336" s="49" t="s">
        <v>278</v>
      </c>
      <c r="AA336" s="65">
        <v>0.66</v>
      </c>
      <c r="AB336" s="39">
        <v>43415</v>
      </c>
      <c r="AC336" s="84" t="s">
        <v>4904</v>
      </c>
      <c r="AD336" s="53" t="str">
        <f t="shared" si="251"/>
        <v>Link</v>
      </c>
      <c r="AE336" s="54">
        <v>784</v>
      </c>
      <c r="AF336" s="55"/>
      <c r="AG336" s="55"/>
      <c r="AH336" s="56">
        <v>165644</v>
      </c>
      <c r="AI336" s="56"/>
    </row>
    <row r="337" spans="1:35" ht="13" x14ac:dyDescent="0.15">
      <c r="A337" s="57"/>
      <c r="B337" s="31" t="s">
        <v>4463</v>
      </c>
      <c r="C337" s="36" t="s">
        <v>43</v>
      </c>
      <c r="D337" s="86">
        <v>5</v>
      </c>
      <c r="E337" s="7" t="s">
        <v>4937</v>
      </c>
      <c r="F337" s="7"/>
      <c r="G337" s="86"/>
      <c r="H337" s="2" t="s">
        <v>4939</v>
      </c>
      <c r="I337" s="2" t="s">
        <v>4941</v>
      </c>
      <c r="J337" s="2" t="s">
        <v>4943</v>
      </c>
      <c r="K337" s="2" t="s">
        <v>48</v>
      </c>
      <c r="L337" s="7" t="s">
        <v>4944</v>
      </c>
      <c r="M337" s="2" t="s">
        <v>4945</v>
      </c>
      <c r="N337" s="45" t="str">
        <f t="shared" ref="N337:N341" si="252">HYPERLINK("twitter.com/elmsblazersecsb","@elmsblazersecsb")</f>
        <v>@elmsblazersecsb</v>
      </c>
      <c r="O337" s="45" t="str">
        <f t="shared" ref="O337:O341" si="253">HYPERLINK("https://www.ecblazers.com/information/recruiting/index","Questionnaire")</f>
        <v>Questionnaire</v>
      </c>
      <c r="P337" s="48" t="s">
        <v>4950</v>
      </c>
      <c r="Q337" s="60" t="s">
        <v>595</v>
      </c>
      <c r="R337" s="48" t="s">
        <v>4951</v>
      </c>
      <c r="S337" s="48" t="s">
        <v>186</v>
      </c>
      <c r="T337" s="49" t="s">
        <v>63</v>
      </c>
      <c r="U337" s="6" t="s">
        <v>343</v>
      </c>
      <c r="V337" s="49"/>
      <c r="W337" s="37">
        <v>3.34</v>
      </c>
      <c r="X337" s="49" t="s">
        <v>4953</v>
      </c>
      <c r="Y337" s="49" t="s">
        <v>1785</v>
      </c>
      <c r="Z337" s="49" t="s">
        <v>3842</v>
      </c>
      <c r="AA337" s="65">
        <v>0.85</v>
      </c>
      <c r="AB337" s="39">
        <v>50792</v>
      </c>
      <c r="AC337" s="84" t="s">
        <v>4950</v>
      </c>
      <c r="AD337" s="53" t="str">
        <f t="shared" ref="AD337:AD341" si="254">HYPERLINK("https://www.elms.edu/majors-minors/","Link")</f>
        <v>Link</v>
      </c>
      <c r="AE337" s="54">
        <v>1217</v>
      </c>
      <c r="AF337" s="55"/>
      <c r="AG337" s="55"/>
      <c r="AH337" s="56">
        <v>167394</v>
      </c>
      <c r="AI337" s="56"/>
    </row>
    <row r="338" spans="1:35" ht="13" x14ac:dyDescent="0.15">
      <c r="A338" s="57"/>
      <c r="B338" s="31" t="s">
        <v>4463</v>
      </c>
      <c r="C338" s="36" t="s">
        <v>43</v>
      </c>
      <c r="D338" s="86">
        <v>5</v>
      </c>
      <c r="E338" s="7" t="s">
        <v>4962</v>
      </c>
      <c r="F338" s="7"/>
      <c r="G338" s="86"/>
      <c r="H338" s="2" t="s">
        <v>4939</v>
      </c>
      <c r="I338" s="2" t="s">
        <v>4963</v>
      </c>
      <c r="J338" s="2" t="s">
        <v>4964</v>
      </c>
      <c r="K338" s="2" t="s">
        <v>55</v>
      </c>
      <c r="L338" s="2" t="s">
        <v>4965</v>
      </c>
      <c r="M338" s="2" t="s">
        <v>4966</v>
      </c>
      <c r="N338" s="45" t="str">
        <f t="shared" si="252"/>
        <v>@elmsblazersecsb</v>
      </c>
      <c r="O338" s="45" t="str">
        <f t="shared" si="253"/>
        <v>Questionnaire</v>
      </c>
      <c r="P338" s="48" t="s">
        <v>4950</v>
      </c>
      <c r="Q338" s="60" t="s">
        <v>595</v>
      </c>
      <c r="R338" s="48" t="s">
        <v>4951</v>
      </c>
      <c r="S338" s="48" t="s">
        <v>186</v>
      </c>
      <c r="T338" s="49" t="s">
        <v>63</v>
      </c>
      <c r="U338" s="6" t="s">
        <v>343</v>
      </c>
      <c r="V338" s="49"/>
      <c r="W338" s="37">
        <v>3.34</v>
      </c>
      <c r="X338" s="49" t="s">
        <v>4953</v>
      </c>
      <c r="Y338" s="49" t="s">
        <v>1785</v>
      </c>
      <c r="Z338" s="49" t="s">
        <v>3842</v>
      </c>
      <c r="AA338" s="65">
        <v>0.85</v>
      </c>
      <c r="AB338" s="39">
        <v>50792</v>
      </c>
      <c r="AC338" s="84" t="s">
        <v>4950</v>
      </c>
      <c r="AD338" s="53" t="str">
        <f t="shared" si="254"/>
        <v>Link</v>
      </c>
      <c r="AE338" s="54">
        <v>1217</v>
      </c>
      <c r="AF338" s="55"/>
      <c r="AG338" s="55"/>
      <c r="AH338" s="56">
        <v>167394</v>
      </c>
      <c r="AI338" s="56"/>
    </row>
    <row r="339" spans="1:35" ht="13" x14ac:dyDescent="0.15">
      <c r="A339" s="57"/>
      <c r="B339" s="31" t="s">
        <v>4463</v>
      </c>
      <c r="C339" s="36" t="s">
        <v>43</v>
      </c>
      <c r="D339" s="86">
        <v>5</v>
      </c>
      <c r="E339" s="7" t="s">
        <v>4976</v>
      </c>
      <c r="F339" s="7"/>
      <c r="G339" s="86"/>
      <c r="H339" s="2" t="s">
        <v>4939</v>
      </c>
      <c r="I339" s="2" t="s">
        <v>201</v>
      </c>
      <c r="J339" s="2" t="s">
        <v>4977</v>
      </c>
      <c r="K339" s="2" t="s">
        <v>55</v>
      </c>
      <c r="L339" s="95" t="s">
        <v>4978</v>
      </c>
      <c r="M339" s="2" t="s">
        <v>4966</v>
      </c>
      <c r="N339" s="45" t="str">
        <f t="shared" si="252"/>
        <v>@elmsblazersecsb</v>
      </c>
      <c r="O339" s="45" t="str">
        <f t="shared" si="253"/>
        <v>Questionnaire</v>
      </c>
      <c r="P339" s="48" t="s">
        <v>4950</v>
      </c>
      <c r="Q339" s="60" t="s">
        <v>595</v>
      </c>
      <c r="R339" s="48" t="s">
        <v>4951</v>
      </c>
      <c r="S339" s="48" t="s">
        <v>186</v>
      </c>
      <c r="T339" s="49" t="s">
        <v>63</v>
      </c>
      <c r="U339" s="6" t="s">
        <v>343</v>
      </c>
      <c r="V339" s="49"/>
      <c r="W339" s="37">
        <v>3.34</v>
      </c>
      <c r="X339" s="49" t="s">
        <v>4953</v>
      </c>
      <c r="Y339" s="49" t="s">
        <v>1785</v>
      </c>
      <c r="Z339" s="49" t="s">
        <v>3842</v>
      </c>
      <c r="AA339" s="65">
        <v>0.85</v>
      </c>
      <c r="AB339" s="39">
        <v>50792</v>
      </c>
      <c r="AC339" s="84" t="s">
        <v>4950</v>
      </c>
      <c r="AD339" s="53" t="str">
        <f t="shared" si="254"/>
        <v>Link</v>
      </c>
      <c r="AE339" s="54">
        <v>1217</v>
      </c>
      <c r="AF339" s="55"/>
      <c r="AG339" s="55"/>
      <c r="AH339" s="56">
        <v>167394</v>
      </c>
      <c r="AI339" s="56"/>
    </row>
    <row r="340" spans="1:35" ht="13" x14ac:dyDescent="0.15">
      <c r="A340" s="57"/>
      <c r="B340" s="31" t="s">
        <v>4463</v>
      </c>
      <c r="C340" s="36" t="s">
        <v>43</v>
      </c>
      <c r="D340" s="86">
        <v>5</v>
      </c>
      <c r="E340" s="7" t="s">
        <v>4981</v>
      </c>
      <c r="F340" s="7"/>
      <c r="G340" s="86"/>
      <c r="H340" s="2" t="s">
        <v>4939</v>
      </c>
      <c r="I340" s="2" t="s">
        <v>453</v>
      </c>
      <c r="J340" s="2" t="s">
        <v>4983</v>
      </c>
      <c r="K340" s="2" t="s">
        <v>55</v>
      </c>
      <c r="L340" s="2" t="s">
        <v>4985</v>
      </c>
      <c r="M340" s="2" t="s">
        <v>4966</v>
      </c>
      <c r="N340" s="45" t="str">
        <f t="shared" si="252"/>
        <v>@elmsblazersecsb</v>
      </c>
      <c r="O340" s="45" t="str">
        <f t="shared" si="253"/>
        <v>Questionnaire</v>
      </c>
      <c r="P340" s="48" t="s">
        <v>4950</v>
      </c>
      <c r="Q340" s="60" t="s">
        <v>595</v>
      </c>
      <c r="R340" s="48" t="s">
        <v>4951</v>
      </c>
      <c r="S340" s="48" t="s">
        <v>186</v>
      </c>
      <c r="T340" s="49" t="s">
        <v>63</v>
      </c>
      <c r="U340" s="6" t="s">
        <v>343</v>
      </c>
      <c r="V340" s="49"/>
      <c r="W340" s="37">
        <v>3.34</v>
      </c>
      <c r="X340" s="49" t="s">
        <v>4953</v>
      </c>
      <c r="Y340" s="49" t="s">
        <v>1785</v>
      </c>
      <c r="Z340" s="49" t="s">
        <v>3842</v>
      </c>
      <c r="AA340" s="65">
        <v>0.85</v>
      </c>
      <c r="AB340" s="39">
        <v>50792</v>
      </c>
      <c r="AC340" s="84" t="s">
        <v>4950</v>
      </c>
      <c r="AD340" s="53" t="str">
        <f t="shared" si="254"/>
        <v>Link</v>
      </c>
      <c r="AE340" s="54">
        <v>1217</v>
      </c>
      <c r="AF340" s="55"/>
      <c r="AG340" s="55"/>
      <c r="AH340" s="56">
        <v>167394</v>
      </c>
      <c r="AI340" s="56"/>
    </row>
    <row r="341" spans="1:35" ht="13" x14ac:dyDescent="0.15">
      <c r="A341" s="57"/>
      <c r="B341" s="31" t="s">
        <v>4463</v>
      </c>
      <c r="C341" s="36" t="s">
        <v>43</v>
      </c>
      <c r="D341" s="86">
        <v>5</v>
      </c>
      <c r="E341" s="7" t="s">
        <v>4989</v>
      </c>
      <c r="F341" s="7"/>
      <c r="G341" s="86"/>
      <c r="H341" s="2" t="s">
        <v>4939</v>
      </c>
      <c r="I341" s="2" t="s">
        <v>1080</v>
      </c>
      <c r="J341" s="2" t="s">
        <v>4990</v>
      </c>
      <c r="K341" s="2" t="s">
        <v>55</v>
      </c>
      <c r="L341" s="2" t="s">
        <v>4991</v>
      </c>
      <c r="M341" s="2" t="s">
        <v>4966</v>
      </c>
      <c r="N341" s="45" t="str">
        <f t="shared" si="252"/>
        <v>@elmsblazersecsb</v>
      </c>
      <c r="O341" s="45" t="str">
        <f t="shared" si="253"/>
        <v>Questionnaire</v>
      </c>
      <c r="P341" s="48" t="s">
        <v>4950</v>
      </c>
      <c r="Q341" s="60" t="s">
        <v>595</v>
      </c>
      <c r="R341" s="48" t="s">
        <v>4951</v>
      </c>
      <c r="S341" s="48" t="s">
        <v>186</v>
      </c>
      <c r="T341" s="49" t="s">
        <v>63</v>
      </c>
      <c r="U341" s="6" t="s">
        <v>343</v>
      </c>
      <c r="V341" s="49"/>
      <c r="W341" s="37">
        <v>3.34</v>
      </c>
      <c r="X341" s="49" t="s">
        <v>4953</v>
      </c>
      <c r="Y341" s="49" t="s">
        <v>1785</v>
      </c>
      <c r="Z341" s="49" t="s">
        <v>3842</v>
      </c>
      <c r="AA341" s="65">
        <v>0.85</v>
      </c>
      <c r="AB341" s="39">
        <v>50792</v>
      </c>
      <c r="AC341" s="84" t="s">
        <v>4950</v>
      </c>
      <c r="AD341" s="53" t="str">
        <f t="shared" si="254"/>
        <v>Link</v>
      </c>
      <c r="AE341" s="54">
        <v>1217</v>
      </c>
      <c r="AF341" s="55"/>
      <c r="AG341" s="55"/>
      <c r="AH341" s="56">
        <v>167394</v>
      </c>
      <c r="AI341" s="56"/>
    </row>
    <row r="342" spans="1:35" ht="13" x14ac:dyDescent="0.15">
      <c r="A342" s="57"/>
      <c r="B342" s="31" t="s">
        <v>4463</v>
      </c>
      <c r="C342" s="36" t="s">
        <v>43</v>
      </c>
      <c r="D342" s="86">
        <v>5</v>
      </c>
      <c r="E342" s="7" t="s">
        <v>4998</v>
      </c>
      <c r="F342" s="7"/>
      <c r="G342" s="86"/>
      <c r="H342" s="2" t="s">
        <v>4999</v>
      </c>
      <c r="I342" s="2" t="s">
        <v>668</v>
      </c>
      <c r="J342" s="2" t="s">
        <v>5000</v>
      </c>
      <c r="K342" s="2" t="s">
        <v>48</v>
      </c>
      <c r="L342" s="2" t="s">
        <v>5001</v>
      </c>
      <c r="M342" s="2" t="s">
        <v>5002</v>
      </c>
      <c r="N342" s="45" t="str">
        <f>HYPERLINK("twitter.com/emersonsoftball","@emersonsoftball")</f>
        <v>@emersonsoftball</v>
      </c>
      <c r="O342" s="45" t="str">
        <f>HYPERLINK("https://www.emersonlions.com/Recruit_Me","Questionnaire")</f>
        <v>Questionnaire</v>
      </c>
      <c r="P342" s="48" t="s">
        <v>5006</v>
      </c>
      <c r="Q342" s="60" t="s">
        <v>595</v>
      </c>
      <c r="R342" s="48" t="s">
        <v>614</v>
      </c>
      <c r="S342" s="48" t="s">
        <v>354</v>
      </c>
      <c r="T342" s="49" t="s">
        <v>63</v>
      </c>
      <c r="U342" s="48" t="s">
        <v>75</v>
      </c>
      <c r="V342" s="49"/>
      <c r="W342" s="37">
        <v>3.68</v>
      </c>
      <c r="X342" s="49" t="s">
        <v>1898</v>
      </c>
      <c r="Y342" s="49" t="s">
        <v>5008</v>
      </c>
      <c r="Z342" s="49" t="s">
        <v>412</v>
      </c>
      <c r="AA342" s="65">
        <v>0.48</v>
      </c>
      <c r="AB342" s="39">
        <v>62515</v>
      </c>
      <c r="AC342" s="90" t="s">
        <v>5006</v>
      </c>
      <c r="AD342" s="53" t="str">
        <f>HYPERLINK("http://www.emerson.edu/academics/undergraduate-degrees","Link")</f>
        <v>Link</v>
      </c>
      <c r="AE342" s="54">
        <v>3801</v>
      </c>
      <c r="AF342" s="55"/>
      <c r="AG342" s="55"/>
      <c r="AH342" s="56">
        <v>165662</v>
      </c>
      <c r="AI342" s="56"/>
    </row>
    <row r="343" spans="1:35" ht="15" x14ac:dyDescent="0.2">
      <c r="A343" s="57"/>
      <c r="B343" s="31" t="s">
        <v>4463</v>
      </c>
      <c r="C343" s="36" t="s">
        <v>43</v>
      </c>
      <c r="D343" s="86">
        <v>5</v>
      </c>
      <c r="E343" s="7" t="s">
        <v>5015</v>
      </c>
      <c r="F343" s="7"/>
      <c r="G343" s="86"/>
      <c r="H343" s="2" t="s">
        <v>5017</v>
      </c>
      <c r="I343" s="2" t="s">
        <v>635</v>
      </c>
      <c r="J343" s="2" t="s">
        <v>669</v>
      </c>
      <c r="K343" s="2" t="s">
        <v>48</v>
      </c>
      <c r="L343" s="2" t="s">
        <v>5018</v>
      </c>
      <c r="M343" s="2" t="s">
        <v>5019</v>
      </c>
      <c r="N343" s="48"/>
      <c r="O343" s="45" t="str">
        <f t="shared" ref="O343:O345" si="255">HYPERLINK("https://goeclions.com/recruit_me/RecrutingMainPage","Questionnaire")</f>
        <v>Questionnaire</v>
      </c>
      <c r="P343" s="48" t="s">
        <v>5020</v>
      </c>
      <c r="Q343" s="60" t="s">
        <v>595</v>
      </c>
      <c r="R343" s="48" t="s">
        <v>614</v>
      </c>
      <c r="S343" s="48" t="s">
        <v>354</v>
      </c>
      <c r="T343" s="5" t="s">
        <v>63</v>
      </c>
      <c r="U343" s="6" t="s">
        <v>343</v>
      </c>
      <c r="V343" s="49"/>
      <c r="W343" s="37">
        <v>3.67</v>
      </c>
      <c r="X343" s="49" t="s">
        <v>2273</v>
      </c>
      <c r="Y343" s="49" t="s">
        <v>5022</v>
      </c>
      <c r="Z343" s="49" t="s">
        <v>3287</v>
      </c>
      <c r="AA343" s="65">
        <v>0.71</v>
      </c>
      <c r="AB343" s="39">
        <v>55186</v>
      </c>
      <c r="AC343" s="52" t="s">
        <v>5020</v>
      </c>
      <c r="AD343" s="53" t="str">
        <f t="shared" ref="AD343:AD345" si="256">HYPERLINK("https://www.emmanuel.edu/academics/programs-of-study-and-departments.html","Link")</f>
        <v>Link</v>
      </c>
      <c r="AE343" s="54">
        <v>2012</v>
      </c>
      <c r="AF343" s="55"/>
      <c r="AG343" s="55"/>
      <c r="AH343" s="56">
        <v>165671</v>
      </c>
      <c r="AI343" s="56"/>
    </row>
    <row r="344" spans="1:35" ht="15" x14ac:dyDescent="0.2">
      <c r="A344" s="57"/>
      <c r="B344" s="31" t="s">
        <v>4463</v>
      </c>
      <c r="C344" s="36" t="s">
        <v>43</v>
      </c>
      <c r="D344" s="86">
        <v>5</v>
      </c>
      <c r="E344" s="7" t="s">
        <v>5028</v>
      </c>
      <c r="F344" s="7"/>
      <c r="G344" s="86"/>
      <c r="H344" s="2" t="s">
        <v>5017</v>
      </c>
      <c r="I344" s="2" t="s">
        <v>5029</v>
      </c>
      <c r="J344" s="2" t="s">
        <v>118</v>
      </c>
      <c r="K344" s="2" t="s">
        <v>55</v>
      </c>
      <c r="L344" s="2" t="s">
        <v>5030</v>
      </c>
      <c r="M344" s="2" t="s">
        <v>5019</v>
      </c>
      <c r="N344" s="48"/>
      <c r="O344" s="45" t="str">
        <f t="shared" si="255"/>
        <v>Questionnaire</v>
      </c>
      <c r="P344" s="48" t="s">
        <v>5020</v>
      </c>
      <c r="Q344" s="60" t="s">
        <v>595</v>
      </c>
      <c r="R344" s="48" t="s">
        <v>614</v>
      </c>
      <c r="S344" s="48" t="s">
        <v>354</v>
      </c>
      <c r="T344" s="5" t="s">
        <v>63</v>
      </c>
      <c r="U344" s="6" t="s">
        <v>343</v>
      </c>
      <c r="V344" s="49"/>
      <c r="W344" s="37">
        <v>3.67</v>
      </c>
      <c r="X344" s="49" t="s">
        <v>2273</v>
      </c>
      <c r="Y344" s="49" t="s">
        <v>5022</v>
      </c>
      <c r="Z344" s="49" t="s">
        <v>3287</v>
      </c>
      <c r="AA344" s="65">
        <v>0.71</v>
      </c>
      <c r="AB344" s="39">
        <v>55186</v>
      </c>
      <c r="AC344" s="52" t="s">
        <v>5020</v>
      </c>
      <c r="AD344" s="53" t="str">
        <f t="shared" si="256"/>
        <v>Link</v>
      </c>
      <c r="AE344" s="54">
        <v>2012</v>
      </c>
      <c r="AF344" s="55"/>
      <c r="AG344" s="55"/>
      <c r="AH344" s="56">
        <v>165671</v>
      </c>
      <c r="AI344" s="56"/>
    </row>
    <row r="345" spans="1:35" ht="15" x14ac:dyDescent="0.2">
      <c r="A345" s="57"/>
      <c r="B345" s="31" t="s">
        <v>4463</v>
      </c>
      <c r="C345" s="36" t="s">
        <v>43</v>
      </c>
      <c r="D345" s="86">
        <v>5</v>
      </c>
      <c r="E345" s="7" t="s">
        <v>5037</v>
      </c>
      <c r="F345" s="7"/>
      <c r="G345" s="86"/>
      <c r="H345" s="2" t="s">
        <v>5017</v>
      </c>
      <c r="I345" s="2" t="s">
        <v>2599</v>
      </c>
      <c r="J345" s="2" t="s">
        <v>5039</v>
      </c>
      <c r="K345" s="2" t="s">
        <v>55</v>
      </c>
      <c r="L345" s="2" t="s">
        <v>5041</v>
      </c>
      <c r="M345" s="2" t="s">
        <v>5019</v>
      </c>
      <c r="N345" s="48"/>
      <c r="O345" s="45" t="str">
        <f t="shared" si="255"/>
        <v>Questionnaire</v>
      </c>
      <c r="P345" s="48" t="s">
        <v>5020</v>
      </c>
      <c r="Q345" s="60" t="s">
        <v>595</v>
      </c>
      <c r="R345" s="48" t="s">
        <v>614</v>
      </c>
      <c r="S345" s="48" t="s">
        <v>354</v>
      </c>
      <c r="T345" s="5" t="s">
        <v>63</v>
      </c>
      <c r="U345" s="6" t="s">
        <v>343</v>
      </c>
      <c r="V345" s="49"/>
      <c r="W345" s="37">
        <v>3.67</v>
      </c>
      <c r="X345" s="49" t="s">
        <v>2273</v>
      </c>
      <c r="Y345" s="49" t="s">
        <v>5022</v>
      </c>
      <c r="Z345" s="49" t="s">
        <v>3287</v>
      </c>
      <c r="AA345" s="65">
        <v>0.71</v>
      </c>
      <c r="AB345" s="39">
        <v>55186</v>
      </c>
      <c r="AC345" s="52" t="s">
        <v>5020</v>
      </c>
      <c r="AD345" s="53" t="str">
        <f t="shared" si="256"/>
        <v>Link</v>
      </c>
      <c r="AE345" s="54">
        <v>2012</v>
      </c>
      <c r="AF345" s="55"/>
      <c r="AG345" s="55"/>
      <c r="AH345" s="56">
        <v>165671</v>
      </c>
      <c r="AI345" s="56"/>
    </row>
    <row r="346" spans="1:35" ht="13" x14ac:dyDescent="0.15">
      <c r="A346" s="57"/>
      <c r="B346" s="31" t="s">
        <v>4463</v>
      </c>
      <c r="C346" s="36" t="s">
        <v>43</v>
      </c>
      <c r="D346" s="86">
        <v>5</v>
      </c>
      <c r="E346" s="7" t="s">
        <v>5045</v>
      </c>
      <c r="F346" s="7"/>
      <c r="G346" s="86"/>
      <c r="H346" s="2" t="s">
        <v>5046</v>
      </c>
      <c r="I346" s="2" t="s">
        <v>234</v>
      </c>
      <c r="J346" s="2" t="s">
        <v>5047</v>
      </c>
      <c r="K346" s="2" t="s">
        <v>48</v>
      </c>
      <c r="L346" s="2" t="s">
        <v>5049</v>
      </c>
      <c r="M346" s="2" t="s">
        <v>5050</v>
      </c>
      <c r="N346" s="45" t="str">
        <f t="shared" ref="N346:N349" si="257">HYPERLINK("twitter.com/endicottsoft","@endicottsoft")</f>
        <v>@endicottsoft</v>
      </c>
      <c r="O346" s="45" t="str">
        <f t="shared" ref="O346:O349" si="258">HYPERLINK("https://www.ecgulls.com/information/inside_athletics/recruiting/index","Questionnaire")</f>
        <v>Questionnaire</v>
      </c>
      <c r="P346" s="48" t="s">
        <v>5054</v>
      </c>
      <c r="Q346" s="60" t="s">
        <v>595</v>
      </c>
      <c r="R346" s="48" t="s">
        <v>5055</v>
      </c>
      <c r="S346" s="48" t="s">
        <v>468</v>
      </c>
      <c r="T346" s="49" t="s">
        <v>63</v>
      </c>
      <c r="U346" s="48" t="s">
        <v>75</v>
      </c>
      <c r="V346" s="49"/>
      <c r="W346" s="37">
        <v>3.3</v>
      </c>
      <c r="X346" s="49" t="s">
        <v>77</v>
      </c>
      <c r="Y346" s="49" t="s">
        <v>5062</v>
      </c>
      <c r="Z346" s="49" t="s">
        <v>1650</v>
      </c>
      <c r="AA346" s="65">
        <v>0.79</v>
      </c>
      <c r="AB346" s="39">
        <v>49136</v>
      </c>
      <c r="AC346" s="84" t="s">
        <v>5054</v>
      </c>
      <c r="AD346" s="53" t="str">
        <f t="shared" ref="AD346:AD349" si="259">HYPERLINK("https://www.endicott.edu/academics/programs-of-study","Link")</f>
        <v>Link</v>
      </c>
      <c r="AE346" s="54">
        <v>3181</v>
      </c>
      <c r="AF346" s="55"/>
      <c r="AG346" s="55"/>
      <c r="AH346" s="56">
        <v>165699</v>
      </c>
      <c r="AI346" s="56"/>
    </row>
    <row r="347" spans="1:35" ht="13" x14ac:dyDescent="0.15">
      <c r="A347" s="57"/>
      <c r="B347" s="31" t="s">
        <v>4463</v>
      </c>
      <c r="C347" s="36" t="s">
        <v>43</v>
      </c>
      <c r="D347" s="86">
        <v>5</v>
      </c>
      <c r="E347" s="7" t="s">
        <v>5068</v>
      </c>
      <c r="F347" s="7"/>
      <c r="G347" s="86"/>
      <c r="H347" s="2" t="s">
        <v>5046</v>
      </c>
      <c r="I347" s="2" t="s">
        <v>1137</v>
      </c>
      <c r="J347" s="2" t="s">
        <v>5072</v>
      </c>
      <c r="K347" s="2" t="s">
        <v>55</v>
      </c>
      <c r="L347" s="2"/>
      <c r="M347" s="2"/>
      <c r="N347" s="45" t="str">
        <f t="shared" si="257"/>
        <v>@endicottsoft</v>
      </c>
      <c r="O347" s="45" t="str">
        <f t="shared" si="258"/>
        <v>Questionnaire</v>
      </c>
      <c r="P347" s="48" t="s">
        <v>5054</v>
      </c>
      <c r="Q347" s="60" t="s">
        <v>595</v>
      </c>
      <c r="R347" s="48" t="s">
        <v>5055</v>
      </c>
      <c r="S347" s="48" t="s">
        <v>468</v>
      </c>
      <c r="T347" s="49" t="s">
        <v>63</v>
      </c>
      <c r="U347" s="48" t="s">
        <v>75</v>
      </c>
      <c r="V347" s="49"/>
      <c r="W347" s="37">
        <v>3.3</v>
      </c>
      <c r="X347" s="49" t="s">
        <v>77</v>
      </c>
      <c r="Y347" s="49" t="s">
        <v>5062</v>
      </c>
      <c r="Z347" s="49" t="s">
        <v>1650</v>
      </c>
      <c r="AA347" s="65">
        <v>0.79</v>
      </c>
      <c r="AB347" s="39">
        <v>49136</v>
      </c>
      <c r="AC347" s="84" t="s">
        <v>5054</v>
      </c>
      <c r="AD347" s="53" t="str">
        <f t="shared" si="259"/>
        <v>Link</v>
      </c>
      <c r="AE347" s="54">
        <v>3181</v>
      </c>
      <c r="AF347" s="55"/>
      <c r="AG347" s="55"/>
      <c r="AH347" s="56">
        <v>165699</v>
      </c>
      <c r="AI347" s="56"/>
    </row>
    <row r="348" spans="1:35" ht="13" x14ac:dyDescent="0.15">
      <c r="A348" s="57"/>
      <c r="B348" s="31" t="s">
        <v>4463</v>
      </c>
      <c r="C348" s="36" t="s">
        <v>43</v>
      </c>
      <c r="D348" s="86">
        <v>5</v>
      </c>
      <c r="E348" s="7" t="s">
        <v>5081</v>
      </c>
      <c r="F348" s="7"/>
      <c r="G348" s="86"/>
      <c r="H348" s="2" t="s">
        <v>5046</v>
      </c>
      <c r="I348" s="2" t="s">
        <v>728</v>
      </c>
      <c r="J348" s="2" t="s">
        <v>5047</v>
      </c>
      <c r="K348" s="2" t="s">
        <v>139</v>
      </c>
      <c r="L348" s="2"/>
      <c r="M348" s="2"/>
      <c r="N348" s="45" t="str">
        <f t="shared" si="257"/>
        <v>@endicottsoft</v>
      </c>
      <c r="O348" s="45" t="str">
        <f t="shared" si="258"/>
        <v>Questionnaire</v>
      </c>
      <c r="P348" s="48" t="s">
        <v>5054</v>
      </c>
      <c r="Q348" s="60" t="s">
        <v>595</v>
      </c>
      <c r="R348" s="48" t="s">
        <v>5055</v>
      </c>
      <c r="S348" s="48" t="s">
        <v>468</v>
      </c>
      <c r="T348" s="49" t="s">
        <v>63</v>
      </c>
      <c r="U348" s="48" t="s">
        <v>75</v>
      </c>
      <c r="V348" s="49"/>
      <c r="W348" s="37">
        <v>3.3</v>
      </c>
      <c r="X348" s="49" t="s">
        <v>77</v>
      </c>
      <c r="Y348" s="49" t="s">
        <v>5062</v>
      </c>
      <c r="Z348" s="49" t="s">
        <v>1650</v>
      </c>
      <c r="AA348" s="65">
        <v>0.79</v>
      </c>
      <c r="AB348" s="39">
        <v>49136</v>
      </c>
      <c r="AC348" s="84" t="s">
        <v>5054</v>
      </c>
      <c r="AD348" s="53" t="str">
        <f t="shared" si="259"/>
        <v>Link</v>
      </c>
      <c r="AE348" s="54">
        <v>3181</v>
      </c>
      <c r="AF348" s="55"/>
      <c r="AG348" s="55"/>
      <c r="AH348" s="56">
        <v>165699</v>
      </c>
      <c r="AI348" s="56"/>
    </row>
    <row r="349" spans="1:35" ht="13" x14ac:dyDescent="0.15">
      <c r="A349" s="57"/>
      <c r="B349" s="31" t="s">
        <v>4463</v>
      </c>
      <c r="C349" s="36" t="s">
        <v>43</v>
      </c>
      <c r="D349" s="86">
        <v>5</v>
      </c>
      <c r="E349" s="7" t="s">
        <v>5088</v>
      </c>
      <c r="F349" s="7"/>
      <c r="G349" s="86"/>
      <c r="H349" s="2" t="s">
        <v>5046</v>
      </c>
      <c r="I349" s="2" t="s">
        <v>421</v>
      </c>
      <c r="J349" s="2"/>
      <c r="K349" s="2" t="s">
        <v>55</v>
      </c>
      <c r="L349" s="2"/>
      <c r="M349" s="2"/>
      <c r="N349" s="45" t="str">
        <f t="shared" si="257"/>
        <v>@endicottsoft</v>
      </c>
      <c r="O349" s="45" t="str">
        <f t="shared" si="258"/>
        <v>Questionnaire</v>
      </c>
      <c r="P349" s="48" t="s">
        <v>5054</v>
      </c>
      <c r="Q349" s="60" t="s">
        <v>595</v>
      </c>
      <c r="R349" s="48" t="s">
        <v>5055</v>
      </c>
      <c r="S349" s="48" t="s">
        <v>468</v>
      </c>
      <c r="T349" s="49" t="s">
        <v>63</v>
      </c>
      <c r="U349" s="48" t="s">
        <v>75</v>
      </c>
      <c r="V349" s="49"/>
      <c r="W349" s="37">
        <v>3.3</v>
      </c>
      <c r="X349" s="49" t="s">
        <v>77</v>
      </c>
      <c r="Y349" s="49" t="s">
        <v>5062</v>
      </c>
      <c r="Z349" s="49" t="s">
        <v>1650</v>
      </c>
      <c r="AA349" s="65">
        <v>0.79</v>
      </c>
      <c r="AB349" s="39">
        <v>49136</v>
      </c>
      <c r="AC349" s="84" t="s">
        <v>5054</v>
      </c>
      <c r="AD349" s="53" t="str">
        <f t="shared" si="259"/>
        <v>Link</v>
      </c>
      <c r="AE349" s="54">
        <v>3181</v>
      </c>
      <c r="AF349" s="55"/>
      <c r="AG349" s="55"/>
      <c r="AH349" s="56">
        <v>165699</v>
      </c>
      <c r="AI349" s="56"/>
    </row>
    <row r="350" spans="1:35" ht="13" x14ac:dyDescent="0.15">
      <c r="A350" s="57"/>
      <c r="B350" s="31" t="s">
        <v>4463</v>
      </c>
      <c r="C350" s="36" t="s">
        <v>43</v>
      </c>
      <c r="D350" s="86">
        <v>5</v>
      </c>
      <c r="E350" s="7" t="s">
        <v>5098</v>
      </c>
      <c r="F350" s="7"/>
      <c r="G350" s="86"/>
      <c r="H350" s="2" t="s">
        <v>5100</v>
      </c>
      <c r="I350" s="2" t="s">
        <v>5101</v>
      </c>
      <c r="J350" s="2" t="s">
        <v>5102</v>
      </c>
      <c r="K350" s="2" t="s">
        <v>590</v>
      </c>
      <c r="L350" s="2" t="s">
        <v>5103</v>
      </c>
      <c r="M350" s="2" t="s">
        <v>5104</v>
      </c>
      <c r="N350" s="45" t="str">
        <f t="shared" ref="N350:N353" si="260">HYPERLINK("twitter.com/FSUFalconSB","@FSUFalconSB")</f>
        <v>@FSUFalconSB</v>
      </c>
      <c r="O350" s="45" t="str">
        <f t="shared" ref="O350:O353" si="261">HYPERLINK("https://www.fitchburgfalcons.com/insideAthletics/Recruits/questionnaire","Questionnaire")</f>
        <v>Questionnaire</v>
      </c>
      <c r="P350" s="48" t="s">
        <v>5107</v>
      </c>
      <c r="Q350" s="60" t="s">
        <v>595</v>
      </c>
      <c r="R350" s="48" t="s">
        <v>5108</v>
      </c>
      <c r="S350" s="48" t="s">
        <v>468</v>
      </c>
      <c r="T350" s="49" t="s">
        <v>74</v>
      </c>
      <c r="U350" s="48" t="s">
        <v>75</v>
      </c>
      <c r="V350" s="49"/>
      <c r="W350" s="37">
        <v>3.1</v>
      </c>
      <c r="X350" s="49" t="s">
        <v>1144</v>
      </c>
      <c r="Y350" s="49" t="s">
        <v>3338</v>
      </c>
      <c r="Z350" s="49" t="s">
        <v>841</v>
      </c>
      <c r="AA350" s="65">
        <v>0.75</v>
      </c>
      <c r="AB350" s="48" t="s">
        <v>5110</v>
      </c>
      <c r="AC350" s="90" t="s">
        <v>5107</v>
      </c>
      <c r="AD350" s="53" t="str">
        <f t="shared" ref="AD350:AD353" si="262">HYPERLINK("http://www.fitchburgstate.edu/academics/undergraduate/","Link")</f>
        <v>Link</v>
      </c>
      <c r="AE350" s="54">
        <v>4162</v>
      </c>
      <c r="AF350" s="55"/>
      <c r="AG350" s="55"/>
      <c r="AH350" s="56">
        <v>165820</v>
      </c>
      <c r="AI350" s="56"/>
    </row>
    <row r="351" spans="1:35" ht="13" x14ac:dyDescent="0.15">
      <c r="A351" s="57"/>
      <c r="B351" s="31" t="s">
        <v>4463</v>
      </c>
      <c r="C351" s="36" t="s">
        <v>43</v>
      </c>
      <c r="D351" s="86">
        <v>5</v>
      </c>
      <c r="E351" s="7" t="s">
        <v>5117</v>
      </c>
      <c r="F351" s="7"/>
      <c r="G351" s="86"/>
      <c r="H351" s="2" t="s">
        <v>5100</v>
      </c>
      <c r="I351" s="2" t="s">
        <v>1357</v>
      </c>
      <c r="J351" s="2" t="s">
        <v>5118</v>
      </c>
      <c r="K351" s="2" t="s">
        <v>4562</v>
      </c>
      <c r="L351" s="2" t="s">
        <v>5119</v>
      </c>
      <c r="M351" s="2" t="s">
        <v>5104</v>
      </c>
      <c r="N351" s="45" t="str">
        <f t="shared" si="260"/>
        <v>@FSUFalconSB</v>
      </c>
      <c r="O351" s="45" t="str">
        <f t="shared" si="261"/>
        <v>Questionnaire</v>
      </c>
      <c r="P351" s="48" t="s">
        <v>5107</v>
      </c>
      <c r="Q351" s="60" t="s">
        <v>595</v>
      </c>
      <c r="R351" s="48" t="s">
        <v>5108</v>
      </c>
      <c r="S351" s="48" t="s">
        <v>468</v>
      </c>
      <c r="T351" s="49" t="s">
        <v>74</v>
      </c>
      <c r="U351" s="48" t="s">
        <v>75</v>
      </c>
      <c r="V351" s="49"/>
      <c r="W351" s="37">
        <v>3.1</v>
      </c>
      <c r="X351" s="49" t="s">
        <v>1144</v>
      </c>
      <c r="Y351" s="49" t="s">
        <v>3338</v>
      </c>
      <c r="Z351" s="49" t="s">
        <v>841</v>
      </c>
      <c r="AA351" s="65">
        <v>0.75</v>
      </c>
      <c r="AB351" s="48" t="s">
        <v>5110</v>
      </c>
      <c r="AC351" s="90" t="s">
        <v>5107</v>
      </c>
      <c r="AD351" s="53" t="str">
        <f t="shared" si="262"/>
        <v>Link</v>
      </c>
      <c r="AE351" s="54">
        <v>4162</v>
      </c>
      <c r="AF351" s="55"/>
      <c r="AG351" s="55"/>
      <c r="AH351" s="56">
        <v>165820</v>
      </c>
      <c r="AI351" s="56"/>
    </row>
    <row r="352" spans="1:35" ht="13" x14ac:dyDescent="0.15">
      <c r="A352" s="57"/>
      <c r="B352" s="31" t="s">
        <v>4463</v>
      </c>
      <c r="C352" s="36" t="s">
        <v>43</v>
      </c>
      <c r="D352" s="86">
        <v>5</v>
      </c>
      <c r="E352" s="7" t="s">
        <v>5126</v>
      </c>
      <c r="F352" s="7"/>
      <c r="G352" s="86"/>
      <c r="H352" s="2" t="s">
        <v>5100</v>
      </c>
      <c r="I352" s="2" t="s">
        <v>5128</v>
      </c>
      <c r="J352" s="2" t="s">
        <v>5130</v>
      </c>
      <c r="K352" s="2" t="s">
        <v>919</v>
      </c>
      <c r="L352" s="2" t="s">
        <v>5131</v>
      </c>
      <c r="M352" s="6" t="s">
        <v>5104</v>
      </c>
      <c r="N352" s="45" t="str">
        <f t="shared" si="260"/>
        <v>@FSUFalconSB</v>
      </c>
      <c r="O352" s="45" t="str">
        <f t="shared" si="261"/>
        <v>Questionnaire</v>
      </c>
      <c r="P352" s="48" t="s">
        <v>5107</v>
      </c>
      <c r="Q352" s="60" t="s">
        <v>595</v>
      </c>
      <c r="R352" s="48" t="s">
        <v>5108</v>
      </c>
      <c r="S352" s="48" t="s">
        <v>468</v>
      </c>
      <c r="T352" s="49" t="s">
        <v>74</v>
      </c>
      <c r="U352" s="48" t="s">
        <v>75</v>
      </c>
      <c r="V352" s="49"/>
      <c r="W352" s="37">
        <v>3.1</v>
      </c>
      <c r="X352" s="49" t="s">
        <v>1144</v>
      </c>
      <c r="Y352" s="49" t="s">
        <v>3338</v>
      </c>
      <c r="Z352" s="49" t="s">
        <v>841</v>
      </c>
      <c r="AA352" s="65">
        <v>0.75</v>
      </c>
      <c r="AB352" s="48" t="s">
        <v>5110</v>
      </c>
      <c r="AC352" s="90" t="s">
        <v>5107</v>
      </c>
      <c r="AD352" s="53" t="str">
        <f t="shared" si="262"/>
        <v>Link</v>
      </c>
      <c r="AE352" s="54">
        <v>4162</v>
      </c>
      <c r="AF352" s="55"/>
      <c r="AG352" s="55"/>
      <c r="AH352" s="56">
        <v>165820</v>
      </c>
      <c r="AI352" s="56"/>
    </row>
    <row r="353" spans="1:35" ht="13" x14ac:dyDescent="0.15">
      <c r="A353" s="57"/>
      <c r="B353" s="31" t="s">
        <v>4463</v>
      </c>
      <c r="C353" s="36" t="s">
        <v>43</v>
      </c>
      <c r="D353" s="86">
        <v>5</v>
      </c>
      <c r="E353" s="7" t="s">
        <v>5136</v>
      </c>
      <c r="F353" s="7"/>
      <c r="G353" s="86"/>
      <c r="H353" s="2" t="s">
        <v>5100</v>
      </c>
      <c r="I353" s="2" t="s">
        <v>1052</v>
      </c>
      <c r="J353" s="2" t="s">
        <v>5137</v>
      </c>
      <c r="K353" s="2" t="s">
        <v>5138</v>
      </c>
      <c r="L353" s="2" t="s">
        <v>5139</v>
      </c>
      <c r="M353" s="6" t="s">
        <v>5104</v>
      </c>
      <c r="N353" s="45" t="str">
        <f t="shared" si="260"/>
        <v>@FSUFalconSB</v>
      </c>
      <c r="O353" s="45" t="str">
        <f t="shared" si="261"/>
        <v>Questionnaire</v>
      </c>
      <c r="P353" s="48" t="s">
        <v>5107</v>
      </c>
      <c r="Q353" s="60" t="s">
        <v>595</v>
      </c>
      <c r="R353" s="48" t="s">
        <v>5108</v>
      </c>
      <c r="S353" s="48" t="s">
        <v>468</v>
      </c>
      <c r="T353" s="49" t="s">
        <v>74</v>
      </c>
      <c r="U353" s="48" t="s">
        <v>75</v>
      </c>
      <c r="V353" s="49"/>
      <c r="W353" s="37">
        <v>3.1</v>
      </c>
      <c r="X353" s="49" t="s">
        <v>1144</v>
      </c>
      <c r="Y353" s="49" t="s">
        <v>3338</v>
      </c>
      <c r="Z353" s="49" t="s">
        <v>841</v>
      </c>
      <c r="AA353" s="65">
        <v>0.75</v>
      </c>
      <c r="AB353" s="48" t="s">
        <v>5110</v>
      </c>
      <c r="AC353" s="90" t="s">
        <v>5107</v>
      </c>
      <c r="AD353" s="53" t="str">
        <f t="shared" si="262"/>
        <v>Link</v>
      </c>
      <c r="AE353" s="54">
        <v>4162</v>
      </c>
      <c r="AF353" s="55"/>
      <c r="AG353" s="55"/>
      <c r="AH353" s="56">
        <v>165820</v>
      </c>
      <c r="AI353" s="56"/>
    </row>
    <row r="354" spans="1:35" ht="13" x14ac:dyDescent="0.15">
      <c r="A354" s="57"/>
      <c r="B354" s="31" t="s">
        <v>4463</v>
      </c>
      <c r="C354" s="36" t="s">
        <v>43</v>
      </c>
      <c r="D354" s="86">
        <v>5</v>
      </c>
      <c r="E354" s="7" t="s">
        <v>5143</v>
      </c>
      <c r="F354" s="7"/>
      <c r="G354" s="86"/>
      <c r="H354" s="2" t="s">
        <v>5145</v>
      </c>
      <c r="I354" s="2" t="s">
        <v>2157</v>
      </c>
      <c r="J354" s="2" t="s">
        <v>977</v>
      </c>
      <c r="K354" s="2" t="s">
        <v>48</v>
      </c>
      <c r="L354" s="2" t="s">
        <v>5148</v>
      </c>
      <c r="M354" s="6" t="s">
        <v>5149</v>
      </c>
      <c r="N354" s="45" t="str">
        <f t="shared" ref="N354:N357" si="263">HYPERLINK("twitter.com/framstsb","@framstsb")</f>
        <v>@framstsb</v>
      </c>
      <c r="O354" s="45" t="str">
        <f t="shared" ref="O354:O357" si="264">HYPERLINK("https://www.fsurams.com/recruit/index","Questionnaire")</f>
        <v>Questionnaire</v>
      </c>
      <c r="P354" s="48" t="s">
        <v>5156</v>
      </c>
      <c r="Q354" s="60" t="s">
        <v>595</v>
      </c>
      <c r="R354" s="48" t="s">
        <v>5157</v>
      </c>
      <c r="S354" s="48" t="s">
        <v>186</v>
      </c>
      <c r="T354" s="5" t="s">
        <v>74</v>
      </c>
      <c r="U354" s="48" t="s">
        <v>75</v>
      </c>
      <c r="V354" s="49"/>
      <c r="W354" s="37">
        <v>3.16</v>
      </c>
      <c r="X354" s="49" t="s">
        <v>1145</v>
      </c>
      <c r="Y354" s="49" t="s">
        <v>397</v>
      </c>
      <c r="Z354" s="49" t="s">
        <v>1994</v>
      </c>
      <c r="AA354" s="65">
        <v>0.65</v>
      </c>
      <c r="AB354" s="48" t="s">
        <v>5158</v>
      </c>
      <c r="AC354" s="90" t="s">
        <v>5156</v>
      </c>
      <c r="AD354" s="53" t="str">
        <f t="shared" ref="AD354:AD357" si="265">HYPERLINK("https://www.framingham.edu/academics/programs/","Link")</f>
        <v>Link</v>
      </c>
      <c r="AE354" s="54">
        <v>4337</v>
      </c>
      <c r="AF354" s="55"/>
      <c r="AG354" s="55"/>
      <c r="AH354" s="56">
        <v>165866</v>
      </c>
      <c r="AI354" s="56"/>
    </row>
    <row r="355" spans="1:35" ht="13" x14ac:dyDescent="0.15">
      <c r="A355" s="57"/>
      <c r="B355" s="31" t="s">
        <v>4463</v>
      </c>
      <c r="C355" s="36" t="s">
        <v>43</v>
      </c>
      <c r="D355" s="86">
        <v>5</v>
      </c>
      <c r="E355" s="7" t="s">
        <v>5165</v>
      </c>
      <c r="F355" s="7"/>
      <c r="G355" s="86"/>
      <c r="H355" s="2" t="s">
        <v>5145</v>
      </c>
      <c r="I355" s="2" t="s">
        <v>537</v>
      </c>
      <c r="J355" s="2" t="s">
        <v>5167</v>
      </c>
      <c r="K355" s="2" t="s">
        <v>55</v>
      </c>
      <c r="L355" s="2"/>
      <c r="M355" s="6"/>
      <c r="N355" s="45" t="str">
        <f t="shared" si="263"/>
        <v>@framstsb</v>
      </c>
      <c r="O355" s="45" t="str">
        <f t="shared" si="264"/>
        <v>Questionnaire</v>
      </c>
      <c r="P355" s="48" t="s">
        <v>5156</v>
      </c>
      <c r="Q355" s="60" t="s">
        <v>595</v>
      </c>
      <c r="R355" s="48" t="s">
        <v>5157</v>
      </c>
      <c r="S355" s="48" t="s">
        <v>186</v>
      </c>
      <c r="T355" s="5" t="s">
        <v>74</v>
      </c>
      <c r="U355" s="48" t="s">
        <v>75</v>
      </c>
      <c r="V355" s="49"/>
      <c r="W355" s="65">
        <v>3.16</v>
      </c>
      <c r="X355" s="49" t="s">
        <v>1145</v>
      </c>
      <c r="Y355" s="49" t="s">
        <v>397</v>
      </c>
      <c r="Z355" s="49" t="s">
        <v>1994</v>
      </c>
      <c r="AA355" s="65">
        <v>0.65</v>
      </c>
      <c r="AB355" s="48" t="s">
        <v>5158</v>
      </c>
      <c r="AC355" s="90" t="s">
        <v>5156</v>
      </c>
      <c r="AD355" s="53" t="str">
        <f t="shared" si="265"/>
        <v>Link</v>
      </c>
      <c r="AE355" s="54">
        <v>4337</v>
      </c>
      <c r="AF355" s="55"/>
      <c r="AG355" s="55"/>
      <c r="AH355" s="56">
        <v>165866</v>
      </c>
      <c r="AI355" s="56"/>
    </row>
    <row r="356" spans="1:35" ht="13" x14ac:dyDescent="0.15">
      <c r="A356" s="57"/>
      <c r="B356" s="31" t="s">
        <v>4463</v>
      </c>
      <c r="C356" s="36" t="s">
        <v>43</v>
      </c>
      <c r="D356" s="86">
        <v>5</v>
      </c>
      <c r="E356" s="7" t="s">
        <v>5174</v>
      </c>
      <c r="F356" s="7"/>
      <c r="G356" s="86"/>
      <c r="H356" s="2" t="s">
        <v>5145</v>
      </c>
      <c r="I356" s="2" t="s">
        <v>1822</v>
      </c>
      <c r="J356" s="2" t="s">
        <v>5176</v>
      </c>
      <c r="K356" s="2" t="s">
        <v>55</v>
      </c>
      <c r="L356" s="2" t="s">
        <v>5177</v>
      </c>
      <c r="M356" s="6"/>
      <c r="N356" s="45" t="str">
        <f t="shared" si="263"/>
        <v>@framstsb</v>
      </c>
      <c r="O356" s="45" t="str">
        <f t="shared" si="264"/>
        <v>Questionnaire</v>
      </c>
      <c r="P356" s="48" t="s">
        <v>5156</v>
      </c>
      <c r="Q356" s="60" t="s">
        <v>595</v>
      </c>
      <c r="R356" s="48" t="s">
        <v>5157</v>
      </c>
      <c r="S356" s="48" t="s">
        <v>186</v>
      </c>
      <c r="T356" s="5" t="s">
        <v>74</v>
      </c>
      <c r="U356" s="48" t="s">
        <v>75</v>
      </c>
      <c r="V356" s="49"/>
      <c r="W356" s="65">
        <v>3.16</v>
      </c>
      <c r="X356" s="49" t="s">
        <v>1145</v>
      </c>
      <c r="Y356" s="49" t="s">
        <v>397</v>
      </c>
      <c r="Z356" s="49" t="s">
        <v>1994</v>
      </c>
      <c r="AA356" s="65">
        <v>0.65</v>
      </c>
      <c r="AB356" s="48" t="s">
        <v>5158</v>
      </c>
      <c r="AC356" s="90" t="s">
        <v>5156</v>
      </c>
      <c r="AD356" s="53" t="str">
        <f t="shared" si="265"/>
        <v>Link</v>
      </c>
      <c r="AE356" s="54">
        <v>4337</v>
      </c>
      <c r="AF356" s="55"/>
      <c r="AG356" s="55"/>
      <c r="AH356" s="56">
        <v>165866</v>
      </c>
      <c r="AI356" s="56"/>
    </row>
    <row r="357" spans="1:35" ht="13" x14ac:dyDescent="0.15">
      <c r="A357" s="57"/>
      <c r="B357" s="31" t="s">
        <v>4463</v>
      </c>
      <c r="C357" s="36" t="s">
        <v>43</v>
      </c>
      <c r="D357" s="86">
        <v>5</v>
      </c>
      <c r="E357" s="7" t="s">
        <v>5184</v>
      </c>
      <c r="F357" s="7"/>
      <c r="G357" s="86"/>
      <c r="H357" s="2" t="s">
        <v>5145</v>
      </c>
      <c r="I357" s="2" t="s">
        <v>1327</v>
      </c>
      <c r="J357" s="2" t="s">
        <v>2919</v>
      </c>
      <c r="K357" s="2" t="s">
        <v>139</v>
      </c>
      <c r="L357" s="2" t="s">
        <v>5185</v>
      </c>
      <c r="M357" s="6"/>
      <c r="N357" s="45" t="str">
        <f t="shared" si="263"/>
        <v>@framstsb</v>
      </c>
      <c r="O357" s="45" t="str">
        <f t="shared" si="264"/>
        <v>Questionnaire</v>
      </c>
      <c r="P357" s="48" t="s">
        <v>5156</v>
      </c>
      <c r="Q357" s="60" t="s">
        <v>595</v>
      </c>
      <c r="R357" s="48" t="s">
        <v>5157</v>
      </c>
      <c r="S357" s="48" t="s">
        <v>186</v>
      </c>
      <c r="T357" s="5" t="s">
        <v>74</v>
      </c>
      <c r="U357" s="48" t="s">
        <v>75</v>
      </c>
      <c r="V357" s="49"/>
      <c r="W357" s="65">
        <v>3.16</v>
      </c>
      <c r="X357" s="49" t="s">
        <v>1145</v>
      </c>
      <c r="Y357" s="49" t="s">
        <v>397</v>
      </c>
      <c r="Z357" s="49" t="s">
        <v>1994</v>
      </c>
      <c r="AA357" s="65">
        <v>0.65</v>
      </c>
      <c r="AB357" s="48" t="s">
        <v>5158</v>
      </c>
      <c r="AC357" s="90" t="s">
        <v>5156</v>
      </c>
      <c r="AD357" s="53" t="str">
        <f t="shared" si="265"/>
        <v>Link</v>
      </c>
      <c r="AE357" s="54">
        <v>4337</v>
      </c>
      <c r="AF357" s="55"/>
      <c r="AG357" s="55"/>
      <c r="AH357" s="56">
        <v>165866</v>
      </c>
      <c r="AI357" s="56"/>
    </row>
    <row r="358" spans="1:35" ht="13" x14ac:dyDescent="0.15">
      <c r="A358" s="57"/>
      <c r="B358" s="31" t="s">
        <v>4463</v>
      </c>
      <c r="C358" s="36" t="s">
        <v>43</v>
      </c>
      <c r="D358" s="86">
        <v>5</v>
      </c>
      <c r="E358" s="7" t="s">
        <v>5194</v>
      </c>
      <c r="F358" s="7"/>
      <c r="G358" s="86"/>
      <c r="H358" s="2" t="s">
        <v>5196</v>
      </c>
      <c r="I358" s="2" t="s">
        <v>234</v>
      </c>
      <c r="J358" s="2" t="s">
        <v>5198</v>
      </c>
      <c r="K358" s="2" t="s">
        <v>48</v>
      </c>
      <c r="L358" s="2" t="s">
        <v>5200</v>
      </c>
      <c r="M358" s="2" t="s">
        <v>5201</v>
      </c>
      <c r="N358" s="45" t="str">
        <f t="shared" ref="N358:N362" si="266">HYPERLINK("twitter.com/gscsoftball","@gscsoftball")</f>
        <v>@gscsoftball</v>
      </c>
      <c r="O358" s="45" t="str">
        <f t="shared" ref="O358:O362" si="267">HYPERLINK("https://athletics.gordon.edu/sb_output.aspx?form=3","Questionnaire")</f>
        <v>Questionnaire</v>
      </c>
      <c r="P358" s="48" t="s">
        <v>5204</v>
      </c>
      <c r="Q358" s="60" t="s">
        <v>595</v>
      </c>
      <c r="R358" s="48" t="s">
        <v>5205</v>
      </c>
      <c r="S358" s="60" t="s">
        <v>205</v>
      </c>
      <c r="T358" s="5" t="s">
        <v>63</v>
      </c>
      <c r="U358" s="6" t="s">
        <v>3252</v>
      </c>
      <c r="V358" s="49"/>
      <c r="W358" s="37">
        <v>3.56</v>
      </c>
      <c r="X358" s="49" t="s">
        <v>355</v>
      </c>
      <c r="Y358" s="49" t="s">
        <v>5208</v>
      </c>
      <c r="Z358" s="49" t="s">
        <v>958</v>
      </c>
      <c r="AA358" s="65">
        <v>0.92</v>
      </c>
      <c r="AB358" s="39">
        <v>48672</v>
      </c>
      <c r="AC358" s="84" t="s">
        <v>5204</v>
      </c>
      <c r="AD358" s="53" t="str">
        <f t="shared" ref="AD358:AD362" si="268">HYPERLINK("http://www.gordon.edu/departments","Link")</f>
        <v>Link</v>
      </c>
      <c r="AE358" s="54">
        <v>1657</v>
      </c>
      <c r="AF358" s="55"/>
      <c r="AG358" s="54">
        <v>168</v>
      </c>
      <c r="AH358" s="56">
        <v>165936</v>
      </c>
      <c r="AI358" s="56"/>
    </row>
    <row r="359" spans="1:35" ht="13" x14ac:dyDescent="0.15">
      <c r="A359" s="57"/>
      <c r="B359" s="31" t="s">
        <v>4463</v>
      </c>
      <c r="C359" s="36" t="s">
        <v>43</v>
      </c>
      <c r="D359" s="86">
        <v>5</v>
      </c>
      <c r="E359" s="7" t="s">
        <v>5210</v>
      </c>
      <c r="F359" s="7"/>
      <c r="G359" s="86"/>
      <c r="H359" s="2" t="s">
        <v>5196</v>
      </c>
      <c r="I359" s="2" t="s">
        <v>1345</v>
      </c>
      <c r="J359" s="2" t="s">
        <v>5212</v>
      </c>
      <c r="K359" s="2" t="s">
        <v>55</v>
      </c>
      <c r="L359" s="95" t="s">
        <v>5213</v>
      </c>
      <c r="M359" s="2" t="s">
        <v>5214</v>
      </c>
      <c r="N359" s="45" t="str">
        <f t="shared" si="266"/>
        <v>@gscsoftball</v>
      </c>
      <c r="O359" s="45" t="str">
        <f t="shared" si="267"/>
        <v>Questionnaire</v>
      </c>
      <c r="P359" s="48" t="s">
        <v>5204</v>
      </c>
      <c r="Q359" s="60" t="s">
        <v>595</v>
      </c>
      <c r="R359" s="48" t="s">
        <v>5205</v>
      </c>
      <c r="S359" s="60" t="s">
        <v>205</v>
      </c>
      <c r="T359" s="5" t="s">
        <v>63</v>
      </c>
      <c r="U359" s="6" t="s">
        <v>3252</v>
      </c>
      <c r="V359" s="49"/>
      <c r="W359" s="37">
        <v>3.56</v>
      </c>
      <c r="X359" s="49" t="s">
        <v>355</v>
      </c>
      <c r="Y359" s="49" t="s">
        <v>5208</v>
      </c>
      <c r="Z359" s="49" t="s">
        <v>958</v>
      </c>
      <c r="AA359" s="65">
        <v>0.92</v>
      </c>
      <c r="AB359" s="39">
        <v>48672</v>
      </c>
      <c r="AC359" s="84" t="s">
        <v>5204</v>
      </c>
      <c r="AD359" s="53" t="str">
        <f t="shared" si="268"/>
        <v>Link</v>
      </c>
      <c r="AE359" s="54">
        <v>1657</v>
      </c>
      <c r="AF359" s="55"/>
      <c r="AG359" s="54">
        <v>168</v>
      </c>
      <c r="AH359" s="56">
        <v>165936</v>
      </c>
      <c r="AI359" s="56"/>
    </row>
    <row r="360" spans="1:35" ht="13" x14ac:dyDescent="0.15">
      <c r="A360" s="57"/>
      <c r="B360" s="31" t="s">
        <v>4463</v>
      </c>
      <c r="C360" s="36" t="s">
        <v>43</v>
      </c>
      <c r="D360" s="86">
        <v>5</v>
      </c>
      <c r="E360" s="7" t="s">
        <v>5223</v>
      </c>
      <c r="F360" s="7"/>
      <c r="G360" s="86"/>
      <c r="H360" s="2" t="s">
        <v>5196</v>
      </c>
      <c r="I360" s="2" t="s">
        <v>143</v>
      </c>
      <c r="J360" s="2" t="s">
        <v>5225</v>
      </c>
      <c r="K360" s="2" t="s">
        <v>55</v>
      </c>
      <c r="L360" s="2"/>
      <c r="M360" s="2"/>
      <c r="N360" s="45" t="str">
        <f t="shared" si="266"/>
        <v>@gscsoftball</v>
      </c>
      <c r="O360" s="45" t="str">
        <f t="shared" si="267"/>
        <v>Questionnaire</v>
      </c>
      <c r="P360" s="48" t="s">
        <v>5204</v>
      </c>
      <c r="Q360" s="60" t="s">
        <v>595</v>
      </c>
      <c r="R360" s="48" t="s">
        <v>5205</v>
      </c>
      <c r="S360" s="60" t="s">
        <v>205</v>
      </c>
      <c r="T360" s="5" t="s">
        <v>63</v>
      </c>
      <c r="U360" s="6" t="s">
        <v>3252</v>
      </c>
      <c r="V360" s="49"/>
      <c r="W360" s="37">
        <v>3.56</v>
      </c>
      <c r="X360" s="49" t="s">
        <v>355</v>
      </c>
      <c r="Y360" s="49" t="s">
        <v>5208</v>
      </c>
      <c r="Z360" s="49" t="s">
        <v>958</v>
      </c>
      <c r="AA360" s="65">
        <v>0.92</v>
      </c>
      <c r="AB360" s="39">
        <v>48672</v>
      </c>
      <c r="AC360" s="84" t="s">
        <v>5204</v>
      </c>
      <c r="AD360" s="53" t="str">
        <f t="shared" si="268"/>
        <v>Link</v>
      </c>
      <c r="AE360" s="54">
        <v>1657</v>
      </c>
      <c r="AF360" s="55"/>
      <c r="AG360" s="54">
        <v>168</v>
      </c>
      <c r="AH360" s="56">
        <v>165936</v>
      </c>
      <c r="AI360" s="56"/>
    </row>
    <row r="361" spans="1:35" ht="13" x14ac:dyDescent="0.15">
      <c r="A361" s="57"/>
      <c r="B361" s="31" t="s">
        <v>4463</v>
      </c>
      <c r="C361" s="36" t="s">
        <v>43</v>
      </c>
      <c r="D361" s="86">
        <v>5</v>
      </c>
      <c r="E361" s="7" t="s">
        <v>5230</v>
      </c>
      <c r="F361" s="7"/>
      <c r="G361" s="86"/>
      <c r="H361" s="2" t="s">
        <v>5196</v>
      </c>
      <c r="I361" s="2" t="s">
        <v>3354</v>
      </c>
      <c r="J361" s="2" t="s">
        <v>5231</v>
      </c>
      <c r="K361" s="2" t="s">
        <v>139</v>
      </c>
      <c r="L361" s="95" t="s">
        <v>5233</v>
      </c>
      <c r="M361" s="2" t="s">
        <v>5201</v>
      </c>
      <c r="N361" s="45" t="str">
        <f t="shared" si="266"/>
        <v>@gscsoftball</v>
      </c>
      <c r="O361" s="45" t="str">
        <f t="shared" si="267"/>
        <v>Questionnaire</v>
      </c>
      <c r="P361" s="48" t="s">
        <v>5204</v>
      </c>
      <c r="Q361" s="60" t="s">
        <v>595</v>
      </c>
      <c r="R361" s="48" t="s">
        <v>5205</v>
      </c>
      <c r="S361" s="60" t="s">
        <v>205</v>
      </c>
      <c r="T361" s="5" t="s">
        <v>63</v>
      </c>
      <c r="U361" s="6" t="s">
        <v>3252</v>
      </c>
      <c r="V361" s="49"/>
      <c r="W361" s="37">
        <v>3.56</v>
      </c>
      <c r="X361" s="49" t="s">
        <v>355</v>
      </c>
      <c r="Y361" s="49" t="s">
        <v>5208</v>
      </c>
      <c r="Z361" s="49" t="s">
        <v>958</v>
      </c>
      <c r="AA361" s="65">
        <v>0.92</v>
      </c>
      <c r="AB361" s="39">
        <v>48672</v>
      </c>
      <c r="AC361" s="84" t="s">
        <v>5204</v>
      </c>
      <c r="AD361" s="53" t="str">
        <f t="shared" si="268"/>
        <v>Link</v>
      </c>
      <c r="AE361" s="54">
        <v>1657</v>
      </c>
      <c r="AF361" s="55"/>
      <c r="AG361" s="54">
        <v>168</v>
      </c>
      <c r="AH361" s="56">
        <v>165936</v>
      </c>
      <c r="AI361" s="56"/>
    </row>
    <row r="362" spans="1:35" ht="13" x14ac:dyDescent="0.15">
      <c r="A362" s="57"/>
      <c r="B362" s="31" t="s">
        <v>4463</v>
      </c>
      <c r="C362" s="36" t="s">
        <v>43</v>
      </c>
      <c r="D362" s="86">
        <v>5</v>
      </c>
      <c r="E362" s="7" t="s">
        <v>5237</v>
      </c>
      <c r="F362" s="7"/>
      <c r="G362" s="86"/>
      <c r="H362" s="2" t="s">
        <v>5196</v>
      </c>
      <c r="I362" s="2" t="s">
        <v>306</v>
      </c>
      <c r="J362" s="2" t="s">
        <v>5238</v>
      </c>
      <c r="K362" s="2" t="s">
        <v>55</v>
      </c>
      <c r="L362" s="2" t="s">
        <v>5239</v>
      </c>
      <c r="M362" s="2"/>
      <c r="N362" s="45" t="str">
        <f t="shared" si="266"/>
        <v>@gscsoftball</v>
      </c>
      <c r="O362" s="45" t="str">
        <f t="shared" si="267"/>
        <v>Questionnaire</v>
      </c>
      <c r="P362" s="48" t="s">
        <v>5204</v>
      </c>
      <c r="Q362" s="60" t="s">
        <v>595</v>
      </c>
      <c r="R362" s="48" t="s">
        <v>5205</v>
      </c>
      <c r="S362" s="60" t="s">
        <v>205</v>
      </c>
      <c r="T362" s="5" t="s">
        <v>63</v>
      </c>
      <c r="U362" s="6" t="s">
        <v>3252</v>
      </c>
      <c r="V362" s="49"/>
      <c r="W362" s="37">
        <v>3.56</v>
      </c>
      <c r="X362" s="49" t="s">
        <v>355</v>
      </c>
      <c r="Y362" s="49" t="s">
        <v>5208</v>
      </c>
      <c r="Z362" s="49" t="s">
        <v>958</v>
      </c>
      <c r="AA362" s="65">
        <v>0.92</v>
      </c>
      <c r="AB362" s="39">
        <v>48672</v>
      </c>
      <c r="AC362" s="84" t="s">
        <v>5204</v>
      </c>
      <c r="AD362" s="53" t="str">
        <f t="shared" si="268"/>
        <v>Link</v>
      </c>
      <c r="AE362" s="54">
        <v>1657</v>
      </c>
      <c r="AF362" s="55"/>
      <c r="AG362" s="54">
        <v>168</v>
      </c>
      <c r="AH362" s="56">
        <v>165936</v>
      </c>
      <c r="AI362" s="56"/>
    </row>
    <row r="363" spans="1:35" ht="13" x14ac:dyDescent="0.15">
      <c r="A363" s="57"/>
      <c r="B363" s="31" t="s">
        <v>4463</v>
      </c>
      <c r="C363" s="36" t="s">
        <v>43</v>
      </c>
      <c r="D363" s="86">
        <v>5</v>
      </c>
      <c r="E363" s="7" t="s">
        <v>5242</v>
      </c>
      <c r="F363" s="7"/>
      <c r="G363" s="86"/>
      <c r="H363" s="2" t="s">
        <v>5244</v>
      </c>
      <c r="I363" s="2" t="s">
        <v>539</v>
      </c>
      <c r="J363" s="2" t="s">
        <v>5245</v>
      </c>
      <c r="K363" s="2" t="s">
        <v>48</v>
      </c>
      <c r="L363" s="2" t="s">
        <v>5246</v>
      </c>
      <c r="M363" s="2" t="s">
        <v>5247</v>
      </c>
      <c r="N363" s="45" t="str">
        <f>HYPERLINK("twitter.com/lasell_softball","@lasell_softball")</f>
        <v>@lasell_softball</v>
      </c>
      <c r="O363" s="45" t="str">
        <f>HYPERLINK("https://www.lasell.edu/athletics/recruits.html","Questionnaire")</f>
        <v>Questionnaire</v>
      </c>
      <c r="P363" s="48" t="s">
        <v>5257</v>
      </c>
      <c r="Q363" s="60" t="s">
        <v>595</v>
      </c>
      <c r="R363" s="48" t="s">
        <v>5258</v>
      </c>
      <c r="S363" s="48" t="s">
        <v>238</v>
      </c>
      <c r="T363" s="49" t="s">
        <v>63</v>
      </c>
      <c r="U363" s="48" t="s">
        <v>75</v>
      </c>
      <c r="V363" s="49"/>
      <c r="W363" s="37">
        <v>3</v>
      </c>
      <c r="X363" s="49" t="s">
        <v>2257</v>
      </c>
      <c r="Y363" s="49" t="s">
        <v>253</v>
      </c>
      <c r="Z363" s="49" t="s">
        <v>5261</v>
      </c>
      <c r="AA363" s="65">
        <v>0.76</v>
      </c>
      <c r="AB363" s="39">
        <v>51000</v>
      </c>
      <c r="AC363" s="90" t="s">
        <v>5257</v>
      </c>
      <c r="AD363" s="53" t="str">
        <f>HYPERLINK("http://www.lasell.edu/academics/academic-catalog/undergraduate-catalog/programs-of-study","Link")</f>
        <v>Link</v>
      </c>
      <c r="AE363" s="54">
        <v>1788</v>
      </c>
      <c r="AF363" s="55"/>
      <c r="AG363" s="55"/>
      <c r="AH363" s="56">
        <v>166391</v>
      </c>
      <c r="AI363" s="56"/>
    </row>
    <row r="364" spans="1:35" ht="13" x14ac:dyDescent="0.15">
      <c r="A364" s="57"/>
      <c r="B364" s="31" t="s">
        <v>4463</v>
      </c>
      <c r="C364" s="36" t="s">
        <v>43</v>
      </c>
      <c r="D364" s="86">
        <v>5</v>
      </c>
      <c r="E364" s="7" t="s">
        <v>5271</v>
      </c>
      <c r="F364" s="7"/>
      <c r="G364" s="86"/>
      <c r="H364" s="2" t="s">
        <v>5272</v>
      </c>
      <c r="I364" s="2" t="s">
        <v>1132</v>
      </c>
      <c r="J364" s="2" t="s">
        <v>5273</v>
      </c>
      <c r="K364" s="2" t="s">
        <v>48</v>
      </c>
      <c r="L364" s="2" t="s">
        <v>5274</v>
      </c>
      <c r="M364" s="2" t="s">
        <v>5275</v>
      </c>
      <c r="N364" s="45" t="str">
        <f t="shared" ref="N364:N367" si="269">HYPERLINK("twitter.com/lesley_sball","@lesley_sball")</f>
        <v>@lesley_sball</v>
      </c>
      <c r="O364" s="45" t="str">
        <f t="shared" ref="O364:O367" si="270">HYPERLINK("https://lesleyathletics.com/recruitme/index","Questionnaire")</f>
        <v>Questionnaire</v>
      </c>
      <c r="P364" s="48" t="s">
        <v>5283</v>
      </c>
      <c r="Q364" s="60" t="s">
        <v>595</v>
      </c>
      <c r="R364" s="48" t="s">
        <v>5284</v>
      </c>
      <c r="S364" s="48" t="s">
        <v>238</v>
      </c>
      <c r="T364" s="49" t="s">
        <v>63</v>
      </c>
      <c r="U364" s="48" t="s">
        <v>75</v>
      </c>
      <c r="V364" s="49"/>
      <c r="W364" s="37">
        <v>3.3</v>
      </c>
      <c r="X364" s="49" t="s">
        <v>676</v>
      </c>
      <c r="Y364" s="49" t="s">
        <v>3013</v>
      </c>
      <c r="Z364" s="49" t="s">
        <v>1650</v>
      </c>
      <c r="AA364" s="65">
        <v>0.64</v>
      </c>
      <c r="AB364" s="39">
        <v>45265</v>
      </c>
      <c r="AC364" s="84" t="s">
        <v>5283</v>
      </c>
      <c r="AD364" s="53" t="str">
        <f t="shared" ref="AD364:AD367" si="271">HYPERLINK("https://lesley.edu/academics/undergraduate","Link")</f>
        <v>Link</v>
      </c>
      <c r="AE364" s="54">
        <v>1968</v>
      </c>
      <c r="AF364" s="54">
        <v>181</v>
      </c>
      <c r="AG364" s="55"/>
      <c r="AH364" s="56">
        <v>166452</v>
      </c>
      <c r="AI364" s="56"/>
    </row>
    <row r="365" spans="1:35" ht="13" x14ac:dyDescent="0.15">
      <c r="A365" s="57"/>
      <c r="B365" s="31" t="s">
        <v>4463</v>
      </c>
      <c r="C365" s="36" t="s">
        <v>43</v>
      </c>
      <c r="D365" s="86">
        <v>5</v>
      </c>
      <c r="E365" s="7" t="s">
        <v>5297</v>
      </c>
      <c r="F365" s="7"/>
      <c r="G365" s="86"/>
      <c r="H365" s="2" t="s">
        <v>5272</v>
      </c>
      <c r="I365" s="2" t="s">
        <v>5298</v>
      </c>
      <c r="J365" s="2" t="s">
        <v>3865</v>
      </c>
      <c r="K365" s="2" t="s">
        <v>55</v>
      </c>
      <c r="L365" s="2" t="s">
        <v>5299</v>
      </c>
      <c r="M365" s="2" t="s">
        <v>5300</v>
      </c>
      <c r="N365" s="45" t="str">
        <f t="shared" si="269"/>
        <v>@lesley_sball</v>
      </c>
      <c r="O365" s="45" t="str">
        <f t="shared" si="270"/>
        <v>Questionnaire</v>
      </c>
      <c r="P365" s="48" t="s">
        <v>5283</v>
      </c>
      <c r="Q365" s="60" t="s">
        <v>595</v>
      </c>
      <c r="R365" s="48" t="s">
        <v>5284</v>
      </c>
      <c r="S365" s="48" t="s">
        <v>238</v>
      </c>
      <c r="T365" s="49" t="s">
        <v>63</v>
      </c>
      <c r="U365" s="48" t="s">
        <v>75</v>
      </c>
      <c r="V365" s="49"/>
      <c r="W365" s="37">
        <v>3.3</v>
      </c>
      <c r="X365" s="49" t="s">
        <v>676</v>
      </c>
      <c r="Y365" s="49" t="s">
        <v>3013</v>
      </c>
      <c r="Z365" s="49" t="s">
        <v>1650</v>
      </c>
      <c r="AA365" s="65">
        <v>0.64</v>
      </c>
      <c r="AB365" s="39">
        <v>45265</v>
      </c>
      <c r="AC365" s="84" t="s">
        <v>5283</v>
      </c>
      <c r="AD365" s="53" t="str">
        <f t="shared" si="271"/>
        <v>Link</v>
      </c>
      <c r="AE365" s="54">
        <v>1968</v>
      </c>
      <c r="AF365" s="54">
        <v>181</v>
      </c>
      <c r="AG365" s="55"/>
      <c r="AH365" s="56">
        <v>166452</v>
      </c>
      <c r="AI365" s="56"/>
    </row>
    <row r="366" spans="1:35" ht="13" x14ac:dyDescent="0.15">
      <c r="A366" s="57"/>
      <c r="B366" s="31" t="s">
        <v>4463</v>
      </c>
      <c r="C366" s="36" t="s">
        <v>43</v>
      </c>
      <c r="D366" s="86">
        <v>5</v>
      </c>
      <c r="E366" s="7" t="s">
        <v>5306</v>
      </c>
      <c r="F366" s="7"/>
      <c r="G366" s="86"/>
      <c r="H366" s="2" t="s">
        <v>5272</v>
      </c>
      <c r="I366" s="2" t="s">
        <v>5307</v>
      </c>
      <c r="J366" s="2" t="s">
        <v>5308</v>
      </c>
      <c r="K366" s="2" t="s">
        <v>139</v>
      </c>
      <c r="L366" s="2"/>
      <c r="M366" s="2"/>
      <c r="N366" s="45" t="str">
        <f t="shared" si="269"/>
        <v>@lesley_sball</v>
      </c>
      <c r="O366" s="45" t="str">
        <f t="shared" si="270"/>
        <v>Questionnaire</v>
      </c>
      <c r="P366" s="48" t="s">
        <v>5283</v>
      </c>
      <c r="Q366" s="60" t="s">
        <v>595</v>
      </c>
      <c r="R366" s="48" t="s">
        <v>5284</v>
      </c>
      <c r="S366" s="48" t="s">
        <v>238</v>
      </c>
      <c r="T366" s="49" t="s">
        <v>63</v>
      </c>
      <c r="U366" s="48" t="s">
        <v>75</v>
      </c>
      <c r="V366" s="49"/>
      <c r="W366" s="37">
        <v>3.3</v>
      </c>
      <c r="X366" s="49" t="s">
        <v>676</v>
      </c>
      <c r="Y366" s="49" t="s">
        <v>3013</v>
      </c>
      <c r="Z366" s="49" t="s">
        <v>1650</v>
      </c>
      <c r="AA366" s="65">
        <v>0.64</v>
      </c>
      <c r="AB366" s="39">
        <v>45265</v>
      </c>
      <c r="AC366" s="84" t="s">
        <v>5283</v>
      </c>
      <c r="AD366" s="53" t="str">
        <f t="shared" si="271"/>
        <v>Link</v>
      </c>
      <c r="AE366" s="54">
        <v>1968</v>
      </c>
      <c r="AF366" s="54">
        <v>181</v>
      </c>
      <c r="AG366" s="55"/>
      <c r="AH366" s="56">
        <v>166452</v>
      </c>
      <c r="AI366" s="56"/>
    </row>
    <row r="367" spans="1:35" ht="13" x14ac:dyDescent="0.15">
      <c r="A367" s="57"/>
      <c r="B367" s="31" t="s">
        <v>4463</v>
      </c>
      <c r="C367" s="36" t="s">
        <v>43</v>
      </c>
      <c r="D367" s="86">
        <v>5</v>
      </c>
      <c r="E367" s="7" t="s">
        <v>5315</v>
      </c>
      <c r="F367" s="7"/>
      <c r="G367" s="86"/>
      <c r="H367" s="2" t="s">
        <v>5272</v>
      </c>
      <c r="I367" s="2" t="s">
        <v>1902</v>
      </c>
      <c r="J367" s="2" t="s">
        <v>5316</v>
      </c>
      <c r="K367" s="2" t="s">
        <v>919</v>
      </c>
      <c r="L367" s="2" t="s">
        <v>5317</v>
      </c>
      <c r="M367" s="2" t="s">
        <v>5300</v>
      </c>
      <c r="N367" s="45" t="str">
        <f t="shared" si="269"/>
        <v>@lesley_sball</v>
      </c>
      <c r="O367" s="45" t="str">
        <f t="shared" si="270"/>
        <v>Questionnaire</v>
      </c>
      <c r="P367" s="48" t="s">
        <v>5283</v>
      </c>
      <c r="Q367" s="60" t="s">
        <v>595</v>
      </c>
      <c r="R367" s="48" t="s">
        <v>5284</v>
      </c>
      <c r="S367" s="48" t="s">
        <v>238</v>
      </c>
      <c r="T367" s="49" t="s">
        <v>63</v>
      </c>
      <c r="U367" s="48" t="s">
        <v>75</v>
      </c>
      <c r="V367" s="49"/>
      <c r="W367" s="37">
        <v>3.3</v>
      </c>
      <c r="X367" s="49" t="s">
        <v>676</v>
      </c>
      <c r="Y367" s="49" t="s">
        <v>3013</v>
      </c>
      <c r="Z367" s="49" t="s">
        <v>1650</v>
      </c>
      <c r="AA367" s="65">
        <v>0.64</v>
      </c>
      <c r="AB367" s="39">
        <v>45265</v>
      </c>
      <c r="AC367" s="84" t="s">
        <v>5283</v>
      </c>
      <c r="AD367" s="53" t="str">
        <f t="shared" si="271"/>
        <v>Link</v>
      </c>
      <c r="AE367" s="54">
        <v>1968</v>
      </c>
      <c r="AF367" s="54">
        <v>181</v>
      </c>
      <c r="AG367" s="55"/>
      <c r="AH367" s="56">
        <v>166452</v>
      </c>
      <c r="AI367" s="56"/>
    </row>
    <row r="368" spans="1:35" ht="15" x14ac:dyDescent="0.2">
      <c r="A368" s="7"/>
      <c r="B368" s="31" t="s">
        <v>4463</v>
      </c>
      <c r="C368" s="36" t="s">
        <v>43</v>
      </c>
      <c r="D368" s="7"/>
      <c r="E368" s="86">
        <v>5</v>
      </c>
      <c r="F368" s="7"/>
      <c r="G368" s="7"/>
      <c r="H368" s="2" t="s">
        <v>5326</v>
      </c>
      <c r="I368" s="2" t="s">
        <v>5327</v>
      </c>
      <c r="J368" s="2" t="s">
        <v>5328</v>
      </c>
      <c r="K368" s="2" t="s">
        <v>48</v>
      </c>
      <c r="L368" s="2" t="s">
        <v>5329</v>
      </c>
      <c r="M368" s="2" t="s">
        <v>5330</v>
      </c>
      <c r="N368" s="48"/>
      <c r="O368" s="45" t="str">
        <f t="shared" ref="O368:O370" si="272">HYPERLINK("http://athletics.mcla.edu/information/Be_A_Trailblazer/index","Questionnaire")</f>
        <v>Questionnaire</v>
      </c>
      <c r="P368" s="48" t="s">
        <v>5332</v>
      </c>
      <c r="Q368" s="60" t="s">
        <v>595</v>
      </c>
      <c r="R368" s="48" t="s">
        <v>5334</v>
      </c>
      <c r="S368" s="48" t="s">
        <v>172</v>
      </c>
      <c r="T368" s="49" t="s">
        <v>74</v>
      </c>
      <c r="U368" s="48" t="s">
        <v>75</v>
      </c>
      <c r="V368" s="49"/>
      <c r="W368" s="37">
        <v>3.2</v>
      </c>
      <c r="X368" s="49" t="s">
        <v>345</v>
      </c>
      <c r="Y368" s="49" t="s">
        <v>522</v>
      </c>
      <c r="Z368" s="49" t="s">
        <v>1650</v>
      </c>
      <c r="AA368" s="65">
        <v>0.71</v>
      </c>
      <c r="AB368" s="48" t="s">
        <v>5338</v>
      </c>
      <c r="AC368" s="52" t="s">
        <v>5332</v>
      </c>
      <c r="AD368" s="53" t="str">
        <f t="shared" ref="AD368:AD370" si="273">HYPERLINK("http://www.mcla.edu/Academics/undergraduate/index","Link")</f>
        <v>Link</v>
      </c>
      <c r="AE368" s="54">
        <v>1842</v>
      </c>
      <c r="AF368" s="55"/>
      <c r="AG368" s="55"/>
      <c r="AH368" s="56">
        <v>167288</v>
      </c>
      <c r="AI368" s="56" t="s">
        <v>2459</v>
      </c>
    </row>
    <row r="369" spans="1:35" ht="15" x14ac:dyDescent="0.2">
      <c r="A369" s="7"/>
      <c r="B369" s="31" t="s">
        <v>4463</v>
      </c>
      <c r="C369" s="36" t="s">
        <v>43</v>
      </c>
      <c r="D369" s="7"/>
      <c r="E369" s="86">
        <v>5</v>
      </c>
      <c r="F369" s="7"/>
      <c r="G369" s="7"/>
      <c r="H369" s="2" t="s">
        <v>5326</v>
      </c>
      <c r="I369" s="2" t="s">
        <v>1454</v>
      </c>
      <c r="J369" s="2" t="s">
        <v>5345</v>
      </c>
      <c r="K369" s="2" t="s">
        <v>55</v>
      </c>
      <c r="L369" s="2" t="s">
        <v>5346</v>
      </c>
      <c r="M369" s="2" t="s">
        <v>5330</v>
      </c>
      <c r="N369" s="48"/>
      <c r="O369" s="45" t="str">
        <f t="shared" si="272"/>
        <v>Questionnaire</v>
      </c>
      <c r="P369" s="48" t="s">
        <v>5332</v>
      </c>
      <c r="Q369" s="60" t="s">
        <v>595</v>
      </c>
      <c r="R369" s="48" t="s">
        <v>5334</v>
      </c>
      <c r="S369" s="48" t="s">
        <v>172</v>
      </c>
      <c r="T369" s="49" t="s">
        <v>74</v>
      </c>
      <c r="U369" s="48" t="s">
        <v>75</v>
      </c>
      <c r="V369" s="49"/>
      <c r="W369" s="37">
        <v>3.2</v>
      </c>
      <c r="X369" s="49" t="s">
        <v>345</v>
      </c>
      <c r="Y369" s="49" t="s">
        <v>522</v>
      </c>
      <c r="Z369" s="49" t="s">
        <v>1650</v>
      </c>
      <c r="AA369" s="65">
        <v>0.71</v>
      </c>
      <c r="AB369" s="48" t="s">
        <v>5338</v>
      </c>
      <c r="AC369" s="52" t="s">
        <v>5332</v>
      </c>
      <c r="AD369" s="53" t="str">
        <f t="shared" si="273"/>
        <v>Link</v>
      </c>
      <c r="AE369" s="54">
        <v>1842</v>
      </c>
      <c r="AF369" s="55"/>
      <c r="AG369" s="55"/>
      <c r="AH369" s="56">
        <v>167288</v>
      </c>
      <c r="AI369" s="56" t="s">
        <v>2459</v>
      </c>
    </row>
    <row r="370" spans="1:35" ht="15" x14ac:dyDescent="0.2">
      <c r="A370" s="57"/>
      <c r="B370" s="31" t="s">
        <v>4463</v>
      </c>
      <c r="C370" s="36" t="s">
        <v>43</v>
      </c>
      <c r="D370" s="86">
        <v>5</v>
      </c>
      <c r="E370" s="7" t="s">
        <v>5352</v>
      </c>
      <c r="F370" s="7"/>
      <c r="G370" s="86"/>
      <c r="H370" s="2" t="s">
        <v>5326</v>
      </c>
      <c r="I370" s="2" t="s">
        <v>5327</v>
      </c>
      <c r="J370" s="2" t="s">
        <v>5328</v>
      </c>
      <c r="K370" s="2" t="s">
        <v>48</v>
      </c>
      <c r="L370" s="2" t="s">
        <v>5329</v>
      </c>
      <c r="M370" s="2" t="s">
        <v>5330</v>
      </c>
      <c r="N370" s="48"/>
      <c r="O370" s="45" t="str">
        <f t="shared" si="272"/>
        <v>Questionnaire</v>
      </c>
      <c r="P370" s="48" t="s">
        <v>5332</v>
      </c>
      <c r="Q370" s="60" t="s">
        <v>595</v>
      </c>
      <c r="R370" s="48" t="s">
        <v>5334</v>
      </c>
      <c r="S370" s="48" t="s">
        <v>172</v>
      </c>
      <c r="T370" s="49" t="s">
        <v>74</v>
      </c>
      <c r="U370" s="48" t="s">
        <v>75</v>
      </c>
      <c r="V370" s="49"/>
      <c r="W370" s="37">
        <v>3.2</v>
      </c>
      <c r="X370" s="49" t="s">
        <v>345</v>
      </c>
      <c r="Y370" s="49" t="s">
        <v>522</v>
      </c>
      <c r="Z370" s="49" t="s">
        <v>1650</v>
      </c>
      <c r="AA370" s="65">
        <v>0.71</v>
      </c>
      <c r="AB370" s="48" t="s">
        <v>5338</v>
      </c>
      <c r="AC370" s="52" t="s">
        <v>5332</v>
      </c>
      <c r="AD370" s="53" t="str">
        <f t="shared" si="273"/>
        <v>Link</v>
      </c>
      <c r="AE370" s="54">
        <v>1842</v>
      </c>
      <c r="AF370" s="55"/>
      <c r="AG370" s="55"/>
      <c r="AH370" s="56">
        <v>167288</v>
      </c>
      <c r="AI370" s="56"/>
    </row>
    <row r="371" spans="1:35" ht="13" x14ac:dyDescent="0.15">
      <c r="A371" s="57"/>
      <c r="B371" s="31" t="s">
        <v>4463</v>
      </c>
      <c r="C371" s="36" t="s">
        <v>43</v>
      </c>
      <c r="D371" s="86">
        <v>5</v>
      </c>
      <c r="E371" s="7" t="s">
        <v>5363</v>
      </c>
      <c r="F371" s="7"/>
      <c r="G371" s="86"/>
      <c r="H371" s="2" t="s">
        <v>5364</v>
      </c>
      <c r="I371" s="2" t="s">
        <v>5365</v>
      </c>
      <c r="J371" s="2" t="s">
        <v>5366</v>
      </c>
      <c r="K371" s="2" t="s">
        <v>48</v>
      </c>
      <c r="L371" s="2" t="s">
        <v>5367</v>
      </c>
      <c r="M371" s="2" t="s">
        <v>5368</v>
      </c>
      <c r="N371" s="48"/>
      <c r="O371" s="45" t="str">
        <f t="shared" ref="O371:O373" si="274">HYPERLINK("https://www.mmabucs.com/insideAthletics/recruitme/index","Questionnaire")</f>
        <v>Questionnaire</v>
      </c>
      <c r="P371" s="48" t="s">
        <v>5371</v>
      </c>
      <c r="Q371" s="60" t="s">
        <v>595</v>
      </c>
      <c r="R371" s="48" t="s">
        <v>5373</v>
      </c>
      <c r="S371" s="60" t="s">
        <v>205</v>
      </c>
      <c r="T371" s="49" t="s">
        <v>74</v>
      </c>
      <c r="U371" s="48" t="s">
        <v>75</v>
      </c>
      <c r="V371" s="49"/>
      <c r="W371" s="37">
        <v>3.11</v>
      </c>
      <c r="X371" s="49" t="s">
        <v>521</v>
      </c>
      <c r="Y371" s="49" t="s">
        <v>675</v>
      </c>
      <c r="Z371" s="49" t="s">
        <v>278</v>
      </c>
      <c r="AA371" s="65">
        <v>0.8</v>
      </c>
      <c r="AB371" s="48" t="s">
        <v>5376</v>
      </c>
      <c r="AC371" s="90" t="s">
        <v>5371</v>
      </c>
      <c r="AD371" s="53" t="str">
        <f t="shared" ref="AD371:AD373" si="275">HYPERLINK("https://www.maritime.edu/undergraduate-degrees","Link")</f>
        <v>Link</v>
      </c>
      <c r="AE371" s="54">
        <v>1677</v>
      </c>
      <c r="AF371" s="55"/>
      <c r="AG371" s="55"/>
      <c r="AH371" s="56">
        <v>166692</v>
      </c>
      <c r="AI371" s="56"/>
    </row>
    <row r="372" spans="1:35" ht="13" x14ac:dyDescent="0.15">
      <c r="A372" s="57"/>
      <c r="B372" s="31" t="s">
        <v>4463</v>
      </c>
      <c r="C372" s="36" t="s">
        <v>43</v>
      </c>
      <c r="D372" s="86">
        <v>5</v>
      </c>
      <c r="E372" s="7" t="s">
        <v>5380</v>
      </c>
      <c r="F372" s="7"/>
      <c r="G372" s="86"/>
      <c r="H372" s="2" t="s">
        <v>5364</v>
      </c>
      <c r="I372" s="2" t="s">
        <v>5382</v>
      </c>
      <c r="J372" s="2" t="s">
        <v>117</v>
      </c>
      <c r="K372" s="2" t="s">
        <v>55</v>
      </c>
      <c r="L372" s="95" t="s">
        <v>5383</v>
      </c>
      <c r="M372" s="2" t="s">
        <v>5368</v>
      </c>
      <c r="N372" s="48"/>
      <c r="O372" s="45" t="str">
        <f t="shared" si="274"/>
        <v>Questionnaire</v>
      </c>
      <c r="P372" s="48" t="s">
        <v>5371</v>
      </c>
      <c r="Q372" s="60" t="s">
        <v>595</v>
      </c>
      <c r="R372" s="48" t="s">
        <v>5373</v>
      </c>
      <c r="S372" s="60" t="s">
        <v>205</v>
      </c>
      <c r="T372" s="49" t="s">
        <v>74</v>
      </c>
      <c r="U372" s="48" t="s">
        <v>75</v>
      </c>
      <c r="V372" s="49"/>
      <c r="W372" s="37">
        <v>3.11</v>
      </c>
      <c r="X372" s="49" t="s">
        <v>521</v>
      </c>
      <c r="Y372" s="49" t="s">
        <v>675</v>
      </c>
      <c r="Z372" s="49" t="s">
        <v>278</v>
      </c>
      <c r="AA372" s="65">
        <v>0.8</v>
      </c>
      <c r="AB372" s="48" t="s">
        <v>5376</v>
      </c>
      <c r="AC372" s="90" t="s">
        <v>5371</v>
      </c>
      <c r="AD372" s="53" t="str">
        <f t="shared" si="275"/>
        <v>Link</v>
      </c>
      <c r="AE372" s="54">
        <v>1677</v>
      </c>
      <c r="AF372" s="55"/>
      <c r="AG372" s="55"/>
      <c r="AH372" s="56">
        <v>166692</v>
      </c>
      <c r="AI372" s="56"/>
    </row>
    <row r="373" spans="1:35" ht="13" x14ac:dyDescent="0.15">
      <c r="A373" s="57"/>
      <c r="B373" s="31" t="s">
        <v>4463</v>
      </c>
      <c r="C373" s="36" t="s">
        <v>43</v>
      </c>
      <c r="D373" s="44">
        <v>5</v>
      </c>
      <c r="E373" s="7" t="s">
        <v>5390</v>
      </c>
      <c r="F373" s="7" t="s">
        <v>116</v>
      </c>
      <c r="G373" s="57"/>
      <c r="H373" s="2" t="s">
        <v>5364</v>
      </c>
      <c r="I373" s="7" t="s">
        <v>539</v>
      </c>
      <c r="J373" s="7" t="s">
        <v>5391</v>
      </c>
      <c r="K373" s="7" t="s">
        <v>55</v>
      </c>
      <c r="L373" s="57" t="s">
        <v>5392</v>
      </c>
      <c r="M373" s="57" t="s">
        <v>5393</v>
      </c>
      <c r="N373" s="48"/>
      <c r="O373" s="45" t="str">
        <f t="shared" si="274"/>
        <v>Questionnaire</v>
      </c>
      <c r="P373" s="48" t="s">
        <v>5371</v>
      </c>
      <c r="Q373" s="60" t="s">
        <v>595</v>
      </c>
      <c r="R373" s="48" t="s">
        <v>5373</v>
      </c>
      <c r="S373" s="60" t="s">
        <v>205</v>
      </c>
      <c r="T373" s="49" t="s">
        <v>74</v>
      </c>
      <c r="U373" s="48" t="s">
        <v>75</v>
      </c>
      <c r="V373" s="49"/>
      <c r="W373" s="44">
        <v>3.11</v>
      </c>
      <c r="X373" s="49" t="s">
        <v>521</v>
      </c>
      <c r="Y373" s="49" t="s">
        <v>675</v>
      </c>
      <c r="Z373" s="49" t="s">
        <v>278</v>
      </c>
      <c r="AA373" s="65">
        <v>0.8</v>
      </c>
      <c r="AB373" s="48" t="s">
        <v>5376</v>
      </c>
      <c r="AC373" s="90" t="s">
        <v>5371</v>
      </c>
      <c r="AD373" s="53" t="str">
        <f t="shared" si="275"/>
        <v>Link</v>
      </c>
      <c r="AE373" s="54">
        <v>1677</v>
      </c>
      <c r="AF373" s="55"/>
      <c r="AG373" s="55"/>
      <c r="AH373" s="56">
        <v>166692</v>
      </c>
      <c r="AI373" s="59"/>
    </row>
    <row r="374" spans="1:35" ht="13" x14ac:dyDescent="0.15">
      <c r="A374" s="57"/>
      <c r="B374" s="31" t="s">
        <v>4463</v>
      </c>
      <c r="C374" s="36" t="s">
        <v>43</v>
      </c>
      <c r="D374" s="86">
        <v>5</v>
      </c>
      <c r="E374" s="7" t="s">
        <v>5401</v>
      </c>
      <c r="F374" s="7"/>
      <c r="G374" s="86"/>
      <c r="H374" s="2" t="s">
        <v>5402</v>
      </c>
      <c r="I374" s="2" t="s">
        <v>5403</v>
      </c>
      <c r="J374" s="2" t="s">
        <v>5404</v>
      </c>
      <c r="K374" s="2" t="s">
        <v>48</v>
      </c>
      <c r="L374" s="2" t="s">
        <v>5405</v>
      </c>
      <c r="M374" s="2" t="s">
        <v>5406</v>
      </c>
      <c r="N374" s="45" t="str">
        <f t="shared" ref="N374:N376" si="276">HYPERLINK("twitter.com/beaconsb","@beaconsb")</f>
        <v>@beaconsb</v>
      </c>
      <c r="O374" s="45" t="str">
        <f t="shared" ref="O374:O376" si="277">HYPERLINK("https://www.beaconsathletics.com/sports/recruit_me","Questionnaire")</f>
        <v>Questionnaire</v>
      </c>
      <c r="P374" s="48" t="s">
        <v>5415</v>
      </c>
      <c r="Q374" s="60" t="s">
        <v>595</v>
      </c>
      <c r="R374" s="48" t="s">
        <v>614</v>
      </c>
      <c r="S374" s="48" t="s">
        <v>354</v>
      </c>
      <c r="T374" s="49" t="s">
        <v>74</v>
      </c>
      <c r="U374" s="48" t="s">
        <v>75</v>
      </c>
      <c r="V374" s="49"/>
      <c r="W374" s="37">
        <v>3.25</v>
      </c>
      <c r="X374" s="49" t="s">
        <v>2341</v>
      </c>
      <c r="Y374" s="49" t="s">
        <v>676</v>
      </c>
      <c r="Z374" s="49" t="s">
        <v>1650</v>
      </c>
      <c r="AA374" s="65">
        <v>0.69</v>
      </c>
      <c r="AB374" s="48" t="s">
        <v>5422</v>
      </c>
      <c r="AC374" s="84" t="s">
        <v>5415</v>
      </c>
      <c r="AD374" s="53" t="str">
        <f t="shared" ref="AD374:AD376" si="278">HYPERLINK("https://www.umb.edu/academics/environment/ug/majors","Link")</f>
        <v>Link</v>
      </c>
      <c r="AE374" s="54">
        <v>12847</v>
      </c>
      <c r="AF374" s="54">
        <v>202</v>
      </c>
      <c r="AG374" s="55"/>
      <c r="AH374" s="56">
        <v>166638</v>
      </c>
      <c r="AI374" s="56"/>
    </row>
    <row r="375" spans="1:35" ht="13" x14ac:dyDescent="0.15">
      <c r="A375" s="57"/>
      <c r="B375" s="31" t="s">
        <v>4463</v>
      </c>
      <c r="C375" s="36" t="s">
        <v>43</v>
      </c>
      <c r="D375" s="86">
        <v>5</v>
      </c>
      <c r="E375" s="7" t="s">
        <v>5427</v>
      </c>
      <c r="F375" s="7"/>
      <c r="G375" s="86"/>
      <c r="H375" s="2" t="s">
        <v>5402</v>
      </c>
      <c r="I375" s="2" t="s">
        <v>501</v>
      </c>
      <c r="J375" s="2" t="s">
        <v>5428</v>
      </c>
      <c r="K375" s="2" t="s">
        <v>55</v>
      </c>
      <c r="L375" s="2" t="s">
        <v>5430</v>
      </c>
      <c r="M375" s="2" t="s">
        <v>5431</v>
      </c>
      <c r="N375" s="45" t="str">
        <f t="shared" si="276"/>
        <v>@beaconsb</v>
      </c>
      <c r="O375" s="45" t="str">
        <f t="shared" si="277"/>
        <v>Questionnaire</v>
      </c>
      <c r="P375" s="48" t="s">
        <v>5415</v>
      </c>
      <c r="Q375" s="60" t="s">
        <v>595</v>
      </c>
      <c r="R375" s="48" t="s">
        <v>614</v>
      </c>
      <c r="S375" s="48" t="s">
        <v>354</v>
      </c>
      <c r="T375" s="49" t="s">
        <v>74</v>
      </c>
      <c r="U375" s="48" t="s">
        <v>75</v>
      </c>
      <c r="V375" s="49"/>
      <c r="W375" s="37">
        <v>3.25</v>
      </c>
      <c r="X375" s="49" t="s">
        <v>2341</v>
      </c>
      <c r="Y375" s="49" t="s">
        <v>676</v>
      </c>
      <c r="Z375" s="49" t="s">
        <v>1650</v>
      </c>
      <c r="AA375" s="65">
        <v>0.69</v>
      </c>
      <c r="AB375" s="48" t="s">
        <v>5422</v>
      </c>
      <c r="AC375" s="84" t="s">
        <v>5415</v>
      </c>
      <c r="AD375" s="53" t="str">
        <f t="shared" si="278"/>
        <v>Link</v>
      </c>
      <c r="AE375" s="54">
        <v>12847</v>
      </c>
      <c r="AF375" s="54">
        <v>202</v>
      </c>
      <c r="AG375" s="55"/>
      <c r="AH375" s="56">
        <v>166638</v>
      </c>
      <c r="AI375" s="56"/>
    </row>
    <row r="376" spans="1:35" ht="13" x14ac:dyDescent="0.15">
      <c r="A376" s="57"/>
      <c r="B376" s="31" t="s">
        <v>4463</v>
      </c>
      <c r="C376" s="36" t="s">
        <v>43</v>
      </c>
      <c r="D376" s="86">
        <v>5</v>
      </c>
      <c r="E376" s="7" t="s">
        <v>5440</v>
      </c>
      <c r="F376" s="7"/>
      <c r="G376" s="86"/>
      <c r="H376" s="2" t="s">
        <v>5402</v>
      </c>
      <c r="I376" s="2" t="s">
        <v>4703</v>
      </c>
      <c r="J376" s="2" t="s">
        <v>5442</v>
      </c>
      <c r="K376" s="2" t="s">
        <v>55</v>
      </c>
      <c r="L376" s="2"/>
      <c r="M376" s="2"/>
      <c r="N376" s="45" t="str">
        <f t="shared" si="276"/>
        <v>@beaconsb</v>
      </c>
      <c r="O376" s="45" t="str">
        <f t="shared" si="277"/>
        <v>Questionnaire</v>
      </c>
      <c r="P376" s="48" t="s">
        <v>5415</v>
      </c>
      <c r="Q376" s="60" t="s">
        <v>595</v>
      </c>
      <c r="R376" s="48" t="s">
        <v>614</v>
      </c>
      <c r="S376" s="48" t="s">
        <v>354</v>
      </c>
      <c r="T376" s="49" t="s">
        <v>74</v>
      </c>
      <c r="U376" s="48" t="s">
        <v>75</v>
      </c>
      <c r="V376" s="49"/>
      <c r="W376" s="37">
        <v>3.25</v>
      </c>
      <c r="X376" s="49" t="s">
        <v>2341</v>
      </c>
      <c r="Y376" s="49" t="s">
        <v>676</v>
      </c>
      <c r="Z376" s="49" t="s">
        <v>1650</v>
      </c>
      <c r="AA376" s="65">
        <v>0.69</v>
      </c>
      <c r="AB376" s="48" t="s">
        <v>5422</v>
      </c>
      <c r="AC376" s="84" t="s">
        <v>5415</v>
      </c>
      <c r="AD376" s="53" t="str">
        <f t="shared" si="278"/>
        <v>Link</v>
      </c>
      <c r="AE376" s="54">
        <v>12847</v>
      </c>
      <c r="AF376" s="54">
        <v>202</v>
      </c>
      <c r="AG376" s="55"/>
      <c r="AH376" s="56">
        <v>166638</v>
      </c>
      <c r="AI376" s="56"/>
    </row>
    <row r="377" spans="1:35" ht="13" x14ac:dyDescent="0.15">
      <c r="A377" s="57"/>
      <c r="B377" s="31" t="s">
        <v>4463</v>
      </c>
      <c r="C377" s="36" t="s">
        <v>43</v>
      </c>
      <c r="D377" s="86">
        <v>5</v>
      </c>
      <c r="E377" s="7" t="s">
        <v>5447</v>
      </c>
      <c r="F377" s="7"/>
      <c r="G377" s="86"/>
      <c r="H377" s="2" t="s">
        <v>5451</v>
      </c>
      <c r="I377" s="2" t="s">
        <v>206</v>
      </c>
      <c r="J377" s="2" t="s">
        <v>5452</v>
      </c>
      <c r="K377" s="2" t="s">
        <v>48</v>
      </c>
      <c r="L377" s="2" t="s">
        <v>5454</v>
      </c>
      <c r="M377" s="2" t="s">
        <v>5456</v>
      </c>
      <c r="N377" s="45" t="str">
        <f t="shared" ref="N377:N380" si="279">HYPERLINK("twitter.com/umassdsoftball","@umassdsoftball")</f>
        <v>@umassdsoftball</v>
      </c>
      <c r="O377" s="45" t="str">
        <f t="shared" ref="O377:O380" si="280">HYPERLINK("https://www.corsairathletics.com/student_athlete_resources/recruiting","Questionnaire")</f>
        <v>Questionnaire</v>
      </c>
      <c r="P377" s="48" t="s">
        <v>5465</v>
      </c>
      <c r="Q377" s="60" t="s">
        <v>595</v>
      </c>
      <c r="R377" s="48" t="s">
        <v>5467</v>
      </c>
      <c r="S377" s="48" t="s">
        <v>172</v>
      </c>
      <c r="T377" s="5" t="s">
        <v>74</v>
      </c>
      <c r="U377" s="48" t="s">
        <v>75</v>
      </c>
      <c r="V377" s="49"/>
      <c r="W377" s="37">
        <v>3.21</v>
      </c>
      <c r="X377" s="49" t="s">
        <v>356</v>
      </c>
      <c r="Y377" s="49" t="s">
        <v>720</v>
      </c>
      <c r="Z377" s="49" t="s">
        <v>278</v>
      </c>
      <c r="AA377" s="65">
        <v>0.76</v>
      </c>
      <c r="AB377" s="48" t="s">
        <v>5468</v>
      </c>
      <c r="AC377" s="90" t="s">
        <v>5465</v>
      </c>
      <c r="AD377" s="53" t="str">
        <f t="shared" ref="AD377:AD380" si="281">HYPERLINK("https://www.umassd.edu/cas/majorsminors/","Link")</f>
        <v>Link</v>
      </c>
      <c r="AE377" s="54">
        <v>6999</v>
      </c>
      <c r="AF377" s="54">
        <v>207</v>
      </c>
      <c r="AG377" s="55"/>
      <c r="AH377" s="56">
        <v>167987</v>
      </c>
      <c r="AI377" s="56"/>
    </row>
    <row r="378" spans="1:35" ht="13" x14ac:dyDescent="0.15">
      <c r="A378" s="57"/>
      <c r="B378" s="31" t="s">
        <v>4463</v>
      </c>
      <c r="C378" s="36" t="s">
        <v>43</v>
      </c>
      <c r="D378" s="86">
        <v>5</v>
      </c>
      <c r="E378" s="7" t="s">
        <v>5472</v>
      </c>
      <c r="F378" s="7"/>
      <c r="G378" s="86"/>
      <c r="H378" s="2" t="s">
        <v>5451</v>
      </c>
      <c r="I378" s="2" t="s">
        <v>1307</v>
      </c>
      <c r="J378" s="2" t="s">
        <v>5474</v>
      </c>
      <c r="K378" s="2" t="s">
        <v>919</v>
      </c>
      <c r="L378" s="2" t="s">
        <v>5475</v>
      </c>
      <c r="M378" s="2" t="s">
        <v>5456</v>
      </c>
      <c r="N378" s="45" t="str">
        <f t="shared" si="279"/>
        <v>@umassdsoftball</v>
      </c>
      <c r="O378" s="45" t="str">
        <f t="shared" si="280"/>
        <v>Questionnaire</v>
      </c>
      <c r="P378" s="48" t="s">
        <v>5465</v>
      </c>
      <c r="Q378" s="60" t="s">
        <v>595</v>
      </c>
      <c r="R378" s="48" t="s">
        <v>5467</v>
      </c>
      <c r="S378" s="48" t="s">
        <v>172</v>
      </c>
      <c r="T378" s="5" t="s">
        <v>74</v>
      </c>
      <c r="U378" s="48" t="s">
        <v>75</v>
      </c>
      <c r="V378" s="49"/>
      <c r="W378" s="37">
        <v>3.21</v>
      </c>
      <c r="X378" s="49" t="s">
        <v>356</v>
      </c>
      <c r="Y378" s="49" t="s">
        <v>720</v>
      </c>
      <c r="Z378" s="49" t="s">
        <v>278</v>
      </c>
      <c r="AA378" s="65">
        <v>0.76</v>
      </c>
      <c r="AB378" s="48" t="s">
        <v>5468</v>
      </c>
      <c r="AC378" s="90" t="s">
        <v>5465</v>
      </c>
      <c r="AD378" s="53" t="str">
        <f t="shared" si="281"/>
        <v>Link</v>
      </c>
      <c r="AE378" s="54">
        <v>6999</v>
      </c>
      <c r="AF378" s="54">
        <v>207</v>
      </c>
      <c r="AG378" s="55"/>
      <c r="AH378" s="56">
        <v>167987</v>
      </c>
      <c r="AI378" s="56"/>
    </row>
    <row r="379" spans="1:35" ht="13" x14ac:dyDescent="0.15">
      <c r="A379" s="57"/>
      <c r="B379" s="31" t="s">
        <v>4463</v>
      </c>
      <c r="C379" s="36" t="s">
        <v>43</v>
      </c>
      <c r="D379" s="86">
        <v>5</v>
      </c>
      <c r="E379" s="7" t="s">
        <v>5484</v>
      </c>
      <c r="F379" s="7"/>
      <c r="G379" s="86"/>
      <c r="H379" s="2" t="s">
        <v>5451</v>
      </c>
      <c r="I379" s="2" t="s">
        <v>481</v>
      </c>
      <c r="J379" s="2" t="s">
        <v>5485</v>
      </c>
      <c r="K379" s="2" t="s">
        <v>55</v>
      </c>
      <c r="L379" s="2" t="s">
        <v>5487</v>
      </c>
      <c r="M379" s="2" t="s">
        <v>5456</v>
      </c>
      <c r="N379" s="45" t="str">
        <f t="shared" si="279"/>
        <v>@umassdsoftball</v>
      </c>
      <c r="O379" s="45" t="str">
        <f t="shared" si="280"/>
        <v>Questionnaire</v>
      </c>
      <c r="P379" s="48" t="s">
        <v>5465</v>
      </c>
      <c r="Q379" s="60" t="s">
        <v>595</v>
      </c>
      <c r="R379" s="48" t="s">
        <v>5467</v>
      </c>
      <c r="S379" s="48" t="s">
        <v>172</v>
      </c>
      <c r="T379" s="5" t="s">
        <v>74</v>
      </c>
      <c r="U379" s="48" t="s">
        <v>75</v>
      </c>
      <c r="V379" s="49"/>
      <c r="W379" s="37">
        <v>3.21</v>
      </c>
      <c r="X379" s="49" t="s">
        <v>356</v>
      </c>
      <c r="Y379" s="49" t="s">
        <v>720</v>
      </c>
      <c r="Z379" s="49" t="s">
        <v>278</v>
      </c>
      <c r="AA379" s="65">
        <v>0.76</v>
      </c>
      <c r="AB379" s="48" t="s">
        <v>5468</v>
      </c>
      <c r="AC379" s="90" t="s">
        <v>5465</v>
      </c>
      <c r="AD379" s="53" t="str">
        <f t="shared" si="281"/>
        <v>Link</v>
      </c>
      <c r="AE379" s="54">
        <v>6999</v>
      </c>
      <c r="AF379" s="54">
        <v>207</v>
      </c>
      <c r="AG379" s="55"/>
      <c r="AH379" s="56">
        <v>167987</v>
      </c>
      <c r="AI379" s="56"/>
    </row>
    <row r="380" spans="1:35" ht="13" x14ac:dyDescent="0.15">
      <c r="A380" s="57"/>
      <c r="B380" s="31" t="s">
        <v>4463</v>
      </c>
      <c r="C380" s="36" t="s">
        <v>43</v>
      </c>
      <c r="D380" s="86">
        <v>5</v>
      </c>
      <c r="E380" s="7" t="s">
        <v>5496</v>
      </c>
      <c r="F380" s="7"/>
      <c r="G380" s="86"/>
      <c r="H380" s="2" t="s">
        <v>5451</v>
      </c>
      <c r="I380" s="2" t="s">
        <v>481</v>
      </c>
      <c r="J380" s="2" t="s">
        <v>131</v>
      </c>
      <c r="K380" s="2" t="s">
        <v>55</v>
      </c>
      <c r="L380" s="2"/>
      <c r="M380" s="2"/>
      <c r="N380" s="45" t="str">
        <f t="shared" si="279"/>
        <v>@umassdsoftball</v>
      </c>
      <c r="O380" s="45" t="str">
        <f t="shared" si="280"/>
        <v>Questionnaire</v>
      </c>
      <c r="P380" s="48" t="s">
        <v>5465</v>
      </c>
      <c r="Q380" s="60" t="s">
        <v>595</v>
      </c>
      <c r="R380" s="48" t="s">
        <v>5467</v>
      </c>
      <c r="S380" s="48" t="s">
        <v>172</v>
      </c>
      <c r="T380" s="5" t="s">
        <v>74</v>
      </c>
      <c r="U380" s="48" t="s">
        <v>75</v>
      </c>
      <c r="V380" s="49"/>
      <c r="W380" s="37">
        <v>3.21</v>
      </c>
      <c r="X380" s="49" t="s">
        <v>356</v>
      </c>
      <c r="Y380" s="49" t="s">
        <v>720</v>
      </c>
      <c r="Z380" s="49" t="s">
        <v>278</v>
      </c>
      <c r="AA380" s="65">
        <v>0.76</v>
      </c>
      <c r="AB380" s="48" t="s">
        <v>5468</v>
      </c>
      <c r="AC380" s="90" t="s">
        <v>5465</v>
      </c>
      <c r="AD380" s="53" t="str">
        <f t="shared" si="281"/>
        <v>Link</v>
      </c>
      <c r="AE380" s="54">
        <v>6999</v>
      </c>
      <c r="AF380" s="54">
        <v>207</v>
      </c>
      <c r="AG380" s="55"/>
      <c r="AH380" s="56">
        <v>167987</v>
      </c>
      <c r="AI380" s="56"/>
    </row>
    <row r="381" spans="1:35" ht="15" x14ac:dyDescent="0.2">
      <c r="A381" s="57"/>
      <c r="B381" s="31" t="s">
        <v>4463</v>
      </c>
      <c r="C381" s="36" t="s">
        <v>43</v>
      </c>
      <c r="D381" s="86">
        <v>5</v>
      </c>
      <c r="E381" s="7" t="s">
        <v>5504</v>
      </c>
      <c r="F381" s="7"/>
      <c r="G381" s="86"/>
      <c r="H381" s="2" t="s">
        <v>5506</v>
      </c>
      <c r="I381" s="2" t="s">
        <v>878</v>
      </c>
      <c r="J381" s="2" t="s">
        <v>5508</v>
      </c>
      <c r="K381" s="2" t="s">
        <v>48</v>
      </c>
      <c r="L381" s="2" t="s">
        <v>5509</v>
      </c>
      <c r="M381" s="2" t="s">
        <v>5511</v>
      </c>
      <c r="N381" s="45" t="str">
        <f t="shared" ref="N381:N387" si="282">HYPERLINK("twitter.com/mitsoftball","@mitsoftball")</f>
        <v>@mitsoftball</v>
      </c>
      <c r="O381" s="45" t="str">
        <f t="shared" ref="O381:O387" si="283">HYPERLINK("https://www.mitathletics.com/information/Recruiting/Team_Recruitment_Forms","Questionnaire")</f>
        <v>Questionnaire</v>
      </c>
      <c r="P381" s="48" t="s">
        <v>5518</v>
      </c>
      <c r="Q381" s="60" t="s">
        <v>595</v>
      </c>
      <c r="R381" s="48" t="s">
        <v>614</v>
      </c>
      <c r="S381" s="48" t="s">
        <v>354</v>
      </c>
      <c r="T381" s="49" t="s">
        <v>63</v>
      </c>
      <c r="U381" s="48" t="s">
        <v>75</v>
      </c>
      <c r="V381" s="49"/>
      <c r="W381" s="37">
        <v>4.1900000000000004</v>
      </c>
      <c r="X381" s="49" t="s">
        <v>5520</v>
      </c>
      <c r="Y381" s="49" t="s">
        <v>5521</v>
      </c>
      <c r="Z381" s="49" t="s">
        <v>5522</v>
      </c>
      <c r="AA381" s="65">
        <v>0.08</v>
      </c>
      <c r="AB381" s="39">
        <v>65478</v>
      </c>
      <c r="AC381" s="52" t="s">
        <v>5518</v>
      </c>
      <c r="AD381" s="53" t="str">
        <f t="shared" ref="AD381:AD387" si="284">HYPERLINK("http://mitadmissions.org/discover/majors","Link")</f>
        <v>Link</v>
      </c>
      <c r="AE381" s="54">
        <v>4524</v>
      </c>
      <c r="AF381" s="54">
        <v>5</v>
      </c>
      <c r="AG381" s="55"/>
      <c r="AH381" s="56">
        <v>166683</v>
      </c>
      <c r="AI381" s="56"/>
    </row>
    <row r="382" spans="1:35" ht="15" x14ac:dyDescent="0.2">
      <c r="A382" s="57"/>
      <c r="B382" s="31" t="s">
        <v>4463</v>
      </c>
      <c r="C382" s="36" t="s">
        <v>43</v>
      </c>
      <c r="D382" s="86">
        <v>5</v>
      </c>
      <c r="E382" s="7" t="s">
        <v>5525</v>
      </c>
      <c r="F382" s="7"/>
      <c r="G382" s="86"/>
      <c r="H382" s="2" t="s">
        <v>5506</v>
      </c>
      <c r="I382" s="95" t="s">
        <v>1717</v>
      </c>
      <c r="J382" s="2" t="s">
        <v>5526</v>
      </c>
      <c r="K382" s="2" t="s">
        <v>55</v>
      </c>
      <c r="L382" s="95" t="s">
        <v>5528</v>
      </c>
      <c r="M382" s="2"/>
      <c r="N382" s="45" t="str">
        <f t="shared" si="282"/>
        <v>@mitsoftball</v>
      </c>
      <c r="O382" s="45" t="str">
        <f t="shared" si="283"/>
        <v>Questionnaire</v>
      </c>
      <c r="P382" s="48" t="s">
        <v>5518</v>
      </c>
      <c r="Q382" s="60" t="s">
        <v>595</v>
      </c>
      <c r="R382" s="48" t="s">
        <v>614</v>
      </c>
      <c r="S382" s="48" t="s">
        <v>354</v>
      </c>
      <c r="T382" s="49" t="s">
        <v>63</v>
      </c>
      <c r="U382" s="48" t="s">
        <v>75</v>
      </c>
      <c r="V382" s="49"/>
      <c r="W382" s="37">
        <v>4.1900000000000004</v>
      </c>
      <c r="X382" s="49" t="s">
        <v>5520</v>
      </c>
      <c r="Y382" s="49" t="s">
        <v>5521</v>
      </c>
      <c r="Z382" s="49" t="s">
        <v>5522</v>
      </c>
      <c r="AA382" s="65">
        <v>0.08</v>
      </c>
      <c r="AB382" s="39">
        <v>65478</v>
      </c>
      <c r="AC382" s="52" t="s">
        <v>5518</v>
      </c>
      <c r="AD382" s="53" t="str">
        <f t="shared" si="284"/>
        <v>Link</v>
      </c>
      <c r="AE382" s="54">
        <v>4524</v>
      </c>
      <c r="AF382" s="54">
        <v>5</v>
      </c>
      <c r="AG382" s="55"/>
      <c r="AH382" s="56">
        <v>166683</v>
      </c>
      <c r="AI382" s="56"/>
    </row>
    <row r="383" spans="1:35" ht="15" x14ac:dyDescent="0.2">
      <c r="A383" s="57"/>
      <c r="B383" s="31" t="s">
        <v>4463</v>
      </c>
      <c r="C383" s="36" t="s">
        <v>43</v>
      </c>
      <c r="D383" s="86">
        <v>5</v>
      </c>
      <c r="E383" s="7" t="s">
        <v>5540</v>
      </c>
      <c r="F383" s="7"/>
      <c r="G383" s="86"/>
      <c r="H383" s="2" t="s">
        <v>5506</v>
      </c>
      <c r="I383" s="95" t="s">
        <v>5542</v>
      </c>
      <c r="J383" s="2" t="s">
        <v>759</v>
      </c>
      <c r="K383" s="2" t="s">
        <v>55</v>
      </c>
      <c r="L383" s="2"/>
      <c r="M383" s="2"/>
      <c r="N383" s="45" t="str">
        <f t="shared" si="282"/>
        <v>@mitsoftball</v>
      </c>
      <c r="O383" s="45" t="str">
        <f t="shared" si="283"/>
        <v>Questionnaire</v>
      </c>
      <c r="P383" s="48" t="s">
        <v>5518</v>
      </c>
      <c r="Q383" s="60" t="s">
        <v>595</v>
      </c>
      <c r="R383" s="48" t="s">
        <v>614</v>
      </c>
      <c r="S383" s="48" t="s">
        <v>354</v>
      </c>
      <c r="T383" s="49" t="s">
        <v>63</v>
      </c>
      <c r="U383" s="48" t="s">
        <v>75</v>
      </c>
      <c r="V383" s="49"/>
      <c r="W383" s="37">
        <v>4.1900000000000004</v>
      </c>
      <c r="X383" s="49" t="s">
        <v>5520</v>
      </c>
      <c r="Y383" s="49" t="s">
        <v>5521</v>
      </c>
      <c r="Z383" s="49" t="s">
        <v>5522</v>
      </c>
      <c r="AA383" s="65">
        <v>0.08</v>
      </c>
      <c r="AB383" s="39">
        <v>65478</v>
      </c>
      <c r="AC383" s="52" t="s">
        <v>5518</v>
      </c>
      <c r="AD383" s="53" t="str">
        <f t="shared" si="284"/>
        <v>Link</v>
      </c>
      <c r="AE383" s="54">
        <v>4524</v>
      </c>
      <c r="AF383" s="54">
        <v>5</v>
      </c>
      <c r="AG383" s="55"/>
      <c r="AH383" s="56">
        <v>166683</v>
      </c>
      <c r="AI383" s="56"/>
    </row>
    <row r="384" spans="1:35" ht="15" x14ac:dyDescent="0.2">
      <c r="A384" s="57"/>
      <c r="B384" s="31" t="s">
        <v>4463</v>
      </c>
      <c r="C384" s="36" t="s">
        <v>43</v>
      </c>
      <c r="D384" s="86">
        <v>5</v>
      </c>
      <c r="E384" s="7" t="s">
        <v>5546</v>
      </c>
      <c r="F384" s="7"/>
      <c r="G384" s="86"/>
      <c r="H384" s="2" t="s">
        <v>5506</v>
      </c>
      <c r="I384" s="95" t="s">
        <v>1905</v>
      </c>
      <c r="J384" s="2" t="s">
        <v>3748</v>
      </c>
      <c r="K384" s="2" t="s">
        <v>55</v>
      </c>
      <c r="L384" s="2"/>
      <c r="M384" s="2"/>
      <c r="N384" s="45" t="str">
        <f t="shared" si="282"/>
        <v>@mitsoftball</v>
      </c>
      <c r="O384" s="45" t="str">
        <f t="shared" si="283"/>
        <v>Questionnaire</v>
      </c>
      <c r="P384" s="48" t="s">
        <v>5518</v>
      </c>
      <c r="Q384" s="60" t="s">
        <v>595</v>
      </c>
      <c r="R384" s="48" t="s">
        <v>614</v>
      </c>
      <c r="S384" s="48" t="s">
        <v>354</v>
      </c>
      <c r="T384" s="49" t="s">
        <v>63</v>
      </c>
      <c r="U384" s="48" t="s">
        <v>75</v>
      </c>
      <c r="V384" s="49"/>
      <c r="W384" s="37">
        <v>4.1900000000000004</v>
      </c>
      <c r="X384" s="49" t="s">
        <v>5520</v>
      </c>
      <c r="Y384" s="49" t="s">
        <v>5521</v>
      </c>
      <c r="Z384" s="49" t="s">
        <v>5522</v>
      </c>
      <c r="AA384" s="65">
        <v>0.08</v>
      </c>
      <c r="AB384" s="39">
        <v>65478</v>
      </c>
      <c r="AC384" s="52" t="s">
        <v>5518</v>
      </c>
      <c r="AD384" s="53" t="str">
        <f t="shared" si="284"/>
        <v>Link</v>
      </c>
      <c r="AE384" s="54">
        <v>4524</v>
      </c>
      <c r="AF384" s="54">
        <v>5</v>
      </c>
      <c r="AG384" s="55"/>
      <c r="AH384" s="56">
        <v>166683</v>
      </c>
      <c r="AI384" s="56"/>
    </row>
    <row r="385" spans="1:35" ht="15" x14ac:dyDescent="0.2">
      <c r="A385" s="57"/>
      <c r="B385" s="31" t="s">
        <v>4463</v>
      </c>
      <c r="C385" s="36" t="s">
        <v>43</v>
      </c>
      <c r="D385" s="86">
        <v>5</v>
      </c>
      <c r="E385" s="7" t="s">
        <v>5551</v>
      </c>
      <c r="F385" s="7"/>
      <c r="G385" s="86"/>
      <c r="H385" s="2" t="s">
        <v>5506</v>
      </c>
      <c r="I385" s="95" t="s">
        <v>981</v>
      </c>
      <c r="J385" s="2" t="s">
        <v>5552</v>
      </c>
      <c r="K385" s="2" t="s">
        <v>55</v>
      </c>
      <c r="L385" s="2"/>
      <c r="M385" s="2"/>
      <c r="N385" s="45" t="str">
        <f t="shared" si="282"/>
        <v>@mitsoftball</v>
      </c>
      <c r="O385" s="45" t="str">
        <f t="shared" si="283"/>
        <v>Questionnaire</v>
      </c>
      <c r="P385" s="48" t="s">
        <v>5518</v>
      </c>
      <c r="Q385" s="60" t="s">
        <v>595</v>
      </c>
      <c r="R385" s="48" t="s">
        <v>614</v>
      </c>
      <c r="S385" s="48" t="s">
        <v>354</v>
      </c>
      <c r="T385" s="49" t="s">
        <v>63</v>
      </c>
      <c r="U385" s="48" t="s">
        <v>75</v>
      </c>
      <c r="V385" s="49"/>
      <c r="W385" s="37">
        <v>4.1900000000000004</v>
      </c>
      <c r="X385" s="49" t="s">
        <v>5520</v>
      </c>
      <c r="Y385" s="49" t="s">
        <v>5521</v>
      </c>
      <c r="Z385" s="49" t="s">
        <v>5522</v>
      </c>
      <c r="AA385" s="65">
        <v>0.08</v>
      </c>
      <c r="AB385" s="39">
        <v>65478</v>
      </c>
      <c r="AC385" s="52" t="s">
        <v>5518</v>
      </c>
      <c r="AD385" s="53" t="str">
        <f t="shared" si="284"/>
        <v>Link</v>
      </c>
      <c r="AE385" s="54">
        <v>4524</v>
      </c>
      <c r="AF385" s="54">
        <v>5</v>
      </c>
      <c r="AG385" s="55"/>
      <c r="AH385" s="56">
        <v>166683</v>
      </c>
      <c r="AI385" s="56"/>
    </row>
    <row r="386" spans="1:35" ht="15" x14ac:dyDescent="0.2">
      <c r="A386" s="57"/>
      <c r="B386" s="31" t="s">
        <v>4463</v>
      </c>
      <c r="C386" s="36" t="s">
        <v>43</v>
      </c>
      <c r="D386" s="86">
        <v>5</v>
      </c>
      <c r="E386" s="7" t="s">
        <v>5559</v>
      </c>
      <c r="F386" s="7"/>
      <c r="G386" s="86" t="s">
        <v>126</v>
      </c>
      <c r="H386" s="2" t="s">
        <v>5506</v>
      </c>
      <c r="I386" s="89" t="s">
        <v>5561</v>
      </c>
      <c r="J386" s="2"/>
      <c r="K386" s="2"/>
      <c r="L386" s="2"/>
      <c r="M386" s="2"/>
      <c r="N386" s="45" t="str">
        <f t="shared" si="282"/>
        <v>@mitsoftball</v>
      </c>
      <c r="O386" s="45" t="str">
        <f t="shared" si="283"/>
        <v>Questionnaire</v>
      </c>
      <c r="P386" s="48" t="s">
        <v>5518</v>
      </c>
      <c r="Q386" s="60" t="s">
        <v>595</v>
      </c>
      <c r="R386" s="48" t="s">
        <v>614</v>
      </c>
      <c r="S386" s="48" t="s">
        <v>354</v>
      </c>
      <c r="T386" s="49" t="s">
        <v>63</v>
      </c>
      <c r="U386" s="48" t="s">
        <v>75</v>
      </c>
      <c r="V386" s="49"/>
      <c r="W386" s="37">
        <v>4.1900000000000004</v>
      </c>
      <c r="X386" s="49" t="s">
        <v>5520</v>
      </c>
      <c r="Y386" s="49" t="s">
        <v>5521</v>
      </c>
      <c r="Z386" s="49" t="s">
        <v>5522</v>
      </c>
      <c r="AA386" s="65">
        <v>0.08</v>
      </c>
      <c r="AB386" s="39">
        <v>65478</v>
      </c>
      <c r="AC386" s="52" t="s">
        <v>5518</v>
      </c>
      <c r="AD386" s="53" t="str">
        <f t="shared" si="284"/>
        <v>Link</v>
      </c>
      <c r="AE386" s="54">
        <v>4524</v>
      </c>
      <c r="AF386" s="54">
        <v>5</v>
      </c>
      <c r="AG386" s="55"/>
      <c r="AH386" s="56">
        <v>166683</v>
      </c>
      <c r="AI386" s="56"/>
    </row>
    <row r="387" spans="1:35" ht="15" x14ac:dyDescent="0.2">
      <c r="A387" s="57"/>
      <c r="B387" s="31" t="s">
        <v>4463</v>
      </c>
      <c r="C387" s="36" t="s">
        <v>43</v>
      </c>
      <c r="D387" s="44">
        <v>5</v>
      </c>
      <c r="E387" s="7" t="s">
        <v>5568</v>
      </c>
      <c r="F387" s="7" t="s">
        <v>116</v>
      </c>
      <c r="G387" s="57"/>
      <c r="H387" s="2" t="s">
        <v>5506</v>
      </c>
      <c r="I387" s="7" t="s">
        <v>1905</v>
      </c>
      <c r="J387" s="7" t="s">
        <v>5569</v>
      </c>
      <c r="K387" s="7" t="s">
        <v>55</v>
      </c>
      <c r="L387" s="57"/>
      <c r="M387" s="57"/>
      <c r="N387" s="45" t="str">
        <f t="shared" si="282"/>
        <v>@mitsoftball</v>
      </c>
      <c r="O387" s="45" t="str">
        <f t="shared" si="283"/>
        <v>Questionnaire</v>
      </c>
      <c r="P387" s="48" t="s">
        <v>5518</v>
      </c>
      <c r="Q387" s="60" t="s">
        <v>595</v>
      </c>
      <c r="R387" s="48" t="s">
        <v>614</v>
      </c>
      <c r="S387" s="48" t="s">
        <v>354</v>
      </c>
      <c r="T387" s="49" t="s">
        <v>63</v>
      </c>
      <c r="U387" s="48" t="s">
        <v>75</v>
      </c>
      <c r="V387" s="49"/>
      <c r="W387" s="44">
        <v>4.1900000000000004</v>
      </c>
      <c r="X387" s="49" t="s">
        <v>5520</v>
      </c>
      <c r="Y387" s="49" t="s">
        <v>5521</v>
      </c>
      <c r="Z387" s="49" t="s">
        <v>5522</v>
      </c>
      <c r="AA387" s="65">
        <v>0.08</v>
      </c>
      <c r="AB387" s="39">
        <v>65478</v>
      </c>
      <c r="AC387" s="52" t="s">
        <v>5518</v>
      </c>
      <c r="AD387" s="53" t="str">
        <f t="shared" si="284"/>
        <v>Link</v>
      </c>
      <c r="AE387" s="54">
        <v>4524</v>
      </c>
      <c r="AF387" s="54">
        <v>5</v>
      </c>
      <c r="AG387" s="55"/>
      <c r="AH387" s="56">
        <v>166683</v>
      </c>
      <c r="AI387" s="59"/>
    </row>
    <row r="388" spans="1:35" ht="13" x14ac:dyDescent="0.15">
      <c r="A388" s="57"/>
      <c r="B388" s="31" t="s">
        <v>4463</v>
      </c>
      <c r="C388" s="36" t="s">
        <v>43</v>
      </c>
      <c r="D388" s="86">
        <v>5</v>
      </c>
      <c r="E388" s="7" t="s">
        <v>5572</v>
      </c>
      <c r="F388" s="7"/>
      <c r="G388" s="86"/>
      <c r="H388" s="2" t="s">
        <v>5573</v>
      </c>
      <c r="I388" s="2" t="s">
        <v>5574</v>
      </c>
      <c r="J388" s="2" t="s">
        <v>5575</v>
      </c>
      <c r="K388" s="2" t="s">
        <v>48</v>
      </c>
      <c r="L388" s="2" t="s">
        <v>5577</v>
      </c>
      <c r="M388" s="2" t="s">
        <v>5578</v>
      </c>
      <c r="N388" s="45" t="str">
        <f t="shared" ref="N388:N390" si="285">HYPERLINK("twitter.com/ncbison_sball","@ncbison_sball")</f>
        <v>@ncbison_sball</v>
      </c>
      <c r="O388" s="45" t="str">
        <f t="shared" ref="O388:O390" si="286">HYPERLINK("https://nicholsathletics.com/sports/2007/6/18/Recruiting.aspx","Questionnaire")</f>
        <v>Questionnaire</v>
      </c>
      <c r="P388" s="48" t="s">
        <v>5587</v>
      </c>
      <c r="Q388" s="60" t="s">
        <v>595</v>
      </c>
      <c r="R388" s="48" t="s">
        <v>5589</v>
      </c>
      <c r="S388" s="60" t="s">
        <v>205</v>
      </c>
      <c r="T388" s="49" t="s">
        <v>63</v>
      </c>
      <c r="U388" s="48" t="s">
        <v>75</v>
      </c>
      <c r="V388" s="49"/>
      <c r="W388" s="37">
        <v>2.87</v>
      </c>
      <c r="X388" s="49" t="s">
        <v>2709</v>
      </c>
      <c r="Y388" s="49" t="s">
        <v>1338</v>
      </c>
      <c r="Z388" s="49" t="s">
        <v>1339</v>
      </c>
      <c r="AA388" s="65">
        <v>0.84</v>
      </c>
      <c r="AB388" s="39">
        <v>50500</v>
      </c>
      <c r="AC388" s="84" t="s">
        <v>5587</v>
      </c>
      <c r="AD388" s="53" t="str">
        <f t="shared" ref="AD388:AD390" si="287">HYPERLINK("https://www.nichols.edu/academics/degrees-and-programs","Link")</f>
        <v>Link</v>
      </c>
      <c r="AE388" s="54">
        <v>1269</v>
      </c>
      <c r="AF388" s="55"/>
      <c r="AG388" s="55"/>
      <c r="AH388" s="56">
        <v>167260</v>
      </c>
      <c r="AI388" s="56"/>
    </row>
    <row r="389" spans="1:35" ht="13" x14ac:dyDescent="0.15">
      <c r="A389" s="57"/>
      <c r="B389" s="31" t="s">
        <v>4463</v>
      </c>
      <c r="C389" s="36" t="s">
        <v>43</v>
      </c>
      <c r="D389" s="86">
        <v>5</v>
      </c>
      <c r="E389" s="7" t="s">
        <v>5593</v>
      </c>
      <c r="F389" s="7"/>
      <c r="G389" s="86"/>
      <c r="H389" s="2" t="s">
        <v>5573</v>
      </c>
      <c r="I389" s="2" t="s">
        <v>294</v>
      </c>
      <c r="J389" s="2" t="s">
        <v>5595</v>
      </c>
      <c r="K389" s="2" t="s">
        <v>55</v>
      </c>
      <c r="L389" s="2" t="s">
        <v>5598</v>
      </c>
      <c r="M389" s="2" t="s">
        <v>5599</v>
      </c>
      <c r="N389" s="45" t="str">
        <f t="shared" si="285"/>
        <v>@ncbison_sball</v>
      </c>
      <c r="O389" s="45" t="str">
        <f t="shared" si="286"/>
        <v>Questionnaire</v>
      </c>
      <c r="P389" s="48" t="s">
        <v>5587</v>
      </c>
      <c r="Q389" s="60" t="s">
        <v>595</v>
      </c>
      <c r="R389" s="48" t="s">
        <v>5589</v>
      </c>
      <c r="S389" s="60" t="s">
        <v>205</v>
      </c>
      <c r="T389" s="49" t="s">
        <v>63</v>
      </c>
      <c r="U389" s="48" t="s">
        <v>75</v>
      </c>
      <c r="V389" s="49"/>
      <c r="W389" s="37">
        <v>2.87</v>
      </c>
      <c r="X389" s="49" t="s">
        <v>2709</v>
      </c>
      <c r="Y389" s="49" t="s">
        <v>1338</v>
      </c>
      <c r="Z389" s="49" t="s">
        <v>1339</v>
      </c>
      <c r="AA389" s="65">
        <v>0.84</v>
      </c>
      <c r="AB389" s="39">
        <v>50500</v>
      </c>
      <c r="AC389" s="84" t="s">
        <v>5587</v>
      </c>
      <c r="AD389" s="53" t="str">
        <f t="shared" si="287"/>
        <v>Link</v>
      </c>
      <c r="AE389" s="54">
        <v>1269</v>
      </c>
      <c r="AF389" s="55"/>
      <c r="AG389" s="55"/>
      <c r="AH389" s="56">
        <v>167260</v>
      </c>
      <c r="AI389" s="56"/>
    </row>
    <row r="390" spans="1:35" ht="13" x14ac:dyDescent="0.15">
      <c r="A390" s="57"/>
      <c r="B390" s="31" t="s">
        <v>4463</v>
      </c>
      <c r="C390" s="36" t="s">
        <v>43</v>
      </c>
      <c r="D390" s="86">
        <v>5</v>
      </c>
      <c r="E390" s="7" t="s">
        <v>5608</v>
      </c>
      <c r="F390" s="7"/>
      <c r="G390" s="86"/>
      <c r="H390" s="2" t="s">
        <v>5573</v>
      </c>
      <c r="I390" s="2" t="s">
        <v>5609</v>
      </c>
      <c r="J390" s="36" t="s">
        <v>5610</v>
      </c>
      <c r="K390" s="2" t="s">
        <v>55</v>
      </c>
      <c r="L390" s="2" t="s">
        <v>5611</v>
      </c>
      <c r="M390" s="2" t="s">
        <v>5578</v>
      </c>
      <c r="N390" s="45" t="str">
        <f t="shared" si="285"/>
        <v>@ncbison_sball</v>
      </c>
      <c r="O390" s="45" t="str">
        <f t="shared" si="286"/>
        <v>Questionnaire</v>
      </c>
      <c r="P390" s="48" t="s">
        <v>5587</v>
      </c>
      <c r="Q390" s="60" t="s">
        <v>595</v>
      </c>
      <c r="R390" s="48" t="s">
        <v>5589</v>
      </c>
      <c r="S390" s="60" t="s">
        <v>205</v>
      </c>
      <c r="T390" s="49" t="s">
        <v>63</v>
      </c>
      <c r="U390" s="48" t="s">
        <v>75</v>
      </c>
      <c r="V390" s="49"/>
      <c r="W390" s="37">
        <v>2.87</v>
      </c>
      <c r="X390" s="49" t="s">
        <v>2709</v>
      </c>
      <c r="Y390" s="49" t="s">
        <v>1338</v>
      </c>
      <c r="Z390" s="49" t="s">
        <v>1339</v>
      </c>
      <c r="AA390" s="65">
        <v>0.84</v>
      </c>
      <c r="AB390" s="39">
        <v>50500</v>
      </c>
      <c r="AC390" s="84" t="s">
        <v>5587</v>
      </c>
      <c r="AD390" s="53" t="str">
        <f t="shared" si="287"/>
        <v>Link</v>
      </c>
      <c r="AE390" s="54">
        <v>1269</v>
      </c>
      <c r="AF390" s="55"/>
      <c r="AG390" s="55"/>
      <c r="AH390" s="56">
        <v>167260</v>
      </c>
      <c r="AI390" s="56"/>
    </row>
    <row r="391" spans="1:35" ht="13" x14ac:dyDescent="0.15">
      <c r="A391" s="57"/>
      <c r="B391" s="31" t="s">
        <v>4463</v>
      </c>
      <c r="C391" s="36" t="s">
        <v>43</v>
      </c>
      <c r="D391" s="86">
        <v>5</v>
      </c>
      <c r="E391" s="7" t="s">
        <v>5622</v>
      </c>
      <c r="F391" s="7"/>
      <c r="G391" s="86"/>
      <c r="H391" s="2" t="s">
        <v>5623</v>
      </c>
      <c r="I391" s="2" t="s">
        <v>5624</v>
      </c>
      <c r="J391" s="2" t="s">
        <v>5625</v>
      </c>
      <c r="K391" s="2" t="s">
        <v>48</v>
      </c>
      <c r="L391" s="2" t="s">
        <v>5626</v>
      </c>
      <c r="M391" s="7" t="s">
        <v>5627</v>
      </c>
      <c r="N391" s="48"/>
      <c r="O391" s="45" t="str">
        <f>HYPERLINK("http://pmcathletics.com/information/Sports_Info_form","Questionnaire")</f>
        <v>Questionnaire</v>
      </c>
      <c r="P391" s="48" t="s">
        <v>5632</v>
      </c>
      <c r="Q391" s="60" t="s">
        <v>595</v>
      </c>
      <c r="R391" s="48" t="s">
        <v>5634</v>
      </c>
      <c r="S391" s="48" t="s">
        <v>468</v>
      </c>
      <c r="T391" s="49" t="s">
        <v>63</v>
      </c>
      <c r="U391" s="48" t="s">
        <v>75</v>
      </c>
      <c r="V391" s="49"/>
      <c r="W391" s="37">
        <v>2.4</v>
      </c>
      <c r="X391" s="49" t="s">
        <v>5635</v>
      </c>
      <c r="Y391" s="49" t="s">
        <v>5637</v>
      </c>
      <c r="Z391" s="49" t="s">
        <v>214</v>
      </c>
      <c r="AA391" s="65">
        <v>0.74</v>
      </c>
      <c r="AB391" s="39">
        <v>44860</v>
      </c>
      <c r="AC391" s="84" t="s">
        <v>5632</v>
      </c>
      <c r="AD391" s="53" t="str">
        <f>HYPERLINK("http://www.pmc.edu/departments--programs","Link")</f>
        <v>Link</v>
      </c>
      <c r="AE391" s="54">
        <v>461</v>
      </c>
      <c r="AF391" s="55"/>
      <c r="AG391" s="55"/>
      <c r="AH391" s="56">
        <v>167455</v>
      </c>
      <c r="AI391" s="56"/>
    </row>
    <row r="392" spans="1:35" ht="13" x14ac:dyDescent="0.15">
      <c r="A392" s="57"/>
      <c r="B392" s="31" t="s">
        <v>4463</v>
      </c>
      <c r="C392" s="36" t="s">
        <v>43</v>
      </c>
      <c r="D392" s="86">
        <v>5</v>
      </c>
      <c r="E392" s="7" t="s">
        <v>5644</v>
      </c>
      <c r="F392" s="7"/>
      <c r="G392" s="86"/>
      <c r="H392" s="2" t="s">
        <v>5645</v>
      </c>
      <c r="I392" s="2" t="s">
        <v>513</v>
      </c>
      <c r="J392" s="2" t="s">
        <v>5646</v>
      </c>
      <c r="K392" s="2" t="s">
        <v>48</v>
      </c>
      <c r="L392" s="95" t="s">
        <v>5647</v>
      </c>
      <c r="M392" s="2" t="s">
        <v>5648</v>
      </c>
      <c r="N392" s="45" t="str">
        <f t="shared" ref="N392:N394" si="288">HYPERLINK("twitter.com/regis_softball","@regis_softball")</f>
        <v>@regis_softball</v>
      </c>
      <c r="O392" s="45" t="str">
        <f t="shared" ref="O392:O394" si="289">HYPERLINK("https://regisrangers.com/sports/2016/5/26/prospective-student-athletes.aspx","Questionnaire")</f>
        <v>Questionnaire</v>
      </c>
      <c r="P392" s="48" t="s">
        <v>5651</v>
      </c>
      <c r="Q392" s="60" t="s">
        <v>595</v>
      </c>
      <c r="R392" s="48" t="s">
        <v>5652</v>
      </c>
      <c r="S392" s="48" t="s">
        <v>172</v>
      </c>
      <c r="T392" s="49" t="s">
        <v>63</v>
      </c>
      <c r="U392" s="6" t="s">
        <v>343</v>
      </c>
      <c r="V392" s="49"/>
      <c r="W392" s="37">
        <v>3.06</v>
      </c>
      <c r="X392" s="49" t="s">
        <v>214</v>
      </c>
      <c r="Y392" s="49" t="s">
        <v>214</v>
      </c>
      <c r="Z392" s="49" t="s">
        <v>214</v>
      </c>
      <c r="AA392" s="65">
        <v>0.97</v>
      </c>
      <c r="AB392" s="39">
        <v>56845</v>
      </c>
      <c r="AC392" s="84" t="s">
        <v>5651</v>
      </c>
      <c r="AD392" s="53" t="str">
        <f t="shared" ref="AD392:AD394" si="290">HYPERLINK("http://www.regiscollege.edu/academics/undergraduate.cfm","Link")</f>
        <v>Link</v>
      </c>
      <c r="AE392" s="54">
        <v>1226</v>
      </c>
      <c r="AF392" s="55"/>
      <c r="AG392" s="55"/>
      <c r="AH392" s="56">
        <v>167598</v>
      </c>
      <c r="AI392" s="56"/>
    </row>
    <row r="393" spans="1:35" ht="13" x14ac:dyDescent="0.15">
      <c r="A393" s="57"/>
      <c r="B393" s="31" t="s">
        <v>4463</v>
      </c>
      <c r="C393" s="36" t="s">
        <v>43</v>
      </c>
      <c r="D393" s="86">
        <v>5</v>
      </c>
      <c r="E393" s="7" t="s">
        <v>5657</v>
      </c>
      <c r="F393" s="7"/>
      <c r="G393" s="86"/>
      <c r="H393" s="2" t="s">
        <v>5645</v>
      </c>
      <c r="I393" s="2" t="s">
        <v>513</v>
      </c>
      <c r="J393" s="2" t="s">
        <v>5646</v>
      </c>
      <c r="K393" s="2" t="s">
        <v>1048</v>
      </c>
      <c r="L393" s="2" t="s">
        <v>5658</v>
      </c>
      <c r="M393" s="2" t="s">
        <v>5648</v>
      </c>
      <c r="N393" s="45" t="str">
        <f t="shared" si="288"/>
        <v>@regis_softball</v>
      </c>
      <c r="O393" s="45" t="str">
        <f t="shared" si="289"/>
        <v>Questionnaire</v>
      </c>
      <c r="P393" s="48" t="s">
        <v>5651</v>
      </c>
      <c r="Q393" s="60" t="s">
        <v>595</v>
      </c>
      <c r="R393" s="48" t="s">
        <v>5652</v>
      </c>
      <c r="S393" s="48" t="s">
        <v>172</v>
      </c>
      <c r="T393" s="49" t="s">
        <v>63</v>
      </c>
      <c r="U393" s="6" t="s">
        <v>343</v>
      </c>
      <c r="V393" s="49"/>
      <c r="W393" s="37">
        <v>3.06</v>
      </c>
      <c r="X393" s="49" t="s">
        <v>214</v>
      </c>
      <c r="Y393" s="49" t="s">
        <v>214</v>
      </c>
      <c r="Z393" s="49" t="s">
        <v>214</v>
      </c>
      <c r="AA393" s="65">
        <v>0.97</v>
      </c>
      <c r="AB393" s="39">
        <v>56845</v>
      </c>
      <c r="AC393" s="84" t="s">
        <v>5651</v>
      </c>
      <c r="AD393" s="53" t="str">
        <f t="shared" si="290"/>
        <v>Link</v>
      </c>
      <c r="AE393" s="54">
        <v>1226</v>
      </c>
      <c r="AF393" s="55"/>
      <c r="AG393" s="55"/>
      <c r="AH393" s="56">
        <v>167598</v>
      </c>
      <c r="AI393" s="56"/>
    </row>
    <row r="394" spans="1:35" ht="13" x14ac:dyDescent="0.15">
      <c r="A394" s="57"/>
      <c r="B394" s="31" t="s">
        <v>4463</v>
      </c>
      <c r="C394" s="36" t="s">
        <v>43</v>
      </c>
      <c r="D394" s="86">
        <v>5</v>
      </c>
      <c r="E394" s="7" t="s">
        <v>5666</v>
      </c>
      <c r="F394" s="7"/>
      <c r="G394" s="86"/>
      <c r="H394" s="2" t="s">
        <v>5645</v>
      </c>
      <c r="I394" s="2" t="s">
        <v>306</v>
      </c>
      <c r="J394" s="2" t="s">
        <v>5667</v>
      </c>
      <c r="K394" s="2" t="s">
        <v>55</v>
      </c>
      <c r="L394" s="95" t="s">
        <v>5668</v>
      </c>
      <c r="M394" s="2" t="s">
        <v>5669</v>
      </c>
      <c r="N394" s="45" t="str">
        <f t="shared" si="288"/>
        <v>@regis_softball</v>
      </c>
      <c r="O394" s="45" t="str">
        <f t="shared" si="289"/>
        <v>Questionnaire</v>
      </c>
      <c r="P394" s="48" t="s">
        <v>5651</v>
      </c>
      <c r="Q394" s="60" t="s">
        <v>595</v>
      </c>
      <c r="R394" s="48" t="s">
        <v>5652</v>
      </c>
      <c r="S394" s="48" t="s">
        <v>172</v>
      </c>
      <c r="T394" s="49" t="s">
        <v>63</v>
      </c>
      <c r="U394" s="6" t="s">
        <v>343</v>
      </c>
      <c r="V394" s="49"/>
      <c r="W394" s="37">
        <v>3.06</v>
      </c>
      <c r="X394" s="49" t="s">
        <v>214</v>
      </c>
      <c r="Y394" s="49" t="s">
        <v>214</v>
      </c>
      <c r="Z394" s="49" t="s">
        <v>214</v>
      </c>
      <c r="AA394" s="65">
        <v>0.97</v>
      </c>
      <c r="AB394" s="39">
        <v>56845</v>
      </c>
      <c r="AC394" s="84" t="s">
        <v>5651</v>
      </c>
      <c r="AD394" s="53" t="str">
        <f t="shared" si="290"/>
        <v>Link</v>
      </c>
      <c r="AE394" s="54">
        <v>1226</v>
      </c>
      <c r="AF394" s="55"/>
      <c r="AG394" s="55"/>
      <c r="AH394" s="56">
        <v>167598</v>
      </c>
      <c r="AI394" s="56"/>
    </row>
    <row r="395" spans="1:35" ht="13" x14ac:dyDescent="0.15">
      <c r="A395" s="57"/>
      <c r="B395" s="31" t="s">
        <v>4463</v>
      </c>
      <c r="C395" s="36" t="s">
        <v>43</v>
      </c>
      <c r="D395" s="86">
        <v>5</v>
      </c>
      <c r="E395" s="7" t="s">
        <v>5675</v>
      </c>
      <c r="F395" s="7"/>
      <c r="G395" s="86"/>
      <c r="H395" s="2" t="s">
        <v>5676</v>
      </c>
      <c r="I395" s="2" t="s">
        <v>1902</v>
      </c>
      <c r="J395" s="2" t="s">
        <v>5677</v>
      </c>
      <c r="K395" s="2" t="s">
        <v>48</v>
      </c>
      <c r="L395" s="95" t="s">
        <v>5678</v>
      </c>
      <c r="M395" s="2" t="s">
        <v>5679</v>
      </c>
      <c r="N395" s="45" t="str">
        <f t="shared" ref="N395:N400" si="291">HYPERLINK("twitter.com/_vikingssfbl","@_vikingssfbl")</f>
        <v>@_vikingssfbl</v>
      </c>
      <c r="O395" s="45" t="str">
        <f t="shared" ref="O395:O400" si="292">HYPERLINK("https://salemstate.tfaforms.net/217791","Questionnaire")</f>
        <v>Questionnaire</v>
      </c>
      <c r="P395" s="48" t="s">
        <v>5683</v>
      </c>
      <c r="Q395" s="60" t="s">
        <v>595</v>
      </c>
      <c r="R395" s="48" t="s">
        <v>5684</v>
      </c>
      <c r="S395" s="48" t="s">
        <v>468</v>
      </c>
      <c r="T395" s="49" t="s">
        <v>74</v>
      </c>
      <c r="U395" s="48" t="s">
        <v>75</v>
      </c>
      <c r="V395" s="49"/>
      <c r="W395" s="37">
        <v>3.13</v>
      </c>
      <c r="X395" s="49" t="s">
        <v>1144</v>
      </c>
      <c r="Y395" s="49" t="s">
        <v>3338</v>
      </c>
      <c r="Z395" s="49" t="s">
        <v>746</v>
      </c>
      <c r="AA395" s="65">
        <v>0.74</v>
      </c>
      <c r="AB395" s="48" t="s">
        <v>5685</v>
      </c>
      <c r="AC395" s="84" t="s">
        <v>5683</v>
      </c>
      <c r="AD395" s="53" t="str">
        <f t="shared" ref="AD395:AD400" si="293">HYPERLINK("https://www.salemstate.edu/academics/majors-and-programs","Link")</f>
        <v>Link</v>
      </c>
      <c r="AE395" s="54">
        <v>7346</v>
      </c>
      <c r="AF395" s="55"/>
      <c r="AG395" s="55"/>
      <c r="AH395" s="56">
        <v>167729</v>
      </c>
      <c r="AI395" s="56"/>
    </row>
    <row r="396" spans="1:35" ht="13" x14ac:dyDescent="0.15">
      <c r="A396" s="57"/>
      <c r="B396" s="31" t="s">
        <v>4463</v>
      </c>
      <c r="C396" s="36" t="s">
        <v>43</v>
      </c>
      <c r="D396" s="86">
        <v>5</v>
      </c>
      <c r="E396" s="7" t="s">
        <v>5689</v>
      </c>
      <c r="F396" s="7"/>
      <c r="G396" s="86" t="s">
        <v>126</v>
      </c>
      <c r="H396" s="2" t="s">
        <v>5676</v>
      </c>
      <c r="I396" s="2" t="s">
        <v>5690</v>
      </c>
      <c r="J396" s="2"/>
      <c r="K396" s="2"/>
      <c r="L396" s="2"/>
      <c r="M396" s="2"/>
      <c r="N396" s="45" t="str">
        <f t="shared" si="291"/>
        <v>@_vikingssfbl</v>
      </c>
      <c r="O396" s="45" t="str">
        <f t="shared" si="292"/>
        <v>Questionnaire</v>
      </c>
      <c r="P396" s="48" t="s">
        <v>5683</v>
      </c>
      <c r="Q396" s="60" t="s">
        <v>595</v>
      </c>
      <c r="R396" s="48" t="s">
        <v>5684</v>
      </c>
      <c r="S396" s="48" t="s">
        <v>468</v>
      </c>
      <c r="T396" s="49" t="s">
        <v>74</v>
      </c>
      <c r="U396" s="48" t="s">
        <v>75</v>
      </c>
      <c r="V396" s="49"/>
      <c r="W396" s="37">
        <v>3.13</v>
      </c>
      <c r="X396" s="49" t="s">
        <v>1144</v>
      </c>
      <c r="Y396" s="49" t="s">
        <v>3338</v>
      </c>
      <c r="Z396" s="49" t="s">
        <v>746</v>
      </c>
      <c r="AA396" s="65">
        <v>0.74</v>
      </c>
      <c r="AB396" s="48" t="s">
        <v>5685</v>
      </c>
      <c r="AC396" s="84" t="s">
        <v>5683</v>
      </c>
      <c r="AD396" s="53" t="str">
        <f t="shared" si="293"/>
        <v>Link</v>
      </c>
      <c r="AE396" s="54">
        <v>7346</v>
      </c>
      <c r="AF396" s="55"/>
      <c r="AG396" s="55"/>
      <c r="AH396" s="56">
        <v>167729</v>
      </c>
      <c r="AI396" s="56"/>
    </row>
    <row r="397" spans="1:35" ht="13" x14ac:dyDescent="0.15">
      <c r="A397" s="57"/>
      <c r="B397" s="31" t="s">
        <v>4463</v>
      </c>
      <c r="C397" s="36" t="s">
        <v>43</v>
      </c>
      <c r="D397" s="44">
        <v>5</v>
      </c>
      <c r="E397" s="7" t="s">
        <v>5695</v>
      </c>
      <c r="F397" s="7" t="s">
        <v>116</v>
      </c>
      <c r="G397" s="57"/>
      <c r="H397" s="2" t="s">
        <v>5676</v>
      </c>
      <c r="I397" s="7" t="s">
        <v>93</v>
      </c>
      <c r="J397" s="7" t="s">
        <v>5697</v>
      </c>
      <c r="K397" s="7" t="s">
        <v>55</v>
      </c>
      <c r="L397" s="57"/>
      <c r="M397" s="57"/>
      <c r="N397" s="45" t="str">
        <f t="shared" si="291"/>
        <v>@_vikingssfbl</v>
      </c>
      <c r="O397" s="45" t="str">
        <f t="shared" si="292"/>
        <v>Questionnaire</v>
      </c>
      <c r="P397" s="48" t="s">
        <v>5683</v>
      </c>
      <c r="Q397" s="60" t="s">
        <v>595</v>
      </c>
      <c r="R397" s="48" t="s">
        <v>5684</v>
      </c>
      <c r="S397" s="48" t="s">
        <v>468</v>
      </c>
      <c r="T397" s="49" t="s">
        <v>74</v>
      </c>
      <c r="U397" s="48" t="s">
        <v>75</v>
      </c>
      <c r="V397" s="49"/>
      <c r="W397" s="44">
        <v>3.13</v>
      </c>
      <c r="X397" s="49" t="s">
        <v>1144</v>
      </c>
      <c r="Y397" s="49" t="s">
        <v>3338</v>
      </c>
      <c r="Z397" s="49" t="s">
        <v>746</v>
      </c>
      <c r="AA397" s="65">
        <v>0.74</v>
      </c>
      <c r="AB397" s="48" t="s">
        <v>5685</v>
      </c>
      <c r="AC397" s="84" t="s">
        <v>5683</v>
      </c>
      <c r="AD397" s="53" t="str">
        <f t="shared" si="293"/>
        <v>Link</v>
      </c>
      <c r="AE397" s="54">
        <v>7346</v>
      </c>
      <c r="AF397" s="55"/>
      <c r="AG397" s="55"/>
      <c r="AH397" s="56">
        <v>167729</v>
      </c>
      <c r="AI397" s="59"/>
    </row>
    <row r="398" spans="1:35" ht="13" x14ac:dyDescent="0.15">
      <c r="A398" s="57"/>
      <c r="B398" s="31" t="s">
        <v>4463</v>
      </c>
      <c r="C398" s="36" t="s">
        <v>43</v>
      </c>
      <c r="D398" s="44">
        <v>5</v>
      </c>
      <c r="E398" s="7" t="s">
        <v>5702</v>
      </c>
      <c r="F398" s="7" t="s">
        <v>116</v>
      </c>
      <c r="G398" s="57"/>
      <c r="H398" s="2" t="s">
        <v>5676</v>
      </c>
      <c r="I398" s="7" t="s">
        <v>860</v>
      </c>
      <c r="J398" s="7" t="s">
        <v>992</v>
      </c>
      <c r="K398" s="7" t="s">
        <v>55</v>
      </c>
      <c r="L398" s="57"/>
      <c r="M398" s="57"/>
      <c r="N398" s="45" t="str">
        <f t="shared" si="291"/>
        <v>@_vikingssfbl</v>
      </c>
      <c r="O398" s="45" t="str">
        <f t="shared" si="292"/>
        <v>Questionnaire</v>
      </c>
      <c r="P398" s="48" t="s">
        <v>5683</v>
      </c>
      <c r="Q398" s="60" t="s">
        <v>595</v>
      </c>
      <c r="R398" s="48" t="s">
        <v>5684</v>
      </c>
      <c r="S398" s="48" t="s">
        <v>468</v>
      </c>
      <c r="T398" s="49" t="s">
        <v>74</v>
      </c>
      <c r="U398" s="48" t="s">
        <v>75</v>
      </c>
      <c r="V398" s="49"/>
      <c r="W398" s="44">
        <v>3.13</v>
      </c>
      <c r="X398" s="49" t="s">
        <v>1144</v>
      </c>
      <c r="Y398" s="49" t="s">
        <v>3338</v>
      </c>
      <c r="Z398" s="49" t="s">
        <v>746</v>
      </c>
      <c r="AA398" s="65">
        <v>0.74</v>
      </c>
      <c r="AB398" s="48" t="s">
        <v>5685</v>
      </c>
      <c r="AC398" s="84" t="s">
        <v>5683</v>
      </c>
      <c r="AD398" s="53" t="str">
        <f t="shared" si="293"/>
        <v>Link</v>
      </c>
      <c r="AE398" s="54">
        <v>7346</v>
      </c>
      <c r="AF398" s="55"/>
      <c r="AG398" s="55"/>
      <c r="AH398" s="56">
        <v>167729</v>
      </c>
      <c r="AI398" s="59"/>
    </row>
    <row r="399" spans="1:35" ht="13" x14ac:dyDescent="0.15">
      <c r="A399" s="57"/>
      <c r="B399" s="31" t="s">
        <v>4463</v>
      </c>
      <c r="C399" s="36" t="s">
        <v>43</v>
      </c>
      <c r="D399" s="44">
        <v>5</v>
      </c>
      <c r="E399" s="7" t="s">
        <v>5712</v>
      </c>
      <c r="F399" s="7" t="s">
        <v>116</v>
      </c>
      <c r="G399" s="57"/>
      <c r="H399" s="2" t="s">
        <v>5676</v>
      </c>
      <c r="I399" s="7" t="s">
        <v>4000</v>
      </c>
      <c r="J399" s="7" t="s">
        <v>5713</v>
      </c>
      <c r="K399" s="7" t="s">
        <v>55</v>
      </c>
      <c r="L399" s="57"/>
      <c r="M399" s="57"/>
      <c r="N399" s="45" t="str">
        <f t="shared" si="291"/>
        <v>@_vikingssfbl</v>
      </c>
      <c r="O399" s="45" t="str">
        <f t="shared" si="292"/>
        <v>Questionnaire</v>
      </c>
      <c r="P399" s="48" t="s">
        <v>5683</v>
      </c>
      <c r="Q399" s="60" t="s">
        <v>595</v>
      </c>
      <c r="R399" s="48" t="s">
        <v>5684</v>
      </c>
      <c r="S399" s="48" t="s">
        <v>468</v>
      </c>
      <c r="T399" s="49" t="s">
        <v>74</v>
      </c>
      <c r="U399" s="48" t="s">
        <v>75</v>
      </c>
      <c r="V399" s="49"/>
      <c r="W399" s="44">
        <v>3.13</v>
      </c>
      <c r="X399" s="49" t="s">
        <v>1144</v>
      </c>
      <c r="Y399" s="49" t="s">
        <v>3338</v>
      </c>
      <c r="Z399" s="49" t="s">
        <v>746</v>
      </c>
      <c r="AA399" s="65">
        <v>0.74</v>
      </c>
      <c r="AB399" s="48" t="s">
        <v>5685</v>
      </c>
      <c r="AC399" s="84" t="s">
        <v>5683</v>
      </c>
      <c r="AD399" s="53" t="str">
        <f t="shared" si="293"/>
        <v>Link</v>
      </c>
      <c r="AE399" s="54">
        <v>7346</v>
      </c>
      <c r="AF399" s="55"/>
      <c r="AG399" s="55"/>
      <c r="AH399" s="56">
        <v>167729</v>
      </c>
      <c r="AI399" s="59"/>
    </row>
    <row r="400" spans="1:35" ht="13" x14ac:dyDescent="0.15">
      <c r="A400" s="57"/>
      <c r="B400" s="31" t="s">
        <v>4463</v>
      </c>
      <c r="C400" s="36" t="s">
        <v>43</v>
      </c>
      <c r="D400" s="44">
        <v>5</v>
      </c>
      <c r="E400" s="7" t="s">
        <v>5716</v>
      </c>
      <c r="F400" s="7" t="s">
        <v>116</v>
      </c>
      <c r="G400" s="57"/>
      <c r="H400" s="2" t="s">
        <v>5676</v>
      </c>
      <c r="I400" s="7" t="s">
        <v>5719</v>
      </c>
      <c r="J400" s="7" t="s">
        <v>5720</v>
      </c>
      <c r="K400" s="7" t="s">
        <v>55</v>
      </c>
      <c r="L400" s="57"/>
      <c r="M400" s="57"/>
      <c r="N400" s="45" t="str">
        <f t="shared" si="291"/>
        <v>@_vikingssfbl</v>
      </c>
      <c r="O400" s="45" t="str">
        <f t="shared" si="292"/>
        <v>Questionnaire</v>
      </c>
      <c r="P400" s="48" t="s">
        <v>5683</v>
      </c>
      <c r="Q400" s="60" t="s">
        <v>595</v>
      </c>
      <c r="R400" s="48" t="s">
        <v>5684</v>
      </c>
      <c r="S400" s="48" t="s">
        <v>468</v>
      </c>
      <c r="T400" s="49" t="s">
        <v>74</v>
      </c>
      <c r="U400" s="48" t="s">
        <v>75</v>
      </c>
      <c r="V400" s="49"/>
      <c r="W400" s="44">
        <v>3.13</v>
      </c>
      <c r="X400" s="49" t="s">
        <v>1144</v>
      </c>
      <c r="Y400" s="49" t="s">
        <v>3338</v>
      </c>
      <c r="Z400" s="49" t="s">
        <v>746</v>
      </c>
      <c r="AA400" s="65">
        <v>0.74</v>
      </c>
      <c r="AB400" s="48" t="s">
        <v>5685</v>
      </c>
      <c r="AC400" s="84" t="s">
        <v>5683</v>
      </c>
      <c r="AD400" s="53" t="str">
        <f t="shared" si="293"/>
        <v>Link</v>
      </c>
      <c r="AE400" s="54">
        <v>7346</v>
      </c>
      <c r="AF400" s="55"/>
      <c r="AG400" s="55"/>
      <c r="AH400" s="56">
        <v>167729</v>
      </c>
      <c r="AI400" s="59"/>
    </row>
    <row r="401" spans="1:35" ht="13" x14ac:dyDescent="0.15">
      <c r="A401" s="57"/>
      <c r="B401" s="31" t="s">
        <v>4463</v>
      </c>
      <c r="C401" s="36" t="s">
        <v>43</v>
      </c>
      <c r="D401" s="86">
        <v>5</v>
      </c>
      <c r="E401" s="7" t="s">
        <v>5725</v>
      </c>
      <c r="F401" s="7"/>
      <c r="G401" s="86"/>
      <c r="H401" s="2" t="s">
        <v>5726</v>
      </c>
      <c r="I401" s="2" t="s">
        <v>5728</v>
      </c>
      <c r="J401" s="2" t="s">
        <v>5729</v>
      </c>
      <c r="K401" s="2" t="s">
        <v>48</v>
      </c>
      <c r="L401" s="2" t="s">
        <v>5731</v>
      </c>
      <c r="M401" s="2" t="s">
        <v>5732</v>
      </c>
      <c r="N401" s="45" t="str">
        <f t="shared" ref="N401:N402" si="294">HYPERLINK("twitter.com/simmonssoftball","@simmonssoftball")</f>
        <v>@simmonssoftball</v>
      </c>
      <c r="O401" s="45" t="str">
        <f t="shared" ref="O401:O402" si="295">HYPERLINK("http://athletics.simmons.edu/sports/sball/recruit_form","Questionnaire")</f>
        <v>Questionnaire</v>
      </c>
      <c r="P401" s="48" t="s">
        <v>5737</v>
      </c>
      <c r="Q401" s="60" t="s">
        <v>595</v>
      </c>
      <c r="R401" s="48" t="s">
        <v>614</v>
      </c>
      <c r="S401" s="48" t="s">
        <v>354</v>
      </c>
      <c r="T401" s="49" t="s">
        <v>63</v>
      </c>
      <c r="U401" s="48" t="s">
        <v>75</v>
      </c>
      <c r="V401" s="49" t="s">
        <v>1006</v>
      </c>
      <c r="W401" s="37">
        <v>3.37</v>
      </c>
      <c r="X401" s="49" t="s">
        <v>176</v>
      </c>
      <c r="Y401" s="49" t="s">
        <v>1406</v>
      </c>
      <c r="Z401" s="49" t="s">
        <v>1408</v>
      </c>
      <c r="AA401" s="65">
        <v>0.64</v>
      </c>
      <c r="AB401" s="39">
        <v>56920</v>
      </c>
      <c r="AC401" s="84" t="s">
        <v>5737</v>
      </c>
      <c r="AD401" s="53" t="str">
        <f t="shared" ref="AD401:AD402" si="296">HYPERLINK("https://www.simmons.edu/academics/undergraduate-programs","Link")</f>
        <v>Link</v>
      </c>
      <c r="AE401" s="54">
        <v>1781</v>
      </c>
      <c r="AF401" s="55"/>
      <c r="AG401" s="55"/>
      <c r="AH401" s="56">
        <v>167783</v>
      </c>
      <c r="AI401" s="56"/>
    </row>
    <row r="402" spans="1:35" ht="13" x14ac:dyDescent="0.15">
      <c r="A402" s="57"/>
      <c r="B402" s="31" t="s">
        <v>4463</v>
      </c>
      <c r="C402" s="36" t="s">
        <v>43</v>
      </c>
      <c r="D402" s="86">
        <v>5</v>
      </c>
      <c r="E402" s="7" t="s">
        <v>5748</v>
      </c>
      <c r="F402" s="7"/>
      <c r="G402" s="86"/>
      <c r="H402" s="2" t="s">
        <v>5726</v>
      </c>
      <c r="I402" s="2" t="s">
        <v>5749</v>
      </c>
      <c r="J402" s="2" t="s">
        <v>5750</v>
      </c>
      <c r="K402" s="2" t="s">
        <v>55</v>
      </c>
      <c r="L402" s="7" t="s">
        <v>5751</v>
      </c>
      <c r="M402" s="2"/>
      <c r="N402" s="45" t="str">
        <f t="shared" si="294"/>
        <v>@simmonssoftball</v>
      </c>
      <c r="O402" s="45" t="str">
        <f t="shared" si="295"/>
        <v>Questionnaire</v>
      </c>
      <c r="P402" s="48" t="s">
        <v>5737</v>
      </c>
      <c r="Q402" s="60" t="s">
        <v>595</v>
      </c>
      <c r="R402" s="48" t="s">
        <v>614</v>
      </c>
      <c r="S402" s="48" t="s">
        <v>354</v>
      </c>
      <c r="T402" s="49" t="s">
        <v>63</v>
      </c>
      <c r="U402" s="48" t="s">
        <v>75</v>
      </c>
      <c r="V402" s="49" t="s">
        <v>1006</v>
      </c>
      <c r="W402" s="37">
        <v>3.37</v>
      </c>
      <c r="X402" s="49" t="s">
        <v>176</v>
      </c>
      <c r="Y402" s="49" t="s">
        <v>1406</v>
      </c>
      <c r="Z402" s="49" t="s">
        <v>1408</v>
      </c>
      <c r="AA402" s="65">
        <v>0.64</v>
      </c>
      <c r="AB402" s="39">
        <v>56920</v>
      </c>
      <c r="AC402" s="84" t="s">
        <v>5737</v>
      </c>
      <c r="AD402" s="53" t="str">
        <f t="shared" si="296"/>
        <v>Link</v>
      </c>
      <c r="AE402" s="54">
        <v>1781</v>
      </c>
      <c r="AF402" s="55"/>
      <c r="AG402" s="55"/>
      <c r="AH402" s="56">
        <v>167783</v>
      </c>
      <c r="AI402" s="56"/>
    </row>
    <row r="403" spans="1:35" ht="15" x14ac:dyDescent="0.2">
      <c r="A403" s="57" t="s">
        <v>5754</v>
      </c>
      <c r="B403" s="31" t="s">
        <v>4463</v>
      </c>
      <c r="C403" s="36" t="s">
        <v>43</v>
      </c>
      <c r="D403" s="86">
        <v>5</v>
      </c>
      <c r="E403" s="7" t="s">
        <v>5755</v>
      </c>
      <c r="F403" s="7"/>
      <c r="G403" s="86"/>
      <c r="H403" s="2" t="s">
        <v>5756</v>
      </c>
      <c r="I403" s="2" t="s">
        <v>143</v>
      </c>
      <c r="J403" s="2" t="s">
        <v>5757</v>
      </c>
      <c r="K403" s="2" t="s">
        <v>48</v>
      </c>
      <c r="L403" s="2" t="s">
        <v>5758</v>
      </c>
      <c r="M403" s="2" t="s">
        <v>5759</v>
      </c>
      <c r="N403" s="48"/>
      <c r="O403" s="45" t="str">
        <f t="shared" ref="O403:O404" si="297">HYPERLINK("https://smithpioneers.com/sports/2011/8/18/GEN_0818110401.aspx","Questionnaire")</f>
        <v>Questionnaire</v>
      </c>
      <c r="P403" s="48" t="s">
        <v>5764</v>
      </c>
      <c r="Q403" s="60" t="s">
        <v>595</v>
      </c>
      <c r="R403" s="48" t="s">
        <v>5765</v>
      </c>
      <c r="S403" s="48" t="s">
        <v>468</v>
      </c>
      <c r="T403" s="49" t="s">
        <v>63</v>
      </c>
      <c r="U403" s="48" t="s">
        <v>75</v>
      </c>
      <c r="V403" s="49" t="s">
        <v>1006</v>
      </c>
      <c r="W403" s="37">
        <v>3.92</v>
      </c>
      <c r="X403" s="49" t="s">
        <v>1106</v>
      </c>
      <c r="Y403" s="49" t="s">
        <v>5766</v>
      </c>
      <c r="Z403" s="49" t="s">
        <v>1376</v>
      </c>
      <c r="AA403" s="65">
        <v>0.37</v>
      </c>
      <c r="AB403" s="39">
        <v>66647</v>
      </c>
      <c r="AC403" s="52" t="s">
        <v>5764</v>
      </c>
      <c r="AD403" s="53" t="str">
        <f t="shared" ref="AD403:AD404" si="298">HYPERLINK("https://www.smith.edu/academics/courses-of-study","Link")</f>
        <v>Link</v>
      </c>
      <c r="AE403" s="54">
        <v>2514</v>
      </c>
      <c r="AF403" s="55"/>
      <c r="AG403" s="55"/>
      <c r="AH403" s="56">
        <v>167835</v>
      </c>
      <c r="AI403" s="56"/>
    </row>
    <row r="404" spans="1:35" ht="15" x14ac:dyDescent="0.2">
      <c r="A404" s="57" t="s">
        <v>5754</v>
      </c>
      <c r="B404" s="31" t="s">
        <v>4463</v>
      </c>
      <c r="C404" s="36" t="s">
        <v>43</v>
      </c>
      <c r="D404" s="86">
        <v>5</v>
      </c>
      <c r="E404" s="7" t="s">
        <v>5767</v>
      </c>
      <c r="F404" s="7" t="s">
        <v>116</v>
      </c>
      <c r="G404" s="86"/>
      <c r="H404" s="2" t="s">
        <v>5756</v>
      </c>
      <c r="I404" s="2" t="s">
        <v>206</v>
      </c>
      <c r="J404" s="2" t="s">
        <v>5768</v>
      </c>
      <c r="K404" s="2" t="s">
        <v>120</v>
      </c>
      <c r="L404" s="2"/>
      <c r="M404" s="2"/>
      <c r="N404" s="48"/>
      <c r="O404" s="45" t="str">
        <f t="shared" si="297"/>
        <v>Questionnaire</v>
      </c>
      <c r="P404" s="48" t="s">
        <v>5764</v>
      </c>
      <c r="Q404" s="60" t="s">
        <v>595</v>
      </c>
      <c r="R404" s="48" t="s">
        <v>5765</v>
      </c>
      <c r="S404" s="48" t="s">
        <v>468</v>
      </c>
      <c r="T404" s="49" t="s">
        <v>63</v>
      </c>
      <c r="U404" s="48" t="s">
        <v>75</v>
      </c>
      <c r="V404" s="49" t="s">
        <v>1006</v>
      </c>
      <c r="W404" s="37">
        <v>3.92</v>
      </c>
      <c r="X404" s="49" t="s">
        <v>1106</v>
      </c>
      <c r="Y404" s="49" t="s">
        <v>5766</v>
      </c>
      <c r="Z404" s="49" t="s">
        <v>1376</v>
      </c>
      <c r="AA404" s="65">
        <v>0.37</v>
      </c>
      <c r="AB404" s="39">
        <v>66647</v>
      </c>
      <c r="AC404" s="52" t="s">
        <v>5764</v>
      </c>
      <c r="AD404" s="53" t="str">
        <f t="shared" si="298"/>
        <v>Link</v>
      </c>
      <c r="AE404" s="54">
        <v>2514</v>
      </c>
      <c r="AF404" s="55"/>
      <c r="AG404" s="55"/>
      <c r="AH404" s="56">
        <v>167835</v>
      </c>
      <c r="AI404" s="56"/>
    </row>
    <row r="405" spans="1:35" ht="13" x14ac:dyDescent="0.15">
      <c r="A405" s="57"/>
      <c r="B405" s="31" t="s">
        <v>4463</v>
      </c>
      <c r="C405" s="36" t="s">
        <v>43</v>
      </c>
      <c r="D405" s="86">
        <v>5</v>
      </c>
      <c r="E405" s="7" t="s">
        <v>5775</v>
      </c>
      <c r="F405" s="7"/>
      <c r="G405" s="86"/>
      <c r="H405" s="2" t="s">
        <v>5776</v>
      </c>
      <c r="I405" s="2" t="s">
        <v>1528</v>
      </c>
      <c r="J405" s="2" t="s">
        <v>5777</v>
      </c>
      <c r="K405" s="2" t="s">
        <v>48</v>
      </c>
      <c r="L405" s="2" t="s">
        <v>5778</v>
      </c>
      <c r="M405" s="2" t="s">
        <v>5779</v>
      </c>
      <c r="N405" s="45" t="str">
        <f t="shared" ref="N405:N406" si="299">HYPERLINK("twitter.com/scpridesoftball","@scpridesoftball")</f>
        <v>@scpridesoftball</v>
      </c>
      <c r="O405" s="45" t="str">
        <f t="shared" ref="O405:O406" si="300">HYPERLINK("http://springfieldcollegepride.com/recruits/recruiting_forms","Questionnaire")</f>
        <v>Questionnaire</v>
      </c>
      <c r="P405" s="48" t="s">
        <v>5785</v>
      </c>
      <c r="Q405" s="60" t="s">
        <v>595</v>
      </c>
      <c r="R405" s="48" t="s">
        <v>4357</v>
      </c>
      <c r="S405" s="48" t="s">
        <v>62</v>
      </c>
      <c r="T405" s="5" t="s">
        <v>63</v>
      </c>
      <c r="U405" s="48" t="s">
        <v>75</v>
      </c>
      <c r="V405" s="49"/>
      <c r="W405" s="37">
        <v>3.26</v>
      </c>
      <c r="X405" s="49" t="s">
        <v>397</v>
      </c>
      <c r="Y405" s="49" t="s">
        <v>1029</v>
      </c>
      <c r="Z405" s="49" t="s">
        <v>87</v>
      </c>
      <c r="AA405" s="65">
        <v>0.66</v>
      </c>
      <c r="AB405" s="39">
        <v>50365</v>
      </c>
      <c r="AC405" s="84" t="s">
        <v>5785</v>
      </c>
      <c r="AD405" s="53" t="str">
        <f t="shared" ref="AD405:AD406" si="301">HYPERLINK("https://springfield.edu/academics/undergraduate-programs","Link")</f>
        <v>Link</v>
      </c>
      <c r="AE405" s="54">
        <v>2114</v>
      </c>
      <c r="AF405" s="55"/>
      <c r="AG405" s="55"/>
      <c r="AH405" s="56">
        <v>167899</v>
      </c>
      <c r="AI405" s="56"/>
    </row>
    <row r="406" spans="1:35" ht="13" x14ac:dyDescent="0.15">
      <c r="A406" s="57"/>
      <c r="B406" s="31" t="s">
        <v>4463</v>
      </c>
      <c r="C406" s="36" t="s">
        <v>43</v>
      </c>
      <c r="D406" s="86">
        <v>5</v>
      </c>
      <c r="E406" s="7" t="s">
        <v>5789</v>
      </c>
      <c r="F406" s="7"/>
      <c r="G406" s="86"/>
      <c r="H406" s="2" t="s">
        <v>5776</v>
      </c>
      <c r="I406" s="2" t="s">
        <v>5792</v>
      </c>
      <c r="J406" s="2"/>
      <c r="K406" s="2" t="s">
        <v>3472</v>
      </c>
      <c r="L406" s="2" t="s">
        <v>5796</v>
      </c>
      <c r="M406" s="2"/>
      <c r="N406" s="45" t="str">
        <f t="shared" si="299"/>
        <v>@scpridesoftball</v>
      </c>
      <c r="O406" s="45" t="str">
        <f t="shared" si="300"/>
        <v>Questionnaire</v>
      </c>
      <c r="P406" s="48" t="s">
        <v>5785</v>
      </c>
      <c r="Q406" s="60" t="s">
        <v>595</v>
      </c>
      <c r="R406" s="48" t="s">
        <v>4357</v>
      </c>
      <c r="S406" s="48" t="s">
        <v>62</v>
      </c>
      <c r="T406" s="5" t="s">
        <v>63</v>
      </c>
      <c r="U406" s="48" t="s">
        <v>75</v>
      </c>
      <c r="V406" s="49"/>
      <c r="W406" s="37">
        <v>3.26</v>
      </c>
      <c r="X406" s="49" t="s">
        <v>397</v>
      </c>
      <c r="Y406" s="49" t="s">
        <v>1029</v>
      </c>
      <c r="Z406" s="49" t="s">
        <v>87</v>
      </c>
      <c r="AA406" s="65">
        <v>0.66</v>
      </c>
      <c r="AB406" s="39">
        <v>50365</v>
      </c>
      <c r="AC406" s="84" t="s">
        <v>5785</v>
      </c>
      <c r="AD406" s="53" t="str">
        <f t="shared" si="301"/>
        <v>Link</v>
      </c>
      <c r="AE406" s="54">
        <v>2114</v>
      </c>
      <c r="AF406" s="55"/>
      <c r="AG406" s="55"/>
      <c r="AH406" s="56">
        <v>167899</v>
      </c>
      <c r="AI406" s="56"/>
    </row>
    <row r="407" spans="1:35" ht="13" x14ac:dyDescent="0.15">
      <c r="A407" s="57"/>
      <c r="B407" s="31" t="s">
        <v>4463</v>
      </c>
      <c r="C407" s="36" t="s">
        <v>43</v>
      </c>
      <c r="D407" s="86">
        <v>5</v>
      </c>
      <c r="E407" s="7" t="s">
        <v>5798</v>
      </c>
      <c r="F407" s="7"/>
      <c r="G407" s="86"/>
      <c r="H407" s="2" t="s">
        <v>5800</v>
      </c>
      <c r="I407" s="2" t="s">
        <v>5802</v>
      </c>
      <c r="J407" s="2" t="s">
        <v>118</v>
      </c>
      <c r="K407" s="2" t="s">
        <v>48</v>
      </c>
      <c r="L407" s="2" t="s">
        <v>5803</v>
      </c>
      <c r="M407" s="2" t="s">
        <v>5805</v>
      </c>
      <c r="N407" s="45" t="str">
        <f t="shared" ref="N407:N409" si="302">HYPERLINK("twitter.com/suffolksoftball","@suffolksoftball")</f>
        <v>@suffolksoftball</v>
      </c>
      <c r="O407" s="45" t="str">
        <f t="shared" ref="O407:O409" si="303">HYPERLINK("https://www.gosuffolkrams.com/recruit/index","Questionnaire")</f>
        <v>Questionnaire</v>
      </c>
      <c r="P407" s="48" t="s">
        <v>5806</v>
      </c>
      <c r="Q407" s="60" t="s">
        <v>595</v>
      </c>
      <c r="R407" s="48" t="s">
        <v>614</v>
      </c>
      <c r="S407" s="48" t="s">
        <v>354</v>
      </c>
      <c r="T407" s="49" t="s">
        <v>74</v>
      </c>
      <c r="U407" s="48" t="s">
        <v>75</v>
      </c>
      <c r="V407" s="49"/>
      <c r="W407" s="37">
        <v>3.2</v>
      </c>
      <c r="X407" s="49" t="s">
        <v>356</v>
      </c>
      <c r="Y407" s="49" t="s">
        <v>521</v>
      </c>
      <c r="Z407" s="49" t="s">
        <v>1994</v>
      </c>
      <c r="AA407" s="65">
        <v>0.84</v>
      </c>
      <c r="AB407" s="39">
        <v>54033</v>
      </c>
      <c r="AC407" s="90" t="s">
        <v>5806</v>
      </c>
      <c r="AD407" s="53" t="str">
        <f t="shared" ref="AD407:AD409" si="304">HYPERLINK("http://www.suffolk.edu/admission/undergraduate/29428.php","Link")</f>
        <v>Link</v>
      </c>
      <c r="AE407" s="54">
        <v>5191</v>
      </c>
      <c r="AF407" s="54">
        <v>181</v>
      </c>
      <c r="AG407" s="55"/>
      <c r="AH407" s="56">
        <v>168005</v>
      </c>
      <c r="AI407" s="56"/>
    </row>
    <row r="408" spans="1:35" ht="13" x14ac:dyDescent="0.15">
      <c r="A408" s="57"/>
      <c r="B408" s="31" t="s">
        <v>4463</v>
      </c>
      <c r="C408" s="36" t="s">
        <v>43</v>
      </c>
      <c r="D408" s="86">
        <v>5</v>
      </c>
      <c r="E408" s="7" t="s">
        <v>5815</v>
      </c>
      <c r="F408" s="7"/>
      <c r="G408" s="86"/>
      <c r="H408" s="2" t="s">
        <v>5800</v>
      </c>
      <c r="I408" s="2" t="s">
        <v>1124</v>
      </c>
      <c r="J408" s="2" t="s">
        <v>5816</v>
      </c>
      <c r="K408" s="2" t="s">
        <v>55</v>
      </c>
      <c r="L408" s="7" t="s">
        <v>5817</v>
      </c>
      <c r="M408" s="2" t="s">
        <v>5818</v>
      </c>
      <c r="N408" s="45" t="str">
        <f t="shared" si="302"/>
        <v>@suffolksoftball</v>
      </c>
      <c r="O408" s="45" t="str">
        <f t="shared" si="303"/>
        <v>Questionnaire</v>
      </c>
      <c r="P408" s="48" t="s">
        <v>5806</v>
      </c>
      <c r="Q408" s="60" t="s">
        <v>595</v>
      </c>
      <c r="R408" s="48" t="s">
        <v>614</v>
      </c>
      <c r="S408" s="48" t="s">
        <v>354</v>
      </c>
      <c r="T408" s="49" t="s">
        <v>74</v>
      </c>
      <c r="U408" s="48" t="s">
        <v>75</v>
      </c>
      <c r="V408" s="49"/>
      <c r="W408" s="37">
        <v>3.2</v>
      </c>
      <c r="X408" s="49" t="s">
        <v>356</v>
      </c>
      <c r="Y408" s="49" t="s">
        <v>521</v>
      </c>
      <c r="Z408" s="49" t="s">
        <v>1994</v>
      </c>
      <c r="AA408" s="65">
        <v>0.84</v>
      </c>
      <c r="AB408" s="39">
        <v>54033</v>
      </c>
      <c r="AC408" s="90" t="s">
        <v>5806</v>
      </c>
      <c r="AD408" s="53" t="str">
        <f t="shared" si="304"/>
        <v>Link</v>
      </c>
      <c r="AE408" s="54">
        <v>5191</v>
      </c>
      <c r="AF408" s="54">
        <v>181</v>
      </c>
      <c r="AG408" s="55"/>
      <c r="AH408" s="56">
        <v>168005</v>
      </c>
      <c r="AI408" s="56"/>
    </row>
    <row r="409" spans="1:35" ht="13" x14ac:dyDescent="0.15">
      <c r="A409" s="57"/>
      <c r="B409" s="31" t="s">
        <v>4463</v>
      </c>
      <c r="C409" s="36" t="s">
        <v>43</v>
      </c>
      <c r="D409" s="86">
        <v>5</v>
      </c>
      <c r="E409" s="7" t="s">
        <v>5823</v>
      </c>
      <c r="F409" s="7"/>
      <c r="G409" s="86"/>
      <c r="H409" s="2" t="s">
        <v>5800</v>
      </c>
      <c r="I409" s="2" t="s">
        <v>2402</v>
      </c>
      <c r="J409" s="2" t="s">
        <v>5824</v>
      </c>
      <c r="K409" s="2" t="s">
        <v>55</v>
      </c>
      <c r="L409" s="95" t="s">
        <v>5825</v>
      </c>
      <c r="M409" s="2" t="s">
        <v>5818</v>
      </c>
      <c r="N409" s="45" t="str">
        <f t="shared" si="302"/>
        <v>@suffolksoftball</v>
      </c>
      <c r="O409" s="45" t="str">
        <f t="shared" si="303"/>
        <v>Questionnaire</v>
      </c>
      <c r="P409" s="48" t="s">
        <v>5806</v>
      </c>
      <c r="Q409" s="60" t="s">
        <v>595</v>
      </c>
      <c r="R409" s="48" t="s">
        <v>614</v>
      </c>
      <c r="S409" s="48" t="s">
        <v>354</v>
      </c>
      <c r="T409" s="49" t="s">
        <v>74</v>
      </c>
      <c r="U409" s="48" t="s">
        <v>75</v>
      </c>
      <c r="V409" s="49"/>
      <c r="W409" s="37">
        <v>3.2</v>
      </c>
      <c r="X409" s="49" t="s">
        <v>356</v>
      </c>
      <c r="Y409" s="49" t="s">
        <v>521</v>
      </c>
      <c r="Z409" s="49" t="s">
        <v>1994</v>
      </c>
      <c r="AA409" s="65">
        <v>0.84</v>
      </c>
      <c r="AB409" s="39">
        <v>54033</v>
      </c>
      <c r="AC409" s="90" t="s">
        <v>5806</v>
      </c>
      <c r="AD409" s="53" t="str">
        <f t="shared" si="304"/>
        <v>Link</v>
      </c>
      <c r="AE409" s="54">
        <v>5191</v>
      </c>
      <c r="AF409" s="54">
        <v>181</v>
      </c>
      <c r="AG409" s="55"/>
      <c r="AH409" s="56">
        <v>168005</v>
      </c>
      <c r="AI409" s="56"/>
    </row>
    <row r="410" spans="1:35" ht="13" x14ac:dyDescent="0.15">
      <c r="A410" s="57"/>
      <c r="B410" s="31" t="s">
        <v>4463</v>
      </c>
      <c r="C410" s="36" t="s">
        <v>43</v>
      </c>
      <c r="D410" s="86">
        <v>5</v>
      </c>
      <c r="E410" s="7" t="s">
        <v>5839</v>
      </c>
      <c r="F410" s="7"/>
      <c r="G410" s="86"/>
      <c r="H410" s="2" t="s">
        <v>5842</v>
      </c>
      <c r="I410" s="2" t="s">
        <v>3315</v>
      </c>
      <c r="J410" s="2" t="s">
        <v>5843</v>
      </c>
      <c r="K410" s="2" t="s">
        <v>48</v>
      </c>
      <c r="L410" s="2" t="s">
        <v>5845</v>
      </c>
      <c r="M410" s="2" t="s">
        <v>5846</v>
      </c>
      <c r="N410" s="45" t="str">
        <f t="shared" ref="N410:N412" si="305">HYPERLINK("twitter.com/tuftssoftball","@tuftssoftball")</f>
        <v>@tuftssoftball</v>
      </c>
      <c r="O410" s="45" t="str">
        <f t="shared" ref="O410:O412" si="306">HYPERLINK("https://www.gotuftsjumbos.com/recruits/recruits_home","Questionnaire")</f>
        <v>Questionnaire</v>
      </c>
      <c r="P410" s="48" t="s">
        <v>5855</v>
      </c>
      <c r="Q410" s="60" t="s">
        <v>595</v>
      </c>
      <c r="R410" s="48" t="s">
        <v>5856</v>
      </c>
      <c r="S410" s="48" t="s">
        <v>186</v>
      </c>
      <c r="T410" s="5" t="s">
        <v>63</v>
      </c>
      <c r="U410" s="48" t="s">
        <v>75</v>
      </c>
      <c r="V410" s="49"/>
      <c r="W410" s="37">
        <v>4.05</v>
      </c>
      <c r="X410" s="49" t="s">
        <v>5857</v>
      </c>
      <c r="Y410" s="49" t="s">
        <v>5858</v>
      </c>
      <c r="Z410" s="49" t="s">
        <v>765</v>
      </c>
      <c r="AA410" s="65">
        <v>0.14000000000000001</v>
      </c>
      <c r="AB410" s="39">
        <v>68190</v>
      </c>
      <c r="AC410" s="90" t="s">
        <v>5855</v>
      </c>
      <c r="AD410" s="53" t="str">
        <f t="shared" ref="AD410:AD412" si="307">HYPERLINK("http://admissions.tufts.edu/academics/majors-and-minors/","Link")</f>
        <v>Link</v>
      </c>
      <c r="AE410" s="54">
        <v>5508</v>
      </c>
      <c r="AF410" s="54">
        <v>29</v>
      </c>
      <c r="AG410" s="55"/>
      <c r="AH410" s="56">
        <v>168148</v>
      </c>
      <c r="AI410" s="56"/>
    </row>
    <row r="411" spans="1:35" ht="13" x14ac:dyDescent="0.15">
      <c r="A411" s="57"/>
      <c r="B411" s="31" t="s">
        <v>4463</v>
      </c>
      <c r="C411" s="36" t="s">
        <v>43</v>
      </c>
      <c r="D411" s="86">
        <v>5</v>
      </c>
      <c r="E411" s="7" t="s">
        <v>5862</v>
      </c>
      <c r="F411" s="7"/>
      <c r="G411" s="86"/>
      <c r="H411" s="2" t="s">
        <v>5842</v>
      </c>
      <c r="I411" s="2" t="s">
        <v>5863</v>
      </c>
      <c r="J411" s="2" t="s">
        <v>5864</v>
      </c>
      <c r="K411" s="2" t="s">
        <v>55</v>
      </c>
      <c r="L411" s="7" t="s">
        <v>5845</v>
      </c>
      <c r="M411" s="2"/>
      <c r="N411" s="45" t="str">
        <f t="shared" si="305"/>
        <v>@tuftssoftball</v>
      </c>
      <c r="O411" s="45" t="str">
        <f t="shared" si="306"/>
        <v>Questionnaire</v>
      </c>
      <c r="P411" s="48" t="s">
        <v>5855</v>
      </c>
      <c r="Q411" s="60" t="s">
        <v>595</v>
      </c>
      <c r="R411" s="48" t="s">
        <v>5856</v>
      </c>
      <c r="S411" s="48" t="s">
        <v>186</v>
      </c>
      <c r="T411" s="5" t="s">
        <v>63</v>
      </c>
      <c r="U411" s="48" t="s">
        <v>75</v>
      </c>
      <c r="V411" s="49"/>
      <c r="W411" s="37">
        <v>4.05</v>
      </c>
      <c r="X411" s="49" t="s">
        <v>5857</v>
      </c>
      <c r="Y411" s="49" t="s">
        <v>5858</v>
      </c>
      <c r="Z411" s="49" t="s">
        <v>765</v>
      </c>
      <c r="AA411" s="65">
        <v>0.14000000000000001</v>
      </c>
      <c r="AB411" s="39">
        <v>68190</v>
      </c>
      <c r="AC411" s="90" t="s">
        <v>5855</v>
      </c>
      <c r="AD411" s="53" t="str">
        <f t="shared" si="307"/>
        <v>Link</v>
      </c>
      <c r="AE411" s="54">
        <v>5508</v>
      </c>
      <c r="AF411" s="54">
        <v>29</v>
      </c>
      <c r="AG411" s="55"/>
      <c r="AH411" s="56">
        <v>168148</v>
      </c>
      <c r="AI411" s="56"/>
    </row>
    <row r="412" spans="1:35" ht="13" x14ac:dyDescent="0.15">
      <c r="A412" s="57"/>
      <c r="B412" s="31" t="s">
        <v>4463</v>
      </c>
      <c r="C412" s="36" t="s">
        <v>43</v>
      </c>
      <c r="D412" s="86">
        <v>5</v>
      </c>
      <c r="E412" s="7" t="s">
        <v>5870</v>
      </c>
      <c r="F412" s="7"/>
      <c r="G412" s="86"/>
      <c r="H412" s="2" t="s">
        <v>5842</v>
      </c>
      <c r="I412" s="2" t="s">
        <v>5871</v>
      </c>
      <c r="J412" s="2" t="s">
        <v>5872</v>
      </c>
      <c r="K412" s="2" t="s">
        <v>55</v>
      </c>
      <c r="L412" s="2" t="s">
        <v>5845</v>
      </c>
      <c r="M412" s="2"/>
      <c r="N412" s="45" t="str">
        <f t="shared" si="305"/>
        <v>@tuftssoftball</v>
      </c>
      <c r="O412" s="45" t="str">
        <f t="shared" si="306"/>
        <v>Questionnaire</v>
      </c>
      <c r="P412" s="48" t="s">
        <v>5855</v>
      </c>
      <c r="Q412" s="60" t="s">
        <v>595</v>
      </c>
      <c r="R412" s="48" t="s">
        <v>5856</v>
      </c>
      <c r="S412" s="48" t="s">
        <v>186</v>
      </c>
      <c r="T412" s="5" t="s">
        <v>63</v>
      </c>
      <c r="U412" s="48" t="s">
        <v>75</v>
      </c>
      <c r="V412" s="49"/>
      <c r="W412" s="37">
        <v>4.05</v>
      </c>
      <c r="X412" s="49" t="s">
        <v>5857</v>
      </c>
      <c r="Y412" s="49" t="s">
        <v>5858</v>
      </c>
      <c r="Z412" s="49" t="s">
        <v>765</v>
      </c>
      <c r="AA412" s="65">
        <v>0.14000000000000001</v>
      </c>
      <c r="AB412" s="39">
        <v>68190</v>
      </c>
      <c r="AC412" s="90" t="s">
        <v>5855</v>
      </c>
      <c r="AD412" s="53" t="str">
        <f t="shared" si="307"/>
        <v>Link</v>
      </c>
      <c r="AE412" s="54">
        <v>5508</v>
      </c>
      <c r="AF412" s="54">
        <v>29</v>
      </c>
      <c r="AG412" s="55"/>
      <c r="AH412" s="56">
        <v>168148</v>
      </c>
      <c r="AI412" s="56"/>
    </row>
    <row r="413" spans="1:35" ht="13" x14ac:dyDescent="0.15">
      <c r="A413" s="57"/>
      <c r="B413" s="31" t="s">
        <v>4463</v>
      </c>
      <c r="C413" s="36" t="s">
        <v>43</v>
      </c>
      <c r="D413" s="86">
        <v>5</v>
      </c>
      <c r="E413" s="7" t="s">
        <v>5873</v>
      </c>
      <c r="F413" s="7"/>
      <c r="G413" s="86"/>
      <c r="H413" s="2" t="s">
        <v>5875</v>
      </c>
      <c r="I413" s="2" t="s">
        <v>4379</v>
      </c>
      <c r="J413" s="2" t="s">
        <v>5876</v>
      </c>
      <c r="K413" s="2" t="s">
        <v>48</v>
      </c>
      <c r="L413" s="7" t="s">
        <v>5878</v>
      </c>
      <c r="M413" s="2" t="s">
        <v>5879</v>
      </c>
      <c r="N413" s="45" t="str">
        <f t="shared" ref="N413:N415" si="308">HYPERLINK("twitter.com/wellesleysball","@wellesleysball")</f>
        <v>@wellesleysball</v>
      </c>
      <c r="O413" s="45" t="str">
        <f t="shared" ref="O413:O415" si="309">HYPERLINK("https://www.wellesleyblue.com/information/recruiting","Questionnaire")</f>
        <v>Questionnaire</v>
      </c>
      <c r="P413" s="48" t="s">
        <v>4588</v>
      </c>
      <c r="Q413" s="60" t="s">
        <v>595</v>
      </c>
      <c r="R413" s="48" t="s">
        <v>4588</v>
      </c>
      <c r="S413" s="48" t="s">
        <v>468</v>
      </c>
      <c r="T413" s="49" t="s">
        <v>63</v>
      </c>
      <c r="U413" s="48" t="s">
        <v>75</v>
      </c>
      <c r="V413" s="49" t="s">
        <v>1006</v>
      </c>
      <c r="W413" s="37">
        <v>3.98</v>
      </c>
      <c r="X413" s="49" t="s">
        <v>5884</v>
      </c>
      <c r="Y413" s="49" t="s">
        <v>3762</v>
      </c>
      <c r="Z413" s="49" t="s">
        <v>626</v>
      </c>
      <c r="AA413" s="65">
        <v>0.28999999999999998</v>
      </c>
      <c r="AB413" s="39">
        <v>65966</v>
      </c>
      <c r="AC413" s="90" t="s">
        <v>4588</v>
      </c>
      <c r="AD413" s="53" t="str">
        <f t="shared" ref="AD413:AD415" si="310">HYPERLINK("https://www.wellesley.edu/academics/deptsmajorprog","Link")</f>
        <v>Link</v>
      </c>
      <c r="AE413" s="54">
        <v>2482</v>
      </c>
      <c r="AF413" s="55"/>
      <c r="AG413" s="54">
        <v>3</v>
      </c>
      <c r="AH413" s="56">
        <v>168218</v>
      </c>
      <c r="AI413" s="56"/>
    </row>
    <row r="414" spans="1:35" ht="13" x14ac:dyDescent="0.15">
      <c r="A414" s="57"/>
      <c r="B414" s="31" t="s">
        <v>4463</v>
      </c>
      <c r="C414" s="36" t="s">
        <v>43</v>
      </c>
      <c r="D414" s="86">
        <v>5</v>
      </c>
      <c r="E414" s="7" t="s">
        <v>5892</v>
      </c>
      <c r="F414" s="7"/>
      <c r="G414" s="86"/>
      <c r="H414" s="2" t="s">
        <v>5875</v>
      </c>
      <c r="I414" s="2" t="s">
        <v>4049</v>
      </c>
      <c r="J414" s="2" t="s">
        <v>5894</v>
      </c>
      <c r="K414" s="2" t="s">
        <v>55</v>
      </c>
      <c r="L414" s="2" t="s">
        <v>5895</v>
      </c>
      <c r="M414" s="2"/>
      <c r="N414" s="45" t="str">
        <f t="shared" si="308"/>
        <v>@wellesleysball</v>
      </c>
      <c r="O414" s="45" t="str">
        <f t="shared" si="309"/>
        <v>Questionnaire</v>
      </c>
      <c r="P414" s="48" t="s">
        <v>4588</v>
      </c>
      <c r="Q414" s="60" t="s">
        <v>595</v>
      </c>
      <c r="R414" s="48" t="s">
        <v>4588</v>
      </c>
      <c r="S414" s="48" t="s">
        <v>468</v>
      </c>
      <c r="T414" s="49" t="s">
        <v>63</v>
      </c>
      <c r="U414" s="48" t="s">
        <v>75</v>
      </c>
      <c r="V414" s="49" t="s">
        <v>1006</v>
      </c>
      <c r="W414" s="37">
        <v>3.98</v>
      </c>
      <c r="X414" s="49" t="s">
        <v>5884</v>
      </c>
      <c r="Y414" s="49" t="s">
        <v>3762</v>
      </c>
      <c r="Z414" s="49" t="s">
        <v>626</v>
      </c>
      <c r="AA414" s="65">
        <v>0.28999999999999998</v>
      </c>
      <c r="AB414" s="39">
        <v>65966</v>
      </c>
      <c r="AC414" s="90" t="s">
        <v>4588</v>
      </c>
      <c r="AD414" s="53" t="str">
        <f t="shared" si="310"/>
        <v>Link</v>
      </c>
      <c r="AE414" s="54">
        <v>2482</v>
      </c>
      <c r="AF414" s="55"/>
      <c r="AG414" s="54">
        <v>3</v>
      </c>
      <c r="AH414" s="56">
        <v>168218</v>
      </c>
      <c r="AI414" s="56"/>
    </row>
    <row r="415" spans="1:35" ht="13" x14ac:dyDescent="0.15">
      <c r="A415" s="57"/>
      <c r="B415" s="31" t="s">
        <v>4463</v>
      </c>
      <c r="C415" s="36" t="s">
        <v>43</v>
      </c>
      <c r="D415" s="86">
        <v>5</v>
      </c>
      <c r="E415" s="7" t="s">
        <v>5902</v>
      </c>
      <c r="F415" s="7"/>
      <c r="G415" s="86"/>
      <c r="H415" s="2" t="s">
        <v>5875</v>
      </c>
      <c r="I415" s="2" t="s">
        <v>234</v>
      </c>
      <c r="J415" s="2" t="s">
        <v>5904</v>
      </c>
      <c r="K415" s="2" t="s">
        <v>55</v>
      </c>
      <c r="L415" s="2" t="s">
        <v>5906</v>
      </c>
      <c r="M415" s="2"/>
      <c r="N415" s="45" t="str">
        <f t="shared" si="308"/>
        <v>@wellesleysball</v>
      </c>
      <c r="O415" s="45" t="str">
        <f t="shared" si="309"/>
        <v>Questionnaire</v>
      </c>
      <c r="P415" s="48" t="s">
        <v>4588</v>
      </c>
      <c r="Q415" s="60" t="s">
        <v>595</v>
      </c>
      <c r="R415" s="48" t="s">
        <v>4588</v>
      </c>
      <c r="S415" s="48" t="s">
        <v>468</v>
      </c>
      <c r="T415" s="49" t="s">
        <v>63</v>
      </c>
      <c r="U415" s="48" t="s">
        <v>75</v>
      </c>
      <c r="V415" s="49" t="s">
        <v>1006</v>
      </c>
      <c r="W415" s="37">
        <v>3.98</v>
      </c>
      <c r="X415" s="49" t="s">
        <v>5884</v>
      </c>
      <c r="Y415" s="49" t="s">
        <v>3762</v>
      </c>
      <c r="Z415" s="49" t="s">
        <v>626</v>
      </c>
      <c r="AA415" s="65">
        <v>0.28999999999999998</v>
      </c>
      <c r="AB415" s="39">
        <v>65966</v>
      </c>
      <c r="AC415" s="90" t="s">
        <v>4588</v>
      </c>
      <c r="AD415" s="53" t="str">
        <f t="shared" si="310"/>
        <v>Link</v>
      </c>
      <c r="AE415" s="54">
        <v>2482</v>
      </c>
      <c r="AF415" s="55"/>
      <c r="AG415" s="54">
        <v>3</v>
      </c>
      <c r="AH415" s="56">
        <v>168218</v>
      </c>
      <c r="AI415" s="56"/>
    </row>
    <row r="416" spans="1:35" ht="13" x14ac:dyDescent="0.15">
      <c r="A416" s="57"/>
      <c r="B416" s="31" t="s">
        <v>4463</v>
      </c>
      <c r="C416" s="36" t="s">
        <v>43</v>
      </c>
      <c r="D416" s="86">
        <v>5</v>
      </c>
      <c r="E416" s="7" t="s">
        <v>5912</v>
      </c>
      <c r="F416" s="7"/>
      <c r="G416" s="86"/>
      <c r="H416" s="2" t="s">
        <v>5914</v>
      </c>
      <c r="I416" s="2" t="s">
        <v>2348</v>
      </c>
      <c r="J416" s="2" t="s">
        <v>5918</v>
      </c>
      <c r="K416" s="2" t="s">
        <v>48</v>
      </c>
      <c r="L416" s="2" t="s">
        <v>5919</v>
      </c>
      <c r="M416" s="2" t="s">
        <v>5920</v>
      </c>
      <c r="N416" s="45" t="str">
        <f t="shared" ref="N416:N420" si="311">HYPERLINK("twitter.com/witsoftball","@witsoftball")</f>
        <v>@witsoftball</v>
      </c>
      <c r="O416" s="45" t="str">
        <f t="shared" ref="O416:O420" si="312">HYPERLINK("https://www.wentworthathletics.com/prospective/recruit_forms","Questionnaire")</f>
        <v>Questionnaire</v>
      </c>
      <c r="P416" s="48" t="s">
        <v>5927</v>
      </c>
      <c r="Q416" s="60" t="s">
        <v>595</v>
      </c>
      <c r="R416" s="48" t="s">
        <v>614</v>
      </c>
      <c r="S416" s="48" t="s">
        <v>354</v>
      </c>
      <c r="T416" s="49" t="s">
        <v>63</v>
      </c>
      <c r="U416" s="48" t="s">
        <v>75</v>
      </c>
      <c r="V416" s="49"/>
      <c r="W416" s="37">
        <v>3.06</v>
      </c>
      <c r="X416" s="49" t="s">
        <v>802</v>
      </c>
      <c r="Y416" s="49" t="s">
        <v>1319</v>
      </c>
      <c r="Z416" s="49" t="s">
        <v>803</v>
      </c>
      <c r="AA416" s="65">
        <v>0.71</v>
      </c>
      <c r="AB416" s="39">
        <v>52504</v>
      </c>
      <c r="AC416" s="84" t="s">
        <v>5927</v>
      </c>
      <c r="AD416" s="53" t="str">
        <f t="shared" ref="AD416:AD420" si="313">HYPERLINK("https://wit.edu/academics/undergraduate-studies","Link")</f>
        <v>Link</v>
      </c>
      <c r="AE416" s="54">
        <v>4317</v>
      </c>
      <c r="AF416" s="55"/>
      <c r="AG416" s="55"/>
      <c r="AH416" s="56">
        <v>168227</v>
      </c>
      <c r="AI416" s="56"/>
    </row>
    <row r="417" spans="1:35" ht="13" x14ac:dyDescent="0.15">
      <c r="A417" s="57"/>
      <c r="B417" s="31" t="s">
        <v>4463</v>
      </c>
      <c r="C417" s="36" t="s">
        <v>43</v>
      </c>
      <c r="D417" s="86">
        <v>5</v>
      </c>
      <c r="E417" s="7" t="s">
        <v>5932</v>
      </c>
      <c r="F417" s="7"/>
      <c r="G417" s="86"/>
      <c r="H417" s="2" t="s">
        <v>5914</v>
      </c>
      <c r="I417" s="2" t="s">
        <v>5933</v>
      </c>
      <c r="J417" s="2" t="s">
        <v>5934</v>
      </c>
      <c r="K417" s="2" t="s">
        <v>55</v>
      </c>
      <c r="L417" s="2"/>
      <c r="M417" s="2"/>
      <c r="N417" s="45" t="str">
        <f t="shared" si="311"/>
        <v>@witsoftball</v>
      </c>
      <c r="O417" s="45" t="str">
        <f t="shared" si="312"/>
        <v>Questionnaire</v>
      </c>
      <c r="P417" s="48" t="s">
        <v>5927</v>
      </c>
      <c r="Q417" s="60" t="s">
        <v>595</v>
      </c>
      <c r="R417" s="48" t="s">
        <v>614</v>
      </c>
      <c r="S417" s="48" t="s">
        <v>354</v>
      </c>
      <c r="T417" s="49" t="s">
        <v>63</v>
      </c>
      <c r="U417" s="48" t="s">
        <v>75</v>
      </c>
      <c r="V417" s="49"/>
      <c r="W417" s="37">
        <v>3.06</v>
      </c>
      <c r="X417" s="49" t="s">
        <v>802</v>
      </c>
      <c r="Y417" s="49" t="s">
        <v>1319</v>
      </c>
      <c r="Z417" s="49" t="s">
        <v>803</v>
      </c>
      <c r="AA417" s="65">
        <v>0.71</v>
      </c>
      <c r="AB417" s="39">
        <v>52504</v>
      </c>
      <c r="AC417" s="84" t="s">
        <v>5927</v>
      </c>
      <c r="AD417" s="53" t="str">
        <f t="shared" si="313"/>
        <v>Link</v>
      </c>
      <c r="AE417" s="54">
        <v>4317</v>
      </c>
      <c r="AF417" s="55"/>
      <c r="AG417" s="55"/>
      <c r="AH417" s="56">
        <v>168227</v>
      </c>
      <c r="AI417" s="56"/>
    </row>
    <row r="418" spans="1:35" ht="13" x14ac:dyDescent="0.15">
      <c r="A418" s="57"/>
      <c r="B418" s="31" t="s">
        <v>4463</v>
      </c>
      <c r="C418" s="36" t="s">
        <v>43</v>
      </c>
      <c r="D418" s="44">
        <v>5</v>
      </c>
      <c r="E418" s="7" t="s">
        <v>5938</v>
      </c>
      <c r="F418" s="7" t="s">
        <v>116</v>
      </c>
      <c r="G418" s="57"/>
      <c r="H418" s="2" t="s">
        <v>5914</v>
      </c>
      <c r="I418" s="7" t="s">
        <v>1875</v>
      </c>
      <c r="J418" s="7" t="s">
        <v>5939</v>
      </c>
      <c r="K418" s="7" t="s">
        <v>55</v>
      </c>
      <c r="L418" s="57"/>
      <c r="M418" s="57"/>
      <c r="N418" s="45" t="str">
        <f t="shared" si="311"/>
        <v>@witsoftball</v>
      </c>
      <c r="O418" s="45" t="str">
        <f t="shared" si="312"/>
        <v>Questionnaire</v>
      </c>
      <c r="P418" s="48" t="s">
        <v>5927</v>
      </c>
      <c r="Q418" s="60" t="s">
        <v>595</v>
      </c>
      <c r="R418" s="48" t="s">
        <v>614</v>
      </c>
      <c r="S418" s="48" t="s">
        <v>354</v>
      </c>
      <c r="T418" s="49" t="s">
        <v>63</v>
      </c>
      <c r="U418" s="48" t="s">
        <v>75</v>
      </c>
      <c r="V418" s="49"/>
      <c r="W418" s="44">
        <v>3.06</v>
      </c>
      <c r="X418" s="49" t="s">
        <v>802</v>
      </c>
      <c r="Y418" s="49" t="s">
        <v>1319</v>
      </c>
      <c r="Z418" s="49" t="s">
        <v>803</v>
      </c>
      <c r="AA418" s="65">
        <v>0.71</v>
      </c>
      <c r="AB418" s="39">
        <v>52504</v>
      </c>
      <c r="AC418" s="84" t="s">
        <v>5927</v>
      </c>
      <c r="AD418" s="53" t="str">
        <f t="shared" si="313"/>
        <v>Link</v>
      </c>
      <c r="AE418" s="54">
        <v>4317</v>
      </c>
      <c r="AF418" s="55"/>
      <c r="AG418" s="55"/>
      <c r="AH418" s="56">
        <v>168227</v>
      </c>
      <c r="AI418" s="59"/>
    </row>
    <row r="419" spans="1:35" ht="13" x14ac:dyDescent="0.15">
      <c r="A419" s="57"/>
      <c r="B419" s="31" t="s">
        <v>4463</v>
      </c>
      <c r="C419" s="36" t="s">
        <v>43</v>
      </c>
      <c r="D419" s="44">
        <v>5</v>
      </c>
      <c r="E419" s="7" t="s">
        <v>5955</v>
      </c>
      <c r="F419" s="7" t="s">
        <v>116</v>
      </c>
      <c r="G419" s="57"/>
      <c r="H419" s="2" t="s">
        <v>5914</v>
      </c>
      <c r="I419" s="7" t="s">
        <v>2549</v>
      </c>
      <c r="J419" s="7" t="s">
        <v>5957</v>
      </c>
      <c r="K419" s="7" t="s">
        <v>120</v>
      </c>
      <c r="L419" s="57"/>
      <c r="M419" s="57"/>
      <c r="N419" s="45" t="str">
        <f t="shared" si="311"/>
        <v>@witsoftball</v>
      </c>
      <c r="O419" s="45" t="str">
        <f t="shared" si="312"/>
        <v>Questionnaire</v>
      </c>
      <c r="P419" s="48" t="s">
        <v>5927</v>
      </c>
      <c r="Q419" s="60" t="s">
        <v>595</v>
      </c>
      <c r="R419" s="48" t="s">
        <v>614</v>
      </c>
      <c r="S419" s="48" t="s">
        <v>354</v>
      </c>
      <c r="T419" s="49" t="s">
        <v>63</v>
      </c>
      <c r="U419" s="48" t="s">
        <v>75</v>
      </c>
      <c r="V419" s="49"/>
      <c r="W419" s="44">
        <v>3.06</v>
      </c>
      <c r="X419" s="49" t="s">
        <v>802</v>
      </c>
      <c r="Y419" s="49" t="s">
        <v>1319</v>
      </c>
      <c r="Z419" s="49" t="s">
        <v>803</v>
      </c>
      <c r="AA419" s="65">
        <v>0.71</v>
      </c>
      <c r="AB419" s="39">
        <v>52504</v>
      </c>
      <c r="AC419" s="84" t="s">
        <v>5927</v>
      </c>
      <c r="AD419" s="53" t="str">
        <f t="shared" si="313"/>
        <v>Link</v>
      </c>
      <c r="AE419" s="54">
        <v>4317</v>
      </c>
      <c r="AF419" s="55"/>
      <c r="AG419" s="55"/>
      <c r="AH419" s="56">
        <v>168227</v>
      </c>
      <c r="AI419" s="59"/>
    </row>
    <row r="420" spans="1:35" ht="13" x14ac:dyDescent="0.15">
      <c r="A420" s="57"/>
      <c r="B420" s="31" t="s">
        <v>4463</v>
      </c>
      <c r="C420" s="36" t="s">
        <v>43</v>
      </c>
      <c r="D420" s="44">
        <v>5</v>
      </c>
      <c r="E420" s="7" t="s">
        <v>5962</v>
      </c>
      <c r="F420" s="7" t="s">
        <v>116</v>
      </c>
      <c r="G420" s="57"/>
      <c r="H420" s="2" t="s">
        <v>5914</v>
      </c>
      <c r="I420" s="7" t="s">
        <v>5963</v>
      </c>
      <c r="J420" s="7" t="s">
        <v>5965</v>
      </c>
      <c r="K420" s="7" t="s">
        <v>55</v>
      </c>
      <c r="L420" s="57"/>
      <c r="M420" s="57"/>
      <c r="N420" s="45" t="str">
        <f t="shared" si="311"/>
        <v>@witsoftball</v>
      </c>
      <c r="O420" s="45" t="str">
        <f t="shared" si="312"/>
        <v>Questionnaire</v>
      </c>
      <c r="P420" s="48" t="s">
        <v>5927</v>
      </c>
      <c r="Q420" s="60" t="s">
        <v>595</v>
      </c>
      <c r="R420" s="48" t="s">
        <v>614</v>
      </c>
      <c r="S420" s="48" t="s">
        <v>354</v>
      </c>
      <c r="T420" s="49" t="s">
        <v>63</v>
      </c>
      <c r="U420" s="48" t="s">
        <v>75</v>
      </c>
      <c r="V420" s="49"/>
      <c r="W420" s="44">
        <v>3.06</v>
      </c>
      <c r="X420" s="49" t="s">
        <v>802</v>
      </c>
      <c r="Y420" s="49" t="s">
        <v>1319</v>
      </c>
      <c r="Z420" s="49" t="s">
        <v>803</v>
      </c>
      <c r="AA420" s="65">
        <v>0.71</v>
      </c>
      <c r="AB420" s="39">
        <v>52504</v>
      </c>
      <c r="AC420" s="84" t="s">
        <v>5927</v>
      </c>
      <c r="AD420" s="53" t="str">
        <f t="shared" si="313"/>
        <v>Link</v>
      </c>
      <c r="AE420" s="54">
        <v>4317</v>
      </c>
      <c r="AF420" s="55"/>
      <c r="AG420" s="55"/>
      <c r="AH420" s="56">
        <v>168227</v>
      </c>
      <c r="AI420" s="59"/>
    </row>
    <row r="421" spans="1:35" ht="13" x14ac:dyDescent="0.15">
      <c r="A421" s="57"/>
      <c r="B421" s="31" t="s">
        <v>4463</v>
      </c>
      <c r="C421" s="36" t="s">
        <v>43</v>
      </c>
      <c r="D421" s="86">
        <v>5</v>
      </c>
      <c r="E421" s="7" t="s">
        <v>5976</v>
      </c>
      <c r="F421" s="7"/>
      <c r="G421" s="86"/>
      <c r="H421" s="2" t="s">
        <v>5978</v>
      </c>
      <c r="I421" s="2" t="s">
        <v>1875</v>
      </c>
      <c r="J421" s="2" t="s">
        <v>5980</v>
      </c>
      <c r="K421" s="2" t="s">
        <v>48</v>
      </c>
      <c r="L421" s="2" t="s">
        <v>5981</v>
      </c>
      <c r="M421" s="2" t="s">
        <v>5982</v>
      </c>
      <c r="N421" s="45" t="str">
        <f t="shared" ref="N421:N422" si="314">HYPERLINK("twitter.com/wnesoftball","@wnesoftball")</f>
        <v>@wnesoftball</v>
      </c>
      <c r="O421" s="45" t="str">
        <f t="shared" ref="O421:O422" si="315">HYPERLINK("http://www.wnegoldenbears.com/recruits/recruiting_questionnaires","Questionnaire")</f>
        <v>Questionnaire</v>
      </c>
      <c r="P421" s="48" t="s">
        <v>5986</v>
      </c>
      <c r="Q421" s="60" t="s">
        <v>595</v>
      </c>
      <c r="R421" s="48" t="s">
        <v>4357</v>
      </c>
      <c r="S421" s="48" t="s">
        <v>62</v>
      </c>
      <c r="T421" s="49" t="s">
        <v>63</v>
      </c>
      <c r="U421" s="48" t="s">
        <v>75</v>
      </c>
      <c r="V421" s="49"/>
      <c r="W421" s="37">
        <v>3.38</v>
      </c>
      <c r="X421" s="49" t="s">
        <v>2141</v>
      </c>
      <c r="Y421" s="49" t="s">
        <v>291</v>
      </c>
      <c r="Z421" s="49" t="s">
        <v>320</v>
      </c>
      <c r="AA421" s="65">
        <v>0.8</v>
      </c>
      <c r="AB421" s="39">
        <v>51388</v>
      </c>
      <c r="AC421" s="84" t="s">
        <v>5986</v>
      </c>
      <c r="AD421" s="53" t="str">
        <f t="shared" ref="AD421:AD422" si="316">HYPERLINK("http://www1.wne.edu/academics/undergraduate/index.cfm","Link")</f>
        <v>Link</v>
      </c>
      <c r="AE421" s="54">
        <v>2724</v>
      </c>
      <c r="AF421" s="55"/>
      <c r="AG421" s="55"/>
      <c r="AH421" s="56">
        <v>168254</v>
      </c>
      <c r="AI421" s="56"/>
    </row>
    <row r="422" spans="1:35" ht="13" x14ac:dyDescent="0.15">
      <c r="A422" s="57"/>
      <c r="B422" s="31" t="s">
        <v>4463</v>
      </c>
      <c r="C422" s="36" t="s">
        <v>43</v>
      </c>
      <c r="D422" s="86">
        <v>5</v>
      </c>
      <c r="E422" s="7" t="s">
        <v>5992</v>
      </c>
      <c r="F422" s="7"/>
      <c r="G422" s="86"/>
      <c r="H422" s="2" t="s">
        <v>5978</v>
      </c>
      <c r="I422" s="2" t="s">
        <v>1280</v>
      </c>
      <c r="J422" s="2" t="s">
        <v>5993</v>
      </c>
      <c r="K422" s="2" t="s">
        <v>55</v>
      </c>
      <c r="L422" s="2"/>
      <c r="M422" s="2"/>
      <c r="N422" s="45" t="str">
        <f t="shared" si="314"/>
        <v>@wnesoftball</v>
      </c>
      <c r="O422" s="45" t="str">
        <f t="shared" si="315"/>
        <v>Questionnaire</v>
      </c>
      <c r="P422" s="48" t="s">
        <v>5986</v>
      </c>
      <c r="Q422" s="60" t="s">
        <v>595</v>
      </c>
      <c r="R422" s="48" t="s">
        <v>4357</v>
      </c>
      <c r="S422" s="48" t="s">
        <v>62</v>
      </c>
      <c r="T422" s="49" t="s">
        <v>63</v>
      </c>
      <c r="U422" s="48" t="s">
        <v>75</v>
      </c>
      <c r="V422" s="49"/>
      <c r="W422" s="37">
        <v>3.38</v>
      </c>
      <c r="X422" s="49" t="s">
        <v>2141</v>
      </c>
      <c r="Y422" s="49" t="s">
        <v>291</v>
      </c>
      <c r="Z422" s="49" t="s">
        <v>320</v>
      </c>
      <c r="AA422" s="65">
        <v>0.8</v>
      </c>
      <c r="AB422" s="39">
        <v>51388</v>
      </c>
      <c r="AC422" s="84" t="s">
        <v>5986</v>
      </c>
      <c r="AD422" s="53" t="str">
        <f t="shared" si="316"/>
        <v>Link</v>
      </c>
      <c r="AE422" s="54">
        <v>2724</v>
      </c>
      <c r="AF422" s="55"/>
      <c r="AG422" s="55"/>
      <c r="AH422" s="56">
        <v>168254</v>
      </c>
      <c r="AI422" s="56"/>
    </row>
    <row r="423" spans="1:35" ht="15" x14ac:dyDescent="0.2">
      <c r="A423" s="57"/>
      <c r="B423" s="31" t="s">
        <v>4463</v>
      </c>
      <c r="C423" s="36" t="s">
        <v>43</v>
      </c>
      <c r="D423" s="86">
        <v>5</v>
      </c>
      <c r="E423" s="7" t="s">
        <v>6001</v>
      </c>
      <c r="F423" s="7"/>
      <c r="G423" s="86"/>
      <c r="H423" s="2" t="s">
        <v>6002</v>
      </c>
      <c r="I423" s="2" t="s">
        <v>2591</v>
      </c>
      <c r="J423" s="2" t="s">
        <v>6003</v>
      </c>
      <c r="K423" s="2" t="s">
        <v>48</v>
      </c>
      <c r="L423" s="7" t="s">
        <v>6005</v>
      </c>
      <c r="M423" s="2" t="s">
        <v>6007</v>
      </c>
      <c r="N423" s="45" t="str">
        <f t="shared" ref="N423:N425" si="317">HYPERLINK("twitter.com/westfieldsball","@westfieldsball")</f>
        <v>@westfieldsball</v>
      </c>
      <c r="O423" s="45" t="str">
        <f t="shared" ref="O423:O425" si="318">HYPERLINK("https://www.westfieldstateowls.com/recruit-me/prospective-athlete-form","Questionnaire")</f>
        <v>Questionnaire</v>
      </c>
      <c r="P423" s="48" t="s">
        <v>6013</v>
      </c>
      <c r="Q423" s="60" t="s">
        <v>595</v>
      </c>
      <c r="R423" s="48" t="s">
        <v>6015</v>
      </c>
      <c r="S423" s="48" t="s">
        <v>468</v>
      </c>
      <c r="T423" s="49" t="s">
        <v>74</v>
      </c>
      <c r="U423" s="48" t="s">
        <v>75</v>
      </c>
      <c r="V423" s="49"/>
      <c r="W423" s="37">
        <v>3.11</v>
      </c>
      <c r="X423" s="49" t="s">
        <v>1145</v>
      </c>
      <c r="Y423" s="49" t="s">
        <v>397</v>
      </c>
      <c r="Z423" s="49" t="s">
        <v>125</v>
      </c>
      <c r="AA423" s="65">
        <v>0.78</v>
      </c>
      <c r="AB423" s="48" t="s">
        <v>6018</v>
      </c>
      <c r="AC423" s="52" t="s">
        <v>6013</v>
      </c>
      <c r="AD423" s="53" t="str">
        <f t="shared" ref="AD423:AD425" si="319">HYPERLINK("http://www.westfield.ma.edu/academics","Link")</f>
        <v>Link</v>
      </c>
      <c r="AE423" s="54">
        <v>5633</v>
      </c>
      <c r="AF423" s="55"/>
      <c r="AG423" s="55"/>
      <c r="AH423" s="56">
        <v>168263</v>
      </c>
      <c r="AI423" s="56"/>
    </row>
    <row r="424" spans="1:35" ht="15" x14ac:dyDescent="0.2">
      <c r="A424" s="57"/>
      <c r="B424" s="31" t="s">
        <v>4463</v>
      </c>
      <c r="C424" s="36" t="s">
        <v>43</v>
      </c>
      <c r="D424" s="86">
        <v>5</v>
      </c>
      <c r="E424" s="7" t="s">
        <v>6020</v>
      </c>
      <c r="F424" s="7"/>
      <c r="G424" s="86" t="s">
        <v>126</v>
      </c>
      <c r="H424" s="2" t="s">
        <v>6002</v>
      </c>
      <c r="I424" s="2" t="s">
        <v>6021</v>
      </c>
      <c r="J424" s="2"/>
      <c r="K424" s="2"/>
      <c r="L424" s="2"/>
      <c r="M424" s="2"/>
      <c r="N424" s="45" t="str">
        <f t="shared" si="317"/>
        <v>@westfieldsball</v>
      </c>
      <c r="O424" s="45" t="str">
        <f t="shared" si="318"/>
        <v>Questionnaire</v>
      </c>
      <c r="P424" s="48" t="s">
        <v>6013</v>
      </c>
      <c r="Q424" s="60" t="s">
        <v>595</v>
      </c>
      <c r="R424" s="48" t="s">
        <v>6015</v>
      </c>
      <c r="S424" s="48" t="s">
        <v>468</v>
      </c>
      <c r="T424" s="49" t="s">
        <v>74</v>
      </c>
      <c r="U424" s="48" t="s">
        <v>75</v>
      </c>
      <c r="V424" s="49"/>
      <c r="W424" s="37">
        <v>3.11</v>
      </c>
      <c r="X424" s="49" t="s">
        <v>1145</v>
      </c>
      <c r="Y424" s="49" t="s">
        <v>397</v>
      </c>
      <c r="Z424" s="49" t="s">
        <v>125</v>
      </c>
      <c r="AA424" s="65">
        <v>0.78</v>
      </c>
      <c r="AB424" s="48" t="s">
        <v>6018</v>
      </c>
      <c r="AC424" s="52" t="s">
        <v>6013</v>
      </c>
      <c r="AD424" s="53" t="str">
        <f t="shared" si="319"/>
        <v>Link</v>
      </c>
      <c r="AE424" s="54">
        <v>5633</v>
      </c>
      <c r="AF424" s="55"/>
      <c r="AG424" s="55"/>
      <c r="AH424" s="56">
        <v>168263</v>
      </c>
      <c r="AI424" s="56"/>
    </row>
    <row r="425" spans="1:35" ht="15" x14ac:dyDescent="0.2">
      <c r="A425" s="57"/>
      <c r="B425" s="31" t="s">
        <v>4463</v>
      </c>
      <c r="C425" s="36" t="s">
        <v>43</v>
      </c>
      <c r="D425" s="86">
        <v>5</v>
      </c>
      <c r="E425" s="7" t="s">
        <v>6029</v>
      </c>
      <c r="F425" s="7"/>
      <c r="G425" s="86" t="s">
        <v>126</v>
      </c>
      <c r="H425" s="2" t="s">
        <v>6002</v>
      </c>
      <c r="I425" s="2" t="s">
        <v>6030</v>
      </c>
      <c r="J425" s="2"/>
      <c r="K425" s="2"/>
      <c r="L425" s="2"/>
      <c r="M425" s="2"/>
      <c r="N425" s="45" t="str">
        <f t="shared" si="317"/>
        <v>@westfieldsball</v>
      </c>
      <c r="O425" s="45" t="str">
        <f t="shared" si="318"/>
        <v>Questionnaire</v>
      </c>
      <c r="P425" s="48" t="s">
        <v>6013</v>
      </c>
      <c r="Q425" s="60" t="s">
        <v>595</v>
      </c>
      <c r="R425" s="48" t="s">
        <v>6015</v>
      </c>
      <c r="S425" s="48" t="s">
        <v>468</v>
      </c>
      <c r="T425" s="49" t="s">
        <v>74</v>
      </c>
      <c r="U425" s="48" t="s">
        <v>75</v>
      </c>
      <c r="V425" s="49"/>
      <c r="W425" s="37">
        <v>3.11</v>
      </c>
      <c r="X425" s="49" t="s">
        <v>1145</v>
      </c>
      <c r="Y425" s="49" t="s">
        <v>397</v>
      </c>
      <c r="Z425" s="49" t="s">
        <v>125</v>
      </c>
      <c r="AA425" s="65">
        <v>0.78</v>
      </c>
      <c r="AB425" s="48" t="s">
        <v>6018</v>
      </c>
      <c r="AC425" s="52" t="s">
        <v>6013</v>
      </c>
      <c r="AD425" s="53" t="str">
        <f t="shared" si="319"/>
        <v>Link</v>
      </c>
      <c r="AE425" s="54">
        <v>5633</v>
      </c>
      <c r="AF425" s="55"/>
      <c r="AG425" s="55"/>
      <c r="AH425" s="56">
        <v>168263</v>
      </c>
      <c r="AI425" s="56"/>
    </row>
    <row r="426" spans="1:35" ht="13" x14ac:dyDescent="0.15">
      <c r="A426" s="57"/>
      <c r="B426" s="31" t="s">
        <v>4463</v>
      </c>
      <c r="C426" s="36" t="s">
        <v>43</v>
      </c>
      <c r="D426" s="86">
        <v>5</v>
      </c>
      <c r="E426" s="7" t="s">
        <v>6036</v>
      </c>
      <c r="F426" s="7"/>
      <c r="G426" s="86"/>
      <c r="H426" s="2" t="s">
        <v>6037</v>
      </c>
      <c r="I426" s="2" t="s">
        <v>5606</v>
      </c>
      <c r="J426" s="2" t="s">
        <v>6038</v>
      </c>
      <c r="K426" s="2" t="s">
        <v>48</v>
      </c>
      <c r="L426" s="2" t="s">
        <v>6039</v>
      </c>
      <c r="M426" s="2" t="s">
        <v>6041</v>
      </c>
      <c r="N426" s="45" t="str">
        <f t="shared" ref="N426:N428" si="320">HYPERLINK("twitter.com/wheatonsb","@wheatonsb")</f>
        <v>@wheatonsb</v>
      </c>
      <c r="O426" s="45" t="str">
        <f t="shared" ref="O426:O428" si="321">HYPERLINK("https://athletics.wheatoncollege.edu/prospectiveathlete","Questionnaire")</f>
        <v>Questionnaire</v>
      </c>
      <c r="P426" s="48" t="s">
        <v>6044</v>
      </c>
      <c r="Q426" s="60" t="s">
        <v>595</v>
      </c>
      <c r="R426" s="48" t="s">
        <v>5835</v>
      </c>
      <c r="S426" s="48" t="s">
        <v>172</v>
      </c>
      <c r="T426" s="49" t="s">
        <v>63</v>
      </c>
      <c r="U426" s="48" t="s">
        <v>75</v>
      </c>
      <c r="V426" s="49"/>
      <c r="W426" s="37">
        <v>3.5</v>
      </c>
      <c r="X426" s="49" t="s">
        <v>6046</v>
      </c>
      <c r="Y426" s="49" t="s">
        <v>1319</v>
      </c>
      <c r="Z426" s="49" t="s">
        <v>1373</v>
      </c>
      <c r="AA426" s="65">
        <v>0.67</v>
      </c>
      <c r="AB426" s="39">
        <v>63512</v>
      </c>
      <c r="AC426" s="84" t="s">
        <v>6044</v>
      </c>
      <c r="AD426" s="53" t="str">
        <f t="shared" ref="AD426:AD428" si="322">HYPERLINK("https://wheatoncollege.edu/academics/programs/#majors-minors-programs","Link")</f>
        <v>Link</v>
      </c>
      <c r="AE426" s="54">
        <v>1651</v>
      </c>
      <c r="AF426" s="55"/>
      <c r="AG426" s="54">
        <v>76</v>
      </c>
      <c r="AH426" s="56">
        <v>168281</v>
      </c>
      <c r="AI426" s="56"/>
    </row>
    <row r="427" spans="1:35" ht="13" x14ac:dyDescent="0.15">
      <c r="A427" s="57"/>
      <c r="B427" s="31" t="s">
        <v>4463</v>
      </c>
      <c r="C427" s="36" t="s">
        <v>43</v>
      </c>
      <c r="D427" s="86">
        <v>5</v>
      </c>
      <c r="E427" s="7" t="s">
        <v>6053</v>
      </c>
      <c r="F427" s="7"/>
      <c r="G427" s="86"/>
      <c r="H427" s="2" t="s">
        <v>6037</v>
      </c>
      <c r="I427" s="2" t="s">
        <v>6054</v>
      </c>
      <c r="J427" s="2" t="s">
        <v>6055</v>
      </c>
      <c r="K427" s="2" t="s">
        <v>55</v>
      </c>
      <c r="L427" s="2" t="s">
        <v>6056</v>
      </c>
      <c r="M427" s="2" t="s">
        <v>6041</v>
      </c>
      <c r="N427" s="45" t="str">
        <f t="shared" si="320"/>
        <v>@wheatonsb</v>
      </c>
      <c r="O427" s="45" t="str">
        <f t="shared" si="321"/>
        <v>Questionnaire</v>
      </c>
      <c r="P427" s="48" t="s">
        <v>6044</v>
      </c>
      <c r="Q427" s="60" t="s">
        <v>595</v>
      </c>
      <c r="R427" s="48" t="s">
        <v>5835</v>
      </c>
      <c r="S427" s="48" t="s">
        <v>172</v>
      </c>
      <c r="T427" s="49" t="s">
        <v>63</v>
      </c>
      <c r="U427" s="48" t="s">
        <v>75</v>
      </c>
      <c r="V427" s="49"/>
      <c r="W427" s="37">
        <v>3.5</v>
      </c>
      <c r="X427" s="49" t="s">
        <v>6046</v>
      </c>
      <c r="Y427" s="49" t="s">
        <v>1319</v>
      </c>
      <c r="Z427" s="49" t="s">
        <v>1373</v>
      </c>
      <c r="AA427" s="65">
        <v>0.67</v>
      </c>
      <c r="AB427" s="39">
        <v>63512</v>
      </c>
      <c r="AC427" s="84" t="s">
        <v>6044</v>
      </c>
      <c r="AD427" s="53" t="str">
        <f t="shared" si="322"/>
        <v>Link</v>
      </c>
      <c r="AE427" s="54">
        <v>1651</v>
      </c>
      <c r="AF427" s="55"/>
      <c r="AG427" s="54">
        <v>76</v>
      </c>
      <c r="AH427" s="56">
        <v>168281</v>
      </c>
      <c r="AI427" s="56"/>
    </row>
    <row r="428" spans="1:35" ht="13" x14ac:dyDescent="0.15">
      <c r="A428" s="57"/>
      <c r="B428" s="31" t="s">
        <v>4463</v>
      </c>
      <c r="C428" s="36" t="s">
        <v>43</v>
      </c>
      <c r="D428" s="86">
        <v>5</v>
      </c>
      <c r="E428" s="7" t="s">
        <v>6059</v>
      </c>
      <c r="F428" s="7"/>
      <c r="G428" s="86"/>
      <c r="H428" s="2" t="s">
        <v>6037</v>
      </c>
      <c r="I428" s="2" t="s">
        <v>1791</v>
      </c>
      <c r="J428" s="2" t="s">
        <v>2919</v>
      </c>
      <c r="K428" s="2" t="s">
        <v>919</v>
      </c>
      <c r="L428" s="7" t="s">
        <v>6060</v>
      </c>
      <c r="M428" s="2" t="s">
        <v>6041</v>
      </c>
      <c r="N428" s="45" t="str">
        <f t="shared" si="320"/>
        <v>@wheatonsb</v>
      </c>
      <c r="O428" s="45" t="str">
        <f t="shared" si="321"/>
        <v>Questionnaire</v>
      </c>
      <c r="P428" s="48" t="s">
        <v>6044</v>
      </c>
      <c r="Q428" s="60" t="s">
        <v>595</v>
      </c>
      <c r="R428" s="48" t="s">
        <v>5835</v>
      </c>
      <c r="S428" s="48" t="s">
        <v>172</v>
      </c>
      <c r="T428" s="49" t="s">
        <v>63</v>
      </c>
      <c r="U428" s="48" t="s">
        <v>75</v>
      </c>
      <c r="V428" s="49"/>
      <c r="W428" s="37">
        <v>3.5</v>
      </c>
      <c r="X428" s="49" t="s">
        <v>6046</v>
      </c>
      <c r="Y428" s="49" t="s">
        <v>1319</v>
      </c>
      <c r="Z428" s="49" t="s">
        <v>1373</v>
      </c>
      <c r="AA428" s="65">
        <v>0.67</v>
      </c>
      <c r="AB428" s="39">
        <v>63512</v>
      </c>
      <c r="AC428" s="84" t="s">
        <v>6044</v>
      </c>
      <c r="AD428" s="53" t="str">
        <f t="shared" si="322"/>
        <v>Link</v>
      </c>
      <c r="AE428" s="54">
        <v>1651</v>
      </c>
      <c r="AF428" s="55"/>
      <c r="AG428" s="54">
        <v>76</v>
      </c>
      <c r="AH428" s="56">
        <v>168281</v>
      </c>
      <c r="AI428" s="56"/>
    </row>
    <row r="429" spans="1:35" ht="13" x14ac:dyDescent="0.15">
      <c r="A429" s="7"/>
      <c r="B429" s="31" t="s">
        <v>4463</v>
      </c>
      <c r="C429" s="36" t="s">
        <v>43</v>
      </c>
      <c r="D429" s="7"/>
      <c r="E429" s="86">
        <v>5</v>
      </c>
      <c r="F429" s="7"/>
      <c r="G429" s="7"/>
      <c r="H429" s="2" t="s">
        <v>6067</v>
      </c>
      <c r="I429" s="2" t="s">
        <v>1178</v>
      </c>
      <c r="J429" s="2" t="s">
        <v>6068</v>
      </c>
      <c r="K429" s="2" t="s">
        <v>48</v>
      </c>
      <c r="L429" s="2" t="s">
        <v>6069</v>
      </c>
      <c r="M429" s="2" t="s">
        <v>6070</v>
      </c>
      <c r="N429" s="45" t="str">
        <f t="shared" ref="N429:N432" si="323">HYPERLINK("twitter.com/EphsSBCoach","@EphsSBCoach")</f>
        <v>@EphsSBCoach</v>
      </c>
      <c r="O429" s="45" t="str">
        <f t="shared" ref="O429:O432" si="324">HYPERLINK("https://www.frontrush.com/FR_Web_App/Player/PlayerSubmit.aspx?sid=929&amp;ptype=recruit","Questionnaire")</f>
        <v>Questionnaire</v>
      </c>
      <c r="P429" s="48" t="s">
        <v>6078</v>
      </c>
      <c r="Q429" s="60" t="s">
        <v>595</v>
      </c>
      <c r="R429" s="48" t="s">
        <v>6079</v>
      </c>
      <c r="S429" s="60" t="s">
        <v>205</v>
      </c>
      <c r="T429" s="49" t="s">
        <v>63</v>
      </c>
      <c r="U429" s="48" t="s">
        <v>75</v>
      </c>
      <c r="V429" s="49"/>
      <c r="W429" s="37">
        <v>4.04</v>
      </c>
      <c r="X429" s="49" t="s">
        <v>4555</v>
      </c>
      <c r="Y429" s="49" t="s">
        <v>1539</v>
      </c>
      <c r="Z429" s="49" t="s">
        <v>765</v>
      </c>
      <c r="AA429" s="65">
        <v>0.18</v>
      </c>
      <c r="AB429" s="39">
        <v>68430</v>
      </c>
      <c r="AC429" s="90" t="s">
        <v>6078</v>
      </c>
      <c r="AD429" s="53" t="str">
        <f t="shared" ref="AD429:AD432" si="325">HYPERLINK("https://www.williams.edu/academics/areas-of-study/","Link")</f>
        <v>Link</v>
      </c>
      <c r="AE429" s="54">
        <v>2093</v>
      </c>
      <c r="AF429" s="55"/>
      <c r="AG429" s="54">
        <v>1</v>
      </c>
      <c r="AH429" s="56">
        <v>168342</v>
      </c>
      <c r="AI429" s="56" t="s">
        <v>2459</v>
      </c>
    </row>
    <row r="430" spans="1:35" ht="13" x14ac:dyDescent="0.15">
      <c r="A430" s="7"/>
      <c r="B430" s="31" t="s">
        <v>4463</v>
      </c>
      <c r="C430" s="36" t="s">
        <v>43</v>
      </c>
      <c r="D430" s="7"/>
      <c r="E430" s="86">
        <v>5</v>
      </c>
      <c r="F430" s="7"/>
      <c r="G430" s="7"/>
      <c r="H430" s="2" t="s">
        <v>6067</v>
      </c>
      <c r="I430" s="2" t="s">
        <v>3865</v>
      </c>
      <c r="J430" s="2" t="s">
        <v>6084</v>
      </c>
      <c r="K430" s="2" t="s">
        <v>55</v>
      </c>
      <c r="L430" s="2" t="s">
        <v>6085</v>
      </c>
      <c r="M430" s="2" t="s">
        <v>6087</v>
      </c>
      <c r="N430" s="45" t="str">
        <f t="shared" si="323"/>
        <v>@EphsSBCoach</v>
      </c>
      <c r="O430" s="45" t="str">
        <f t="shared" si="324"/>
        <v>Questionnaire</v>
      </c>
      <c r="P430" s="48" t="s">
        <v>6078</v>
      </c>
      <c r="Q430" s="60" t="s">
        <v>595</v>
      </c>
      <c r="R430" s="48" t="s">
        <v>6079</v>
      </c>
      <c r="S430" s="60" t="s">
        <v>205</v>
      </c>
      <c r="T430" s="49" t="s">
        <v>63</v>
      </c>
      <c r="U430" s="48" t="s">
        <v>75</v>
      </c>
      <c r="V430" s="49"/>
      <c r="W430" s="37">
        <v>4.04</v>
      </c>
      <c r="X430" s="49" t="s">
        <v>4555</v>
      </c>
      <c r="Y430" s="49" t="s">
        <v>1539</v>
      </c>
      <c r="Z430" s="49" t="s">
        <v>765</v>
      </c>
      <c r="AA430" s="65">
        <v>0.18</v>
      </c>
      <c r="AB430" s="39">
        <v>68430</v>
      </c>
      <c r="AC430" s="90" t="s">
        <v>6078</v>
      </c>
      <c r="AD430" s="53" t="str">
        <f t="shared" si="325"/>
        <v>Link</v>
      </c>
      <c r="AE430" s="54">
        <v>2093</v>
      </c>
      <c r="AF430" s="55"/>
      <c r="AG430" s="54">
        <v>1</v>
      </c>
      <c r="AH430" s="56">
        <v>168342</v>
      </c>
      <c r="AI430" s="56" t="s">
        <v>2459</v>
      </c>
    </row>
    <row r="431" spans="1:35" ht="13" x14ac:dyDescent="0.15">
      <c r="A431" s="57"/>
      <c r="B431" s="31" t="s">
        <v>4463</v>
      </c>
      <c r="C431" s="36" t="s">
        <v>43</v>
      </c>
      <c r="D431" s="86">
        <v>5</v>
      </c>
      <c r="E431" s="7" t="s">
        <v>6095</v>
      </c>
      <c r="F431" s="7"/>
      <c r="G431" s="86"/>
      <c r="H431" s="2" t="s">
        <v>6067</v>
      </c>
      <c r="I431" s="2" t="s">
        <v>1178</v>
      </c>
      <c r="J431" s="2" t="s">
        <v>6068</v>
      </c>
      <c r="K431" s="2" t="s">
        <v>48</v>
      </c>
      <c r="L431" s="2" t="s">
        <v>6069</v>
      </c>
      <c r="M431" s="2" t="s">
        <v>6070</v>
      </c>
      <c r="N431" s="45" t="str">
        <f t="shared" si="323"/>
        <v>@EphsSBCoach</v>
      </c>
      <c r="O431" s="45" t="str">
        <f t="shared" si="324"/>
        <v>Questionnaire</v>
      </c>
      <c r="P431" s="48" t="s">
        <v>6078</v>
      </c>
      <c r="Q431" s="60" t="s">
        <v>595</v>
      </c>
      <c r="R431" s="48" t="s">
        <v>6079</v>
      </c>
      <c r="S431" s="60" t="s">
        <v>205</v>
      </c>
      <c r="T431" s="49" t="s">
        <v>63</v>
      </c>
      <c r="U431" s="48" t="s">
        <v>75</v>
      </c>
      <c r="V431" s="49"/>
      <c r="W431" s="37">
        <v>4.04</v>
      </c>
      <c r="X431" s="49" t="s">
        <v>4555</v>
      </c>
      <c r="Y431" s="49" t="s">
        <v>1539</v>
      </c>
      <c r="Z431" s="49" t="s">
        <v>765</v>
      </c>
      <c r="AA431" s="65">
        <v>0.18</v>
      </c>
      <c r="AB431" s="39">
        <v>68430</v>
      </c>
      <c r="AC431" s="90" t="s">
        <v>6078</v>
      </c>
      <c r="AD431" s="53" t="str">
        <f t="shared" si="325"/>
        <v>Link</v>
      </c>
      <c r="AE431" s="54">
        <v>2093</v>
      </c>
      <c r="AF431" s="55"/>
      <c r="AG431" s="54">
        <v>1</v>
      </c>
      <c r="AH431" s="56">
        <v>168342</v>
      </c>
      <c r="AI431" s="56"/>
    </row>
    <row r="432" spans="1:35" ht="13" x14ac:dyDescent="0.15">
      <c r="A432" s="57"/>
      <c r="B432" s="31" t="s">
        <v>4463</v>
      </c>
      <c r="C432" s="36" t="s">
        <v>43</v>
      </c>
      <c r="D432" s="86">
        <v>5</v>
      </c>
      <c r="E432" s="7" t="s">
        <v>6104</v>
      </c>
      <c r="F432" s="7"/>
      <c r="G432" s="86"/>
      <c r="H432" s="2" t="s">
        <v>6067</v>
      </c>
      <c r="I432" s="2" t="s">
        <v>3865</v>
      </c>
      <c r="J432" s="2" t="s">
        <v>6084</v>
      </c>
      <c r="K432" s="2" t="s">
        <v>55</v>
      </c>
      <c r="L432" s="2" t="s">
        <v>6085</v>
      </c>
      <c r="M432" s="2" t="s">
        <v>6087</v>
      </c>
      <c r="N432" s="45" t="str">
        <f t="shared" si="323"/>
        <v>@EphsSBCoach</v>
      </c>
      <c r="O432" s="45" t="str">
        <f t="shared" si="324"/>
        <v>Questionnaire</v>
      </c>
      <c r="P432" s="48" t="s">
        <v>6078</v>
      </c>
      <c r="Q432" s="60" t="s">
        <v>595</v>
      </c>
      <c r="R432" s="48" t="s">
        <v>6079</v>
      </c>
      <c r="S432" s="60" t="s">
        <v>205</v>
      </c>
      <c r="T432" s="49" t="s">
        <v>63</v>
      </c>
      <c r="U432" s="48" t="s">
        <v>75</v>
      </c>
      <c r="V432" s="49"/>
      <c r="W432" s="37">
        <v>4.04</v>
      </c>
      <c r="X432" s="49" t="s">
        <v>4555</v>
      </c>
      <c r="Y432" s="49" t="s">
        <v>1539</v>
      </c>
      <c r="Z432" s="49" t="s">
        <v>765</v>
      </c>
      <c r="AA432" s="65">
        <v>0.18</v>
      </c>
      <c r="AB432" s="39">
        <v>68430</v>
      </c>
      <c r="AC432" s="90" t="s">
        <v>6078</v>
      </c>
      <c r="AD432" s="53" t="str">
        <f t="shared" si="325"/>
        <v>Link</v>
      </c>
      <c r="AE432" s="54">
        <v>2093</v>
      </c>
      <c r="AF432" s="55"/>
      <c r="AG432" s="54">
        <v>1</v>
      </c>
      <c r="AH432" s="56">
        <v>168342</v>
      </c>
      <c r="AI432" s="56"/>
    </row>
    <row r="433" spans="1:35" ht="13" x14ac:dyDescent="0.15">
      <c r="A433" s="57"/>
      <c r="B433" s="31" t="s">
        <v>4463</v>
      </c>
      <c r="C433" s="36" t="s">
        <v>43</v>
      </c>
      <c r="D433" s="86">
        <v>5</v>
      </c>
      <c r="E433" s="7" t="s">
        <v>6111</v>
      </c>
      <c r="F433" s="7"/>
      <c r="G433" s="86"/>
      <c r="H433" s="2" t="s">
        <v>6112</v>
      </c>
      <c r="I433" s="2" t="s">
        <v>577</v>
      </c>
      <c r="J433" s="2" t="s">
        <v>6114</v>
      </c>
      <c r="K433" s="2" t="s">
        <v>48</v>
      </c>
      <c r="L433" s="2" t="s">
        <v>6115</v>
      </c>
      <c r="M433" s="2" t="s">
        <v>6116</v>
      </c>
      <c r="N433" s="45" t="str">
        <f t="shared" ref="N433:N437" si="326">HYPERLINK("twitter.com/wpisoftball","@wpisoftball")</f>
        <v>@wpisoftball</v>
      </c>
      <c r="O433" s="45" t="str">
        <f t="shared" ref="O433:O437" si="327">HYPERLINK("https://athletics.wpi.edu/prospective_athlete/index","Questionnaire")</f>
        <v>Questionnaire</v>
      </c>
      <c r="P433" s="48" t="s">
        <v>6121</v>
      </c>
      <c r="Q433" s="60" t="s">
        <v>595</v>
      </c>
      <c r="R433" s="48" t="s">
        <v>4650</v>
      </c>
      <c r="S433" s="48" t="s">
        <v>62</v>
      </c>
      <c r="T433" s="49" t="s">
        <v>63</v>
      </c>
      <c r="U433" s="48" t="s">
        <v>75</v>
      </c>
      <c r="V433" s="49"/>
      <c r="W433" s="37">
        <v>3.84</v>
      </c>
      <c r="X433" s="49" t="s">
        <v>6122</v>
      </c>
      <c r="Y433" s="49" t="s">
        <v>6125</v>
      </c>
      <c r="Z433" s="49" t="s">
        <v>5510</v>
      </c>
      <c r="AA433" s="65">
        <v>0.48</v>
      </c>
      <c r="AB433" s="39">
        <v>62930</v>
      </c>
      <c r="AC433" s="84" t="s">
        <v>6121</v>
      </c>
      <c r="AD433" s="53" t="str">
        <f t="shared" ref="AD433:AD437" si="328">HYPERLINK("https://www.wpi.edu/student-experience/career-development/majors","Link")</f>
        <v>Link</v>
      </c>
      <c r="AE433" s="54">
        <v>4432</v>
      </c>
      <c r="AF433" s="54">
        <v>61</v>
      </c>
      <c r="AG433" s="55"/>
      <c r="AH433" s="56">
        <v>168421</v>
      </c>
      <c r="AI433" s="56"/>
    </row>
    <row r="434" spans="1:35" ht="13" x14ac:dyDescent="0.15">
      <c r="A434" s="57"/>
      <c r="B434" s="31" t="s">
        <v>4463</v>
      </c>
      <c r="C434" s="36" t="s">
        <v>43</v>
      </c>
      <c r="D434" s="86">
        <v>5</v>
      </c>
      <c r="E434" s="7" t="s">
        <v>6130</v>
      </c>
      <c r="F434" s="7"/>
      <c r="G434" s="86"/>
      <c r="H434" s="2" t="s">
        <v>6112</v>
      </c>
      <c r="I434" s="2" t="s">
        <v>3899</v>
      </c>
      <c r="J434" s="2" t="s">
        <v>6131</v>
      </c>
      <c r="K434" s="2" t="s">
        <v>55</v>
      </c>
      <c r="L434" s="2" t="s">
        <v>6132</v>
      </c>
      <c r="M434" s="2"/>
      <c r="N434" s="45" t="str">
        <f t="shared" si="326"/>
        <v>@wpisoftball</v>
      </c>
      <c r="O434" s="45" t="str">
        <f t="shared" si="327"/>
        <v>Questionnaire</v>
      </c>
      <c r="P434" s="48" t="s">
        <v>6121</v>
      </c>
      <c r="Q434" s="60" t="s">
        <v>595</v>
      </c>
      <c r="R434" s="48" t="s">
        <v>4650</v>
      </c>
      <c r="S434" s="48" t="s">
        <v>62</v>
      </c>
      <c r="T434" s="49" t="s">
        <v>63</v>
      </c>
      <c r="U434" s="48" t="s">
        <v>75</v>
      </c>
      <c r="V434" s="49"/>
      <c r="W434" s="37">
        <v>3.84</v>
      </c>
      <c r="X434" s="49" t="s">
        <v>6122</v>
      </c>
      <c r="Y434" s="49" t="s">
        <v>6125</v>
      </c>
      <c r="Z434" s="49" t="s">
        <v>5510</v>
      </c>
      <c r="AA434" s="65">
        <v>0.48</v>
      </c>
      <c r="AB434" s="39">
        <v>62930</v>
      </c>
      <c r="AC434" s="84" t="s">
        <v>6121</v>
      </c>
      <c r="AD434" s="53" t="str">
        <f t="shared" si="328"/>
        <v>Link</v>
      </c>
      <c r="AE434" s="54">
        <v>4432</v>
      </c>
      <c r="AF434" s="54">
        <v>61</v>
      </c>
      <c r="AG434" s="55"/>
      <c r="AH434" s="56">
        <v>168421</v>
      </c>
      <c r="AI434" s="56"/>
    </row>
    <row r="435" spans="1:35" ht="13" x14ac:dyDescent="0.15">
      <c r="A435" s="57"/>
      <c r="B435" s="31" t="s">
        <v>4463</v>
      </c>
      <c r="C435" s="36" t="s">
        <v>43</v>
      </c>
      <c r="D435" s="86">
        <v>5</v>
      </c>
      <c r="E435" s="7" t="s">
        <v>6145</v>
      </c>
      <c r="F435" s="7"/>
      <c r="G435" s="86"/>
      <c r="H435" s="2" t="s">
        <v>6112</v>
      </c>
      <c r="I435" s="2" t="s">
        <v>111</v>
      </c>
      <c r="J435" s="2" t="s">
        <v>6146</v>
      </c>
      <c r="K435" s="2" t="s">
        <v>55</v>
      </c>
      <c r="L435" s="2" t="s">
        <v>6147</v>
      </c>
      <c r="M435" s="2"/>
      <c r="N435" s="45" t="str">
        <f t="shared" si="326"/>
        <v>@wpisoftball</v>
      </c>
      <c r="O435" s="45" t="str">
        <f t="shared" si="327"/>
        <v>Questionnaire</v>
      </c>
      <c r="P435" s="48" t="s">
        <v>6121</v>
      </c>
      <c r="Q435" s="60" t="s">
        <v>595</v>
      </c>
      <c r="R435" s="48" t="s">
        <v>4650</v>
      </c>
      <c r="S435" s="48" t="s">
        <v>62</v>
      </c>
      <c r="T435" s="49" t="s">
        <v>63</v>
      </c>
      <c r="U435" s="48" t="s">
        <v>75</v>
      </c>
      <c r="V435" s="49"/>
      <c r="W435" s="37">
        <v>3.84</v>
      </c>
      <c r="X435" s="49" t="s">
        <v>6122</v>
      </c>
      <c r="Y435" s="49" t="s">
        <v>6125</v>
      </c>
      <c r="Z435" s="49" t="s">
        <v>5510</v>
      </c>
      <c r="AA435" s="65">
        <v>0.48</v>
      </c>
      <c r="AB435" s="39">
        <v>62930</v>
      </c>
      <c r="AC435" s="84" t="s">
        <v>6121</v>
      </c>
      <c r="AD435" s="53" t="str">
        <f t="shared" si="328"/>
        <v>Link</v>
      </c>
      <c r="AE435" s="54">
        <v>4432</v>
      </c>
      <c r="AF435" s="54">
        <v>61</v>
      </c>
      <c r="AG435" s="55"/>
      <c r="AH435" s="56">
        <v>168421</v>
      </c>
      <c r="AI435" s="56"/>
    </row>
    <row r="436" spans="1:35" ht="13" x14ac:dyDescent="0.15">
      <c r="A436" s="57"/>
      <c r="B436" s="31" t="s">
        <v>4463</v>
      </c>
      <c r="C436" s="36" t="s">
        <v>43</v>
      </c>
      <c r="D436" s="86">
        <v>5</v>
      </c>
      <c r="E436" s="7" t="s">
        <v>6153</v>
      </c>
      <c r="F436" s="7"/>
      <c r="G436" s="86"/>
      <c r="H436" s="2" t="s">
        <v>6112</v>
      </c>
      <c r="I436" s="2" t="s">
        <v>1266</v>
      </c>
      <c r="J436" s="2" t="s">
        <v>6154</v>
      </c>
      <c r="K436" s="2" t="s">
        <v>55</v>
      </c>
      <c r="L436" s="2"/>
      <c r="M436" s="2"/>
      <c r="N436" s="45" t="str">
        <f t="shared" si="326"/>
        <v>@wpisoftball</v>
      </c>
      <c r="O436" s="45" t="str">
        <f t="shared" si="327"/>
        <v>Questionnaire</v>
      </c>
      <c r="P436" s="48" t="s">
        <v>6121</v>
      </c>
      <c r="Q436" s="60" t="s">
        <v>595</v>
      </c>
      <c r="R436" s="48" t="s">
        <v>4650</v>
      </c>
      <c r="S436" s="48" t="s">
        <v>62</v>
      </c>
      <c r="T436" s="49" t="s">
        <v>63</v>
      </c>
      <c r="U436" s="48" t="s">
        <v>75</v>
      </c>
      <c r="V436" s="49"/>
      <c r="W436" s="37">
        <v>3.84</v>
      </c>
      <c r="X436" s="49" t="s">
        <v>6122</v>
      </c>
      <c r="Y436" s="49" t="s">
        <v>6125</v>
      </c>
      <c r="Z436" s="49" t="s">
        <v>5510</v>
      </c>
      <c r="AA436" s="65">
        <v>0.48</v>
      </c>
      <c r="AB436" s="39">
        <v>62930</v>
      </c>
      <c r="AC436" s="84" t="s">
        <v>6121</v>
      </c>
      <c r="AD436" s="53" t="str">
        <f t="shared" si="328"/>
        <v>Link</v>
      </c>
      <c r="AE436" s="54">
        <v>4432</v>
      </c>
      <c r="AF436" s="54">
        <v>61</v>
      </c>
      <c r="AG436" s="55"/>
      <c r="AH436" s="56">
        <v>168421</v>
      </c>
      <c r="AI436" s="56"/>
    </row>
    <row r="437" spans="1:35" ht="13" x14ac:dyDescent="0.15">
      <c r="A437" s="57"/>
      <c r="B437" s="31" t="s">
        <v>4463</v>
      </c>
      <c r="C437" s="36" t="s">
        <v>43</v>
      </c>
      <c r="D437" s="86">
        <v>5</v>
      </c>
      <c r="E437" s="7" t="s">
        <v>6159</v>
      </c>
      <c r="F437" s="7"/>
      <c r="G437" s="86"/>
      <c r="H437" s="2" t="s">
        <v>6112</v>
      </c>
      <c r="I437" s="2" t="s">
        <v>130</v>
      </c>
      <c r="J437" s="2" t="s">
        <v>6160</v>
      </c>
      <c r="K437" s="2" t="s">
        <v>55</v>
      </c>
      <c r="L437" s="2"/>
      <c r="M437" s="2"/>
      <c r="N437" s="45" t="str">
        <f t="shared" si="326"/>
        <v>@wpisoftball</v>
      </c>
      <c r="O437" s="45" t="str">
        <f t="shared" si="327"/>
        <v>Questionnaire</v>
      </c>
      <c r="P437" s="48" t="s">
        <v>6121</v>
      </c>
      <c r="Q437" s="60" t="s">
        <v>595</v>
      </c>
      <c r="R437" s="48" t="s">
        <v>4650</v>
      </c>
      <c r="S437" s="48" t="s">
        <v>62</v>
      </c>
      <c r="T437" s="49" t="s">
        <v>63</v>
      </c>
      <c r="U437" s="48" t="s">
        <v>75</v>
      </c>
      <c r="V437" s="49"/>
      <c r="W437" s="39">
        <v>3.84</v>
      </c>
      <c r="X437" s="49" t="s">
        <v>6122</v>
      </c>
      <c r="Y437" s="49" t="s">
        <v>6125</v>
      </c>
      <c r="Z437" s="49" t="s">
        <v>5510</v>
      </c>
      <c r="AA437" s="65">
        <v>0.48</v>
      </c>
      <c r="AB437" s="39">
        <v>62930</v>
      </c>
      <c r="AC437" s="84" t="s">
        <v>6121</v>
      </c>
      <c r="AD437" s="53" t="str">
        <f t="shared" si="328"/>
        <v>Link</v>
      </c>
      <c r="AE437" s="54">
        <v>4432</v>
      </c>
      <c r="AF437" s="54">
        <v>61</v>
      </c>
      <c r="AG437" s="55"/>
      <c r="AH437" s="56">
        <v>168421</v>
      </c>
      <c r="AI437" s="56"/>
    </row>
    <row r="438" spans="1:35" ht="13" x14ac:dyDescent="0.15">
      <c r="A438" s="57"/>
      <c r="B438" s="31" t="s">
        <v>4463</v>
      </c>
      <c r="C438" s="36" t="s">
        <v>43</v>
      </c>
      <c r="D438" s="86">
        <v>5</v>
      </c>
      <c r="E438" s="7" t="s">
        <v>6169</v>
      </c>
      <c r="F438" s="7"/>
      <c r="G438" s="86"/>
      <c r="H438" s="2" t="s">
        <v>6170</v>
      </c>
      <c r="I438" s="2" t="s">
        <v>4379</v>
      </c>
      <c r="J438" s="2" t="s">
        <v>6171</v>
      </c>
      <c r="K438" s="2" t="s">
        <v>48</v>
      </c>
      <c r="L438" s="95" t="s">
        <v>6172</v>
      </c>
      <c r="M438" s="2" t="s">
        <v>6173</v>
      </c>
      <c r="N438" s="45" t="str">
        <f t="shared" ref="N438:N440" si="329">HYPERLINK("twitter.com/wsu_softball","@wsu_softball")</f>
        <v>@wsu_softball</v>
      </c>
      <c r="O438" s="45" t="str">
        <f t="shared" ref="O438:O440" si="330">HYPERLINK("https://www.wsulancers.com/recruit_me/index","Questionnaire")</f>
        <v>Questionnaire</v>
      </c>
      <c r="P438" s="48" t="s">
        <v>6179</v>
      </c>
      <c r="Q438" s="60" t="s">
        <v>595</v>
      </c>
      <c r="R438" s="48" t="s">
        <v>4650</v>
      </c>
      <c r="S438" s="48" t="s">
        <v>62</v>
      </c>
      <c r="T438" s="49" t="s">
        <v>74</v>
      </c>
      <c r="U438" s="48" t="s">
        <v>75</v>
      </c>
      <c r="V438" s="49"/>
      <c r="W438" s="39">
        <v>3.24</v>
      </c>
      <c r="X438" s="49" t="s">
        <v>397</v>
      </c>
      <c r="Y438" s="49" t="s">
        <v>521</v>
      </c>
      <c r="Z438" s="49" t="s">
        <v>1650</v>
      </c>
      <c r="AA438" s="65">
        <v>0.71</v>
      </c>
      <c r="AB438" s="48" t="s">
        <v>6182</v>
      </c>
      <c r="AC438" s="84" t="s">
        <v>6179</v>
      </c>
      <c r="AD438" s="53" t="str">
        <f t="shared" ref="AD438:AD440" si="331">HYPERLINK("https://www.worcester.edu/Majors-Minors/","Link")</f>
        <v>Link</v>
      </c>
      <c r="AE438" s="54">
        <v>5381</v>
      </c>
      <c r="AF438" s="55"/>
      <c r="AG438" s="55"/>
      <c r="AH438" s="56">
        <v>168430</v>
      </c>
      <c r="AI438" s="56"/>
    </row>
    <row r="439" spans="1:35" ht="13" x14ac:dyDescent="0.15">
      <c r="A439" s="57"/>
      <c r="B439" s="31" t="s">
        <v>4463</v>
      </c>
      <c r="C439" s="36" t="s">
        <v>43</v>
      </c>
      <c r="D439" s="86">
        <v>5</v>
      </c>
      <c r="E439" s="7" t="s">
        <v>6188</v>
      </c>
      <c r="F439" s="7"/>
      <c r="G439" s="86"/>
      <c r="H439" s="2" t="s">
        <v>6170</v>
      </c>
      <c r="I439" s="2" t="s">
        <v>2622</v>
      </c>
      <c r="J439" s="2" t="s">
        <v>6189</v>
      </c>
      <c r="K439" s="2" t="s">
        <v>55</v>
      </c>
      <c r="L439" s="2" t="s">
        <v>6190</v>
      </c>
      <c r="M439" s="2" t="s">
        <v>6173</v>
      </c>
      <c r="N439" s="45" t="str">
        <f t="shared" si="329"/>
        <v>@wsu_softball</v>
      </c>
      <c r="O439" s="45" t="str">
        <f t="shared" si="330"/>
        <v>Questionnaire</v>
      </c>
      <c r="P439" s="48" t="s">
        <v>6179</v>
      </c>
      <c r="Q439" s="60" t="s">
        <v>595</v>
      </c>
      <c r="R439" s="48" t="s">
        <v>4650</v>
      </c>
      <c r="S439" s="48" t="s">
        <v>62</v>
      </c>
      <c r="T439" s="49" t="s">
        <v>74</v>
      </c>
      <c r="U439" s="48" t="s">
        <v>75</v>
      </c>
      <c r="V439" s="49"/>
      <c r="W439" s="39">
        <v>3.24</v>
      </c>
      <c r="X439" s="49" t="s">
        <v>397</v>
      </c>
      <c r="Y439" s="49" t="s">
        <v>521</v>
      </c>
      <c r="Z439" s="49" t="s">
        <v>1650</v>
      </c>
      <c r="AA439" s="65">
        <v>0.71</v>
      </c>
      <c r="AB439" s="48" t="s">
        <v>6182</v>
      </c>
      <c r="AC439" s="84" t="s">
        <v>6179</v>
      </c>
      <c r="AD439" s="53" t="str">
        <f t="shared" si="331"/>
        <v>Link</v>
      </c>
      <c r="AE439" s="54">
        <v>5381</v>
      </c>
      <c r="AF439" s="55"/>
      <c r="AG439" s="55"/>
      <c r="AH439" s="56">
        <v>168430</v>
      </c>
      <c r="AI439" s="56"/>
    </row>
    <row r="440" spans="1:35" ht="13" x14ac:dyDescent="0.15">
      <c r="A440" s="57"/>
      <c r="B440" s="31" t="s">
        <v>4463</v>
      </c>
      <c r="C440" s="36" t="s">
        <v>43</v>
      </c>
      <c r="D440" s="86">
        <v>5</v>
      </c>
      <c r="E440" s="7" t="s">
        <v>6193</v>
      </c>
      <c r="F440" s="7"/>
      <c r="G440" s="86"/>
      <c r="H440" s="2" t="s">
        <v>6170</v>
      </c>
      <c r="I440" s="2" t="s">
        <v>3315</v>
      </c>
      <c r="J440" s="2" t="s">
        <v>6194</v>
      </c>
      <c r="K440" s="2" t="s">
        <v>55</v>
      </c>
      <c r="L440" s="2" t="s">
        <v>6195</v>
      </c>
      <c r="M440" s="2" t="s">
        <v>6173</v>
      </c>
      <c r="N440" s="45" t="str">
        <f t="shared" si="329"/>
        <v>@wsu_softball</v>
      </c>
      <c r="O440" s="45" t="str">
        <f t="shared" si="330"/>
        <v>Questionnaire</v>
      </c>
      <c r="P440" s="48" t="s">
        <v>6179</v>
      </c>
      <c r="Q440" s="60" t="s">
        <v>595</v>
      </c>
      <c r="R440" s="48" t="s">
        <v>4650</v>
      </c>
      <c r="S440" s="48" t="s">
        <v>62</v>
      </c>
      <c r="T440" s="49" t="s">
        <v>74</v>
      </c>
      <c r="U440" s="48" t="s">
        <v>75</v>
      </c>
      <c r="V440" s="49"/>
      <c r="W440" s="65">
        <v>3.24</v>
      </c>
      <c r="X440" s="49" t="s">
        <v>397</v>
      </c>
      <c r="Y440" s="49" t="s">
        <v>521</v>
      </c>
      <c r="Z440" s="49" t="s">
        <v>1650</v>
      </c>
      <c r="AA440" s="65">
        <v>0.71</v>
      </c>
      <c r="AB440" s="48" t="s">
        <v>6182</v>
      </c>
      <c r="AC440" s="84" t="s">
        <v>6179</v>
      </c>
      <c r="AD440" s="53" t="str">
        <f t="shared" si="331"/>
        <v>Link</v>
      </c>
      <c r="AE440" s="54">
        <v>5381</v>
      </c>
      <c r="AF440" s="55"/>
      <c r="AG440" s="55"/>
      <c r="AH440" s="56">
        <v>168430</v>
      </c>
      <c r="AI440" s="56"/>
    </row>
    <row r="441" spans="1:35" ht="15" x14ac:dyDescent="0.2">
      <c r="A441" s="57"/>
      <c r="B441" s="110" t="s">
        <v>4553</v>
      </c>
      <c r="C441" s="36" t="s">
        <v>43</v>
      </c>
      <c r="D441" s="86">
        <v>5</v>
      </c>
      <c r="E441" s="7" t="s">
        <v>6204</v>
      </c>
      <c r="F441" s="7"/>
      <c r="G441" s="86"/>
      <c r="H441" s="2" t="s">
        <v>6205</v>
      </c>
      <c r="I441" s="34" t="s">
        <v>981</v>
      </c>
      <c r="J441" s="33" t="s">
        <v>6206</v>
      </c>
      <c r="K441" s="33" t="s">
        <v>48</v>
      </c>
      <c r="L441" s="34" t="s">
        <v>6208</v>
      </c>
      <c r="M441" s="33" t="s">
        <v>6209</v>
      </c>
      <c r="N441" s="45" t="str">
        <f t="shared" ref="N441:N443" si="332">HYPERLINK("twitter.com/ac_softball","@ac_softball")</f>
        <v>@ac_softball</v>
      </c>
      <c r="O441" s="45" t="str">
        <f t="shared" ref="O441:O443" si="333">HYPERLINK("https://adrianbulldogs.com/student_athlete_forms","Questionnaire")</f>
        <v>Questionnaire</v>
      </c>
      <c r="P441" s="48" t="s">
        <v>2998</v>
      </c>
      <c r="Q441" s="60" t="s">
        <v>4538</v>
      </c>
      <c r="R441" s="48" t="s">
        <v>2998</v>
      </c>
      <c r="S441" s="48" t="s">
        <v>172</v>
      </c>
      <c r="T441" s="49" t="s">
        <v>63</v>
      </c>
      <c r="U441" s="6" t="s">
        <v>65</v>
      </c>
      <c r="V441" s="49"/>
      <c r="W441" s="65">
        <v>3.23</v>
      </c>
      <c r="X441" s="49" t="s">
        <v>6216</v>
      </c>
      <c r="Y441" s="49" t="s">
        <v>2522</v>
      </c>
      <c r="Z441" s="49" t="s">
        <v>125</v>
      </c>
      <c r="AA441" s="38">
        <v>0.58409999999999995</v>
      </c>
      <c r="AB441" s="42">
        <v>50706</v>
      </c>
      <c r="AC441" s="90" t="s">
        <v>2998</v>
      </c>
      <c r="AD441" s="53" t="str">
        <f t="shared" ref="AD441:AD443" si="334">HYPERLINK("http://adrian.edu/academics/academic-departments/","Link")</f>
        <v>Link</v>
      </c>
      <c r="AE441" s="54">
        <v>1684</v>
      </c>
      <c r="AF441" s="55"/>
      <c r="AG441" s="55"/>
      <c r="AH441" s="56">
        <v>168528</v>
      </c>
      <c r="AI441" s="56"/>
    </row>
    <row r="442" spans="1:35" ht="13" x14ac:dyDescent="0.15">
      <c r="A442" s="57"/>
      <c r="B442" s="110" t="s">
        <v>4553</v>
      </c>
      <c r="C442" s="36" t="s">
        <v>43</v>
      </c>
      <c r="D442" s="86">
        <v>5</v>
      </c>
      <c r="E442" s="7" t="s">
        <v>6223</v>
      </c>
      <c r="F442" s="7"/>
      <c r="G442" s="86"/>
      <c r="H442" s="2" t="s">
        <v>6205</v>
      </c>
      <c r="I442" s="2" t="s">
        <v>6224</v>
      </c>
      <c r="J442" s="2" t="s">
        <v>6225</v>
      </c>
      <c r="K442" s="2" t="s">
        <v>55</v>
      </c>
      <c r="L442" s="2"/>
      <c r="M442" s="2" t="s">
        <v>6226</v>
      </c>
      <c r="N442" s="45" t="str">
        <f t="shared" si="332"/>
        <v>@ac_softball</v>
      </c>
      <c r="O442" s="45" t="str">
        <f t="shared" si="333"/>
        <v>Questionnaire</v>
      </c>
      <c r="P442" s="48" t="s">
        <v>2998</v>
      </c>
      <c r="Q442" s="60" t="s">
        <v>4538</v>
      </c>
      <c r="R442" s="48" t="s">
        <v>2998</v>
      </c>
      <c r="S442" s="48" t="s">
        <v>172</v>
      </c>
      <c r="T442" s="49" t="s">
        <v>63</v>
      </c>
      <c r="U442" s="6" t="s">
        <v>65</v>
      </c>
      <c r="V442" s="49"/>
      <c r="W442" s="39">
        <v>3.23</v>
      </c>
      <c r="X442" s="49" t="s">
        <v>6216</v>
      </c>
      <c r="Y442" s="49" t="s">
        <v>2522</v>
      </c>
      <c r="Z442" s="49" t="s">
        <v>125</v>
      </c>
      <c r="AA442" s="38">
        <v>0.58409999999999995</v>
      </c>
      <c r="AB442" s="42">
        <v>50706</v>
      </c>
      <c r="AC442" s="90" t="s">
        <v>2998</v>
      </c>
      <c r="AD442" s="53" t="str">
        <f t="shared" si="334"/>
        <v>Link</v>
      </c>
      <c r="AE442" s="54">
        <v>1684</v>
      </c>
      <c r="AF442" s="55"/>
      <c r="AG442" s="55"/>
      <c r="AH442" s="56">
        <v>168528</v>
      </c>
      <c r="AI442" s="56"/>
    </row>
    <row r="443" spans="1:35" ht="13" x14ac:dyDescent="0.15">
      <c r="A443" s="57"/>
      <c r="B443" s="110" t="s">
        <v>4553</v>
      </c>
      <c r="C443" s="36" t="s">
        <v>43</v>
      </c>
      <c r="D443" s="86">
        <v>5</v>
      </c>
      <c r="E443" s="7" t="s">
        <v>6236</v>
      </c>
      <c r="F443" s="7"/>
      <c r="G443" s="86"/>
      <c r="H443" s="2" t="s">
        <v>6205</v>
      </c>
      <c r="I443" s="2" t="s">
        <v>1327</v>
      </c>
      <c r="J443" s="2" t="s">
        <v>6240</v>
      </c>
      <c r="K443" s="2" t="s">
        <v>139</v>
      </c>
      <c r="L443" s="2"/>
      <c r="M443" s="2"/>
      <c r="N443" s="45" t="str">
        <f t="shared" si="332"/>
        <v>@ac_softball</v>
      </c>
      <c r="O443" s="45" t="str">
        <f t="shared" si="333"/>
        <v>Questionnaire</v>
      </c>
      <c r="P443" s="48" t="s">
        <v>2998</v>
      </c>
      <c r="Q443" s="60" t="s">
        <v>4538</v>
      </c>
      <c r="R443" s="48" t="s">
        <v>2998</v>
      </c>
      <c r="S443" s="48" t="s">
        <v>172</v>
      </c>
      <c r="T443" s="49" t="s">
        <v>63</v>
      </c>
      <c r="U443" s="6" t="s">
        <v>65</v>
      </c>
      <c r="V443" s="49"/>
      <c r="W443" s="39">
        <v>3.23</v>
      </c>
      <c r="X443" s="49" t="s">
        <v>6216</v>
      </c>
      <c r="Y443" s="49" t="s">
        <v>2522</v>
      </c>
      <c r="Z443" s="49" t="s">
        <v>125</v>
      </c>
      <c r="AA443" s="38">
        <v>0.58409999999999995</v>
      </c>
      <c r="AB443" s="42">
        <v>50706</v>
      </c>
      <c r="AC443" s="90" t="s">
        <v>2998</v>
      </c>
      <c r="AD443" s="53" t="str">
        <f t="shared" si="334"/>
        <v>Link</v>
      </c>
      <c r="AE443" s="54">
        <v>1684</v>
      </c>
      <c r="AF443" s="55"/>
      <c r="AG443" s="55"/>
      <c r="AH443" s="56">
        <v>168528</v>
      </c>
      <c r="AI443" s="56"/>
    </row>
    <row r="444" spans="1:35" ht="15" x14ac:dyDescent="0.2">
      <c r="A444" s="57"/>
      <c r="B444" s="110" t="s">
        <v>4553</v>
      </c>
      <c r="C444" s="36" t="s">
        <v>43</v>
      </c>
      <c r="D444" s="86">
        <v>5</v>
      </c>
      <c r="E444" s="7" t="s">
        <v>6247</v>
      </c>
      <c r="F444" s="7"/>
      <c r="G444" s="86"/>
      <c r="H444" s="33" t="s">
        <v>6248</v>
      </c>
      <c r="I444" s="33" t="s">
        <v>6250</v>
      </c>
      <c r="J444" s="33" t="s">
        <v>6263</v>
      </c>
      <c r="K444" s="33" t="s">
        <v>48</v>
      </c>
      <c r="L444" s="2" t="s">
        <v>6264</v>
      </c>
      <c r="M444" s="33" t="s">
        <v>6267</v>
      </c>
      <c r="N444" s="45" t="str">
        <f t="shared" ref="N444:N445" si="335">HYPERLINK("twitter.com/albion_softball","@albion_softball")</f>
        <v>@albion_softball</v>
      </c>
      <c r="O444" s="45" t="str">
        <f t="shared" ref="O444:O445" si="336">HYPERLINK("https://www.gobrits.com/recruits/forms","Questionnaire")</f>
        <v>Questionnaire</v>
      </c>
      <c r="P444" s="48" t="s">
        <v>6275</v>
      </c>
      <c r="Q444" s="60" t="s">
        <v>4538</v>
      </c>
      <c r="R444" s="48" t="s">
        <v>6275</v>
      </c>
      <c r="S444" s="60" t="s">
        <v>205</v>
      </c>
      <c r="T444" s="49" t="s">
        <v>63</v>
      </c>
      <c r="U444" s="6" t="s">
        <v>65</v>
      </c>
      <c r="V444" s="49"/>
      <c r="W444" s="39">
        <v>3.42</v>
      </c>
      <c r="X444" s="49" t="s">
        <v>5922</v>
      </c>
      <c r="Y444" s="49" t="s">
        <v>6282</v>
      </c>
      <c r="Z444" s="49" t="s">
        <v>278</v>
      </c>
      <c r="AA444" s="38">
        <v>0.72250000000000003</v>
      </c>
      <c r="AB444" s="39">
        <v>54150</v>
      </c>
      <c r="AC444" s="90" t="s">
        <v>6275</v>
      </c>
      <c r="AD444" s="53" t="str">
        <f t="shared" ref="AD444:AD445" si="337">HYPERLINK("https://www.albion.edu/academics/programs-of-study/majors","Link")</f>
        <v>Link</v>
      </c>
      <c r="AE444" s="54">
        <v>1418</v>
      </c>
      <c r="AF444" s="55"/>
      <c r="AG444" s="54">
        <v>128</v>
      </c>
      <c r="AH444" s="56">
        <v>168546</v>
      </c>
      <c r="AI444" s="56"/>
    </row>
    <row r="445" spans="1:35" ht="15" x14ac:dyDescent="0.2">
      <c r="A445" s="57"/>
      <c r="B445" s="110" t="s">
        <v>4553</v>
      </c>
      <c r="C445" s="36" t="s">
        <v>43</v>
      </c>
      <c r="D445" s="86">
        <v>5</v>
      </c>
      <c r="E445" s="7" t="s">
        <v>6287</v>
      </c>
      <c r="F445" s="7"/>
      <c r="G445" s="86"/>
      <c r="H445" s="33" t="s">
        <v>6248</v>
      </c>
      <c r="I445" s="34" t="s">
        <v>1875</v>
      </c>
      <c r="J445" s="33" t="s">
        <v>6291</v>
      </c>
      <c r="K445" s="33" t="s">
        <v>55</v>
      </c>
      <c r="L445" s="2"/>
      <c r="M445" s="2"/>
      <c r="N445" s="45" t="str">
        <f t="shared" si="335"/>
        <v>@albion_softball</v>
      </c>
      <c r="O445" s="45" t="str">
        <f t="shared" si="336"/>
        <v>Questionnaire</v>
      </c>
      <c r="P445" s="48" t="s">
        <v>6275</v>
      </c>
      <c r="Q445" s="60" t="s">
        <v>4538</v>
      </c>
      <c r="R445" s="48" t="s">
        <v>6275</v>
      </c>
      <c r="S445" s="60" t="s">
        <v>205</v>
      </c>
      <c r="T445" s="49" t="s">
        <v>63</v>
      </c>
      <c r="U445" s="6" t="s">
        <v>65</v>
      </c>
      <c r="V445" s="49"/>
      <c r="W445" s="39">
        <v>3.42</v>
      </c>
      <c r="X445" s="49" t="s">
        <v>5922</v>
      </c>
      <c r="Y445" s="49" t="s">
        <v>6282</v>
      </c>
      <c r="Z445" s="49" t="s">
        <v>278</v>
      </c>
      <c r="AA445" s="38">
        <v>0.72250000000000003</v>
      </c>
      <c r="AB445" s="39">
        <v>54150</v>
      </c>
      <c r="AC445" s="90" t="s">
        <v>6275</v>
      </c>
      <c r="AD445" s="53" t="str">
        <f t="shared" si="337"/>
        <v>Link</v>
      </c>
      <c r="AE445" s="54">
        <v>1418</v>
      </c>
      <c r="AF445" s="55"/>
      <c r="AG445" s="54">
        <v>128</v>
      </c>
      <c r="AH445" s="56">
        <v>168546</v>
      </c>
      <c r="AI445" s="56"/>
    </row>
    <row r="446" spans="1:35" ht="15" x14ac:dyDescent="0.2">
      <c r="A446" s="57"/>
      <c r="B446" s="110" t="s">
        <v>4553</v>
      </c>
      <c r="C446" s="36" t="s">
        <v>43</v>
      </c>
      <c r="D446" s="86">
        <v>5</v>
      </c>
      <c r="E446" s="7" t="s">
        <v>6297</v>
      </c>
      <c r="F446" s="7"/>
      <c r="G446" s="86"/>
      <c r="H446" s="2" t="s">
        <v>6299</v>
      </c>
      <c r="I446" s="34" t="s">
        <v>6300</v>
      </c>
      <c r="J446" s="33" t="s">
        <v>968</v>
      </c>
      <c r="K446" s="33" t="s">
        <v>48</v>
      </c>
      <c r="L446" s="2" t="s">
        <v>6301</v>
      </c>
      <c r="M446" s="2" t="s">
        <v>6303</v>
      </c>
      <c r="N446" s="45" t="str">
        <f t="shared" ref="N446:N450" si="338">HYPERLINK("twitter.com/almascotssb","@almascotssb")</f>
        <v>@almascotssb</v>
      </c>
      <c r="O446" s="45" t="str">
        <f t="shared" ref="O446:O450" si="339">HYPERLINK("http://almascots.com/prospectives","Questionnaire")</f>
        <v>Questionnaire</v>
      </c>
      <c r="P446" s="48" t="s">
        <v>6309</v>
      </c>
      <c r="Q446" s="60" t="s">
        <v>4538</v>
      </c>
      <c r="R446" s="48" t="s">
        <v>6309</v>
      </c>
      <c r="S446" s="60" t="s">
        <v>205</v>
      </c>
      <c r="T446" s="49" t="s">
        <v>63</v>
      </c>
      <c r="U446" s="6" t="s">
        <v>248</v>
      </c>
      <c r="V446" s="49"/>
      <c r="W446" s="39">
        <v>3.5</v>
      </c>
      <c r="X446" s="49" t="s">
        <v>6310</v>
      </c>
      <c r="Y446" s="49" t="s">
        <v>6311</v>
      </c>
      <c r="Z446" s="49" t="s">
        <v>1650</v>
      </c>
      <c r="AA446" s="38">
        <v>0.6794</v>
      </c>
      <c r="AB446" s="39">
        <v>50613</v>
      </c>
      <c r="AC446" s="90" t="s">
        <v>6309</v>
      </c>
      <c r="AD446" s="53" t="str">
        <f t="shared" ref="AD446:AD450" si="340">HYPERLINK("https://www.alma.edu/academics/","Link")</f>
        <v>Link</v>
      </c>
      <c r="AE446" s="54">
        <v>1451</v>
      </c>
      <c r="AF446" s="55"/>
      <c r="AG446" s="54">
        <v>141</v>
      </c>
      <c r="AH446" s="56">
        <v>168591</v>
      </c>
      <c r="AI446" s="56"/>
    </row>
    <row r="447" spans="1:35" ht="15" x14ac:dyDescent="0.2">
      <c r="A447" s="57"/>
      <c r="B447" s="110" t="s">
        <v>4553</v>
      </c>
      <c r="C447" s="36" t="s">
        <v>43</v>
      </c>
      <c r="D447" s="86">
        <v>5</v>
      </c>
      <c r="E447" s="7" t="s">
        <v>6317</v>
      </c>
      <c r="F447" s="7"/>
      <c r="G447" s="86"/>
      <c r="H447" s="2" t="s">
        <v>6299</v>
      </c>
      <c r="I447" s="2" t="s">
        <v>668</v>
      </c>
      <c r="J447" s="33" t="s">
        <v>2950</v>
      </c>
      <c r="K447" s="33" t="s">
        <v>55</v>
      </c>
      <c r="L447" s="138" t="s">
        <v>6320</v>
      </c>
      <c r="M447" s="2"/>
      <c r="N447" s="45" t="str">
        <f t="shared" si="338"/>
        <v>@almascotssb</v>
      </c>
      <c r="O447" s="45" t="str">
        <f t="shared" si="339"/>
        <v>Questionnaire</v>
      </c>
      <c r="P447" s="48" t="s">
        <v>6309</v>
      </c>
      <c r="Q447" s="60" t="s">
        <v>4538</v>
      </c>
      <c r="R447" s="48" t="s">
        <v>6309</v>
      </c>
      <c r="S447" s="60" t="s">
        <v>205</v>
      </c>
      <c r="T447" s="49" t="s">
        <v>63</v>
      </c>
      <c r="U447" s="6" t="s">
        <v>248</v>
      </c>
      <c r="V447" s="49"/>
      <c r="W447" s="39">
        <v>3.5</v>
      </c>
      <c r="X447" s="49" t="s">
        <v>6310</v>
      </c>
      <c r="Y447" s="49" t="s">
        <v>6311</v>
      </c>
      <c r="Z447" s="49" t="s">
        <v>1650</v>
      </c>
      <c r="AA447" s="38">
        <v>0.6794</v>
      </c>
      <c r="AB447" s="39">
        <v>50613</v>
      </c>
      <c r="AC447" s="90" t="s">
        <v>6309</v>
      </c>
      <c r="AD447" s="53" t="str">
        <f t="shared" si="340"/>
        <v>Link</v>
      </c>
      <c r="AE447" s="54">
        <v>1451</v>
      </c>
      <c r="AF447" s="55"/>
      <c r="AG447" s="54">
        <v>141</v>
      </c>
      <c r="AH447" s="56">
        <v>168591</v>
      </c>
      <c r="AI447" s="56"/>
    </row>
    <row r="448" spans="1:35" ht="15" x14ac:dyDescent="0.2">
      <c r="A448" s="57"/>
      <c r="B448" s="110" t="s">
        <v>4553</v>
      </c>
      <c r="C448" s="36" t="s">
        <v>43</v>
      </c>
      <c r="D448" s="86">
        <v>5</v>
      </c>
      <c r="E448" s="7" t="s">
        <v>6336</v>
      </c>
      <c r="F448" s="7"/>
      <c r="G448" s="86"/>
      <c r="H448" s="2" t="s">
        <v>6299</v>
      </c>
      <c r="I448" s="34" t="s">
        <v>6337</v>
      </c>
      <c r="J448" s="33" t="s">
        <v>6338</v>
      </c>
      <c r="K448" s="33" t="s">
        <v>55</v>
      </c>
      <c r="L448" s="2" t="s">
        <v>6339</v>
      </c>
      <c r="M448" s="2"/>
      <c r="N448" s="45" t="str">
        <f t="shared" si="338"/>
        <v>@almascotssb</v>
      </c>
      <c r="O448" s="45" t="str">
        <f t="shared" si="339"/>
        <v>Questionnaire</v>
      </c>
      <c r="P448" s="48" t="s">
        <v>6309</v>
      </c>
      <c r="Q448" s="60" t="s">
        <v>4538</v>
      </c>
      <c r="R448" s="48" t="s">
        <v>6309</v>
      </c>
      <c r="S448" s="60" t="s">
        <v>205</v>
      </c>
      <c r="T448" s="49" t="s">
        <v>63</v>
      </c>
      <c r="U448" s="6" t="s">
        <v>248</v>
      </c>
      <c r="V448" s="49"/>
      <c r="W448" s="39">
        <v>3.5</v>
      </c>
      <c r="X448" s="49" t="s">
        <v>6310</v>
      </c>
      <c r="Y448" s="49" t="s">
        <v>6311</v>
      </c>
      <c r="Z448" s="49" t="s">
        <v>1650</v>
      </c>
      <c r="AA448" s="38">
        <v>0.6794</v>
      </c>
      <c r="AB448" s="39">
        <v>50613</v>
      </c>
      <c r="AC448" s="90" t="s">
        <v>6309</v>
      </c>
      <c r="AD448" s="53" t="str">
        <f t="shared" si="340"/>
        <v>Link</v>
      </c>
      <c r="AE448" s="54">
        <v>1451</v>
      </c>
      <c r="AF448" s="55"/>
      <c r="AG448" s="54">
        <v>141</v>
      </c>
      <c r="AH448" s="56">
        <v>168591</v>
      </c>
      <c r="AI448" s="56"/>
    </row>
    <row r="449" spans="1:35" ht="15" x14ac:dyDescent="0.2">
      <c r="A449" s="57"/>
      <c r="B449" s="110" t="s">
        <v>4553</v>
      </c>
      <c r="C449" s="36" t="s">
        <v>43</v>
      </c>
      <c r="D449" s="86">
        <v>5</v>
      </c>
      <c r="E449" s="7" t="s">
        <v>6351</v>
      </c>
      <c r="F449" s="7"/>
      <c r="G449" s="86"/>
      <c r="H449" s="2" t="s">
        <v>6299</v>
      </c>
      <c r="I449" s="34" t="s">
        <v>754</v>
      </c>
      <c r="J449" s="33" t="s">
        <v>6352</v>
      </c>
      <c r="K449" s="33" t="s">
        <v>55</v>
      </c>
      <c r="L449" s="2" t="s">
        <v>6353</v>
      </c>
      <c r="M449" s="2"/>
      <c r="N449" s="45" t="str">
        <f t="shared" si="338"/>
        <v>@almascotssb</v>
      </c>
      <c r="O449" s="45" t="str">
        <f t="shared" si="339"/>
        <v>Questionnaire</v>
      </c>
      <c r="P449" s="48" t="s">
        <v>6309</v>
      </c>
      <c r="Q449" s="60" t="s">
        <v>4538</v>
      </c>
      <c r="R449" s="48" t="s">
        <v>6309</v>
      </c>
      <c r="S449" s="60" t="s">
        <v>205</v>
      </c>
      <c r="T449" s="49" t="s">
        <v>63</v>
      </c>
      <c r="U449" s="6" t="s">
        <v>248</v>
      </c>
      <c r="V449" s="49"/>
      <c r="W449" s="39">
        <v>3.5</v>
      </c>
      <c r="X449" s="49" t="s">
        <v>6310</v>
      </c>
      <c r="Y449" s="49" t="s">
        <v>6311</v>
      </c>
      <c r="Z449" s="49" t="s">
        <v>1650</v>
      </c>
      <c r="AA449" s="38">
        <v>0.6794</v>
      </c>
      <c r="AB449" s="39">
        <v>50613</v>
      </c>
      <c r="AC449" s="90" t="s">
        <v>6309</v>
      </c>
      <c r="AD449" s="53" t="str">
        <f t="shared" si="340"/>
        <v>Link</v>
      </c>
      <c r="AE449" s="54">
        <v>1451</v>
      </c>
      <c r="AF449" s="55"/>
      <c r="AG449" s="54">
        <v>141</v>
      </c>
      <c r="AH449" s="56">
        <v>168591</v>
      </c>
      <c r="AI449" s="56"/>
    </row>
    <row r="450" spans="1:35" ht="13" x14ac:dyDescent="0.15">
      <c r="A450" s="57"/>
      <c r="B450" s="110" t="s">
        <v>4553</v>
      </c>
      <c r="C450" s="36" t="s">
        <v>43</v>
      </c>
      <c r="D450" s="86">
        <v>5</v>
      </c>
      <c r="E450" s="7" t="s">
        <v>6362</v>
      </c>
      <c r="F450" s="7"/>
      <c r="G450" s="86"/>
      <c r="H450" s="2" t="s">
        <v>6299</v>
      </c>
      <c r="I450" s="2" t="s">
        <v>3756</v>
      </c>
      <c r="J450" s="2" t="s">
        <v>6291</v>
      </c>
      <c r="K450" s="2" t="s">
        <v>55</v>
      </c>
      <c r="L450" s="95" t="s">
        <v>6363</v>
      </c>
      <c r="M450" s="2"/>
      <c r="N450" s="45" t="str">
        <f t="shared" si="338"/>
        <v>@almascotssb</v>
      </c>
      <c r="O450" s="45" t="str">
        <f t="shared" si="339"/>
        <v>Questionnaire</v>
      </c>
      <c r="P450" s="48" t="s">
        <v>6309</v>
      </c>
      <c r="Q450" s="60" t="s">
        <v>4538</v>
      </c>
      <c r="R450" s="48" t="s">
        <v>6309</v>
      </c>
      <c r="S450" s="60" t="s">
        <v>205</v>
      </c>
      <c r="T450" s="49" t="s">
        <v>63</v>
      </c>
      <c r="U450" s="6" t="s">
        <v>248</v>
      </c>
      <c r="V450" s="49"/>
      <c r="W450" s="39">
        <v>3.5</v>
      </c>
      <c r="X450" s="49" t="s">
        <v>6310</v>
      </c>
      <c r="Y450" s="49" t="s">
        <v>6311</v>
      </c>
      <c r="Z450" s="49" t="s">
        <v>1650</v>
      </c>
      <c r="AA450" s="38">
        <v>0.6794</v>
      </c>
      <c r="AB450" s="39">
        <v>50613</v>
      </c>
      <c r="AC450" s="90" t="s">
        <v>6309</v>
      </c>
      <c r="AD450" s="53" t="str">
        <f t="shared" si="340"/>
        <v>Link</v>
      </c>
      <c r="AE450" s="54">
        <v>1451</v>
      </c>
      <c r="AF450" s="55"/>
      <c r="AG450" s="54">
        <v>141</v>
      </c>
      <c r="AH450" s="56">
        <v>168591</v>
      </c>
      <c r="AI450" s="56"/>
    </row>
    <row r="451" spans="1:35" ht="15" x14ac:dyDescent="0.2">
      <c r="A451" s="57"/>
      <c r="B451" s="31" t="s">
        <v>4553</v>
      </c>
      <c r="C451" s="36" t="s">
        <v>43</v>
      </c>
      <c r="D451" s="86">
        <v>5</v>
      </c>
      <c r="E451" s="7" t="s">
        <v>6370</v>
      </c>
      <c r="F451" s="7"/>
      <c r="G451" s="86"/>
      <c r="H451" s="2" t="s">
        <v>6371</v>
      </c>
      <c r="I451" s="34" t="s">
        <v>4419</v>
      </c>
      <c r="J451" s="33" t="s">
        <v>6372</v>
      </c>
      <c r="K451" s="33" t="s">
        <v>48</v>
      </c>
      <c r="L451" s="2" t="s">
        <v>6373</v>
      </c>
      <c r="M451" s="2" t="s">
        <v>6374</v>
      </c>
      <c r="N451" s="45" t="str">
        <f t="shared" ref="N451:N453" si="341">HYPERLINK("twitter.com/calvinsoftball","@calvinsoftball")</f>
        <v>@calvinsoftball</v>
      </c>
      <c r="O451" s="45" t="str">
        <f t="shared" ref="O451:O453" si="342">HYPERLINK("https://calvinknights.com/sports/sball/recruits_-_softball","Questionnaire")</f>
        <v>Questionnaire</v>
      </c>
      <c r="P451" s="48" t="s">
        <v>6375</v>
      </c>
      <c r="Q451" s="60" t="s">
        <v>4538</v>
      </c>
      <c r="R451" s="48" t="s">
        <v>5360</v>
      </c>
      <c r="S451" s="48" t="s">
        <v>62</v>
      </c>
      <c r="T451" s="49" t="s">
        <v>63</v>
      </c>
      <c r="U451" s="6" t="s">
        <v>6377</v>
      </c>
      <c r="V451" s="49"/>
      <c r="W451" s="39">
        <v>3.7</v>
      </c>
      <c r="X451" s="49" t="s">
        <v>6378</v>
      </c>
      <c r="Y451" s="49" t="s">
        <v>3119</v>
      </c>
      <c r="Z451" s="49" t="s">
        <v>2734</v>
      </c>
      <c r="AA451" s="38">
        <v>0.747</v>
      </c>
      <c r="AB451" s="39">
        <v>45270</v>
      </c>
      <c r="AC451" s="90" t="s">
        <v>6375</v>
      </c>
      <c r="AD451" s="53" t="str">
        <f t="shared" ref="AD451:AD453" si="343">HYPERLINK("https://calvin.edu/academics/majors-programs/","Link")</f>
        <v>Link</v>
      </c>
      <c r="AE451" s="54">
        <v>3806</v>
      </c>
      <c r="AF451" s="55"/>
      <c r="AG451" s="55"/>
      <c r="AH451" s="56">
        <v>169080</v>
      </c>
      <c r="AI451" s="56"/>
    </row>
    <row r="452" spans="1:35" ht="15" x14ac:dyDescent="0.2">
      <c r="A452" s="57"/>
      <c r="B452" s="31" t="s">
        <v>4553</v>
      </c>
      <c r="C452" s="36" t="s">
        <v>43</v>
      </c>
      <c r="D452" s="86">
        <v>5</v>
      </c>
      <c r="E452" s="7" t="s">
        <v>6383</v>
      </c>
      <c r="F452" s="7"/>
      <c r="G452" s="86"/>
      <c r="H452" s="2" t="s">
        <v>6371</v>
      </c>
      <c r="I452" s="34" t="s">
        <v>2316</v>
      </c>
      <c r="J452" s="33" t="s">
        <v>6384</v>
      </c>
      <c r="K452" s="33" t="s">
        <v>55</v>
      </c>
      <c r="L452" s="2" t="s">
        <v>6385</v>
      </c>
      <c r="M452" s="2" t="s">
        <v>6374</v>
      </c>
      <c r="N452" s="45" t="str">
        <f t="shared" si="341"/>
        <v>@calvinsoftball</v>
      </c>
      <c r="O452" s="45" t="str">
        <f t="shared" si="342"/>
        <v>Questionnaire</v>
      </c>
      <c r="P452" s="48" t="s">
        <v>6375</v>
      </c>
      <c r="Q452" s="60" t="s">
        <v>4538</v>
      </c>
      <c r="R452" s="48" t="s">
        <v>5360</v>
      </c>
      <c r="S452" s="48" t="s">
        <v>62</v>
      </c>
      <c r="T452" s="49" t="s">
        <v>63</v>
      </c>
      <c r="U452" s="6" t="s">
        <v>6377</v>
      </c>
      <c r="V452" s="49"/>
      <c r="W452" s="39">
        <v>3.7</v>
      </c>
      <c r="X452" s="49" t="s">
        <v>6378</v>
      </c>
      <c r="Y452" s="49" t="s">
        <v>3119</v>
      </c>
      <c r="Z452" s="49" t="s">
        <v>2734</v>
      </c>
      <c r="AA452" s="38">
        <v>0.747</v>
      </c>
      <c r="AB452" s="39">
        <v>45270</v>
      </c>
      <c r="AC452" s="90" t="s">
        <v>6375</v>
      </c>
      <c r="AD452" s="53" t="str">
        <f t="shared" si="343"/>
        <v>Link</v>
      </c>
      <c r="AE452" s="54">
        <v>3806</v>
      </c>
      <c r="AF452" s="55"/>
      <c r="AG452" s="55"/>
      <c r="AH452" s="56">
        <v>169080</v>
      </c>
      <c r="AI452" s="56"/>
    </row>
    <row r="453" spans="1:35" ht="15" x14ac:dyDescent="0.2">
      <c r="A453" s="57"/>
      <c r="B453" s="31" t="s">
        <v>4553</v>
      </c>
      <c r="C453" s="36" t="s">
        <v>43</v>
      </c>
      <c r="D453" s="86">
        <v>5</v>
      </c>
      <c r="E453" s="7" t="s">
        <v>6389</v>
      </c>
      <c r="F453" s="7"/>
      <c r="G453" s="86"/>
      <c r="H453" s="2" t="s">
        <v>6371</v>
      </c>
      <c r="I453" s="34" t="s">
        <v>193</v>
      </c>
      <c r="J453" s="33" t="s">
        <v>6391</v>
      </c>
      <c r="K453" s="33" t="s">
        <v>139</v>
      </c>
      <c r="L453" s="2"/>
      <c r="M453" s="2"/>
      <c r="N453" s="45" t="str">
        <f t="shared" si="341"/>
        <v>@calvinsoftball</v>
      </c>
      <c r="O453" s="45" t="str">
        <f t="shared" si="342"/>
        <v>Questionnaire</v>
      </c>
      <c r="P453" s="48" t="s">
        <v>6375</v>
      </c>
      <c r="Q453" s="60" t="s">
        <v>4538</v>
      </c>
      <c r="R453" s="48" t="s">
        <v>5360</v>
      </c>
      <c r="S453" s="48" t="s">
        <v>62</v>
      </c>
      <c r="T453" s="49" t="s">
        <v>63</v>
      </c>
      <c r="U453" s="6" t="s">
        <v>6377</v>
      </c>
      <c r="V453" s="49"/>
      <c r="W453" s="39">
        <v>3.7</v>
      </c>
      <c r="X453" s="49" t="s">
        <v>6378</v>
      </c>
      <c r="Y453" s="49" t="s">
        <v>3119</v>
      </c>
      <c r="Z453" s="49" t="s">
        <v>2734</v>
      </c>
      <c r="AA453" s="38">
        <v>0.747</v>
      </c>
      <c r="AB453" s="39">
        <v>45270</v>
      </c>
      <c r="AC453" s="90" t="s">
        <v>6375</v>
      </c>
      <c r="AD453" s="53" t="str">
        <f t="shared" si="343"/>
        <v>Link</v>
      </c>
      <c r="AE453" s="54">
        <v>3806</v>
      </c>
      <c r="AF453" s="55"/>
      <c r="AG453" s="55"/>
      <c r="AH453" s="56">
        <v>169080</v>
      </c>
      <c r="AI453" s="56"/>
    </row>
    <row r="454" spans="1:35" ht="13" x14ac:dyDescent="0.15">
      <c r="A454" s="57"/>
      <c r="B454" s="31" t="s">
        <v>4553</v>
      </c>
      <c r="C454" s="36" t="s">
        <v>43</v>
      </c>
      <c r="D454" s="86">
        <v>5</v>
      </c>
      <c r="E454" s="7" t="s">
        <v>6394</v>
      </c>
      <c r="F454" s="7"/>
      <c r="G454" s="86"/>
      <c r="H454" s="2" t="s">
        <v>6395</v>
      </c>
      <c r="I454" s="2" t="s">
        <v>644</v>
      </c>
      <c r="J454" s="2" t="s">
        <v>6396</v>
      </c>
      <c r="K454" s="2" t="s">
        <v>48</v>
      </c>
      <c r="L454" s="95" t="s">
        <v>6397</v>
      </c>
      <c r="M454" s="2" t="s">
        <v>6401</v>
      </c>
      <c r="N454" s="45" t="str">
        <f t="shared" ref="N454:N456" si="344">HYPERLINK("twitter.com/@finnusb","@finnusb")</f>
        <v>@finnusb</v>
      </c>
      <c r="O454" s="45" t="str">
        <f t="shared" ref="O454:O456" si="345">HYPERLINK("https://fulions.com/sb_output.aspx?form=3","Questionnaire")</f>
        <v>Questionnaire</v>
      </c>
      <c r="P454" s="48" t="s">
        <v>6403</v>
      </c>
      <c r="Q454" s="60" t="s">
        <v>4538</v>
      </c>
      <c r="R454" s="48" t="s">
        <v>6404</v>
      </c>
      <c r="S454" s="60" t="s">
        <v>205</v>
      </c>
      <c r="T454" s="49" t="s">
        <v>63</v>
      </c>
      <c r="U454" s="6" t="s">
        <v>318</v>
      </c>
      <c r="V454" s="49"/>
      <c r="W454" s="48" t="s">
        <v>6405</v>
      </c>
      <c r="X454" s="49" t="s">
        <v>6407</v>
      </c>
      <c r="Y454" s="49" t="s">
        <v>6408</v>
      </c>
      <c r="Z454" s="49" t="s">
        <v>1302</v>
      </c>
      <c r="AA454" s="65">
        <v>0.46</v>
      </c>
      <c r="AB454" s="39">
        <v>36088</v>
      </c>
      <c r="AC454" s="84" t="s">
        <v>6403</v>
      </c>
      <c r="AD454" s="53" t="str">
        <f t="shared" ref="AD454:AD456" si="346">HYPERLINK("http://www.finlandia.edu/academics/find-your-major/","Link")</f>
        <v>Link</v>
      </c>
      <c r="AE454" s="54">
        <v>507</v>
      </c>
      <c r="AF454" s="55"/>
      <c r="AG454" s="55"/>
      <c r="AH454" s="56">
        <v>172440</v>
      </c>
      <c r="AI454" s="56"/>
    </row>
    <row r="455" spans="1:35" ht="13" x14ac:dyDescent="0.15">
      <c r="A455" s="57"/>
      <c r="B455" s="31" t="s">
        <v>4553</v>
      </c>
      <c r="C455" s="36" t="s">
        <v>43</v>
      </c>
      <c r="D455" s="86">
        <v>5</v>
      </c>
      <c r="E455" s="7" t="s">
        <v>6417</v>
      </c>
      <c r="F455" s="7" t="s">
        <v>116</v>
      </c>
      <c r="G455" s="57"/>
      <c r="H455" s="2" t="s">
        <v>6395</v>
      </c>
      <c r="I455" s="7" t="s">
        <v>2608</v>
      </c>
      <c r="J455" s="7" t="s">
        <v>6419</v>
      </c>
      <c r="K455" s="7" t="s">
        <v>139</v>
      </c>
      <c r="L455" s="57" t="s">
        <v>6420</v>
      </c>
      <c r="M455" s="57" t="s">
        <v>6421</v>
      </c>
      <c r="N455" s="45" t="str">
        <f t="shared" si="344"/>
        <v>@finnusb</v>
      </c>
      <c r="O455" s="45" t="str">
        <f t="shared" si="345"/>
        <v>Questionnaire</v>
      </c>
      <c r="P455" s="48" t="s">
        <v>6403</v>
      </c>
      <c r="Q455" s="60" t="s">
        <v>4538</v>
      </c>
      <c r="R455" s="48" t="s">
        <v>6404</v>
      </c>
      <c r="S455" s="60" t="s">
        <v>205</v>
      </c>
      <c r="T455" s="49" t="s">
        <v>63</v>
      </c>
      <c r="U455" s="6" t="s">
        <v>318</v>
      </c>
      <c r="V455" s="49"/>
      <c r="W455" s="48" t="s">
        <v>6405</v>
      </c>
      <c r="X455" s="49" t="s">
        <v>6407</v>
      </c>
      <c r="Y455" s="49" t="s">
        <v>6408</v>
      </c>
      <c r="Z455" s="49" t="s">
        <v>1302</v>
      </c>
      <c r="AA455" s="65">
        <v>0.46</v>
      </c>
      <c r="AB455" s="39">
        <v>36088</v>
      </c>
      <c r="AC455" s="84" t="s">
        <v>6403</v>
      </c>
      <c r="AD455" s="53" t="str">
        <f t="shared" si="346"/>
        <v>Link</v>
      </c>
      <c r="AE455" s="54">
        <v>507</v>
      </c>
      <c r="AF455" s="55"/>
      <c r="AG455" s="55"/>
      <c r="AH455" s="56">
        <v>172440</v>
      </c>
      <c r="AI455" s="56"/>
    </row>
    <row r="456" spans="1:35" ht="13" x14ac:dyDescent="0.15">
      <c r="A456" s="57"/>
      <c r="B456" s="31" t="s">
        <v>4553</v>
      </c>
      <c r="C456" s="36" t="s">
        <v>43</v>
      </c>
      <c r="D456" s="86">
        <v>5</v>
      </c>
      <c r="E456" s="7" t="s">
        <v>6422</v>
      </c>
      <c r="F456" s="7"/>
      <c r="G456" s="86"/>
      <c r="H456" s="2" t="s">
        <v>6395</v>
      </c>
      <c r="I456" s="2" t="s">
        <v>2885</v>
      </c>
      <c r="J456" s="2" t="s">
        <v>6424</v>
      </c>
      <c r="K456" s="2" t="s">
        <v>55</v>
      </c>
      <c r="L456" s="95"/>
      <c r="M456" s="2"/>
      <c r="N456" s="45" t="str">
        <f t="shared" si="344"/>
        <v>@finnusb</v>
      </c>
      <c r="O456" s="45" t="str">
        <f t="shared" si="345"/>
        <v>Questionnaire</v>
      </c>
      <c r="P456" s="48" t="s">
        <v>6403</v>
      </c>
      <c r="Q456" s="60" t="s">
        <v>4538</v>
      </c>
      <c r="R456" s="48" t="s">
        <v>6404</v>
      </c>
      <c r="S456" s="60" t="s">
        <v>205</v>
      </c>
      <c r="T456" s="49" t="s">
        <v>63</v>
      </c>
      <c r="U456" s="6" t="s">
        <v>318</v>
      </c>
      <c r="V456" s="49"/>
      <c r="W456" s="48" t="s">
        <v>6405</v>
      </c>
      <c r="X456" s="49" t="s">
        <v>6407</v>
      </c>
      <c r="Y456" s="49" t="s">
        <v>6408</v>
      </c>
      <c r="Z456" s="49" t="s">
        <v>1302</v>
      </c>
      <c r="AA456" s="65">
        <v>0.46</v>
      </c>
      <c r="AB456" s="39">
        <v>36088</v>
      </c>
      <c r="AC456" s="84" t="s">
        <v>6403</v>
      </c>
      <c r="AD456" s="53" t="str">
        <f t="shared" si="346"/>
        <v>Link</v>
      </c>
      <c r="AE456" s="54">
        <v>507</v>
      </c>
      <c r="AF456" s="55"/>
      <c r="AG456" s="55"/>
      <c r="AH456" s="56">
        <v>172440</v>
      </c>
      <c r="AI456" s="56"/>
    </row>
    <row r="457" spans="1:35" ht="15" x14ac:dyDescent="0.2">
      <c r="A457" s="57"/>
      <c r="B457" s="31" t="s">
        <v>4553</v>
      </c>
      <c r="C457" s="36" t="s">
        <v>43</v>
      </c>
      <c r="D457" s="86">
        <v>5</v>
      </c>
      <c r="E457" s="7" t="s">
        <v>6431</v>
      </c>
      <c r="F457" s="7"/>
      <c r="G457" s="86"/>
      <c r="H457" s="33" t="s">
        <v>6432</v>
      </c>
      <c r="I457" s="33" t="s">
        <v>2150</v>
      </c>
      <c r="J457" s="7" t="s">
        <v>6433</v>
      </c>
      <c r="K457" s="7" t="s">
        <v>48</v>
      </c>
      <c r="L457" s="7" t="s">
        <v>6435</v>
      </c>
      <c r="M457" s="7" t="s">
        <v>6436</v>
      </c>
      <c r="N457" s="45" t="str">
        <f t="shared" ref="N457:N461" si="347">HYPERLINK("twitter.com/HopeCollegeSB","@HopeCollegeSB")</f>
        <v>@HopeCollegeSB</v>
      </c>
      <c r="O457" s="45" t="str">
        <f t="shared" ref="O457:O461" si="348">HYPERLINK("https://athletics.hope.edu/information/recruiting","Questionnaire")</f>
        <v>Questionnaire</v>
      </c>
      <c r="P457" s="48" t="s">
        <v>6446</v>
      </c>
      <c r="Q457" s="60" t="s">
        <v>4538</v>
      </c>
      <c r="R457" s="48" t="s">
        <v>6447</v>
      </c>
      <c r="S457" s="48" t="s">
        <v>468</v>
      </c>
      <c r="T457" s="49" t="s">
        <v>63</v>
      </c>
      <c r="U457" s="6" t="s">
        <v>3009</v>
      </c>
      <c r="V457" s="49"/>
      <c r="W457" s="39">
        <v>3.7</v>
      </c>
      <c r="X457" s="49" t="s">
        <v>2528</v>
      </c>
      <c r="Y457" s="49" t="s">
        <v>1490</v>
      </c>
      <c r="Z457" s="49" t="s">
        <v>2734</v>
      </c>
      <c r="AA457" s="65">
        <v>0.84</v>
      </c>
      <c r="AB457" s="39">
        <v>43840</v>
      </c>
      <c r="AC457" s="84" t="s">
        <v>6446</v>
      </c>
      <c r="AD457" s="53" t="str">
        <f t="shared" ref="AD457:AD461" si="349">HYPERLINK("https://hope.edu/admissions/majors-programs.html","Link")</f>
        <v>Link</v>
      </c>
      <c r="AE457" s="54">
        <v>3234</v>
      </c>
      <c r="AF457" s="55"/>
      <c r="AG457" s="54">
        <v>106</v>
      </c>
      <c r="AH457" s="56">
        <v>170301</v>
      </c>
      <c r="AI457" s="56"/>
    </row>
    <row r="458" spans="1:35" ht="15" x14ac:dyDescent="0.2">
      <c r="A458" s="57"/>
      <c r="B458" s="31" t="s">
        <v>4553</v>
      </c>
      <c r="C458" s="36" t="s">
        <v>43</v>
      </c>
      <c r="D458" s="86">
        <v>5</v>
      </c>
      <c r="E458" s="7" t="s">
        <v>6456</v>
      </c>
      <c r="F458" s="7"/>
      <c r="G458" s="86"/>
      <c r="H458" s="33" t="s">
        <v>6432</v>
      </c>
      <c r="I458" s="2" t="s">
        <v>6457</v>
      </c>
      <c r="J458" s="2" t="s">
        <v>6458</v>
      </c>
      <c r="K458" s="2" t="s">
        <v>55</v>
      </c>
      <c r="L458" s="95" t="s">
        <v>6460</v>
      </c>
      <c r="M458" s="2" t="s">
        <v>6461</v>
      </c>
      <c r="N458" s="45" t="str">
        <f t="shared" si="347"/>
        <v>@HopeCollegeSB</v>
      </c>
      <c r="O458" s="45" t="str">
        <f t="shared" si="348"/>
        <v>Questionnaire</v>
      </c>
      <c r="P458" s="48" t="s">
        <v>6446</v>
      </c>
      <c r="Q458" s="60" t="s">
        <v>4538</v>
      </c>
      <c r="R458" s="48" t="s">
        <v>6447</v>
      </c>
      <c r="S458" s="48" t="s">
        <v>468</v>
      </c>
      <c r="T458" s="49" t="s">
        <v>63</v>
      </c>
      <c r="U458" s="6" t="s">
        <v>3009</v>
      </c>
      <c r="V458" s="49"/>
      <c r="W458" s="39">
        <v>3.7</v>
      </c>
      <c r="X458" s="49" t="s">
        <v>2528</v>
      </c>
      <c r="Y458" s="49" t="s">
        <v>1490</v>
      </c>
      <c r="Z458" s="49" t="s">
        <v>2734</v>
      </c>
      <c r="AA458" s="65">
        <v>0.84</v>
      </c>
      <c r="AB458" s="39">
        <v>43840</v>
      </c>
      <c r="AC458" s="84" t="s">
        <v>6446</v>
      </c>
      <c r="AD458" s="53" t="str">
        <f t="shared" si="349"/>
        <v>Link</v>
      </c>
      <c r="AE458" s="54">
        <v>3234</v>
      </c>
      <c r="AF458" s="55"/>
      <c r="AG458" s="54">
        <v>106</v>
      </c>
      <c r="AH458" s="56">
        <v>170301</v>
      </c>
      <c r="AI458" s="56"/>
    </row>
    <row r="459" spans="1:35" ht="15" x14ac:dyDescent="0.2">
      <c r="A459" s="57"/>
      <c r="B459" s="31" t="s">
        <v>4553</v>
      </c>
      <c r="C459" s="36" t="s">
        <v>43</v>
      </c>
      <c r="D459" s="86">
        <v>5</v>
      </c>
      <c r="E459" s="7" t="s">
        <v>6469</v>
      </c>
      <c r="F459" s="7"/>
      <c r="G459" s="86"/>
      <c r="H459" s="33" t="s">
        <v>6432</v>
      </c>
      <c r="I459" s="34" t="s">
        <v>161</v>
      </c>
      <c r="J459" s="2" t="s">
        <v>6470</v>
      </c>
      <c r="K459" s="2" t="s">
        <v>55</v>
      </c>
      <c r="L459" s="34"/>
      <c r="M459" s="2"/>
      <c r="N459" s="45" t="str">
        <f t="shared" si="347"/>
        <v>@HopeCollegeSB</v>
      </c>
      <c r="O459" s="45" t="str">
        <f t="shared" si="348"/>
        <v>Questionnaire</v>
      </c>
      <c r="P459" s="48" t="s">
        <v>6446</v>
      </c>
      <c r="Q459" s="60" t="s">
        <v>4538</v>
      </c>
      <c r="R459" s="48" t="s">
        <v>6447</v>
      </c>
      <c r="S459" s="48" t="s">
        <v>468</v>
      </c>
      <c r="T459" s="49" t="s">
        <v>63</v>
      </c>
      <c r="U459" s="6" t="s">
        <v>3009</v>
      </c>
      <c r="V459" s="49"/>
      <c r="W459" s="39">
        <v>3.7</v>
      </c>
      <c r="X459" s="49" t="s">
        <v>2528</v>
      </c>
      <c r="Y459" s="49" t="s">
        <v>1490</v>
      </c>
      <c r="Z459" s="49" t="s">
        <v>2734</v>
      </c>
      <c r="AA459" s="65">
        <v>0.84</v>
      </c>
      <c r="AB459" s="39">
        <v>43840</v>
      </c>
      <c r="AC459" s="84" t="s">
        <v>6446</v>
      </c>
      <c r="AD459" s="53" t="str">
        <f t="shared" si="349"/>
        <v>Link</v>
      </c>
      <c r="AE459" s="54">
        <v>3234</v>
      </c>
      <c r="AF459" s="55"/>
      <c r="AG459" s="54">
        <v>106</v>
      </c>
      <c r="AH459" s="56">
        <v>170301</v>
      </c>
      <c r="AI459" s="56"/>
    </row>
    <row r="460" spans="1:35" ht="15" x14ac:dyDescent="0.2">
      <c r="A460" s="57"/>
      <c r="B460" s="31" t="s">
        <v>4553</v>
      </c>
      <c r="C460" s="36" t="s">
        <v>43</v>
      </c>
      <c r="D460" s="86">
        <v>5</v>
      </c>
      <c r="E460" s="7" t="s">
        <v>6474</v>
      </c>
      <c r="F460" s="7"/>
      <c r="G460" s="86"/>
      <c r="H460" s="33" t="s">
        <v>6432</v>
      </c>
      <c r="I460" s="34" t="s">
        <v>1822</v>
      </c>
      <c r="J460" s="33" t="s">
        <v>6477</v>
      </c>
      <c r="K460" s="33" t="s">
        <v>55</v>
      </c>
      <c r="L460" s="34"/>
      <c r="M460" s="33"/>
      <c r="N460" s="45" t="str">
        <f t="shared" si="347"/>
        <v>@HopeCollegeSB</v>
      </c>
      <c r="O460" s="45" t="str">
        <f t="shared" si="348"/>
        <v>Questionnaire</v>
      </c>
      <c r="P460" s="48" t="s">
        <v>6446</v>
      </c>
      <c r="Q460" s="60" t="s">
        <v>4538</v>
      </c>
      <c r="R460" s="48" t="s">
        <v>6447</v>
      </c>
      <c r="S460" s="48" t="s">
        <v>468</v>
      </c>
      <c r="T460" s="49" t="s">
        <v>63</v>
      </c>
      <c r="U460" s="6" t="s">
        <v>3009</v>
      </c>
      <c r="V460" s="49"/>
      <c r="W460" s="39">
        <v>3.7</v>
      </c>
      <c r="X460" s="49" t="s">
        <v>2528</v>
      </c>
      <c r="Y460" s="49" t="s">
        <v>1490</v>
      </c>
      <c r="Z460" s="49" t="s">
        <v>2734</v>
      </c>
      <c r="AA460" s="65">
        <v>0.84</v>
      </c>
      <c r="AB460" s="39">
        <v>43840</v>
      </c>
      <c r="AC460" s="84" t="s">
        <v>6446</v>
      </c>
      <c r="AD460" s="53" t="str">
        <f t="shared" si="349"/>
        <v>Link</v>
      </c>
      <c r="AE460" s="54">
        <v>3234</v>
      </c>
      <c r="AF460" s="55"/>
      <c r="AG460" s="54">
        <v>106</v>
      </c>
      <c r="AH460" s="56">
        <v>170301</v>
      </c>
      <c r="AI460" s="56"/>
    </row>
    <row r="461" spans="1:35" ht="15" x14ac:dyDescent="0.2">
      <c r="A461" s="57"/>
      <c r="B461" s="31" t="s">
        <v>4553</v>
      </c>
      <c r="C461" s="36" t="s">
        <v>43</v>
      </c>
      <c r="D461" s="86">
        <v>5</v>
      </c>
      <c r="E461" s="7" t="s">
        <v>6489</v>
      </c>
      <c r="F461" s="7"/>
      <c r="G461" s="86"/>
      <c r="H461" s="33" t="s">
        <v>6432</v>
      </c>
      <c r="I461" s="34" t="s">
        <v>2975</v>
      </c>
      <c r="J461" s="33" t="s">
        <v>6490</v>
      </c>
      <c r="K461" s="33" t="s">
        <v>55</v>
      </c>
      <c r="L461" s="34"/>
      <c r="M461" s="33"/>
      <c r="N461" s="45" t="str">
        <f t="shared" si="347"/>
        <v>@HopeCollegeSB</v>
      </c>
      <c r="O461" s="45" t="str">
        <f t="shared" si="348"/>
        <v>Questionnaire</v>
      </c>
      <c r="P461" s="48" t="s">
        <v>6446</v>
      </c>
      <c r="Q461" s="60" t="s">
        <v>4538</v>
      </c>
      <c r="R461" s="48" t="s">
        <v>6447</v>
      </c>
      <c r="S461" s="48" t="s">
        <v>468</v>
      </c>
      <c r="T461" s="49" t="s">
        <v>63</v>
      </c>
      <c r="U461" s="6" t="s">
        <v>3009</v>
      </c>
      <c r="V461" s="49"/>
      <c r="W461" s="39">
        <v>3.7</v>
      </c>
      <c r="X461" s="49" t="s">
        <v>2528</v>
      </c>
      <c r="Y461" s="49" t="s">
        <v>1490</v>
      </c>
      <c r="Z461" s="49" t="s">
        <v>2734</v>
      </c>
      <c r="AA461" s="65">
        <v>0.84</v>
      </c>
      <c r="AB461" s="39">
        <v>43840</v>
      </c>
      <c r="AC461" s="84" t="s">
        <v>6446</v>
      </c>
      <c r="AD461" s="53" t="str">
        <f t="shared" si="349"/>
        <v>Link</v>
      </c>
      <c r="AE461" s="54">
        <v>3234</v>
      </c>
      <c r="AF461" s="55"/>
      <c r="AG461" s="54">
        <v>106</v>
      </c>
      <c r="AH461" s="56">
        <v>170301</v>
      </c>
      <c r="AI461" s="56"/>
    </row>
    <row r="462" spans="1:35" ht="15" x14ac:dyDescent="0.2">
      <c r="A462" s="57"/>
      <c r="B462" s="31" t="s">
        <v>4553</v>
      </c>
      <c r="C462" s="36" t="s">
        <v>43</v>
      </c>
      <c r="D462" s="86">
        <v>5</v>
      </c>
      <c r="E462" s="7" t="s">
        <v>6500</v>
      </c>
      <c r="F462" s="7"/>
      <c r="G462" s="86"/>
      <c r="H462" s="33" t="s">
        <v>6502</v>
      </c>
      <c r="I462" s="2" t="s">
        <v>2080</v>
      </c>
      <c r="J462" s="33" t="s">
        <v>6504</v>
      </c>
      <c r="K462" s="33" t="s">
        <v>48</v>
      </c>
      <c r="L462" s="34" t="s">
        <v>6505</v>
      </c>
      <c r="M462" s="33" t="s">
        <v>6506</v>
      </c>
      <c r="N462" s="45" t="str">
        <f t="shared" ref="N462:N464" si="350">HYPERLINK("twitter.com/kzoosoftball","@kzoosoftball")</f>
        <v>@kzoosoftball</v>
      </c>
      <c r="O462" s="45" t="str">
        <f t="shared" ref="O462:O464" si="351">HYPERLINK("https://hornets.kzoo.edu/recruiting/index","Questionnaire")</f>
        <v>Questionnaire</v>
      </c>
      <c r="P462" s="48" t="s">
        <v>6510</v>
      </c>
      <c r="Q462" s="60" t="s">
        <v>4538</v>
      </c>
      <c r="R462" s="48" t="s">
        <v>6510</v>
      </c>
      <c r="S462" s="48" t="s">
        <v>238</v>
      </c>
      <c r="T462" s="49" t="s">
        <v>63</v>
      </c>
      <c r="U462" s="48" t="s">
        <v>75</v>
      </c>
      <c r="V462" s="49"/>
      <c r="W462" s="39">
        <v>3.73</v>
      </c>
      <c r="X462" s="49" t="s">
        <v>1066</v>
      </c>
      <c r="Y462" s="49" t="s">
        <v>1372</v>
      </c>
      <c r="Z462" s="49" t="s">
        <v>2620</v>
      </c>
      <c r="AA462" s="65">
        <v>0.66</v>
      </c>
      <c r="AB462" s="39">
        <v>57116</v>
      </c>
      <c r="AC462" s="84" t="s">
        <v>6510</v>
      </c>
      <c r="AD462" s="53" t="str">
        <f t="shared" ref="AD462:AD464" si="352">HYPERLINK("http://www.kzoo.edu/programs/","Link")</f>
        <v>Link</v>
      </c>
      <c r="AE462" s="54">
        <v>1443</v>
      </c>
      <c r="AF462" s="55"/>
      <c r="AG462" s="54">
        <v>76</v>
      </c>
      <c r="AH462" s="56">
        <v>170532</v>
      </c>
      <c r="AI462" s="56"/>
    </row>
    <row r="463" spans="1:35" ht="15" x14ac:dyDescent="0.2">
      <c r="A463" s="57"/>
      <c r="B463" s="31" t="s">
        <v>4553</v>
      </c>
      <c r="C463" s="36" t="s">
        <v>43</v>
      </c>
      <c r="D463" s="86">
        <v>5</v>
      </c>
      <c r="E463" s="7" t="s">
        <v>6518</v>
      </c>
      <c r="F463" s="7"/>
      <c r="G463" s="86"/>
      <c r="H463" s="33" t="s">
        <v>6502</v>
      </c>
      <c r="I463" s="2" t="s">
        <v>981</v>
      </c>
      <c r="J463" s="33" t="s">
        <v>6519</v>
      </c>
      <c r="K463" s="33" t="s">
        <v>55</v>
      </c>
      <c r="L463" s="34"/>
      <c r="M463" s="33"/>
      <c r="N463" s="45" t="str">
        <f t="shared" si="350"/>
        <v>@kzoosoftball</v>
      </c>
      <c r="O463" s="45" t="str">
        <f t="shared" si="351"/>
        <v>Questionnaire</v>
      </c>
      <c r="P463" s="48" t="s">
        <v>6510</v>
      </c>
      <c r="Q463" s="60" t="s">
        <v>4538</v>
      </c>
      <c r="R463" s="48" t="s">
        <v>6510</v>
      </c>
      <c r="S463" s="48" t="s">
        <v>238</v>
      </c>
      <c r="T463" s="49" t="s">
        <v>63</v>
      </c>
      <c r="U463" s="48" t="s">
        <v>75</v>
      </c>
      <c r="V463" s="49"/>
      <c r="W463" s="39">
        <v>3.73</v>
      </c>
      <c r="X463" s="49" t="s">
        <v>1066</v>
      </c>
      <c r="Y463" s="49" t="s">
        <v>1372</v>
      </c>
      <c r="Z463" s="49" t="s">
        <v>2620</v>
      </c>
      <c r="AA463" s="65">
        <v>0.66</v>
      </c>
      <c r="AB463" s="39">
        <v>57116</v>
      </c>
      <c r="AC463" s="84" t="s">
        <v>6510</v>
      </c>
      <c r="AD463" s="53" t="str">
        <f t="shared" si="352"/>
        <v>Link</v>
      </c>
      <c r="AE463" s="54">
        <v>1443</v>
      </c>
      <c r="AF463" s="55"/>
      <c r="AG463" s="54">
        <v>76</v>
      </c>
      <c r="AH463" s="56">
        <v>170532</v>
      </c>
      <c r="AI463" s="56"/>
    </row>
    <row r="464" spans="1:35" ht="15" x14ac:dyDescent="0.2">
      <c r="A464" s="57"/>
      <c r="B464" s="31" t="s">
        <v>4553</v>
      </c>
      <c r="C464" s="36" t="s">
        <v>43</v>
      </c>
      <c r="D464" s="86">
        <v>5</v>
      </c>
      <c r="E464" s="7" t="s">
        <v>6529</v>
      </c>
      <c r="F464" s="7"/>
      <c r="G464" s="86"/>
      <c r="H464" s="33" t="s">
        <v>6502</v>
      </c>
      <c r="I464" s="2" t="s">
        <v>1234</v>
      </c>
      <c r="J464" s="33" t="s">
        <v>6530</v>
      </c>
      <c r="K464" s="33" t="s">
        <v>55</v>
      </c>
      <c r="L464" s="34"/>
      <c r="M464" s="33"/>
      <c r="N464" s="45" t="str">
        <f t="shared" si="350"/>
        <v>@kzoosoftball</v>
      </c>
      <c r="O464" s="45" t="str">
        <f t="shared" si="351"/>
        <v>Questionnaire</v>
      </c>
      <c r="P464" s="48" t="s">
        <v>6510</v>
      </c>
      <c r="Q464" s="60" t="s">
        <v>4538</v>
      </c>
      <c r="R464" s="48" t="s">
        <v>6510</v>
      </c>
      <c r="S464" s="48" t="s">
        <v>238</v>
      </c>
      <c r="T464" s="49" t="s">
        <v>63</v>
      </c>
      <c r="U464" s="48" t="s">
        <v>75</v>
      </c>
      <c r="V464" s="49"/>
      <c r="W464" s="39">
        <v>3.73</v>
      </c>
      <c r="X464" s="49" t="s">
        <v>1066</v>
      </c>
      <c r="Y464" s="49" t="s">
        <v>1372</v>
      </c>
      <c r="Z464" s="49" t="s">
        <v>2620</v>
      </c>
      <c r="AA464" s="65">
        <v>0.66</v>
      </c>
      <c r="AB464" s="39">
        <v>57116</v>
      </c>
      <c r="AC464" s="84" t="s">
        <v>6510</v>
      </c>
      <c r="AD464" s="53" t="str">
        <f t="shared" si="352"/>
        <v>Link</v>
      </c>
      <c r="AE464" s="54">
        <v>1443</v>
      </c>
      <c r="AF464" s="55"/>
      <c r="AG464" s="54">
        <v>76</v>
      </c>
      <c r="AH464" s="56">
        <v>170532</v>
      </c>
      <c r="AI464" s="56"/>
    </row>
    <row r="465" spans="1:35" ht="15" x14ac:dyDescent="0.2">
      <c r="A465" s="57"/>
      <c r="B465" s="31" t="s">
        <v>4553</v>
      </c>
      <c r="C465" s="36" t="s">
        <v>43</v>
      </c>
      <c r="D465" s="86">
        <v>5</v>
      </c>
      <c r="E465" s="7" t="s">
        <v>6537</v>
      </c>
      <c r="F465" s="7"/>
      <c r="G465" s="86"/>
      <c r="H465" s="33" t="s">
        <v>6539</v>
      </c>
      <c r="I465" s="34" t="s">
        <v>6540</v>
      </c>
      <c r="J465" s="33" t="s">
        <v>196</v>
      </c>
      <c r="K465" s="33" t="s">
        <v>48</v>
      </c>
      <c r="L465" s="2" t="s">
        <v>6542</v>
      </c>
      <c r="M465" s="2" t="s">
        <v>6543</v>
      </c>
      <c r="N465" s="48"/>
      <c r="O465" s="45" t="str">
        <f t="shared" ref="O465:O469" si="353">HYPERLINK("https://www.olivetcomets.com/recruiting/recruit_forms/index","Questionnaire")</f>
        <v>Questionnaire</v>
      </c>
      <c r="P465" s="48" t="s">
        <v>6548</v>
      </c>
      <c r="Q465" s="60" t="s">
        <v>4538</v>
      </c>
      <c r="R465" s="48" t="s">
        <v>6548</v>
      </c>
      <c r="S465" s="60" t="s">
        <v>205</v>
      </c>
      <c r="T465" s="49" t="s">
        <v>63</v>
      </c>
      <c r="U465" s="6" t="s">
        <v>1625</v>
      </c>
      <c r="V465" s="49"/>
      <c r="W465" s="48" t="s">
        <v>214</v>
      </c>
      <c r="X465" s="49" t="s">
        <v>6550</v>
      </c>
      <c r="Y465" s="49" t="s">
        <v>1648</v>
      </c>
      <c r="Z465" s="49" t="s">
        <v>449</v>
      </c>
      <c r="AA465" s="65">
        <v>0.53</v>
      </c>
      <c r="AB465" s="39">
        <v>38476</v>
      </c>
      <c r="AC465" s="84" t="s">
        <v>6548</v>
      </c>
      <c r="AD465" s="53" t="str">
        <f t="shared" ref="AD465:AD469" si="354">HYPERLINK("https://www.olivetcollege.edu/undergraduate/academics/list-of-majors/","Link")</f>
        <v>Link</v>
      </c>
      <c r="AE465" s="54">
        <v>1045</v>
      </c>
      <c r="AF465" s="55"/>
      <c r="AG465" s="55"/>
      <c r="AH465" s="56">
        <v>171599</v>
      </c>
      <c r="AI465" s="56"/>
    </row>
    <row r="466" spans="1:35" ht="15" x14ac:dyDescent="0.2">
      <c r="A466" s="57"/>
      <c r="B466" s="31" t="s">
        <v>4553</v>
      </c>
      <c r="C466" s="36" t="s">
        <v>43</v>
      </c>
      <c r="D466" s="86">
        <v>5</v>
      </c>
      <c r="E466" s="7" t="s">
        <v>6554</v>
      </c>
      <c r="F466" s="7"/>
      <c r="G466" s="86"/>
      <c r="H466" s="33" t="s">
        <v>6539</v>
      </c>
      <c r="I466" s="34" t="s">
        <v>3179</v>
      </c>
      <c r="J466" s="33" t="s">
        <v>196</v>
      </c>
      <c r="K466" s="33" t="s">
        <v>55</v>
      </c>
      <c r="L466" s="2"/>
      <c r="M466" s="2"/>
      <c r="N466" s="48"/>
      <c r="O466" s="45" t="str">
        <f t="shared" si="353"/>
        <v>Questionnaire</v>
      </c>
      <c r="P466" s="48" t="s">
        <v>6548</v>
      </c>
      <c r="Q466" s="60" t="s">
        <v>4538</v>
      </c>
      <c r="R466" s="48" t="s">
        <v>6548</v>
      </c>
      <c r="S466" s="60" t="s">
        <v>205</v>
      </c>
      <c r="T466" s="49" t="s">
        <v>63</v>
      </c>
      <c r="U466" s="6" t="s">
        <v>1625</v>
      </c>
      <c r="V466" s="49"/>
      <c r="W466" s="48" t="s">
        <v>214</v>
      </c>
      <c r="X466" s="49" t="s">
        <v>6550</v>
      </c>
      <c r="Y466" s="49" t="s">
        <v>1648</v>
      </c>
      <c r="Z466" s="49" t="s">
        <v>449</v>
      </c>
      <c r="AA466" s="65">
        <v>0.53</v>
      </c>
      <c r="AB466" s="39">
        <v>38476</v>
      </c>
      <c r="AC466" s="84" t="s">
        <v>6548</v>
      </c>
      <c r="AD466" s="53" t="str">
        <f t="shared" si="354"/>
        <v>Link</v>
      </c>
      <c r="AE466" s="54">
        <v>1045</v>
      </c>
      <c r="AF466" s="55"/>
      <c r="AG466" s="55"/>
      <c r="AH466" s="56">
        <v>171599</v>
      </c>
      <c r="AI466" s="56"/>
    </row>
    <row r="467" spans="1:35" ht="15" x14ac:dyDescent="0.2">
      <c r="A467" s="57"/>
      <c r="B467" s="31" t="s">
        <v>4553</v>
      </c>
      <c r="C467" s="36" t="s">
        <v>43</v>
      </c>
      <c r="D467" s="86">
        <v>5</v>
      </c>
      <c r="E467" s="7" t="s">
        <v>6563</v>
      </c>
      <c r="F467" s="7"/>
      <c r="G467" s="86"/>
      <c r="H467" s="33" t="s">
        <v>6539</v>
      </c>
      <c r="I467" s="34" t="s">
        <v>4233</v>
      </c>
      <c r="J467" s="33" t="s">
        <v>196</v>
      </c>
      <c r="K467" s="33" t="s">
        <v>55</v>
      </c>
      <c r="L467" s="2"/>
      <c r="M467" s="2"/>
      <c r="N467" s="48"/>
      <c r="O467" s="45" t="str">
        <f t="shared" si="353"/>
        <v>Questionnaire</v>
      </c>
      <c r="P467" s="48" t="s">
        <v>6548</v>
      </c>
      <c r="Q467" s="60" t="s">
        <v>4538</v>
      </c>
      <c r="R467" s="48" t="s">
        <v>6548</v>
      </c>
      <c r="S467" s="60" t="s">
        <v>205</v>
      </c>
      <c r="T467" s="49" t="s">
        <v>63</v>
      </c>
      <c r="U467" s="6" t="s">
        <v>1625</v>
      </c>
      <c r="V467" s="49"/>
      <c r="W467" s="48" t="s">
        <v>214</v>
      </c>
      <c r="X467" s="49" t="s">
        <v>6550</v>
      </c>
      <c r="Y467" s="49" t="s">
        <v>1648</v>
      </c>
      <c r="Z467" s="49" t="s">
        <v>449</v>
      </c>
      <c r="AA467" s="65">
        <v>0.53</v>
      </c>
      <c r="AB467" s="39">
        <v>38476</v>
      </c>
      <c r="AC467" s="84" t="s">
        <v>6548</v>
      </c>
      <c r="AD467" s="53" t="str">
        <f t="shared" si="354"/>
        <v>Link</v>
      </c>
      <c r="AE467" s="54">
        <v>1045</v>
      </c>
      <c r="AF467" s="55"/>
      <c r="AG467" s="55"/>
      <c r="AH467" s="56">
        <v>171599</v>
      </c>
      <c r="AI467" s="56"/>
    </row>
    <row r="468" spans="1:35" ht="15" x14ac:dyDescent="0.2">
      <c r="A468" s="57"/>
      <c r="B468" s="31" t="s">
        <v>4553</v>
      </c>
      <c r="C468" s="36" t="s">
        <v>43</v>
      </c>
      <c r="D468" s="86">
        <v>5</v>
      </c>
      <c r="E468" s="7" t="s">
        <v>6566</v>
      </c>
      <c r="F468" s="7"/>
      <c r="G468" s="86"/>
      <c r="H468" s="33" t="s">
        <v>6539</v>
      </c>
      <c r="I468" s="34" t="s">
        <v>6100</v>
      </c>
      <c r="J468" s="2" t="s">
        <v>5172</v>
      </c>
      <c r="K468" s="7" t="s">
        <v>55</v>
      </c>
      <c r="L468" s="2"/>
      <c r="M468" s="2"/>
      <c r="N468" s="48"/>
      <c r="O468" s="45" t="str">
        <f t="shared" si="353"/>
        <v>Questionnaire</v>
      </c>
      <c r="P468" s="48" t="s">
        <v>6548</v>
      </c>
      <c r="Q468" s="60" t="s">
        <v>4538</v>
      </c>
      <c r="R468" s="48" t="s">
        <v>6548</v>
      </c>
      <c r="S468" s="60" t="s">
        <v>205</v>
      </c>
      <c r="T468" s="49" t="s">
        <v>63</v>
      </c>
      <c r="U468" s="6" t="s">
        <v>1625</v>
      </c>
      <c r="V468" s="49"/>
      <c r="W468" s="48" t="s">
        <v>214</v>
      </c>
      <c r="X468" s="49" t="s">
        <v>6550</v>
      </c>
      <c r="Y468" s="49" t="s">
        <v>1648</v>
      </c>
      <c r="Z468" s="49" t="s">
        <v>449</v>
      </c>
      <c r="AA468" s="65">
        <v>0.53</v>
      </c>
      <c r="AB468" s="39">
        <v>38476</v>
      </c>
      <c r="AC468" s="84" t="s">
        <v>6548</v>
      </c>
      <c r="AD468" s="53" t="str">
        <f t="shared" si="354"/>
        <v>Link</v>
      </c>
      <c r="AE468" s="54">
        <v>1045</v>
      </c>
      <c r="AF468" s="55"/>
      <c r="AG468" s="55"/>
      <c r="AH468" s="56">
        <v>171599</v>
      </c>
      <c r="AI468" s="56"/>
    </row>
    <row r="469" spans="1:35" ht="15" x14ac:dyDescent="0.2">
      <c r="A469" s="57"/>
      <c r="B469" s="31" t="s">
        <v>4553</v>
      </c>
      <c r="C469" s="36" t="s">
        <v>43</v>
      </c>
      <c r="D469" s="86">
        <v>5</v>
      </c>
      <c r="E469" s="7" t="s">
        <v>6572</v>
      </c>
      <c r="F469" s="7"/>
      <c r="G469" s="86"/>
      <c r="H469" s="33" t="s">
        <v>6539</v>
      </c>
      <c r="I469" s="2" t="s">
        <v>6577</v>
      </c>
      <c r="J469" s="33" t="s">
        <v>6578</v>
      </c>
      <c r="K469" s="33" t="s">
        <v>55</v>
      </c>
      <c r="L469" s="2"/>
      <c r="M469" s="2"/>
      <c r="N469" s="48"/>
      <c r="O469" s="45" t="str">
        <f t="shared" si="353"/>
        <v>Questionnaire</v>
      </c>
      <c r="P469" s="48" t="s">
        <v>6548</v>
      </c>
      <c r="Q469" s="60" t="s">
        <v>4538</v>
      </c>
      <c r="R469" s="48" t="s">
        <v>6548</v>
      </c>
      <c r="S469" s="60" t="s">
        <v>205</v>
      </c>
      <c r="T469" s="49" t="s">
        <v>63</v>
      </c>
      <c r="U469" s="6" t="s">
        <v>1625</v>
      </c>
      <c r="V469" s="49"/>
      <c r="W469" s="48" t="s">
        <v>214</v>
      </c>
      <c r="X469" s="49" t="s">
        <v>6550</v>
      </c>
      <c r="Y469" s="49" t="s">
        <v>1648</v>
      </c>
      <c r="Z469" s="49" t="s">
        <v>449</v>
      </c>
      <c r="AA469" s="65">
        <v>0.53</v>
      </c>
      <c r="AB469" s="39">
        <v>38476</v>
      </c>
      <c r="AC469" s="84" t="s">
        <v>6548</v>
      </c>
      <c r="AD469" s="53" t="str">
        <f t="shared" si="354"/>
        <v>Link</v>
      </c>
      <c r="AE469" s="54">
        <v>1045</v>
      </c>
      <c r="AF469" s="55"/>
      <c r="AG469" s="55"/>
      <c r="AH469" s="56">
        <v>171599</v>
      </c>
      <c r="AI469" s="56"/>
    </row>
    <row r="470" spans="1:35" ht="15" x14ac:dyDescent="0.2">
      <c r="A470" s="57"/>
      <c r="B470" s="31" t="s">
        <v>4669</v>
      </c>
      <c r="C470" s="36" t="s">
        <v>43</v>
      </c>
      <c r="D470" s="86">
        <v>5</v>
      </c>
      <c r="E470" s="7" t="s">
        <v>6579</v>
      </c>
      <c r="F470" s="7"/>
      <c r="G470" s="86"/>
      <c r="H470" s="33" t="s">
        <v>6580</v>
      </c>
      <c r="I470" s="34" t="s">
        <v>1163</v>
      </c>
      <c r="J470" s="33" t="s">
        <v>3882</v>
      </c>
      <c r="K470" s="33" t="s">
        <v>48</v>
      </c>
      <c r="L470" s="2" t="s">
        <v>6582</v>
      </c>
      <c r="M470" s="2" t="s">
        <v>6584</v>
      </c>
      <c r="N470" s="45" t="str">
        <f t="shared" ref="N470:N472" si="355">HYPERLINK("twitter.com/auggiesoftball","@auggiesoftball")</f>
        <v>@auggiesoftball</v>
      </c>
      <c r="O470" s="45" t="str">
        <f t="shared" ref="O470:O472" si="356">HYPERLINK("https://athletics.augsburg.edu/sports/2012/10/18/Recruit%20Center-%20Questionnaires.aspx?id=237","Questionnaire")</f>
        <v>Questionnaire</v>
      </c>
      <c r="P470" s="48" t="s">
        <v>6591</v>
      </c>
      <c r="Q470" s="60" t="s">
        <v>4661</v>
      </c>
      <c r="R470" s="48" t="s">
        <v>4670</v>
      </c>
      <c r="S470" s="48" t="s">
        <v>354</v>
      </c>
      <c r="T470" s="49" t="s">
        <v>63</v>
      </c>
      <c r="U470" s="6" t="s">
        <v>318</v>
      </c>
      <c r="V470" s="49"/>
      <c r="W470" s="39">
        <v>3.12</v>
      </c>
      <c r="X470" s="49" t="s">
        <v>6596</v>
      </c>
      <c r="Y470" s="49" t="s">
        <v>3341</v>
      </c>
      <c r="Z470" s="49" t="s">
        <v>746</v>
      </c>
      <c r="AA470" s="38">
        <v>0.45129999999999998</v>
      </c>
      <c r="AB470" s="39">
        <v>49743</v>
      </c>
      <c r="AC470" s="90" t="s">
        <v>6591</v>
      </c>
      <c r="AD470" s="53" t="str">
        <f t="shared" ref="AD470:AD472" si="357">HYPERLINK("http://www.augsburg.edu/academics/majors/","Link")</f>
        <v>Link</v>
      </c>
      <c r="AE470" s="54">
        <v>2531</v>
      </c>
      <c r="AF470" s="55"/>
      <c r="AG470" s="55"/>
      <c r="AH470" s="56">
        <v>173045</v>
      </c>
      <c r="AI470" s="56"/>
    </row>
    <row r="471" spans="1:35" ht="15" x14ac:dyDescent="0.2">
      <c r="A471" s="57"/>
      <c r="B471" s="31" t="s">
        <v>4669</v>
      </c>
      <c r="C471" s="36" t="s">
        <v>43</v>
      </c>
      <c r="D471" s="86">
        <v>5</v>
      </c>
      <c r="E471" s="7" t="s">
        <v>6600</v>
      </c>
      <c r="F471" s="7"/>
      <c r="G471" s="86"/>
      <c r="H471" s="33" t="s">
        <v>6580</v>
      </c>
      <c r="I471" s="2" t="s">
        <v>161</v>
      </c>
      <c r="J471" s="2" t="s">
        <v>6604</v>
      </c>
      <c r="K471" s="2" t="s">
        <v>55</v>
      </c>
      <c r="L471" s="95" t="s">
        <v>6607</v>
      </c>
      <c r="M471" s="2" t="s">
        <v>6609</v>
      </c>
      <c r="N471" s="45" t="str">
        <f t="shared" si="355"/>
        <v>@auggiesoftball</v>
      </c>
      <c r="O471" s="45" t="str">
        <f t="shared" si="356"/>
        <v>Questionnaire</v>
      </c>
      <c r="P471" s="48" t="s">
        <v>6591</v>
      </c>
      <c r="Q471" s="60" t="s">
        <v>4661</v>
      </c>
      <c r="R471" s="48" t="s">
        <v>4670</v>
      </c>
      <c r="S471" s="48" t="s">
        <v>354</v>
      </c>
      <c r="T471" s="49" t="s">
        <v>63</v>
      </c>
      <c r="U471" s="6" t="s">
        <v>318</v>
      </c>
      <c r="V471" s="49"/>
      <c r="W471" s="39">
        <v>3.12</v>
      </c>
      <c r="X471" s="49" t="s">
        <v>6596</v>
      </c>
      <c r="Y471" s="49" t="s">
        <v>3341</v>
      </c>
      <c r="Z471" s="49" t="s">
        <v>746</v>
      </c>
      <c r="AA471" s="38">
        <v>0.45129999999999998</v>
      </c>
      <c r="AB471" s="39">
        <v>49743</v>
      </c>
      <c r="AC471" s="90" t="s">
        <v>6591</v>
      </c>
      <c r="AD471" s="53" t="str">
        <f t="shared" si="357"/>
        <v>Link</v>
      </c>
      <c r="AE471" s="54">
        <v>2531</v>
      </c>
      <c r="AF471" s="55"/>
      <c r="AG471" s="55"/>
      <c r="AH471" s="56">
        <v>173045</v>
      </c>
      <c r="AI471" s="56"/>
    </row>
    <row r="472" spans="1:35" ht="15" x14ac:dyDescent="0.2">
      <c r="A472" s="57"/>
      <c r="B472" s="31" t="s">
        <v>4669</v>
      </c>
      <c r="C472" s="36" t="s">
        <v>43</v>
      </c>
      <c r="D472" s="86">
        <v>5</v>
      </c>
      <c r="E472" s="7" t="s">
        <v>6614</v>
      </c>
      <c r="F472" s="7"/>
      <c r="G472" s="86"/>
      <c r="H472" s="33" t="s">
        <v>6580</v>
      </c>
      <c r="I472" s="33" t="s">
        <v>658</v>
      </c>
      <c r="J472" s="33" t="s">
        <v>6616</v>
      </c>
      <c r="K472" s="33" t="s">
        <v>55</v>
      </c>
      <c r="L472" s="34"/>
      <c r="M472" s="2"/>
      <c r="N472" s="45" t="str">
        <f t="shared" si="355"/>
        <v>@auggiesoftball</v>
      </c>
      <c r="O472" s="45" t="str">
        <f t="shared" si="356"/>
        <v>Questionnaire</v>
      </c>
      <c r="P472" s="48" t="s">
        <v>6591</v>
      </c>
      <c r="Q472" s="60" t="s">
        <v>4661</v>
      </c>
      <c r="R472" s="48" t="s">
        <v>4670</v>
      </c>
      <c r="S472" s="48" t="s">
        <v>354</v>
      </c>
      <c r="T472" s="49" t="s">
        <v>63</v>
      </c>
      <c r="U472" s="6" t="s">
        <v>318</v>
      </c>
      <c r="V472" s="49"/>
      <c r="W472" s="39">
        <v>3.12</v>
      </c>
      <c r="X472" s="49" t="s">
        <v>6596</v>
      </c>
      <c r="Y472" s="49" t="s">
        <v>3341</v>
      </c>
      <c r="Z472" s="49" t="s">
        <v>746</v>
      </c>
      <c r="AA472" s="38">
        <v>0.45129999999999998</v>
      </c>
      <c r="AB472" s="39">
        <v>49743</v>
      </c>
      <c r="AC472" s="90" t="s">
        <v>6591</v>
      </c>
      <c r="AD472" s="53" t="str">
        <f t="shared" si="357"/>
        <v>Link</v>
      </c>
      <c r="AE472" s="54">
        <v>2531</v>
      </c>
      <c r="AF472" s="55"/>
      <c r="AG472" s="55"/>
      <c r="AH472" s="56">
        <v>173045</v>
      </c>
      <c r="AI472" s="56"/>
    </row>
    <row r="473" spans="1:35" ht="15" x14ac:dyDescent="0.2">
      <c r="A473" s="57"/>
      <c r="B473" s="31" t="s">
        <v>4669</v>
      </c>
      <c r="C473" s="36" t="s">
        <v>43</v>
      </c>
      <c r="D473" s="86">
        <v>5</v>
      </c>
      <c r="E473" s="7" t="s">
        <v>6627</v>
      </c>
      <c r="F473" s="7"/>
      <c r="G473" s="86"/>
      <c r="H473" s="2" t="s">
        <v>6628</v>
      </c>
      <c r="I473" s="34" t="s">
        <v>2465</v>
      </c>
      <c r="J473" s="33" t="s">
        <v>6629</v>
      </c>
      <c r="K473" s="33" t="s">
        <v>48</v>
      </c>
      <c r="L473" s="2" t="s">
        <v>6630</v>
      </c>
      <c r="M473" s="2" t="s">
        <v>6631</v>
      </c>
      <c r="N473" s="45" t="str">
        <f t="shared" ref="N473:N479" si="358">HYPERLINK("twitter.com/blcwsoftball","@blcwsoftball")</f>
        <v>@blcwsoftball</v>
      </c>
      <c r="O473" s="45" t="str">
        <f t="shared" ref="O473:O479" si="359">HYPERLINK("https://blcvikings.com/sb_output.aspx?form=3","Questionnaire")</f>
        <v>Questionnaire</v>
      </c>
      <c r="P473" s="48" t="s">
        <v>6637</v>
      </c>
      <c r="Q473" s="60" t="s">
        <v>4661</v>
      </c>
      <c r="R473" s="48" t="s">
        <v>5838</v>
      </c>
      <c r="S473" s="48" t="s">
        <v>468</v>
      </c>
      <c r="T473" s="49" t="s">
        <v>63</v>
      </c>
      <c r="U473" s="6" t="s">
        <v>6638</v>
      </c>
      <c r="V473" s="49"/>
      <c r="W473" s="39">
        <v>3.39</v>
      </c>
      <c r="X473" s="49" t="s">
        <v>2070</v>
      </c>
      <c r="Y473" s="49" t="s">
        <v>1577</v>
      </c>
      <c r="Z473" s="49" t="s">
        <v>2190</v>
      </c>
      <c r="AA473" s="38">
        <v>0.80479999999999996</v>
      </c>
      <c r="AB473" s="39">
        <v>36150</v>
      </c>
      <c r="AC473" s="90" t="s">
        <v>6637</v>
      </c>
      <c r="AD473" s="53" t="str">
        <f t="shared" ref="AD473:AD479" si="360">HYPERLINK("https://www.blc.edu/areas-study","Link")</f>
        <v>Link</v>
      </c>
      <c r="AE473" s="54">
        <v>587</v>
      </c>
      <c r="AF473" s="55"/>
      <c r="AG473" s="55"/>
      <c r="AH473" s="56">
        <v>173142</v>
      </c>
      <c r="AI473" s="56"/>
    </row>
    <row r="474" spans="1:35" ht="15" x14ac:dyDescent="0.2">
      <c r="A474" s="57"/>
      <c r="B474" s="31" t="s">
        <v>4669</v>
      </c>
      <c r="C474" s="36" t="s">
        <v>43</v>
      </c>
      <c r="D474" s="86">
        <v>5</v>
      </c>
      <c r="E474" s="7" t="s">
        <v>6644</v>
      </c>
      <c r="F474" s="7"/>
      <c r="G474" s="86"/>
      <c r="H474" s="2" t="s">
        <v>6628</v>
      </c>
      <c r="I474" s="34" t="s">
        <v>3108</v>
      </c>
      <c r="J474" s="33" t="s">
        <v>6647</v>
      </c>
      <c r="K474" s="33" t="s">
        <v>55</v>
      </c>
      <c r="L474" s="2" t="s">
        <v>6649</v>
      </c>
      <c r="M474" s="2"/>
      <c r="N474" s="45" t="str">
        <f t="shared" si="358"/>
        <v>@blcwsoftball</v>
      </c>
      <c r="O474" s="45" t="str">
        <f t="shared" si="359"/>
        <v>Questionnaire</v>
      </c>
      <c r="P474" s="48" t="s">
        <v>6637</v>
      </c>
      <c r="Q474" s="60" t="s">
        <v>4661</v>
      </c>
      <c r="R474" s="48" t="s">
        <v>5838</v>
      </c>
      <c r="S474" s="48" t="s">
        <v>468</v>
      </c>
      <c r="T474" s="49" t="s">
        <v>63</v>
      </c>
      <c r="U474" s="6" t="s">
        <v>6638</v>
      </c>
      <c r="V474" s="49"/>
      <c r="W474" s="39">
        <v>3.39</v>
      </c>
      <c r="X474" s="49" t="s">
        <v>2070</v>
      </c>
      <c r="Y474" s="49" t="s">
        <v>1577</v>
      </c>
      <c r="Z474" s="49" t="s">
        <v>2190</v>
      </c>
      <c r="AA474" s="38">
        <v>0.80479999999999996</v>
      </c>
      <c r="AB474" s="39">
        <v>36150</v>
      </c>
      <c r="AC474" s="90" t="s">
        <v>6637</v>
      </c>
      <c r="AD474" s="53" t="str">
        <f t="shared" si="360"/>
        <v>Link</v>
      </c>
      <c r="AE474" s="54">
        <v>587</v>
      </c>
      <c r="AF474" s="55"/>
      <c r="AG474" s="55"/>
      <c r="AH474" s="56">
        <v>173142</v>
      </c>
      <c r="AI474" s="56"/>
    </row>
    <row r="475" spans="1:35" ht="15" x14ac:dyDescent="0.2">
      <c r="A475" s="57"/>
      <c r="B475" s="31" t="s">
        <v>4669</v>
      </c>
      <c r="C475" s="36" t="s">
        <v>43</v>
      </c>
      <c r="D475" s="86">
        <v>5</v>
      </c>
      <c r="E475" s="7" t="s">
        <v>6651</v>
      </c>
      <c r="F475" s="7"/>
      <c r="G475" s="86"/>
      <c r="H475" s="2" t="s">
        <v>6628</v>
      </c>
      <c r="I475" s="33" t="s">
        <v>811</v>
      </c>
      <c r="J475" s="33" t="s">
        <v>6653</v>
      </c>
      <c r="K475" s="33" t="s">
        <v>55</v>
      </c>
      <c r="L475" s="2"/>
      <c r="M475" s="2"/>
      <c r="N475" s="45" t="str">
        <f t="shared" si="358"/>
        <v>@blcwsoftball</v>
      </c>
      <c r="O475" s="45" t="str">
        <f t="shared" si="359"/>
        <v>Questionnaire</v>
      </c>
      <c r="P475" s="48" t="s">
        <v>6637</v>
      </c>
      <c r="Q475" s="60" t="s">
        <v>4661</v>
      </c>
      <c r="R475" s="48" t="s">
        <v>5838</v>
      </c>
      <c r="S475" s="48" t="s">
        <v>468</v>
      </c>
      <c r="T475" s="49" t="s">
        <v>63</v>
      </c>
      <c r="U475" s="6" t="s">
        <v>6638</v>
      </c>
      <c r="V475" s="49"/>
      <c r="W475" s="39">
        <v>3.39</v>
      </c>
      <c r="X475" s="49" t="s">
        <v>2070</v>
      </c>
      <c r="Y475" s="49" t="s">
        <v>1577</v>
      </c>
      <c r="Z475" s="49" t="s">
        <v>2190</v>
      </c>
      <c r="AA475" s="38">
        <v>0.80479999999999996</v>
      </c>
      <c r="AB475" s="39">
        <v>36150</v>
      </c>
      <c r="AC475" s="90" t="s">
        <v>6637</v>
      </c>
      <c r="AD475" s="53" t="str">
        <f t="shared" si="360"/>
        <v>Link</v>
      </c>
      <c r="AE475" s="54">
        <v>587</v>
      </c>
      <c r="AF475" s="55"/>
      <c r="AG475" s="55"/>
      <c r="AH475" s="56">
        <v>173142</v>
      </c>
      <c r="AI475" s="56"/>
    </row>
    <row r="476" spans="1:35" ht="15" x14ac:dyDescent="0.2">
      <c r="A476" s="57"/>
      <c r="B476" s="31" t="s">
        <v>4669</v>
      </c>
      <c r="C476" s="36" t="s">
        <v>43</v>
      </c>
      <c r="D476" s="86">
        <v>5</v>
      </c>
      <c r="E476" s="7" t="s">
        <v>6663</v>
      </c>
      <c r="F476" s="7"/>
      <c r="G476" s="86"/>
      <c r="H476" s="2" t="s">
        <v>6628</v>
      </c>
      <c r="I476" s="33" t="s">
        <v>904</v>
      </c>
      <c r="J476" s="33" t="s">
        <v>6664</v>
      </c>
      <c r="K476" s="33" t="s">
        <v>55</v>
      </c>
      <c r="L476" s="2"/>
      <c r="M476" s="2"/>
      <c r="N476" s="45" t="str">
        <f t="shared" si="358"/>
        <v>@blcwsoftball</v>
      </c>
      <c r="O476" s="45" t="str">
        <f t="shared" si="359"/>
        <v>Questionnaire</v>
      </c>
      <c r="P476" s="48" t="s">
        <v>6637</v>
      </c>
      <c r="Q476" s="60" t="s">
        <v>4661</v>
      </c>
      <c r="R476" s="48" t="s">
        <v>5838</v>
      </c>
      <c r="S476" s="48" t="s">
        <v>468</v>
      </c>
      <c r="T476" s="49" t="s">
        <v>63</v>
      </c>
      <c r="U476" s="6" t="s">
        <v>6638</v>
      </c>
      <c r="V476" s="49"/>
      <c r="W476" s="39">
        <v>3.39</v>
      </c>
      <c r="X476" s="49" t="s">
        <v>2070</v>
      </c>
      <c r="Y476" s="49" t="s">
        <v>1577</v>
      </c>
      <c r="Z476" s="49" t="s">
        <v>2190</v>
      </c>
      <c r="AA476" s="38">
        <v>0.80479999999999996</v>
      </c>
      <c r="AB476" s="39">
        <v>36150</v>
      </c>
      <c r="AC476" s="90" t="s">
        <v>6637</v>
      </c>
      <c r="AD476" s="53" t="str">
        <f t="shared" si="360"/>
        <v>Link</v>
      </c>
      <c r="AE476" s="54">
        <v>587</v>
      </c>
      <c r="AF476" s="55"/>
      <c r="AG476" s="55"/>
      <c r="AH476" s="56">
        <v>173142</v>
      </c>
      <c r="AI476" s="56"/>
    </row>
    <row r="477" spans="1:35" ht="15" x14ac:dyDescent="0.2">
      <c r="A477" s="57"/>
      <c r="B477" s="31" t="s">
        <v>4669</v>
      </c>
      <c r="C477" s="36" t="s">
        <v>43</v>
      </c>
      <c r="D477" s="86">
        <v>5</v>
      </c>
      <c r="E477" s="7" t="s">
        <v>6668</v>
      </c>
      <c r="F477" s="7"/>
      <c r="G477" s="86"/>
      <c r="H477" s="2" t="s">
        <v>6628</v>
      </c>
      <c r="I477" s="33" t="s">
        <v>306</v>
      </c>
      <c r="J477" s="33" t="s">
        <v>6669</v>
      </c>
      <c r="K477" s="33" t="s">
        <v>55</v>
      </c>
      <c r="L477" s="2"/>
      <c r="M477" s="2"/>
      <c r="N477" s="45" t="str">
        <f t="shared" si="358"/>
        <v>@blcwsoftball</v>
      </c>
      <c r="O477" s="45" t="str">
        <f t="shared" si="359"/>
        <v>Questionnaire</v>
      </c>
      <c r="P477" s="48" t="s">
        <v>6637</v>
      </c>
      <c r="Q477" s="60" t="s">
        <v>4661</v>
      </c>
      <c r="R477" s="48" t="s">
        <v>5838</v>
      </c>
      <c r="S477" s="48" t="s">
        <v>468</v>
      </c>
      <c r="T477" s="49" t="s">
        <v>63</v>
      </c>
      <c r="U477" s="6" t="s">
        <v>6638</v>
      </c>
      <c r="V477" s="49"/>
      <c r="W477" s="39">
        <v>3.39</v>
      </c>
      <c r="X477" s="49" t="s">
        <v>2070</v>
      </c>
      <c r="Y477" s="49" t="s">
        <v>1577</v>
      </c>
      <c r="Z477" s="49" t="s">
        <v>2190</v>
      </c>
      <c r="AA477" s="38">
        <v>0.80479999999999996</v>
      </c>
      <c r="AB477" s="39">
        <v>36150</v>
      </c>
      <c r="AC477" s="90" t="s">
        <v>6637</v>
      </c>
      <c r="AD477" s="53" t="str">
        <f t="shared" si="360"/>
        <v>Link</v>
      </c>
      <c r="AE477" s="54">
        <v>587</v>
      </c>
      <c r="AF477" s="55"/>
      <c r="AG477" s="55"/>
      <c r="AH477" s="56">
        <v>173142</v>
      </c>
      <c r="AI477" s="56"/>
    </row>
    <row r="478" spans="1:35" ht="15" x14ac:dyDescent="0.2">
      <c r="A478" s="57"/>
      <c r="B478" s="31" t="s">
        <v>4669</v>
      </c>
      <c r="C478" s="36" t="s">
        <v>43</v>
      </c>
      <c r="D478" s="86">
        <v>5</v>
      </c>
      <c r="E478" s="7" t="s">
        <v>6677</v>
      </c>
      <c r="F478" s="7"/>
      <c r="G478" s="86"/>
      <c r="H478" s="2" t="s">
        <v>6628</v>
      </c>
      <c r="I478" s="33" t="s">
        <v>658</v>
      </c>
      <c r="J478" s="33" t="s">
        <v>6678</v>
      </c>
      <c r="K478" s="33" t="s">
        <v>55</v>
      </c>
      <c r="L478" s="2"/>
      <c r="M478" s="2"/>
      <c r="N478" s="45" t="str">
        <f t="shared" si="358"/>
        <v>@blcwsoftball</v>
      </c>
      <c r="O478" s="45" t="str">
        <f t="shared" si="359"/>
        <v>Questionnaire</v>
      </c>
      <c r="P478" s="48" t="s">
        <v>6637</v>
      </c>
      <c r="Q478" s="60" t="s">
        <v>4661</v>
      </c>
      <c r="R478" s="48" t="s">
        <v>5838</v>
      </c>
      <c r="S478" s="48" t="s">
        <v>468</v>
      </c>
      <c r="T478" s="49" t="s">
        <v>63</v>
      </c>
      <c r="U478" s="6" t="s">
        <v>6638</v>
      </c>
      <c r="V478" s="49"/>
      <c r="W478" s="39">
        <v>3.39</v>
      </c>
      <c r="X478" s="49" t="s">
        <v>2070</v>
      </c>
      <c r="Y478" s="49" t="s">
        <v>1577</v>
      </c>
      <c r="Z478" s="49" t="s">
        <v>2190</v>
      </c>
      <c r="AA478" s="38">
        <v>0.80479999999999996</v>
      </c>
      <c r="AB478" s="39">
        <v>36150</v>
      </c>
      <c r="AC478" s="90" t="s">
        <v>6637</v>
      </c>
      <c r="AD478" s="53" t="str">
        <f t="shared" si="360"/>
        <v>Link</v>
      </c>
      <c r="AE478" s="54">
        <v>587</v>
      </c>
      <c r="AF478" s="55"/>
      <c r="AG478" s="55"/>
      <c r="AH478" s="56">
        <v>173142</v>
      </c>
      <c r="AI478" s="56"/>
    </row>
    <row r="479" spans="1:35" ht="15" x14ac:dyDescent="0.2">
      <c r="A479" s="57"/>
      <c r="B479" s="31" t="s">
        <v>4669</v>
      </c>
      <c r="C479" s="36" t="s">
        <v>43</v>
      </c>
      <c r="D479" s="86">
        <v>5</v>
      </c>
      <c r="E479" s="7" t="s">
        <v>6679</v>
      </c>
      <c r="F479" s="7"/>
      <c r="G479" s="86"/>
      <c r="H479" s="2" t="s">
        <v>6628</v>
      </c>
      <c r="I479" s="33" t="s">
        <v>3497</v>
      </c>
      <c r="J479" s="33" t="s">
        <v>3984</v>
      </c>
      <c r="K479" s="33" t="s">
        <v>55</v>
      </c>
      <c r="L479" s="2"/>
      <c r="M479" s="2"/>
      <c r="N479" s="45" t="str">
        <f t="shared" si="358"/>
        <v>@blcwsoftball</v>
      </c>
      <c r="O479" s="45" t="str">
        <f t="shared" si="359"/>
        <v>Questionnaire</v>
      </c>
      <c r="P479" s="48" t="s">
        <v>6637</v>
      </c>
      <c r="Q479" s="60" t="s">
        <v>4661</v>
      </c>
      <c r="R479" s="48" t="s">
        <v>5838</v>
      </c>
      <c r="S479" s="48" t="s">
        <v>468</v>
      </c>
      <c r="T479" s="49" t="s">
        <v>63</v>
      </c>
      <c r="U479" s="6" t="s">
        <v>6638</v>
      </c>
      <c r="V479" s="49"/>
      <c r="W479" s="39">
        <v>3.39</v>
      </c>
      <c r="X479" s="49" t="s">
        <v>2070</v>
      </c>
      <c r="Y479" s="49" t="s">
        <v>1577</v>
      </c>
      <c r="Z479" s="49" t="s">
        <v>2190</v>
      </c>
      <c r="AA479" s="38">
        <v>0.80479999999999996</v>
      </c>
      <c r="AB479" s="39">
        <v>36150</v>
      </c>
      <c r="AC479" s="90" t="s">
        <v>6637</v>
      </c>
      <c r="AD479" s="53" t="str">
        <f t="shared" si="360"/>
        <v>Link</v>
      </c>
      <c r="AE479" s="54">
        <v>587</v>
      </c>
      <c r="AF479" s="55"/>
      <c r="AG479" s="55"/>
      <c r="AH479" s="56">
        <v>173142</v>
      </c>
      <c r="AI479" s="56"/>
    </row>
    <row r="480" spans="1:35" ht="15" x14ac:dyDescent="0.2">
      <c r="A480" s="57"/>
      <c r="B480" s="31" t="s">
        <v>4669</v>
      </c>
      <c r="C480" s="36" t="s">
        <v>43</v>
      </c>
      <c r="D480" s="86">
        <v>5</v>
      </c>
      <c r="E480" s="7" t="s">
        <v>6689</v>
      </c>
      <c r="F480" s="7"/>
      <c r="G480" s="86"/>
      <c r="H480" s="2" t="s">
        <v>6690</v>
      </c>
      <c r="I480" s="34" t="s">
        <v>1664</v>
      </c>
      <c r="J480" s="33" t="s">
        <v>6691</v>
      </c>
      <c r="K480" s="33" t="s">
        <v>48</v>
      </c>
      <c r="L480" s="2" t="s">
        <v>6692</v>
      </c>
      <c r="M480" s="2" t="s">
        <v>6693</v>
      </c>
      <c r="N480" s="48"/>
      <c r="O480" s="45" t="str">
        <f t="shared" ref="O480:O484" si="361">HYPERLINK("https://athletics.bethel.edu/sports/2007/11/13/prospectiveathletes.aspx","Questionnaire")</f>
        <v>Questionnaire</v>
      </c>
      <c r="P480" s="48" t="s">
        <v>6695</v>
      </c>
      <c r="Q480" s="60" t="s">
        <v>4661</v>
      </c>
      <c r="R480" s="48" t="s">
        <v>6696</v>
      </c>
      <c r="S480" s="48" t="s">
        <v>354</v>
      </c>
      <c r="T480" s="49" t="s">
        <v>63</v>
      </c>
      <c r="U480" s="6" t="s">
        <v>2619</v>
      </c>
      <c r="V480" s="49"/>
      <c r="W480" s="39">
        <v>3.5</v>
      </c>
      <c r="X480" s="49" t="s">
        <v>6699</v>
      </c>
      <c r="Y480" s="49" t="s">
        <v>6701</v>
      </c>
      <c r="Z480" s="49" t="s">
        <v>803</v>
      </c>
      <c r="AA480" s="38">
        <v>0.8236</v>
      </c>
      <c r="AB480" s="39">
        <v>48986</v>
      </c>
      <c r="AC480" s="52" t="s">
        <v>6695</v>
      </c>
      <c r="AD480" s="53" t="str">
        <f t="shared" ref="AD480:AD484" si="362">HYPERLINK("https://www.bethelks.edu/academics/areas-of-study/","Link")</f>
        <v>Link</v>
      </c>
      <c r="AE480" s="54">
        <v>2964</v>
      </c>
      <c r="AF480" s="55"/>
      <c r="AG480" s="55"/>
      <c r="AH480" s="56">
        <v>173179</v>
      </c>
      <c r="AI480" s="56"/>
    </row>
    <row r="481" spans="1:35" ht="15" x14ac:dyDescent="0.2">
      <c r="A481" s="57"/>
      <c r="B481" s="31" t="s">
        <v>4669</v>
      </c>
      <c r="C481" s="36" t="s">
        <v>43</v>
      </c>
      <c r="D481" s="86">
        <v>5</v>
      </c>
      <c r="E481" s="7" t="s">
        <v>6705</v>
      </c>
      <c r="F481" s="7"/>
      <c r="G481" s="86"/>
      <c r="H481" s="2" t="s">
        <v>6690</v>
      </c>
      <c r="I481" s="2" t="s">
        <v>2136</v>
      </c>
      <c r="J481" s="2" t="s">
        <v>6691</v>
      </c>
      <c r="K481" s="2" t="s">
        <v>55</v>
      </c>
      <c r="L481" s="130" t="s">
        <v>6707</v>
      </c>
      <c r="M481" s="2"/>
      <c r="N481" s="48"/>
      <c r="O481" s="45" t="str">
        <f t="shared" si="361"/>
        <v>Questionnaire</v>
      </c>
      <c r="P481" s="48" t="s">
        <v>6695</v>
      </c>
      <c r="Q481" s="60" t="s">
        <v>4661</v>
      </c>
      <c r="R481" s="48" t="s">
        <v>6696</v>
      </c>
      <c r="S481" s="48" t="s">
        <v>354</v>
      </c>
      <c r="T481" s="49" t="s">
        <v>63</v>
      </c>
      <c r="U481" s="6" t="s">
        <v>2619</v>
      </c>
      <c r="V481" s="49"/>
      <c r="W481" s="39">
        <v>3.5</v>
      </c>
      <c r="X481" s="49" t="s">
        <v>6699</v>
      </c>
      <c r="Y481" s="49" t="s">
        <v>6701</v>
      </c>
      <c r="Z481" s="49" t="s">
        <v>803</v>
      </c>
      <c r="AA481" s="38">
        <v>0.8236</v>
      </c>
      <c r="AB481" s="39">
        <v>48986</v>
      </c>
      <c r="AC481" s="52" t="s">
        <v>6695</v>
      </c>
      <c r="AD481" s="53" t="str">
        <f t="shared" si="362"/>
        <v>Link</v>
      </c>
      <c r="AE481" s="54">
        <v>2964</v>
      </c>
      <c r="AF481" s="55"/>
      <c r="AG481" s="55"/>
      <c r="AH481" s="56">
        <v>173179</v>
      </c>
      <c r="AI481" s="56"/>
    </row>
    <row r="482" spans="1:35" ht="15" x14ac:dyDescent="0.2">
      <c r="A482" s="57"/>
      <c r="B482" s="31" t="s">
        <v>4669</v>
      </c>
      <c r="C482" s="36" t="s">
        <v>43</v>
      </c>
      <c r="D482" s="86">
        <v>5</v>
      </c>
      <c r="E482" s="7" t="s">
        <v>6710</v>
      </c>
      <c r="F482" s="7"/>
      <c r="G482" s="86"/>
      <c r="H482" s="2" t="s">
        <v>6690</v>
      </c>
      <c r="I482" s="2" t="s">
        <v>6711</v>
      </c>
      <c r="J482" s="33" t="s">
        <v>6712</v>
      </c>
      <c r="K482" s="33" t="s">
        <v>55</v>
      </c>
      <c r="L482" s="2"/>
      <c r="M482" s="2"/>
      <c r="N482" s="48"/>
      <c r="O482" s="45" t="str">
        <f t="shared" si="361"/>
        <v>Questionnaire</v>
      </c>
      <c r="P482" s="48" t="s">
        <v>6695</v>
      </c>
      <c r="Q482" s="60" t="s">
        <v>4661</v>
      </c>
      <c r="R482" s="48" t="s">
        <v>6696</v>
      </c>
      <c r="S482" s="48" t="s">
        <v>354</v>
      </c>
      <c r="T482" s="49" t="s">
        <v>63</v>
      </c>
      <c r="U482" s="6" t="s">
        <v>2619</v>
      </c>
      <c r="V482" s="49"/>
      <c r="W482" s="39">
        <v>3.5</v>
      </c>
      <c r="X482" s="49" t="s">
        <v>6699</v>
      </c>
      <c r="Y482" s="49" t="s">
        <v>6701</v>
      </c>
      <c r="Z482" s="49" t="s">
        <v>803</v>
      </c>
      <c r="AA482" s="38">
        <v>0.8236</v>
      </c>
      <c r="AB482" s="39">
        <v>48986</v>
      </c>
      <c r="AC482" s="52" t="s">
        <v>6695</v>
      </c>
      <c r="AD482" s="53" t="str">
        <f t="shared" si="362"/>
        <v>Link</v>
      </c>
      <c r="AE482" s="54">
        <v>2964</v>
      </c>
      <c r="AF482" s="55"/>
      <c r="AG482" s="55"/>
      <c r="AH482" s="56">
        <v>173179</v>
      </c>
      <c r="AI482" s="56"/>
    </row>
    <row r="483" spans="1:35" ht="15" x14ac:dyDescent="0.2">
      <c r="A483" s="57"/>
      <c r="B483" s="31" t="s">
        <v>4669</v>
      </c>
      <c r="C483" s="36" t="s">
        <v>43</v>
      </c>
      <c r="D483" s="86">
        <v>5</v>
      </c>
      <c r="E483" s="7" t="s">
        <v>6720</v>
      </c>
      <c r="F483" s="7"/>
      <c r="G483" s="86"/>
      <c r="H483" s="2" t="s">
        <v>6690</v>
      </c>
      <c r="I483" s="2" t="s">
        <v>6721</v>
      </c>
      <c r="J483" s="33" t="s">
        <v>2470</v>
      </c>
      <c r="K483" s="33" t="s">
        <v>55</v>
      </c>
      <c r="L483" s="2"/>
      <c r="M483" s="2"/>
      <c r="N483" s="48"/>
      <c r="O483" s="45" t="str">
        <f t="shared" si="361"/>
        <v>Questionnaire</v>
      </c>
      <c r="P483" s="48" t="s">
        <v>6695</v>
      </c>
      <c r="Q483" s="60" t="s">
        <v>4661</v>
      </c>
      <c r="R483" s="48" t="s">
        <v>6696</v>
      </c>
      <c r="S483" s="48" t="s">
        <v>354</v>
      </c>
      <c r="T483" s="49" t="s">
        <v>63</v>
      </c>
      <c r="U483" s="6" t="s">
        <v>2619</v>
      </c>
      <c r="V483" s="49"/>
      <c r="W483" s="39">
        <v>3.5</v>
      </c>
      <c r="X483" s="49" t="s">
        <v>6699</v>
      </c>
      <c r="Y483" s="49" t="s">
        <v>6701</v>
      </c>
      <c r="Z483" s="49" t="s">
        <v>803</v>
      </c>
      <c r="AA483" s="38">
        <v>0.8236</v>
      </c>
      <c r="AB483" s="39">
        <v>48986</v>
      </c>
      <c r="AC483" s="52" t="s">
        <v>6695</v>
      </c>
      <c r="AD483" s="53" t="str">
        <f t="shared" si="362"/>
        <v>Link</v>
      </c>
      <c r="AE483" s="54">
        <v>2964</v>
      </c>
      <c r="AF483" s="55"/>
      <c r="AG483" s="55"/>
      <c r="AH483" s="56">
        <v>173179</v>
      </c>
      <c r="AI483" s="56"/>
    </row>
    <row r="484" spans="1:35" ht="15" x14ac:dyDescent="0.2">
      <c r="A484" s="57"/>
      <c r="B484" s="31" t="s">
        <v>4669</v>
      </c>
      <c r="C484" s="36" t="s">
        <v>43</v>
      </c>
      <c r="D484" s="86">
        <v>5</v>
      </c>
      <c r="E484" s="7" t="s">
        <v>6727</v>
      </c>
      <c r="F484" s="7"/>
      <c r="G484" s="86"/>
      <c r="H484" s="2" t="s">
        <v>6690</v>
      </c>
      <c r="I484" s="34" t="s">
        <v>1443</v>
      </c>
      <c r="J484" s="33" t="s">
        <v>1553</v>
      </c>
      <c r="K484" s="33" t="s">
        <v>55</v>
      </c>
      <c r="L484" s="2"/>
      <c r="M484" s="2"/>
      <c r="N484" s="48"/>
      <c r="O484" s="45" t="str">
        <f t="shared" si="361"/>
        <v>Questionnaire</v>
      </c>
      <c r="P484" s="48" t="s">
        <v>6695</v>
      </c>
      <c r="Q484" s="60" t="s">
        <v>4661</v>
      </c>
      <c r="R484" s="48" t="s">
        <v>6696</v>
      </c>
      <c r="S484" s="48" t="s">
        <v>354</v>
      </c>
      <c r="T484" s="49" t="s">
        <v>63</v>
      </c>
      <c r="U484" s="6" t="s">
        <v>2619</v>
      </c>
      <c r="V484" s="49"/>
      <c r="W484" s="39">
        <v>3.5</v>
      </c>
      <c r="X484" s="49" t="s">
        <v>6699</v>
      </c>
      <c r="Y484" s="49" t="s">
        <v>6701</v>
      </c>
      <c r="Z484" s="49" t="s">
        <v>803</v>
      </c>
      <c r="AA484" s="38">
        <v>0.8236</v>
      </c>
      <c r="AB484" s="39">
        <v>48986</v>
      </c>
      <c r="AC484" s="52" t="s">
        <v>6695</v>
      </c>
      <c r="AD484" s="53" t="str">
        <f t="shared" si="362"/>
        <v>Link</v>
      </c>
      <c r="AE484" s="54">
        <v>2964</v>
      </c>
      <c r="AF484" s="55"/>
      <c r="AG484" s="55"/>
      <c r="AH484" s="56">
        <v>173179</v>
      </c>
      <c r="AI484" s="56"/>
    </row>
    <row r="485" spans="1:35" ht="15" x14ac:dyDescent="0.2">
      <c r="A485" s="57"/>
      <c r="B485" s="31" t="s">
        <v>4669</v>
      </c>
      <c r="C485" s="36" t="s">
        <v>43</v>
      </c>
      <c r="D485" s="86">
        <v>5</v>
      </c>
      <c r="E485" s="7" t="s">
        <v>6732</v>
      </c>
      <c r="F485" s="7"/>
      <c r="G485" s="86"/>
      <c r="H485" s="36" t="s">
        <v>6733</v>
      </c>
      <c r="I485" s="2" t="s">
        <v>206</v>
      </c>
      <c r="J485" s="33" t="s">
        <v>6734</v>
      </c>
      <c r="K485" s="33" t="s">
        <v>48</v>
      </c>
      <c r="L485" s="2" t="s">
        <v>6736</v>
      </c>
      <c r="M485" s="2" t="s">
        <v>6737</v>
      </c>
      <c r="N485" s="45" t="str">
        <f t="shared" ref="N485:N487" si="363">HYPERLINK("twitter.com/carletonsoftba1","@carletonsoftba1")</f>
        <v>@carletonsoftba1</v>
      </c>
      <c r="O485" s="45" t="str">
        <f t="shared" ref="O485:O487" si="364">HYPERLINK("https://apps.carleton.edu/athletics/recruitment/request_info/","Questionnaire")</f>
        <v>Questionnaire</v>
      </c>
      <c r="P485" s="48" t="s">
        <v>6740</v>
      </c>
      <c r="Q485" s="60" t="s">
        <v>4661</v>
      </c>
      <c r="R485" s="48" t="s">
        <v>6741</v>
      </c>
      <c r="S485" s="48" t="s">
        <v>172</v>
      </c>
      <c r="T485" s="49" t="s">
        <v>63</v>
      </c>
      <c r="U485" s="48" t="s">
        <v>75</v>
      </c>
      <c r="V485" s="49"/>
      <c r="W485" s="48" t="s">
        <v>214</v>
      </c>
      <c r="X485" s="49" t="s">
        <v>1539</v>
      </c>
      <c r="Y485" s="49" t="s">
        <v>1539</v>
      </c>
      <c r="Z485" s="49" t="s">
        <v>626</v>
      </c>
      <c r="AA485" s="38">
        <v>0.22620000000000001</v>
      </c>
      <c r="AB485" s="39">
        <v>66490</v>
      </c>
      <c r="AC485" s="52" t="s">
        <v>6740</v>
      </c>
      <c r="AD485" s="53" t="str">
        <f t="shared" ref="AD485:AD487" si="365">HYPERLINK("https://apps.carleton.edu/academics/","Link")</f>
        <v>Link</v>
      </c>
      <c r="AE485" s="54">
        <v>2105</v>
      </c>
      <c r="AF485" s="55"/>
      <c r="AG485" s="54">
        <v>8</v>
      </c>
      <c r="AH485" s="56">
        <v>173258</v>
      </c>
      <c r="AI485" s="56"/>
    </row>
    <row r="486" spans="1:35" ht="15" x14ac:dyDescent="0.2">
      <c r="A486" s="57"/>
      <c r="B486" s="31" t="s">
        <v>4669</v>
      </c>
      <c r="C486" s="36" t="s">
        <v>43</v>
      </c>
      <c r="D486" s="86">
        <v>5</v>
      </c>
      <c r="E486" s="7" t="s">
        <v>6744</v>
      </c>
      <c r="F486" s="7"/>
      <c r="G486" s="86"/>
      <c r="H486" s="36" t="s">
        <v>6733</v>
      </c>
      <c r="I486" s="34" t="s">
        <v>6745</v>
      </c>
      <c r="J486" s="33" t="s">
        <v>6410</v>
      </c>
      <c r="K486" s="33" t="s">
        <v>55</v>
      </c>
      <c r="L486" s="7"/>
      <c r="M486" s="2" t="s">
        <v>6737</v>
      </c>
      <c r="N486" s="45" t="str">
        <f t="shared" si="363"/>
        <v>@carletonsoftba1</v>
      </c>
      <c r="O486" s="45" t="str">
        <f t="shared" si="364"/>
        <v>Questionnaire</v>
      </c>
      <c r="P486" s="48" t="s">
        <v>6740</v>
      </c>
      <c r="Q486" s="60" t="s">
        <v>4661</v>
      </c>
      <c r="R486" s="48" t="s">
        <v>6741</v>
      </c>
      <c r="S486" s="48" t="s">
        <v>172</v>
      </c>
      <c r="T486" s="49" t="s">
        <v>63</v>
      </c>
      <c r="U486" s="48" t="s">
        <v>75</v>
      </c>
      <c r="V486" s="49"/>
      <c r="W486" s="48" t="s">
        <v>214</v>
      </c>
      <c r="X486" s="49" t="s">
        <v>1539</v>
      </c>
      <c r="Y486" s="49" t="s">
        <v>1539</v>
      </c>
      <c r="Z486" s="49" t="s">
        <v>626</v>
      </c>
      <c r="AA486" s="38">
        <v>0.22620000000000001</v>
      </c>
      <c r="AB486" s="39">
        <v>66490</v>
      </c>
      <c r="AC486" s="52" t="s">
        <v>6740</v>
      </c>
      <c r="AD486" s="53" t="str">
        <f t="shared" si="365"/>
        <v>Link</v>
      </c>
      <c r="AE486" s="54">
        <v>2105</v>
      </c>
      <c r="AF486" s="55"/>
      <c r="AG486" s="54">
        <v>8</v>
      </c>
      <c r="AH486" s="56">
        <v>173258</v>
      </c>
      <c r="AI486" s="56"/>
    </row>
    <row r="487" spans="1:35" ht="15" x14ac:dyDescent="0.2">
      <c r="A487" s="57"/>
      <c r="B487" s="31" t="s">
        <v>4669</v>
      </c>
      <c r="C487" s="36" t="s">
        <v>43</v>
      </c>
      <c r="D487" s="86">
        <v>5</v>
      </c>
      <c r="E487" s="7" t="s">
        <v>6754</v>
      </c>
      <c r="F487" s="7"/>
      <c r="G487" s="86"/>
      <c r="H487" s="36" t="s">
        <v>6733</v>
      </c>
      <c r="I487" s="34" t="s">
        <v>6757</v>
      </c>
      <c r="J487" s="33" t="s">
        <v>6758</v>
      </c>
      <c r="K487" s="33" t="s">
        <v>55</v>
      </c>
      <c r="L487" s="2" t="s">
        <v>6759</v>
      </c>
      <c r="M487" s="2" t="s">
        <v>6760</v>
      </c>
      <c r="N487" s="45" t="str">
        <f t="shared" si="363"/>
        <v>@carletonsoftba1</v>
      </c>
      <c r="O487" s="45" t="str">
        <f t="shared" si="364"/>
        <v>Questionnaire</v>
      </c>
      <c r="P487" s="48" t="s">
        <v>6740</v>
      </c>
      <c r="Q487" s="60" t="s">
        <v>4661</v>
      </c>
      <c r="R487" s="48" t="s">
        <v>6741</v>
      </c>
      <c r="S487" s="48" t="s">
        <v>172</v>
      </c>
      <c r="T487" s="49" t="s">
        <v>63</v>
      </c>
      <c r="U487" s="48" t="s">
        <v>75</v>
      </c>
      <c r="V487" s="49"/>
      <c r="W487" s="48" t="s">
        <v>214</v>
      </c>
      <c r="X487" s="49" t="s">
        <v>1539</v>
      </c>
      <c r="Y487" s="49" t="s">
        <v>1539</v>
      </c>
      <c r="Z487" s="49" t="s">
        <v>626</v>
      </c>
      <c r="AA487" s="38">
        <v>0.22620000000000001</v>
      </c>
      <c r="AB487" s="39">
        <v>66490</v>
      </c>
      <c r="AC487" s="52" t="s">
        <v>6740</v>
      </c>
      <c r="AD487" s="53" t="str">
        <f t="shared" si="365"/>
        <v>Link</v>
      </c>
      <c r="AE487" s="54">
        <v>2105</v>
      </c>
      <c r="AF487" s="55"/>
      <c r="AG487" s="54">
        <v>8</v>
      </c>
      <c r="AH487" s="56">
        <v>173258</v>
      </c>
      <c r="AI487" s="56"/>
    </row>
    <row r="488" spans="1:35" ht="15" x14ac:dyDescent="0.2">
      <c r="A488" s="57"/>
      <c r="B488" s="31" t="s">
        <v>4669</v>
      </c>
      <c r="C488" s="36" t="s">
        <v>43</v>
      </c>
      <c r="D488" s="86">
        <v>5</v>
      </c>
      <c r="E488" s="7" t="s">
        <v>6761</v>
      </c>
      <c r="F488" s="7"/>
      <c r="G488" s="86"/>
      <c r="H488" s="2" t="s">
        <v>5738</v>
      </c>
      <c r="I488" s="34" t="s">
        <v>6091</v>
      </c>
      <c r="J488" s="33" t="s">
        <v>6763</v>
      </c>
      <c r="K488" s="33" t="s">
        <v>48</v>
      </c>
      <c r="L488" s="2" t="s">
        <v>6765</v>
      </c>
      <c r="M488" s="2" t="s">
        <v>6766</v>
      </c>
      <c r="N488" s="45" t="str">
        <f t="shared" ref="N488:N491" si="366">HYPERLINK("twitter.com/cobbersoftball","@cobbersoftball")</f>
        <v>@cobbersoftball</v>
      </c>
      <c r="O488" s="45" t="str">
        <f t="shared" ref="O488:O491" si="367">HYPERLINK("https://www.concordiaclippers.com/athletic_questionnaires/index","Questionnaire")</f>
        <v>Questionnaire</v>
      </c>
      <c r="P488" s="48" t="s">
        <v>6770</v>
      </c>
      <c r="Q488" s="60" t="s">
        <v>4661</v>
      </c>
      <c r="R488" s="48" t="s">
        <v>5891</v>
      </c>
      <c r="S488" s="48" t="s">
        <v>468</v>
      </c>
      <c r="T488" s="49" t="s">
        <v>63</v>
      </c>
      <c r="U488" s="6" t="s">
        <v>318</v>
      </c>
      <c r="V488" s="49"/>
      <c r="W488" s="39">
        <v>3.54</v>
      </c>
      <c r="X488" s="49" t="s">
        <v>214</v>
      </c>
      <c r="Y488" s="49" t="s">
        <v>214</v>
      </c>
      <c r="Z488" s="49" t="s">
        <v>689</v>
      </c>
      <c r="AA488" s="65">
        <v>0.65</v>
      </c>
      <c r="AB488" s="39">
        <v>47748</v>
      </c>
      <c r="AC488" s="84" t="s">
        <v>6770</v>
      </c>
      <c r="AD488" s="53" t="str">
        <f t="shared" ref="AD488:AD491" si="368">HYPERLINK("https://www.concordiacollege.edu/academics/departments-programs/","Link")</f>
        <v>Link</v>
      </c>
      <c r="AE488" s="54">
        <v>2114</v>
      </c>
      <c r="AF488" s="55"/>
      <c r="AG488" s="54">
        <v>117</v>
      </c>
      <c r="AH488" s="56">
        <v>173300</v>
      </c>
      <c r="AI488" s="56"/>
    </row>
    <row r="489" spans="1:35" ht="15" x14ac:dyDescent="0.2">
      <c r="A489" s="57"/>
      <c r="B489" s="31" t="s">
        <v>4669</v>
      </c>
      <c r="C489" s="36" t="s">
        <v>43</v>
      </c>
      <c r="D489" s="86">
        <v>5</v>
      </c>
      <c r="E489" s="7" t="s">
        <v>6778</v>
      </c>
      <c r="F489" s="7"/>
      <c r="G489" s="86"/>
      <c r="H489" s="2" t="s">
        <v>5738</v>
      </c>
      <c r="I489" s="34" t="s">
        <v>4563</v>
      </c>
      <c r="J489" s="33" t="s">
        <v>6779</v>
      </c>
      <c r="K489" s="33" t="s">
        <v>55</v>
      </c>
      <c r="L489" s="2"/>
      <c r="M489" s="2" t="s">
        <v>6766</v>
      </c>
      <c r="N489" s="45" t="str">
        <f t="shared" si="366"/>
        <v>@cobbersoftball</v>
      </c>
      <c r="O489" s="45" t="str">
        <f t="shared" si="367"/>
        <v>Questionnaire</v>
      </c>
      <c r="P489" s="48" t="s">
        <v>6770</v>
      </c>
      <c r="Q489" s="60" t="s">
        <v>4661</v>
      </c>
      <c r="R489" s="48" t="s">
        <v>5891</v>
      </c>
      <c r="S489" s="48" t="s">
        <v>468</v>
      </c>
      <c r="T489" s="49" t="s">
        <v>63</v>
      </c>
      <c r="U489" s="6" t="s">
        <v>318</v>
      </c>
      <c r="V489" s="49"/>
      <c r="W489" s="39">
        <v>3.54</v>
      </c>
      <c r="X489" s="49" t="s">
        <v>214</v>
      </c>
      <c r="Y489" s="49" t="s">
        <v>214</v>
      </c>
      <c r="Z489" s="49" t="s">
        <v>689</v>
      </c>
      <c r="AA489" s="65">
        <v>0.65</v>
      </c>
      <c r="AB489" s="39">
        <v>47748</v>
      </c>
      <c r="AC489" s="84" t="s">
        <v>6770</v>
      </c>
      <c r="AD489" s="53" t="str">
        <f t="shared" si="368"/>
        <v>Link</v>
      </c>
      <c r="AE489" s="54">
        <v>2114</v>
      </c>
      <c r="AF489" s="55"/>
      <c r="AG489" s="54">
        <v>117</v>
      </c>
      <c r="AH489" s="56">
        <v>173300</v>
      </c>
      <c r="AI489" s="56"/>
    </row>
    <row r="490" spans="1:35" ht="15" x14ac:dyDescent="0.2">
      <c r="A490" s="57"/>
      <c r="B490" s="31" t="s">
        <v>4669</v>
      </c>
      <c r="C490" s="36" t="s">
        <v>43</v>
      </c>
      <c r="D490" s="86">
        <v>5</v>
      </c>
      <c r="E490" s="7" t="s">
        <v>6786</v>
      </c>
      <c r="F490" s="7"/>
      <c r="G490" s="86"/>
      <c r="H490" s="2" t="s">
        <v>5738</v>
      </c>
      <c r="I490" s="2" t="s">
        <v>6787</v>
      </c>
      <c r="J490" s="33" t="s">
        <v>6788</v>
      </c>
      <c r="K490" s="33" t="s">
        <v>55</v>
      </c>
      <c r="L490" s="2"/>
      <c r="M490" s="2" t="s">
        <v>6766</v>
      </c>
      <c r="N490" s="45" t="str">
        <f t="shared" si="366"/>
        <v>@cobbersoftball</v>
      </c>
      <c r="O490" s="45" t="str">
        <f t="shared" si="367"/>
        <v>Questionnaire</v>
      </c>
      <c r="P490" s="48" t="s">
        <v>6770</v>
      </c>
      <c r="Q490" s="60" t="s">
        <v>4661</v>
      </c>
      <c r="R490" s="48" t="s">
        <v>5891</v>
      </c>
      <c r="S490" s="48" t="s">
        <v>468</v>
      </c>
      <c r="T490" s="49" t="s">
        <v>63</v>
      </c>
      <c r="U490" s="6" t="s">
        <v>318</v>
      </c>
      <c r="V490" s="49"/>
      <c r="W490" s="39">
        <v>3.54</v>
      </c>
      <c r="X490" s="49" t="s">
        <v>214</v>
      </c>
      <c r="Y490" s="49" t="s">
        <v>214</v>
      </c>
      <c r="Z490" s="49" t="s">
        <v>689</v>
      </c>
      <c r="AA490" s="65">
        <v>0.65</v>
      </c>
      <c r="AB490" s="39">
        <v>47748</v>
      </c>
      <c r="AC490" s="84" t="s">
        <v>6770</v>
      </c>
      <c r="AD490" s="53" t="str">
        <f t="shared" si="368"/>
        <v>Link</v>
      </c>
      <c r="AE490" s="54">
        <v>2114</v>
      </c>
      <c r="AF490" s="55"/>
      <c r="AG490" s="54">
        <v>117</v>
      </c>
      <c r="AH490" s="56">
        <v>173300</v>
      </c>
      <c r="AI490" s="56"/>
    </row>
    <row r="491" spans="1:35" ht="15" x14ac:dyDescent="0.2">
      <c r="A491" s="57"/>
      <c r="B491" s="31" t="s">
        <v>4669</v>
      </c>
      <c r="C491" s="36" t="s">
        <v>43</v>
      </c>
      <c r="D491" s="86">
        <v>5</v>
      </c>
      <c r="E491" s="7" t="s">
        <v>6800</v>
      </c>
      <c r="F491" s="7"/>
      <c r="G491" s="86"/>
      <c r="H491" s="2" t="s">
        <v>5738</v>
      </c>
      <c r="I491" s="34" t="s">
        <v>6801</v>
      </c>
      <c r="J491" s="33" t="s">
        <v>6802</v>
      </c>
      <c r="K491" s="33" t="s">
        <v>55</v>
      </c>
      <c r="L491" s="2"/>
      <c r="M491" s="2" t="s">
        <v>6766</v>
      </c>
      <c r="N491" s="45" t="str">
        <f t="shared" si="366"/>
        <v>@cobbersoftball</v>
      </c>
      <c r="O491" s="45" t="str">
        <f t="shared" si="367"/>
        <v>Questionnaire</v>
      </c>
      <c r="P491" s="48" t="s">
        <v>6770</v>
      </c>
      <c r="Q491" s="60" t="s">
        <v>4661</v>
      </c>
      <c r="R491" s="48" t="s">
        <v>5891</v>
      </c>
      <c r="S491" s="48" t="s">
        <v>468</v>
      </c>
      <c r="T491" s="49" t="s">
        <v>63</v>
      </c>
      <c r="U491" s="6" t="s">
        <v>318</v>
      </c>
      <c r="V491" s="49"/>
      <c r="W491" s="39">
        <v>3.54</v>
      </c>
      <c r="X491" s="49" t="s">
        <v>214</v>
      </c>
      <c r="Y491" s="49" t="s">
        <v>214</v>
      </c>
      <c r="Z491" s="49" t="s">
        <v>689</v>
      </c>
      <c r="AA491" s="65">
        <v>0.65</v>
      </c>
      <c r="AB491" s="39">
        <v>47748</v>
      </c>
      <c r="AC491" s="84" t="s">
        <v>6770</v>
      </c>
      <c r="AD491" s="53" t="str">
        <f t="shared" si="368"/>
        <v>Link</v>
      </c>
      <c r="AE491" s="54">
        <v>2114</v>
      </c>
      <c r="AF491" s="55"/>
      <c r="AG491" s="54">
        <v>117</v>
      </c>
      <c r="AH491" s="56">
        <v>173300</v>
      </c>
      <c r="AI491" s="56"/>
    </row>
    <row r="492" spans="1:35" ht="15" x14ac:dyDescent="0.2">
      <c r="A492" s="57"/>
      <c r="B492" s="31" t="s">
        <v>4669</v>
      </c>
      <c r="C492" s="36" t="s">
        <v>43</v>
      </c>
      <c r="D492" s="86">
        <v>5</v>
      </c>
      <c r="E492" s="7" t="s">
        <v>6805</v>
      </c>
      <c r="F492" s="7"/>
      <c r="G492" s="86"/>
      <c r="H492" s="2" t="s">
        <v>6806</v>
      </c>
      <c r="I492" s="34" t="s">
        <v>1217</v>
      </c>
      <c r="J492" s="33" t="s">
        <v>5273</v>
      </c>
      <c r="K492" s="33" t="s">
        <v>48</v>
      </c>
      <c r="L492" s="2" t="s">
        <v>6807</v>
      </c>
      <c r="M492" s="33" t="s">
        <v>6808</v>
      </c>
      <c r="N492" s="45" t="str">
        <f t="shared" ref="N492:N494" si="369">HYPERLINK("twitter.com/crown_softball","@crown_softball")</f>
        <v>@crown_softball</v>
      </c>
      <c r="O492" s="45" t="str">
        <f t="shared" ref="O492:O494" si="370">HYPERLINK("https://athletics.crown.edu/sb_output.aspx?form=3&amp;&amp;tab=0","Questionnaire")</f>
        <v>Questionnaire</v>
      </c>
      <c r="P492" s="48" t="s">
        <v>6815</v>
      </c>
      <c r="Q492" s="60" t="s">
        <v>4661</v>
      </c>
      <c r="R492" s="48" t="s">
        <v>6816</v>
      </c>
      <c r="S492" s="60" t="s">
        <v>205</v>
      </c>
      <c r="T492" s="49" t="s">
        <v>63</v>
      </c>
      <c r="U492" s="6" t="s">
        <v>686</v>
      </c>
      <c r="V492" s="49"/>
      <c r="W492" s="39">
        <v>3.22</v>
      </c>
      <c r="X492" s="49" t="s">
        <v>6818</v>
      </c>
      <c r="Y492" s="49" t="s">
        <v>6819</v>
      </c>
      <c r="Z492" s="49" t="s">
        <v>746</v>
      </c>
      <c r="AA492" s="65">
        <v>0.54</v>
      </c>
      <c r="AB492" s="39">
        <v>38150</v>
      </c>
      <c r="AC492" s="84" t="s">
        <v>6815</v>
      </c>
      <c r="AD492" s="53" t="str">
        <f t="shared" ref="AD492:AD494" si="371">HYPERLINK("https://www.crown.edu/on-campus-degree-programs/","Link")</f>
        <v>Link</v>
      </c>
      <c r="AE492" s="54">
        <v>1059</v>
      </c>
      <c r="AF492" s="55"/>
      <c r="AG492" s="55"/>
      <c r="AH492" s="56">
        <v>174862</v>
      </c>
      <c r="AI492" s="56"/>
    </row>
    <row r="493" spans="1:35" ht="13" x14ac:dyDescent="0.15">
      <c r="A493" s="57"/>
      <c r="B493" s="31" t="s">
        <v>4669</v>
      </c>
      <c r="C493" s="36" t="s">
        <v>43</v>
      </c>
      <c r="D493" s="44">
        <v>5</v>
      </c>
      <c r="E493" s="7" t="s">
        <v>6823</v>
      </c>
      <c r="F493" s="7" t="s">
        <v>116</v>
      </c>
      <c r="G493" s="57"/>
      <c r="H493" s="2" t="s">
        <v>6806</v>
      </c>
      <c r="I493" s="7" t="s">
        <v>306</v>
      </c>
      <c r="J493" s="7" t="s">
        <v>6828</v>
      </c>
      <c r="K493" s="7" t="s">
        <v>55</v>
      </c>
      <c r="L493" s="57"/>
      <c r="M493" s="57"/>
      <c r="N493" s="45" t="str">
        <f t="shared" si="369"/>
        <v>@crown_softball</v>
      </c>
      <c r="O493" s="45" t="str">
        <f t="shared" si="370"/>
        <v>Questionnaire</v>
      </c>
      <c r="P493" s="48" t="s">
        <v>6815</v>
      </c>
      <c r="Q493" s="60" t="s">
        <v>4661</v>
      </c>
      <c r="R493" s="48" t="s">
        <v>6816</v>
      </c>
      <c r="S493" s="60" t="s">
        <v>205</v>
      </c>
      <c r="T493" s="49" t="s">
        <v>63</v>
      </c>
      <c r="U493" s="6" t="s">
        <v>686</v>
      </c>
      <c r="V493" s="49"/>
      <c r="W493" s="71">
        <v>3.22</v>
      </c>
      <c r="X493" s="49" t="s">
        <v>6818</v>
      </c>
      <c r="Y493" s="49" t="s">
        <v>6819</v>
      </c>
      <c r="Z493" s="49" t="s">
        <v>746</v>
      </c>
      <c r="AA493" s="65">
        <v>0.54</v>
      </c>
      <c r="AB493" s="39">
        <v>38150</v>
      </c>
      <c r="AC493" s="84" t="s">
        <v>6815</v>
      </c>
      <c r="AD493" s="53" t="str">
        <f t="shared" si="371"/>
        <v>Link</v>
      </c>
      <c r="AE493" s="54">
        <v>1059</v>
      </c>
      <c r="AF493" s="55"/>
      <c r="AG493" s="55"/>
      <c r="AH493" s="56">
        <v>174862</v>
      </c>
      <c r="AI493" s="59"/>
    </row>
    <row r="494" spans="1:35" ht="13" x14ac:dyDescent="0.15">
      <c r="A494" s="57"/>
      <c r="B494" s="31" t="s">
        <v>4669</v>
      </c>
      <c r="C494" s="36" t="s">
        <v>43</v>
      </c>
      <c r="D494" s="44">
        <v>5</v>
      </c>
      <c r="E494" s="7" t="s">
        <v>6835</v>
      </c>
      <c r="F494" s="7" t="s">
        <v>116</v>
      </c>
      <c r="G494" s="57"/>
      <c r="H494" s="2" t="s">
        <v>6806</v>
      </c>
      <c r="I494" s="7" t="s">
        <v>6836</v>
      </c>
      <c r="J494" s="7" t="s">
        <v>6837</v>
      </c>
      <c r="K494" s="7" t="s">
        <v>55</v>
      </c>
      <c r="L494" s="57"/>
      <c r="M494" s="57"/>
      <c r="N494" s="45" t="str">
        <f t="shared" si="369"/>
        <v>@crown_softball</v>
      </c>
      <c r="O494" s="45" t="str">
        <f t="shared" si="370"/>
        <v>Questionnaire</v>
      </c>
      <c r="P494" s="48" t="s">
        <v>6815</v>
      </c>
      <c r="Q494" s="60" t="s">
        <v>4661</v>
      </c>
      <c r="R494" s="48" t="s">
        <v>6816</v>
      </c>
      <c r="S494" s="60" t="s">
        <v>205</v>
      </c>
      <c r="T494" s="49" t="s">
        <v>63</v>
      </c>
      <c r="U494" s="6" t="s">
        <v>686</v>
      </c>
      <c r="V494" s="49"/>
      <c r="W494" s="71">
        <v>3.22</v>
      </c>
      <c r="X494" s="49" t="s">
        <v>6818</v>
      </c>
      <c r="Y494" s="49" t="s">
        <v>6819</v>
      </c>
      <c r="Z494" s="49" t="s">
        <v>746</v>
      </c>
      <c r="AA494" s="65">
        <v>0.54</v>
      </c>
      <c r="AB494" s="39">
        <v>38150</v>
      </c>
      <c r="AC494" s="84" t="s">
        <v>6815</v>
      </c>
      <c r="AD494" s="53" t="str">
        <f t="shared" si="371"/>
        <v>Link</v>
      </c>
      <c r="AE494" s="54">
        <v>1059</v>
      </c>
      <c r="AF494" s="55"/>
      <c r="AG494" s="55"/>
      <c r="AH494" s="56">
        <v>174862</v>
      </c>
      <c r="AI494" s="59"/>
    </row>
    <row r="495" spans="1:35" ht="15" x14ac:dyDescent="0.2">
      <c r="A495" s="57"/>
      <c r="B495" s="31" t="s">
        <v>4669</v>
      </c>
      <c r="C495" s="36" t="s">
        <v>43</v>
      </c>
      <c r="D495" s="86">
        <v>5</v>
      </c>
      <c r="E495" s="7" t="s">
        <v>6842</v>
      </c>
      <c r="F495" s="7"/>
      <c r="G495" s="86"/>
      <c r="H495" s="36" t="s">
        <v>6843</v>
      </c>
      <c r="I495" s="33" t="s">
        <v>6845</v>
      </c>
      <c r="J495" s="33" t="s">
        <v>3832</v>
      </c>
      <c r="K495" s="33" t="s">
        <v>48</v>
      </c>
      <c r="L495" s="2" t="s">
        <v>6849</v>
      </c>
      <c r="M495" s="2" t="s">
        <v>6850</v>
      </c>
      <c r="N495" s="45" t="str">
        <f>HYPERLINK("twitter.com/gacsoftball","@gacsoftball")</f>
        <v>@gacsoftball</v>
      </c>
      <c r="O495" s="45" t="str">
        <f>HYPERLINK("https://gustavus.edu/athletics/recruits.php","Questionnaire")</f>
        <v>Questionnaire</v>
      </c>
      <c r="P495" s="48" t="s">
        <v>6857</v>
      </c>
      <c r="Q495" s="60" t="s">
        <v>4661</v>
      </c>
      <c r="R495" s="48" t="s">
        <v>6859</v>
      </c>
      <c r="S495" s="48" t="s">
        <v>172</v>
      </c>
      <c r="T495" s="49" t="s">
        <v>63</v>
      </c>
      <c r="U495" s="6" t="s">
        <v>318</v>
      </c>
      <c r="V495" s="49"/>
      <c r="W495" s="39">
        <v>3.6</v>
      </c>
      <c r="X495" s="49" t="s">
        <v>214</v>
      </c>
      <c r="Y495" s="49" t="s">
        <v>214</v>
      </c>
      <c r="Z495" s="49" t="s">
        <v>214</v>
      </c>
      <c r="AA495" s="65">
        <v>0.65</v>
      </c>
      <c r="AB495" s="39">
        <v>54280</v>
      </c>
      <c r="AC495" s="90" t="s">
        <v>6857</v>
      </c>
      <c r="AD495" s="53" t="str">
        <f>HYPERLINK("https://gustavus.edu/admission/majors/","Link")</f>
        <v>Link</v>
      </c>
      <c r="AE495" s="54">
        <v>2250</v>
      </c>
      <c r="AF495" s="55"/>
      <c r="AG495" s="54">
        <v>85</v>
      </c>
      <c r="AH495" s="56">
        <v>173647</v>
      </c>
      <c r="AI495" s="56"/>
    </row>
    <row r="496" spans="1:35" ht="15" x14ac:dyDescent="0.2">
      <c r="A496" s="57"/>
      <c r="B496" s="31" t="s">
        <v>4669</v>
      </c>
      <c r="C496" s="36" t="s">
        <v>43</v>
      </c>
      <c r="D496" s="86">
        <v>5</v>
      </c>
      <c r="E496" s="7" t="s">
        <v>6864</v>
      </c>
      <c r="F496" s="7"/>
      <c r="G496" s="86"/>
      <c r="H496" s="33" t="s">
        <v>6866</v>
      </c>
      <c r="I496" s="34" t="s">
        <v>991</v>
      </c>
      <c r="J496" s="33" t="s">
        <v>6874</v>
      </c>
      <c r="K496" s="33" t="s">
        <v>48</v>
      </c>
      <c r="L496" s="2" t="s">
        <v>6877</v>
      </c>
      <c r="M496" s="33" t="s">
        <v>6878</v>
      </c>
      <c r="N496" s="48"/>
      <c r="O496" s="45" t="str">
        <f t="shared" ref="O496:O503" si="372">HYPERLINK("https://hamlineathletics.com/sb_output.aspx?frform=11&amp;path=softball","Questionnaire")</f>
        <v>Questionnaire</v>
      </c>
      <c r="P496" s="48" t="s">
        <v>6885</v>
      </c>
      <c r="Q496" s="60" t="s">
        <v>4661</v>
      </c>
      <c r="R496" s="48" t="s">
        <v>5747</v>
      </c>
      <c r="S496" s="48" t="s">
        <v>354</v>
      </c>
      <c r="T496" s="49" t="s">
        <v>63</v>
      </c>
      <c r="U496" s="6" t="s">
        <v>65</v>
      </c>
      <c r="V496" s="49"/>
      <c r="W496" s="39">
        <v>3.44</v>
      </c>
      <c r="X496" s="49" t="s">
        <v>801</v>
      </c>
      <c r="Y496" s="49" t="s">
        <v>2510</v>
      </c>
      <c r="Z496" s="49" t="s">
        <v>545</v>
      </c>
      <c r="AA496" s="65">
        <v>0.7</v>
      </c>
      <c r="AB496" s="39">
        <v>50755</v>
      </c>
      <c r="AC496" s="84" t="s">
        <v>6885</v>
      </c>
      <c r="AD496" s="53" t="str">
        <f t="shared" ref="AD496:AD503" si="373">HYPERLINK("https://www.hamline.edu/undergraduate/admission/academics.html","Link")</f>
        <v>Link</v>
      </c>
      <c r="AE496" s="54">
        <v>2184</v>
      </c>
      <c r="AF496" s="55"/>
      <c r="AG496" s="55"/>
      <c r="AH496" s="56">
        <v>173665</v>
      </c>
      <c r="AI496" s="56"/>
    </row>
    <row r="497" spans="1:35" ht="15" x14ac:dyDescent="0.2">
      <c r="A497" s="57"/>
      <c r="B497" s="31" t="s">
        <v>4669</v>
      </c>
      <c r="C497" s="36" t="s">
        <v>43</v>
      </c>
      <c r="D497" s="86">
        <v>5</v>
      </c>
      <c r="E497" s="7" t="s">
        <v>6892</v>
      </c>
      <c r="F497" s="7"/>
      <c r="G497" s="86"/>
      <c r="H497" s="33" t="s">
        <v>6866</v>
      </c>
      <c r="I497" s="34" t="s">
        <v>1822</v>
      </c>
      <c r="J497" s="33" t="s">
        <v>6893</v>
      </c>
      <c r="K497" s="33" t="s">
        <v>55</v>
      </c>
      <c r="L497" s="2"/>
      <c r="M497" s="2"/>
      <c r="N497" s="48"/>
      <c r="O497" s="45" t="str">
        <f t="shared" si="372"/>
        <v>Questionnaire</v>
      </c>
      <c r="P497" s="48" t="s">
        <v>6885</v>
      </c>
      <c r="Q497" s="60" t="s">
        <v>4661</v>
      </c>
      <c r="R497" s="48" t="s">
        <v>5747</v>
      </c>
      <c r="S497" s="48" t="s">
        <v>354</v>
      </c>
      <c r="T497" s="49" t="s">
        <v>63</v>
      </c>
      <c r="U497" s="6" t="s">
        <v>65</v>
      </c>
      <c r="V497" s="49"/>
      <c r="W497" s="39">
        <v>3.44</v>
      </c>
      <c r="X497" s="49" t="s">
        <v>801</v>
      </c>
      <c r="Y497" s="49" t="s">
        <v>2510</v>
      </c>
      <c r="Z497" s="49" t="s">
        <v>545</v>
      </c>
      <c r="AA497" s="65">
        <v>0.7</v>
      </c>
      <c r="AB497" s="39">
        <v>50755</v>
      </c>
      <c r="AC497" s="84" t="s">
        <v>6885</v>
      </c>
      <c r="AD497" s="53" t="str">
        <f t="shared" si="373"/>
        <v>Link</v>
      </c>
      <c r="AE497" s="54">
        <v>2184</v>
      </c>
      <c r="AF497" s="55"/>
      <c r="AG497" s="55"/>
      <c r="AH497" s="56">
        <v>173665</v>
      </c>
      <c r="AI497" s="56"/>
    </row>
    <row r="498" spans="1:35" ht="15" x14ac:dyDescent="0.2">
      <c r="A498" s="57"/>
      <c r="B498" s="31" t="s">
        <v>4669</v>
      </c>
      <c r="C498" s="36" t="s">
        <v>43</v>
      </c>
      <c r="D498" s="86">
        <v>5</v>
      </c>
      <c r="E498" s="7" t="s">
        <v>6895</v>
      </c>
      <c r="F498" s="7"/>
      <c r="G498" s="86"/>
      <c r="H498" s="33" t="s">
        <v>6866</v>
      </c>
      <c r="I498" s="34" t="s">
        <v>736</v>
      </c>
      <c r="J498" s="2" t="s">
        <v>6896</v>
      </c>
      <c r="K498" s="2" t="s">
        <v>55</v>
      </c>
      <c r="L498" s="2"/>
      <c r="M498" s="2"/>
      <c r="N498" s="48"/>
      <c r="O498" s="45" t="str">
        <f t="shared" si="372"/>
        <v>Questionnaire</v>
      </c>
      <c r="P498" s="48" t="s">
        <v>6885</v>
      </c>
      <c r="Q498" s="60" t="s">
        <v>4661</v>
      </c>
      <c r="R498" s="48" t="s">
        <v>5747</v>
      </c>
      <c r="S498" s="48" t="s">
        <v>354</v>
      </c>
      <c r="T498" s="49" t="s">
        <v>63</v>
      </c>
      <c r="U498" s="6" t="s">
        <v>65</v>
      </c>
      <c r="V498" s="49"/>
      <c r="W498" s="39">
        <v>3.44</v>
      </c>
      <c r="X498" s="49" t="s">
        <v>801</v>
      </c>
      <c r="Y498" s="49" t="s">
        <v>2510</v>
      </c>
      <c r="Z498" s="49" t="s">
        <v>545</v>
      </c>
      <c r="AA498" s="65">
        <v>0.7</v>
      </c>
      <c r="AB498" s="39">
        <v>50755</v>
      </c>
      <c r="AC498" s="84" t="s">
        <v>6885</v>
      </c>
      <c r="AD498" s="53" t="str">
        <f t="shared" si="373"/>
        <v>Link</v>
      </c>
      <c r="AE498" s="54">
        <v>2184</v>
      </c>
      <c r="AF498" s="55"/>
      <c r="AG498" s="55"/>
      <c r="AH498" s="56">
        <v>173665</v>
      </c>
      <c r="AI498" s="56"/>
    </row>
    <row r="499" spans="1:35" ht="15" x14ac:dyDescent="0.2">
      <c r="A499" s="57"/>
      <c r="B499" s="31" t="s">
        <v>4669</v>
      </c>
      <c r="C499" s="36" t="s">
        <v>43</v>
      </c>
      <c r="D499" s="86">
        <v>5</v>
      </c>
      <c r="E499" s="7" t="s">
        <v>6902</v>
      </c>
      <c r="F499" s="7"/>
      <c r="G499" s="86"/>
      <c r="H499" s="33" t="s">
        <v>6866</v>
      </c>
      <c r="I499" s="34" t="s">
        <v>658</v>
      </c>
      <c r="J499" s="33" t="s">
        <v>6903</v>
      </c>
      <c r="K499" s="33" t="s">
        <v>55</v>
      </c>
      <c r="L499" s="2"/>
      <c r="M499" s="2"/>
      <c r="N499" s="48"/>
      <c r="O499" s="45" t="str">
        <f t="shared" si="372"/>
        <v>Questionnaire</v>
      </c>
      <c r="P499" s="48" t="s">
        <v>6885</v>
      </c>
      <c r="Q499" s="60" t="s">
        <v>4661</v>
      </c>
      <c r="R499" s="48" t="s">
        <v>5747</v>
      </c>
      <c r="S499" s="48" t="s">
        <v>354</v>
      </c>
      <c r="T499" s="49" t="s">
        <v>63</v>
      </c>
      <c r="U499" s="6" t="s">
        <v>65</v>
      </c>
      <c r="V499" s="49"/>
      <c r="W499" s="39">
        <v>3.44</v>
      </c>
      <c r="X499" s="49" t="s">
        <v>801</v>
      </c>
      <c r="Y499" s="49" t="s">
        <v>2510</v>
      </c>
      <c r="Z499" s="49" t="s">
        <v>545</v>
      </c>
      <c r="AA499" s="65">
        <v>0.7</v>
      </c>
      <c r="AB499" s="39">
        <v>50755</v>
      </c>
      <c r="AC499" s="84" t="s">
        <v>6885</v>
      </c>
      <c r="AD499" s="53" t="str">
        <f t="shared" si="373"/>
        <v>Link</v>
      </c>
      <c r="AE499" s="54">
        <v>2184</v>
      </c>
      <c r="AF499" s="55"/>
      <c r="AG499" s="55"/>
      <c r="AH499" s="56">
        <v>173665</v>
      </c>
      <c r="AI499" s="56"/>
    </row>
    <row r="500" spans="1:35" ht="15" x14ac:dyDescent="0.2">
      <c r="A500" s="57"/>
      <c r="B500" s="31" t="s">
        <v>4669</v>
      </c>
      <c r="C500" s="36" t="s">
        <v>43</v>
      </c>
      <c r="D500" s="86">
        <v>5</v>
      </c>
      <c r="E500" s="7" t="s">
        <v>6912</v>
      </c>
      <c r="F500" s="7"/>
      <c r="G500" s="86" t="s">
        <v>126</v>
      </c>
      <c r="H500" s="33" t="s">
        <v>6866</v>
      </c>
      <c r="I500" s="2" t="s">
        <v>6915</v>
      </c>
      <c r="J500" s="2"/>
      <c r="K500" s="33"/>
      <c r="L500" s="2"/>
      <c r="M500" s="2"/>
      <c r="N500" s="48"/>
      <c r="O500" s="45" t="str">
        <f t="shared" si="372"/>
        <v>Questionnaire</v>
      </c>
      <c r="P500" s="48" t="s">
        <v>6885</v>
      </c>
      <c r="Q500" s="60" t="s">
        <v>4661</v>
      </c>
      <c r="R500" s="48" t="s">
        <v>5747</v>
      </c>
      <c r="S500" s="48" t="s">
        <v>354</v>
      </c>
      <c r="T500" s="49" t="s">
        <v>63</v>
      </c>
      <c r="U500" s="6" t="s">
        <v>65</v>
      </c>
      <c r="V500" s="49"/>
      <c r="W500" s="39">
        <v>3.44</v>
      </c>
      <c r="X500" s="49" t="s">
        <v>801</v>
      </c>
      <c r="Y500" s="49" t="s">
        <v>2510</v>
      </c>
      <c r="Z500" s="49" t="s">
        <v>545</v>
      </c>
      <c r="AA500" s="65">
        <v>0.7</v>
      </c>
      <c r="AB500" s="39">
        <v>50755</v>
      </c>
      <c r="AC500" s="84" t="s">
        <v>6885</v>
      </c>
      <c r="AD500" s="53" t="str">
        <f t="shared" si="373"/>
        <v>Link</v>
      </c>
      <c r="AE500" s="54">
        <v>2184</v>
      </c>
      <c r="AF500" s="55"/>
      <c r="AG500" s="55"/>
      <c r="AH500" s="56">
        <v>173665</v>
      </c>
      <c r="AI500" s="56"/>
    </row>
    <row r="501" spans="1:35" ht="15" x14ac:dyDescent="0.2">
      <c r="A501" s="57"/>
      <c r="B501" s="31" t="s">
        <v>4669</v>
      </c>
      <c r="C501" s="36" t="s">
        <v>43</v>
      </c>
      <c r="D501" s="86">
        <v>5</v>
      </c>
      <c r="E501" s="7" t="s">
        <v>6919</v>
      </c>
      <c r="F501" s="7"/>
      <c r="G501" s="86"/>
      <c r="H501" s="33" t="s">
        <v>6866</v>
      </c>
      <c r="I501" s="2" t="s">
        <v>658</v>
      </c>
      <c r="J501" s="2" t="s">
        <v>6921</v>
      </c>
      <c r="K501" s="33" t="s">
        <v>55</v>
      </c>
      <c r="L501" s="2"/>
      <c r="M501" s="2"/>
      <c r="N501" s="48"/>
      <c r="O501" s="45" t="str">
        <f t="shared" si="372"/>
        <v>Questionnaire</v>
      </c>
      <c r="P501" s="48" t="s">
        <v>6885</v>
      </c>
      <c r="Q501" s="60" t="s">
        <v>4661</v>
      </c>
      <c r="R501" s="48" t="s">
        <v>5747</v>
      </c>
      <c r="S501" s="48" t="s">
        <v>354</v>
      </c>
      <c r="T501" s="49" t="s">
        <v>63</v>
      </c>
      <c r="U501" s="6" t="s">
        <v>65</v>
      </c>
      <c r="V501" s="49"/>
      <c r="W501" s="39">
        <v>3.44</v>
      </c>
      <c r="X501" s="49" t="s">
        <v>801</v>
      </c>
      <c r="Y501" s="49" t="s">
        <v>2510</v>
      </c>
      <c r="Z501" s="49" t="s">
        <v>545</v>
      </c>
      <c r="AA501" s="65">
        <v>0.7</v>
      </c>
      <c r="AB501" s="39">
        <v>50755</v>
      </c>
      <c r="AC501" s="84" t="s">
        <v>6885</v>
      </c>
      <c r="AD501" s="53" t="str">
        <f t="shared" si="373"/>
        <v>Link</v>
      </c>
      <c r="AE501" s="54">
        <v>2184</v>
      </c>
      <c r="AF501" s="55"/>
      <c r="AG501" s="55"/>
      <c r="AH501" s="56">
        <v>173665</v>
      </c>
      <c r="AI501" s="56"/>
    </row>
    <row r="502" spans="1:35" ht="15" x14ac:dyDescent="0.2">
      <c r="A502" s="57"/>
      <c r="B502" s="31" t="s">
        <v>4669</v>
      </c>
      <c r="C502" s="36" t="s">
        <v>43</v>
      </c>
      <c r="D502" s="86">
        <v>5</v>
      </c>
      <c r="E502" s="7" t="s">
        <v>6926</v>
      </c>
      <c r="F502" s="7"/>
      <c r="G502" s="86"/>
      <c r="H502" s="33" t="s">
        <v>6866</v>
      </c>
      <c r="I502" s="2" t="s">
        <v>338</v>
      </c>
      <c r="J502" s="2" t="s">
        <v>339</v>
      </c>
      <c r="K502" s="33" t="s">
        <v>55</v>
      </c>
      <c r="L502" s="2"/>
      <c r="M502" s="2"/>
      <c r="N502" s="48"/>
      <c r="O502" s="45" t="str">
        <f t="shared" si="372"/>
        <v>Questionnaire</v>
      </c>
      <c r="P502" s="48" t="s">
        <v>6885</v>
      </c>
      <c r="Q502" s="60" t="s">
        <v>4661</v>
      </c>
      <c r="R502" s="48" t="s">
        <v>5747</v>
      </c>
      <c r="S502" s="48" t="s">
        <v>354</v>
      </c>
      <c r="T502" s="49" t="s">
        <v>63</v>
      </c>
      <c r="U502" s="6" t="s">
        <v>65</v>
      </c>
      <c r="V502" s="49"/>
      <c r="W502" s="39">
        <v>3.44</v>
      </c>
      <c r="X502" s="49" t="s">
        <v>801</v>
      </c>
      <c r="Y502" s="49" t="s">
        <v>2510</v>
      </c>
      <c r="Z502" s="49" t="s">
        <v>545</v>
      </c>
      <c r="AA502" s="65">
        <v>0.7</v>
      </c>
      <c r="AB502" s="39">
        <v>50755</v>
      </c>
      <c r="AC502" s="84" t="s">
        <v>6885</v>
      </c>
      <c r="AD502" s="53" t="str">
        <f t="shared" si="373"/>
        <v>Link</v>
      </c>
      <c r="AE502" s="54">
        <v>2184</v>
      </c>
      <c r="AF502" s="55"/>
      <c r="AG502" s="55"/>
      <c r="AH502" s="56">
        <v>173665</v>
      </c>
      <c r="AI502" s="56"/>
    </row>
    <row r="503" spans="1:35" ht="15" x14ac:dyDescent="0.2">
      <c r="A503" s="57"/>
      <c r="B503" s="31" t="s">
        <v>4669</v>
      </c>
      <c r="C503" s="36" t="s">
        <v>43</v>
      </c>
      <c r="D503" s="44">
        <v>5</v>
      </c>
      <c r="E503" s="7" t="s">
        <v>6932</v>
      </c>
      <c r="F503" s="7" t="s">
        <v>116</v>
      </c>
      <c r="G503" s="57"/>
      <c r="H503" s="33" t="s">
        <v>6866</v>
      </c>
      <c r="I503" s="7" t="s">
        <v>1217</v>
      </c>
      <c r="J503" s="7" t="s">
        <v>6874</v>
      </c>
      <c r="K503" s="7" t="s">
        <v>55</v>
      </c>
      <c r="L503" s="57"/>
      <c r="M503" s="57"/>
      <c r="N503" s="48"/>
      <c r="O503" s="45" t="str">
        <f t="shared" si="372"/>
        <v>Questionnaire</v>
      </c>
      <c r="P503" s="48" t="s">
        <v>6885</v>
      </c>
      <c r="Q503" s="60" t="s">
        <v>4661</v>
      </c>
      <c r="R503" s="48" t="s">
        <v>5747</v>
      </c>
      <c r="S503" s="48" t="s">
        <v>354</v>
      </c>
      <c r="T503" s="49" t="s">
        <v>63</v>
      </c>
      <c r="U503" s="6" t="s">
        <v>65</v>
      </c>
      <c r="V503" s="49"/>
      <c r="W503" s="71">
        <v>3.44</v>
      </c>
      <c r="X503" s="49" t="s">
        <v>801</v>
      </c>
      <c r="Y503" s="49" t="s">
        <v>2510</v>
      </c>
      <c r="Z503" s="49" t="s">
        <v>545</v>
      </c>
      <c r="AA503" s="65">
        <v>0.7</v>
      </c>
      <c r="AB503" s="39">
        <v>50755</v>
      </c>
      <c r="AC503" s="84" t="s">
        <v>6885</v>
      </c>
      <c r="AD503" s="53" t="str">
        <f t="shared" si="373"/>
        <v>Link</v>
      </c>
      <c r="AE503" s="54">
        <v>2184</v>
      </c>
      <c r="AF503" s="55"/>
      <c r="AG503" s="55"/>
      <c r="AH503" s="56">
        <v>173665</v>
      </c>
      <c r="AI503" s="59"/>
    </row>
    <row r="504" spans="1:35" ht="15" x14ac:dyDescent="0.2">
      <c r="A504" s="57"/>
      <c r="B504" s="31" t="s">
        <v>4669</v>
      </c>
      <c r="C504" s="36" t="s">
        <v>43</v>
      </c>
      <c r="D504" s="86">
        <v>5</v>
      </c>
      <c r="E504" s="7" t="s">
        <v>6938</v>
      </c>
      <c r="F504" s="7"/>
      <c r="G504" s="86"/>
      <c r="H504" s="2" t="s">
        <v>6941</v>
      </c>
      <c r="I504" s="34" t="s">
        <v>6331</v>
      </c>
      <c r="J504" s="33" t="s">
        <v>6942</v>
      </c>
      <c r="K504" s="33" t="s">
        <v>48</v>
      </c>
      <c r="L504" s="2" t="s">
        <v>6943</v>
      </c>
      <c r="M504" s="2" t="s">
        <v>6944</v>
      </c>
      <c r="N504" s="45" t="str">
        <f t="shared" ref="N504:N505" si="374">HYPERLINK("twitter.com/macalestersb","@macalestersb")</f>
        <v>@macalestersb</v>
      </c>
      <c r="O504" s="45" t="str">
        <f t="shared" ref="O504:O505" si="375">HYPERLINK("https://athletics.macalester.edu/sports/2015/8/7/Recruiting_0807152948.aspx","Questionnaire")</f>
        <v>Questionnaire</v>
      </c>
      <c r="P504" s="48" t="s">
        <v>6951</v>
      </c>
      <c r="Q504" s="60" t="s">
        <v>4661</v>
      </c>
      <c r="R504" s="48" t="s">
        <v>5747</v>
      </c>
      <c r="S504" s="48" t="s">
        <v>354</v>
      </c>
      <c r="T504" s="49" t="s">
        <v>63</v>
      </c>
      <c r="U504" s="6" t="s">
        <v>248</v>
      </c>
      <c r="V504" s="49"/>
      <c r="W504" s="48" t="s">
        <v>214</v>
      </c>
      <c r="X504" s="49" t="s">
        <v>1106</v>
      </c>
      <c r="Y504" s="49" t="s">
        <v>6954</v>
      </c>
      <c r="Z504" s="49" t="s">
        <v>1376</v>
      </c>
      <c r="AA504" s="65">
        <v>0.37</v>
      </c>
      <c r="AB504" s="39">
        <v>64007</v>
      </c>
      <c r="AC504" s="84" t="s">
        <v>6951</v>
      </c>
      <c r="AD504" s="53" t="str">
        <f t="shared" ref="AD504:AD505" si="376">HYPERLINK("https://www.macalester.edu/academics/","Link")</f>
        <v>Link</v>
      </c>
      <c r="AE504" s="54">
        <v>2146</v>
      </c>
      <c r="AF504" s="55"/>
      <c r="AG504" s="54">
        <v>26</v>
      </c>
      <c r="AH504" s="56">
        <v>173902</v>
      </c>
      <c r="AI504" s="56"/>
    </row>
    <row r="505" spans="1:35" ht="13" x14ac:dyDescent="0.15">
      <c r="A505" s="57"/>
      <c r="B505" s="31" t="s">
        <v>4669</v>
      </c>
      <c r="C505" s="36" t="s">
        <v>43</v>
      </c>
      <c r="D505" s="86">
        <v>5</v>
      </c>
      <c r="E505" s="7" t="s">
        <v>6961</v>
      </c>
      <c r="F505" s="7"/>
      <c r="G505" s="86"/>
      <c r="H505" s="2" t="s">
        <v>6941</v>
      </c>
      <c r="I505" s="2" t="s">
        <v>1443</v>
      </c>
      <c r="J505" s="2" t="s">
        <v>6963</v>
      </c>
      <c r="K505" s="2" t="s">
        <v>55</v>
      </c>
      <c r="L505" s="95" t="s">
        <v>6964</v>
      </c>
      <c r="M505" s="36" t="s">
        <v>6965</v>
      </c>
      <c r="N505" s="45" t="str">
        <f t="shared" si="374"/>
        <v>@macalestersb</v>
      </c>
      <c r="O505" s="45" t="str">
        <f t="shared" si="375"/>
        <v>Questionnaire</v>
      </c>
      <c r="P505" s="48" t="s">
        <v>6951</v>
      </c>
      <c r="Q505" s="60" t="s">
        <v>4661</v>
      </c>
      <c r="R505" s="48" t="s">
        <v>5747</v>
      </c>
      <c r="S505" s="48" t="s">
        <v>354</v>
      </c>
      <c r="T505" s="49" t="s">
        <v>63</v>
      </c>
      <c r="U505" s="6" t="s">
        <v>248</v>
      </c>
      <c r="V505" s="49"/>
      <c r="W505" s="48" t="s">
        <v>214</v>
      </c>
      <c r="X505" s="49" t="s">
        <v>1106</v>
      </c>
      <c r="Y505" s="49" t="s">
        <v>6954</v>
      </c>
      <c r="Z505" s="49" t="s">
        <v>1376</v>
      </c>
      <c r="AA505" s="65">
        <v>0.37</v>
      </c>
      <c r="AB505" s="39">
        <v>64007</v>
      </c>
      <c r="AC505" s="84" t="s">
        <v>6951</v>
      </c>
      <c r="AD505" s="53" t="str">
        <f t="shared" si="376"/>
        <v>Link</v>
      </c>
      <c r="AE505" s="54">
        <v>2146</v>
      </c>
      <c r="AF505" s="55"/>
      <c r="AG505" s="54">
        <v>26</v>
      </c>
      <c r="AH505" s="56">
        <v>173902</v>
      </c>
      <c r="AI505" s="56"/>
    </row>
    <row r="506" spans="1:35" ht="15" x14ac:dyDescent="0.2">
      <c r="A506" s="57"/>
      <c r="B506" s="31" t="s">
        <v>4669</v>
      </c>
      <c r="C506" s="36" t="s">
        <v>43</v>
      </c>
      <c r="D506" s="86">
        <v>5</v>
      </c>
      <c r="E506" s="7" t="s">
        <v>6970</v>
      </c>
      <c r="F506" s="7"/>
      <c r="G506" s="86"/>
      <c r="H506" s="33" t="s">
        <v>6971</v>
      </c>
      <c r="I506" s="2" t="s">
        <v>644</v>
      </c>
      <c r="J506" s="33" t="s">
        <v>3657</v>
      </c>
      <c r="K506" s="33" t="s">
        <v>48</v>
      </c>
      <c r="L506" s="2" t="s">
        <v>6973</v>
      </c>
      <c r="M506" s="2" t="s">
        <v>6974</v>
      </c>
      <c r="N506" s="48"/>
      <c r="O506" s="48" t="s">
        <v>22</v>
      </c>
      <c r="P506" s="48" t="s">
        <v>6975</v>
      </c>
      <c r="Q506" s="60" t="s">
        <v>4661</v>
      </c>
      <c r="R506" s="48" t="s">
        <v>6976</v>
      </c>
      <c r="S506" s="48" t="s">
        <v>172</v>
      </c>
      <c r="T506" s="49" t="s">
        <v>63</v>
      </c>
      <c r="U506" s="6" t="s">
        <v>6978</v>
      </c>
      <c r="V506" s="49"/>
      <c r="W506" s="39">
        <v>3.46</v>
      </c>
      <c r="X506" s="49" t="s">
        <v>6659</v>
      </c>
      <c r="Y506" s="49" t="s">
        <v>6979</v>
      </c>
      <c r="Z506" s="49" t="s">
        <v>545</v>
      </c>
      <c r="AA506" s="65">
        <v>0.83</v>
      </c>
      <c r="AB506" s="39">
        <v>24580</v>
      </c>
      <c r="AC506" s="90" t="s">
        <v>6975</v>
      </c>
      <c r="AD506" s="53" t="str">
        <f t="shared" ref="AD506:AD508" si="377">HYPERLINK("https://mlc-wels.edu/admissions/majors/","Link")</f>
        <v>Link</v>
      </c>
      <c r="AE506" s="54">
        <v>859</v>
      </c>
      <c r="AF506" s="55"/>
      <c r="AG506" s="55"/>
      <c r="AH506" s="56">
        <v>173452</v>
      </c>
      <c r="AI506" s="56"/>
    </row>
    <row r="507" spans="1:35" ht="15" x14ac:dyDescent="0.2">
      <c r="A507" s="57"/>
      <c r="B507" s="31" t="s">
        <v>4669</v>
      </c>
      <c r="C507" s="36" t="s">
        <v>43</v>
      </c>
      <c r="D507" s="86">
        <v>5</v>
      </c>
      <c r="E507" s="7" t="s">
        <v>6982</v>
      </c>
      <c r="F507" s="7"/>
      <c r="G507" s="86"/>
      <c r="H507" s="33" t="s">
        <v>6971</v>
      </c>
      <c r="I507" s="34" t="s">
        <v>1875</v>
      </c>
      <c r="J507" s="33" t="s">
        <v>6983</v>
      </c>
      <c r="K507" s="33" t="s">
        <v>55</v>
      </c>
      <c r="L507" s="2"/>
      <c r="M507" s="2"/>
      <c r="N507" s="48"/>
      <c r="O507" s="48" t="s">
        <v>22</v>
      </c>
      <c r="P507" s="48" t="s">
        <v>6975</v>
      </c>
      <c r="Q507" s="60" t="s">
        <v>4661</v>
      </c>
      <c r="R507" s="48" t="s">
        <v>6976</v>
      </c>
      <c r="S507" s="48" t="s">
        <v>172</v>
      </c>
      <c r="T507" s="49" t="s">
        <v>63</v>
      </c>
      <c r="U507" s="6" t="s">
        <v>6978</v>
      </c>
      <c r="V507" s="49"/>
      <c r="W507" s="39">
        <v>3.46</v>
      </c>
      <c r="X507" s="49" t="s">
        <v>6659</v>
      </c>
      <c r="Y507" s="49" t="s">
        <v>6979</v>
      </c>
      <c r="Z507" s="49" t="s">
        <v>545</v>
      </c>
      <c r="AA507" s="65">
        <v>0.83</v>
      </c>
      <c r="AB507" s="39">
        <v>24580</v>
      </c>
      <c r="AC507" s="90" t="s">
        <v>6975</v>
      </c>
      <c r="AD507" s="53" t="str">
        <f t="shared" si="377"/>
        <v>Link</v>
      </c>
      <c r="AE507" s="54">
        <v>859</v>
      </c>
      <c r="AF507" s="55"/>
      <c r="AG507" s="55"/>
      <c r="AH507" s="56">
        <v>173452</v>
      </c>
      <c r="AI507" s="56"/>
    </row>
    <row r="508" spans="1:35" ht="15" x14ac:dyDescent="0.2">
      <c r="A508" s="57"/>
      <c r="B508" s="31" t="s">
        <v>4669</v>
      </c>
      <c r="C508" s="36" t="s">
        <v>43</v>
      </c>
      <c r="D508" s="86">
        <v>5</v>
      </c>
      <c r="E508" s="7" t="s">
        <v>6987</v>
      </c>
      <c r="F508" s="7"/>
      <c r="G508" s="86"/>
      <c r="H508" s="33" t="s">
        <v>6971</v>
      </c>
      <c r="I508" s="34" t="s">
        <v>228</v>
      </c>
      <c r="J508" s="33" t="s">
        <v>6988</v>
      </c>
      <c r="K508" s="33" t="s">
        <v>55</v>
      </c>
      <c r="L508" s="2"/>
      <c r="M508" s="2"/>
      <c r="N508" s="48"/>
      <c r="O508" s="48" t="s">
        <v>22</v>
      </c>
      <c r="P508" s="48" t="s">
        <v>6975</v>
      </c>
      <c r="Q508" s="60" t="s">
        <v>4661</v>
      </c>
      <c r="R508" s="48" t="s">
        <v>6976</v>
      </c>
      <c r="S508" s="48" t="s">
        <v>172</v>
      </c>
      <c r="T508" s="49" t="s">
        <v>63</v>
      </c>
      <c r="U508" s="6" t="s">
        <v>6978</v>
      </c>
      <c r="V508" s="49"/>
      <c r="W508" s="39">
        <v>3.46</v>
      </c>
      <c r="X508" s="49" t="s">
        <v>6659</v>
      </c>
      <c r="Y508" s="49" t="s">
        <v>6979</v>
      </c>
      <c r="Z508" s="49" t="s">
        <v>545</v>
      </c>
      <c r="AA508" s="65">
        <v>0.83</v>
      </c>
      <c r="AB508" s="39">
        <v>24580</v>
      </c>
      <c r="AC508" s="90" t="s">
        <v>6975</v>
      </c>
      <c r="AD508" s="53" t="str">
        <f t="shared" si="377"/>
        <v>Link</v>
      </c>
      <c r="AE508" s="54">
        <v>859</v>
      </c>
      <c r="AF508" s="55"/>
      <c r="AG508" s="55"/>
      <c r="AH508" s="56">
        <v>173452</v>
      </c>
      <c r="AI508" s="56"/>
    </row>
    <row r="509" spans="1:35" ht="15" x14ac:dyDescent="0.2">
      <c r="A509" s="57"/>
      <c r="B509" s="31" t="s">
        <v>4669</v>
      </c>
      <c r="C509" s="36" t="s">
        <v>43</v>
      </c>
      <c r="D509" s="86">
        <v>5</v>
      </c>
      <c r="E509" s="7" t="s">
        <v>6993</v>
      </c>
      <c r="F509" s="7"/>
      <c r="G509" s="86"/>
      <c r="H509" s="2" t="s">
        <v>6995</v>
      </c>
      <c r="I509" s="34" t="s">
        <v>1132</v>
      </c>
      <c r="J509" s="33" t="s">
        <v>6996</v>
      </c>
      <c r="K509" s="33" t="s">
        <v>48</v>
      </c>
      <c r="L509" s="2" t="s">
        <v>6999</v>
      </c>
      <c r="M509" s="2" t="s">
        <v>7001</v>
      </c>
      <c r="N509" s="45" t="str">
        <f>HYPERLINK("twitter.com/heatherpennie","@heatherpennie")</f>
        <v>@heatherpennie</v>
      </c>
      <c r="O509" s="45" t="str">
        <f t="shared" ref="O509:O510" si="378">HYPERLINK("https://morriscougars.com/sb_output.aspx?form=3&amp;tab=recruitquestionnaire","Questionnaire")</f>
        <v>Questionnaire</v>
      </c>
      <c r="P509" s="48" t="s">
        <v>7006</v>
      </c>
      <c r="Q509" s="60" t="s">
        <v>4661</v>
      </c>
      <c r="R509" s="48" t="s">
        <v>2470</v>
      </c>
      <c r="S509" s="60" t="s">
        <v>205</v>
      </c>
      <c r="T509" s="49" t="s">
        <v>74</v>
      </c>
      <c r="U509" s="48" t="s">
        <v>75</v>
      </c>
      <c r="V509" s="49"/>
      <c r="W509" s="39">
        <v>3.55</v>
      </c>
      <c r="X509" s="49" t="s">
        <v>1509</v>
      </c>
      <c r="Y509" s="49" t="s">
        <v>7009</v>
      </c>
      <c r="Z509" s="49" t="s">
        <v>689</v>
      </c>
      <c r="AA509" s="65">
        <v>0.57999999999999996</v>
      </c>
      <c r="AB509" s="48" t="s">
        <v>7010</v>
      </c>
      <c r="AC509" s="84" t="s">
        <v>7006</v>
      </c>
      <c r="AD509" s="53" t="str">
        <f t="shared" ref="AD509:AD510" si="379">HYPERLINK("https://academics.morris.umn.edu/","Link")</f>
        <v>Link</v>
      </c>
      <c r="AE509" s="54">
        <v>1771</v>
      </c>
      <c r="AF509" s="55"/>
      <c r="AG509" s="54">
        <v>141</v>
      </c>
      <c r="AH509" s="56">
        <v>174251</v>
      </c>
      <c r="AI509" s="56"/>
    </row>
    <row r="510" spans="1:35" ht="15" x14ac:dyDescent="0.2">
      <c r="A510" s="57"/>
      <c r="B510" s="31" t="s">
        <v>4669</v>
      </c>
      <c r="C510" s="36" t="s">
        <v>43</v>
      </c>
      <c r="D510" s="86">
        <v>5</v>
      </c>
      <c r="E510" s="7" t="s">
        <v>7015</v>
      </c>
      <c r="F510" s="7" t="s">
        <v>116</v>
      </c>
      <c r="G510" s="86"/>
      <c r="H510" s="2" t="s">
        <v>6995</v>
      </c>
      <c r="I510" s="2" t="s">
        <v>7016</v>
      </c>
      <c r="J510" s="33" t="s">
        <v>7017</v>
      </c>
      <c r="K510" s="2" t="s">
        <v>55</v>
      </c>
      <c r="L510" s="95" t="s">
        <v>7018</v>
      </c>
      <c r="M510" s="2" t="s">
        <v>7019</v>
      </c>
      <c r="N510" s="45" t="str">
        <f>HYPERLINK("twitter.com/ummcougarsb","@ummcougarsb")</f>
        <v>@ummcougarsb</v>
      </c>
      <c r="O510" s="45" t="str">
        <f t="shared" si="378"/>
        <v>Questionnaire</v>
      </c>
      <c r="P510" s="48" t="s">
        <v>7006</v>
      </c>
      <c r="Q510" s="60" t="s">
        <v>4661</v>
      </c>
      <c r="R510" s="48" t="s">
        <v>2470</v>
      </c>
      <c r="S510" s="60" t="s">
        <v>205</v>
      </c>
      <c r="T510" s="49" t="s">
        <v>74</v>
      </c>
      <c r="U510" s="48" t="s">
        <v>75</v>
      </c>
      <c r="V510" s="49"/>
      <c r="W510" s="39">
        <v>3.55</v>
      </c>
      <c r="X510" s="49" t="s">
        <v>1509</v>
      </c>
      <c r="Y510" s="49" t="s">
        <v>7009</v>
      </c>
      <c r="Z510" s="49" t="s">
        <v>689</v>
      </c>
      <c r="AA510" s="65">
        <v>0.57999999999999996</v>
      </c>
      <c r="AB510" s="48" t="s">
        <v>7010</v>
      </c>
      <c r="AC510" s="84" t="s">
        <v>7006</v>
      </c>
      <c r="AD510" s="53" t="str">
        <f t="shared" si="379"/>
        <v>Link</v>
      </c>
      <c r="AE510" s="54">
        <v>1771</v>
      </c>
      <c r="AF510" s="55"/>
      <c r="AG510" s="54">
        <v>141</v>
      </c>
      <c r="AH510" s="56">
        <v>174251</v>
      </c>
      <c r="AI510" s="56"/>
    </row>
    <row r="511" spans="1:35" ht="15" x14ac:dyDescent="0.2">
      <c r="A511" s="57"/>
      <c r="B511" s="31" t="s">
        <v>4669</v>
      </c>
      <c r="C511" s="36" t="s">
        <v>43</v>
      </c>
      <c r="D511" s="86">
        <v>5</v>
      </c>
      <c r="E511" s="7" t="s">
        <v>7025</v>
      </c>
      <c r="F511" s="7"/>
      <c r="G511" s="86"/>
      <c r="H511" s="33" t="s">
        <v>7026</v>
      </c>
      <c r="I511" s="2" t="s">
        <v>3393</v>
      </c>
      <c r="J511" s="2" t="s">
        <v>7027</v>
      </c>
      <c r="K511" s="2" t="s">
        <v>48</v>
      </c>
      <c r="L511" s="95" t="s">
        <v>7029</v>
      </c>
      <c r="M511" s="2" t="s">
        <v>7030</v>
      </c>
      <c r="N511" s="48"/>
      <c r="O511" s="45" t="str">
        <f t="shared" ref="O511:O512" si="380">HYPERLINK("https://ncurams.com/sports/2018/8/29/quick-recruits.aspx","Questionnaire")</f>
        <v>Questionnaire</v>
      </c>
      <c r="P511" s="48" t="s">
        <v>7032</v>
      </c>
      <c r="Q511" s="60" t="s">
        <v>4661</v>
      </c>
      <c r="R511" s="48" t="s">
        <v>4670</v>
      </c>
      <c r="S511" s="48" t="s">
        <v>354</v>
      </c>
      <c r="T511" s="49" t="s">
        <v>63</v>
      </c>
      <c r="U511" s="6" t="s">
        <v>7034</v>
      </c>
      <c r="V511" s="49"/>
      <c r="W511" s="39">
        <v>3.33</v>
      </c>
      <c r="X511" s="49" t="s">
        <v>7036</v>
      </c>
      <c r="Y511" s="49" t="s">
        <v>7037</v>
      </c>
      <c r="Z511" s="49" t="s">
        <v>746</v>
      </c>
      <c r="AA511" s="65">
        <v>0.66</v>
      </c>
      <c r="AB511" s="39">
        <v>33280</v>
      </c>
      <c r="AC511" s="84" t="s">
        <v>7032</v>
      </c>
      <c r="AD511" s="53" t="str">
        <f t="shared" ref="AD511:AD512" si="381">HYPERLINK("https://www.northcentral.edu/academics/undergraduate-majors-and-programs/majors/","Link")</f>
        <v>Link</v>
      </c>
      <c r="AE511" s="54">
        <v>1080</v>
      </c>
      <c r="AF511" s="55"/>
      <c r="AG511" s="55"/>
      <c r="AH511" s="56">
        <v>174437</v>
      </c>
      <c r="AI511" s="56"/>
    </row>
    <row r="512" spans="1:35" ht="15" x14ac:dyDescent="0.2">
      <c r="A512" s="57"/>
      <c r="B512" s="31" t="s">
        <v>4669</v>
      </c>
      <c r="C512" s="36" t="s">
        <v>43</v>
      </c>
      <c r="D512" s="86">
        <v>5</v>
      </c>
      <c r="E512" s="7" t="s">
        <v>7042</v>
      </c>
      <c r="F512" s="7"/>
      <c r="G512" s="86"/>
      <c r="H512" s="33" t="s">
        <v>7026</v>
      </c>
      <c r="I512" s="2" t="s">
        <v>3402</v>
      </c>
      <c r="J512" s="2" t="s">
        <v>7043</v>
      </c>
      <c r="K512" s="2" t="s">
        <v>55</v>
      </c>
      <c r="L512" s="95"/>
      <c r="M512" s="2"/>
      <c r="N512" s="48"/>
      <c r="O512" s="45" t="str">
        <f t="shared" si="380"/>
        <v>Questionnaire</v>
      </c>
      <c r="P512" s="48" t="s">
        <v>7032</v>
      </c>
      <c r="Q512" s="60" t="s">
        <v>4661</v>
      </c>
      <c r="R512" s="48" t="s">
        <v>4670</v>
      </c>
      <c r="S512" s="48" t="s">
        <v>354</v>
      </c>
      <c r="T512" s="49" t="s">
        <v>63</v>
      </c>
      <c r="U512" s="6" t="s">
        <v>7034</v>
      </c>
      <c r="V512" s="49"/>
      <c r="W512" s="39">
        <v>3.33</v>
      </c>
      <c r="X512" s="49" t="s">
        <v>7036</v>
      </c>
      <c r="Y512" s="49" t="s">
        <v>7037</v>
      </c>
      <c r="Z512" s="49" t="s">
        <v>746</v>
      </c>
      <c r="AA512" s="65">
        <v>0.66</v>
      </c>
      <c r="AB512" s="39">
        <v>33280</v>
      </c>
      <c r="AC512" s="84" t="s">
        <v>7032</v>
      </c>
      <c r="AD512" s="53" t="str">
        <f t="shared" si="381"/>
        <v>Link</v>
      </c>
      <c r="AE512" s="54">
        <v>1080</v>
      </c>
      <c r="AF512" s="55"/>
      <c r="AG512" s="55"/>
      <c r="AH512" s="56">
        <v>174437</v>
      </c>
      <c r="AI512" s="56"/>
    </row>
    <row r="513" spans="1:35" ht="15" x14ac:dyDescent="0.2">
      <c r="A513" s="57"/>
      <c r="B513" s="31" t="s">
        <v>4669</v>
      </c>
      <c r="C513" s="36" t="s">
        <v>43</v>
      </c>
      <c r="D513" s="86">
        <v>5</v>
      </c>
      <c r="E513" s="7" t="s">
        <v>7049</v>
      </c>
      <c r="F513" s="7"/>
      <c r="G513" s="86"/>
      <c r="H513" s="2" t="s">
        <v>7050</v>
      </c>
      <c r="I513" s="34" t="s">
        <v>1298</v>
      </c>
      <c r="J513" s="33" t="s">
        <v>7052</v>
      </c>
      <c r="K513" s="33" t="s">
        <v>48</v>
      </c>
      <c r="L513" s="2" t="s">
        <v>7054</v>
      </c>
      <c r="M513" s="2" t="s">
        <v>7055</v>
      </c>
      <c r="N513" s="45" t="str">
        <f t="shared" ref="N513:N516" si="382">HYPERLINK("twitter.com/unwsoftball","@unwsoftball")</f>
        <v>@unwsoftball</v>
      </c>
      <c r="O513" s="45" t="str">
        <f t="shared" ref="O513:O516" si="383">HYPERLINK("https://unweagles.com/sports/2015/6/2/gen_0602153004.aspx","Questionnaire")</f>
        <v>Questionnaire</v>
      </c>
      <c r="P513" s="48" t="s">
        <v>7062</v>
      </c>
      <c r="Q513" s="60" t="s">
        <v>4661</v>
      </c>
      <c r="R513" s="48" t="s">
        <v>5747</v>
      </c>
      <c r="S513" s="48" t="s">
        <v>354</v>
      </c>
      <c r="T513" s="49" t="s">
        <v>63</v>
      </c>
      <c r="U513" s="6" t="s">
        <v>7065</v>
      </c>
      <c r="V513" s="49"/>
      <c r="W513" s="39">
        <v>3.5</v>
      </c>
      <c r="X513" s="49" t="s">
        <v>4739</v>
      </c>
      <c r="Y513" s="49" t="s">
        <v>1649</v>
      </c>
      <c r="Z513" s="49" t="s">
        <v>545</v>
      </c>
      <c r="AA513" s="65">
        <v>0.87</v>
      </c>
      <c r="AB513" s="39">
        <v>42010</v>
      </c>
      <c r="AC513" s="84" t="s">
        <v>7062</v>
      </c>
      <c r="AD513" s="53" t="str">
        <f t="shared" ref="AD513:AD516" si="384">HYPERLINK("https://unwsp.edu/find-your-degree/undergraduate","Link")</f>
        <v>Link</v>
      </c>
      <c r="AE513" s="54">
        <v>3241</v>
      </c>
      <c r="AF513" s="55"/>
      <c r="AG513" s="55"/>
      <c r="AH513" s="56">
        <v>174491</v>
      </c>
      <c r="AI513" s="56"/>
    </row>
    <row r="514" spans="1:35" ht="13" x14ac:dyDescent="0.15">
      <c r="A514" s="57"/>
      <c r="B514" s="31" t="s">
        <v>4669</v>
      </c>
      <c r="C514" s="36" t="s">
        <v>43</v>
      </c>
      <c r="D514" s="86">
        <v>5</v>
      </c>
      <c r="E514" s="7" t="s">
        <v>7066</v>
      </c>
      <c r="F514" s="7"/>
      <c r="G514" s="86"/>
      <c r="H514" s="2" t="s">
        <v>7050</v>
      </c>
      <c r="I514" s="2" t="s">
        <v>130</v>
      </c>
      <c r="J514" s="2" t="s">
        <v>7067</v>
      </c>
      <c r="K514" s="2" t="s">
        <v>55</v>
      </c>
      <c r="L514" s="95" t="s">
        <v>7070</v>
      </c>
      <c r="M514" s="2" t="s">
        <v>7071</v>
      </c>
      <c r="N514" s="45" t="str">
        <f t="shared" si="382"/>
        <v>@unwsoftball</v>
      </c>
      <c r="O514" s="45" t="str">
        <f t="shared" si="383"/>
        <v>Questionnaire</v>
      </c>
      <c r="P514" s="48" t="s">
        <v>7062</v>
      </c>
      <c r="Q514" s="60" t="s">
        <v>4661</v>
      </c>
      <c r="R514" s="48" t="s">
        <v>5747</v>
      </c>
      <c r="S514" s="48" t="s">
        <v>354</v>
      </c>
      <c r="T514" s="49" t="s">
        <v>63</v>
      </c>
      <c r="U514" s="6" t="s">
        <v>7065</v>
      </c>
      <c r="V514" s="49"/>
      <c r="W514" s="39">
        <v>3.5</v>
      </c>
      <c r="X514" s="49" t="s">
        <v>4739</v>
      </c>
      <c r="Y514" s="49" t="s">
        <v>1649</v>
      </c>
      <c r="Z514" s="49" t="s">
        <v>545</v>
      </c>
      <c r="AA514" s="65">
        <v>0.87</v>
      </c>
      <c r="AB514" s="39">
        <v>42010</v>
      </c>
      <c r="AC514" s="84" t="s">
        <v>7062</v>
      </c>
      <c r="AD514" s="53" t="str">
        <f t="shared" si="384"/>
        <v>Link</v>
      </c>
      <c r="AE514" s="54">
        <v>3241</v>
      </c>
      <c r="AF514" s="55"/>
      <c r="AG514" s="55"/>
      <c r="AH514" s="56">
        <v>174491</v>
      </c>
      <c r="AI514" s="56"/>
    </row>
    <row r="515" spans="1:35" ht="15" x14ac:dyDescent="0.2">
      <c r="A515" s="57"/>
      <c r="B515" s="31" t="s">
        <v>4669</v>
      </c>
      <c r="C515" s="36" t="s">
        <v>43</v>
      </c>
      <c r="D515" s="86">
        <v>5</v>
      </c>
      <c r="E515" s="7" t="s">
        <v>7076</v>
      </c>
      <c r="F515" s="7"/>
      <c r="G515" s="86"/>
      <c r="H515" s="2" t="s">
        <v>7050</v>
      </c>
      <c r="I515" s="34" t="s">
        <v>7081</v>
      </c>
      <c r="J515" s="33" t="s">
        <v>7082</v>
      </c>
      <c r="K515" s="33" t="s">
        <v>55</v>
      </c>
      <c r="L515" s="34"/>
      <c r="M515" s="2"/>
      <c r="N515" s="45" t="str">
        <f t="shared" si="382"/>
        <v>@unwsoftball</v>
      </c>
      <c r="O515" s="45" t="str">
        <f t="shared" si="383"/>
        <v>Questionnaire</v>
      </c>
      <c r="P515" s="48" t="s">
        <v>7062</v>
      </c>
      <c r="Q515" s="60" t="s">
        <v>4661</v>
      </c>
      <c r="R515" s="48" t="s">
        <v>5747</v>
      </c>
      <c r="S515" s="48" t="s">
        <v>354</v>
      </c>
      <c r="T515" s="49" t="s">
        <v>63</v>
      </c>
      <c r="U515" s="6" t="s">
        <v>7065</v>
      </c>
      <c r="V515" s="49"/>
      <c r="W515" s="39">
        <v>3.5</v>
      </c>
      <c r="X515" s="49" t="s">
        <v>4739</v>
      </c>
      <c r="Y515" s="49" t="s">
        <v>1649</v>
      </c>
      <c r="Z515" s="49" t="s">
        <v>545</v>
      </c>
      <c r="AA515" s="65">
        <v>0.87</v>
      </c>
      <c r="AB515" s="39">
        <v>42010</v>
      </c>
      <c r="AC515" s="84" t="s">
        <v>7062</v>
      </c>
      <c r="AD515" s="53" t="str">
        <f t="shared" si="384"/>
        <v>Link</v>
      </c>
      <c r="AE515" s="54">
        <v>3241</v>
      </c>
      <c r="AF515" s="55"/>
      <c r="AG515" s="55"/>
      <c r="AH515" s="56">
        <v>174491</v>
      </c>
      <c r="AI515" s="56"/>
    </row>
    <row r="516" spans="1:35" ht="13" x14ac:dyDescent="0.15">
      <c r="A516" s="57"/>
      <c r="B516" s="31" t="s">
        <v>4669</v>
      </c>
      <c r="C516" s="36" t="s">
        <v>43</v>
      </c>
      <c r="D516" s="44">
        <v>5</v>
      </c>
      <c r="E516" s="7" t="s">
        <v>7087</v>
      </c>
      <c r="F516" s="7" t="s">
        <v>116</v>
      </c>
      <c r="G516" s="57"/>
      <c r="H516" s="2" t="s">
        <v>7050</v>
      </c>
      <c r="I516" s="7" t="s">
        <v>2554</v>
      </c>
      <c r="J516" s="7" t="s">
        <v>7090</v>
      </c>
      <c r="K516" s="7" t="s">
        <v>55</v>
      </c>
      <c r="L516" s="57"/>
      <c r="M516" s="57"/>
      <c r="N516" s="45" t="str">
        <f t="shared" si="382"/>
        <v>@unwsoftball</v>
      </c>
      <c r="O516" s="45" t="str">
        <f t="shared" si="383"/>
        <v>Questionnaire</v>
      </c>
      <c r="P516" s="48" t="s">
        <v>7062</v>
      </c>
      <c r="Q516" s="60" t="s">
        <v>4661</v>
      </c>
      <c r="R516" s="48" t="s">
        <v>5747</v>
      </c>
      <c r="S516" s="48" t="s">
        <v>354</v>
      </c>
      <c r="T516" s="49" t="s">
        <v>63</v>
      </c>
      <c r="U516" s="6" t="s">
        <v>7065</v>
      </c>
      <c r="V516" s="49"/>
      <c r="W516" s="71">
        <v>3.5</v>
      </c>
      <c r="X516" s="49" t="s">
        <v>4739</v>
      </c>
      <c r="Y516" s="49" t="s">
        <v>1649</v>
      </c>
      <c r="Z516" s="49" t="s">
        <v>545</v>
      </c>
      <c r="AA516" s="65">
        <v>0.87</v>
      </c>
      <c r="AB516" s="39">
        <v>42010</v>
      </c>
      <c r="AC516" s="84" t="s">
        <v>7062</v>
      </c>
      <c r="AD516" s="53" t="str">
        <f t="shared" si="384"/>
        <v>Link</v>
      </c>
      <c r="AE516" s="54">
        <v>3241</v>
      </c>
      <c r="AF516" s="55"/>
      <c r="AG516" s="55"/>
      <c r="AH516" s="56">
        <v>174491</v>
      </c>
      <c r="AI516" s="59"/>
    </row>
    <row r="517" spans="1:35" ht="15" x14ac:dyDescent="0.2">
      <c r="A517" s="57"/>
      <c r="B517" s="31" t="s">
        <v>4669</v>
      </c>
      <c r="C517" s="36" t="s">
        <v>43</v>
      </c>
      <c r="D517" s="86">
        <v>5</v>
      </c>
      <c r="E517" s="7" t="s">
        <v>7094</v>
      </c>
      <c r="F517" s="7"/>
      <c r="G517" s="86"/>
      <c r="H517" s="33" t="s">
        <v>7096</v>
      </c>
      <c r="I517" s="138" t="s">
        <v>5606</v>
      </c>
      <c r="J517" s="33" t="s">
        <v>7098</v>
      </c>
      <c r="K517" s="33" t="s">
        <v>48</v>
      </c>
      <c r="L517" s="2" t="s">
        <v>7101</v>
      </c>
      <c r="M517" s="2" t="s">
        <v>7103</v>
      </c>
      <c r="N517" s="45" t="str">
        <f>HYPERLINK("twitter.com/rclick09","@rclick09")</f>
        <v>@rclick09</v>
      </c>
      <c r="O517" s="45" t="str">
        <f t="shared" ref="O517:O521" si="385">HYPERLINK("https://gobennies.com/sports/2018/7/17/recruit-questionnaires.aspx","Questionnaire")</f>
        <v>Questionnaire</v>
      </c>
      <c r="P517" s="48" t="s">
        <v>7109</v>
      </c>
      <c r="Q517" s="60" t="s">
        <v>4661</v>
      </c>
      <c r="R517" s="48" t="s">
        <v>7110</v>
      </c>
      <c r="S517" s="60" t="s">
        <v>205</v>
      </c>
      <c r="T517" s="49" t="s">
        <v>63</v>
      </c>
      <c r="U517" s="6" t="s">
        <v>343</v>
      </c>
      <c r="V517" s="49"/>
      <c r="W517" s="39">
        <v>3.67</v>
      </c>
      <c r="X517" s="49" t="s">
        <v>1029</v>
      </c>
      <c r="Y517" s="49" t="s">
        <v>2375</v>
      </c>
      <c r="Z517" s="49" t="s">
        <v>689</v>
      </c>
      <c r="AA517" s="80">
        <v>0.88</v>
      </c>
      <c r="AB517" s="39">
        <v>55206</v>
      </c>
      <c r="AC517" s="90" t="s">
        <v>7109</v>
      </c>
      <c r="AD517" s="53" t="str">
        <f t="shared" ref="AD517:AD521" si="386">HYPERLINK("http://www.csbsju.edu/admission/majors","Link")</f>
        <v>Link</v>
      </c>
      <c r="AE517" s="54">
        <v>1958</v>
      </c>
      <c r="AF517" s="55"/>
      <c r="AG517" s="54">
        <v>87</v>
      </c>
      <c r="AH517" s="56">
        <v>174747</v>
      </c>
      <c r="AI517" s="56"/>
    </row>
    <row r="518" spans="1:35" ht="15" x14ac:dyDescent="0.2">
      <c r="A518" s="57"/>
      <c r="B518" s="31" t="s">
        <v>4669</v>
      </c>
      <c r="C518" s="36" t="s">
        <v>43</v>
      </c>
      <c r="D518" s="86">
        <v>5</v>
      </c>
      <c r="E518" s="7" t="s">
        <v>7116</v>
      </c>
      <c r="F518" s="7"/>
      <c r="G518" s="86"/>
      <c r="H518" s="33" t="s">
        <v>7096</v>
      </c>
      <c r="I518" s="34" t="s">
        <v>754</v>
      </c>
      <c r="J518" s="33" t="s">
        <v>7117</v>
      </c>
      <c r="K518" s="33" t="s">
        <v>55</v>
      </c>
      <c r="L518" s="7"/>
      <c r="M518" s="2"/>
      <c r="N518" s="45" t="str">
        <f t="shared" ref="N518:N521" si="387">HYPERLINK("twitter.com/CSBSoftball","@CSBSoftball")</f>
        <v>@CSBSoftball</v>
      </c>
      <c r="O518" s="45" t="str">
        <f t="shared" si="385"/>
        <v>Questionnaire</v>
      </c>
      <c r="P518" s="48" t="s">
        <v>7109</v>
      </c>
      <c r="Q518" s="60" t="s">
        <v>4661</v>
      </c>
      <c r="R518" s="48" t="s">
        <v>7110</v>
      </c>
      <c r="S518" s="60" t="s">
        <v>205</v>
      </c>
      <c r="T518" s="49" t="s">
        <v>63</v>
      </c>
      <c r="U518" s="6" t="s">
        <v>343</v>
      </c>
      <c r="V518" s="49"/>
      <c r="W518" s="39">
        <v>3.67</v>
      </c>
      <c r="X518" s="49" t="s">
        <v>1029</v>
      </c>
      <c r="Y518" s="49" t="s">
        <v>2375</v>
      </c>
      <c r="Z518" s="49" t="s">
        <v>689</v>
      </c>
      <c r="AA518" s="80">
        <v>0.88</v>
      </c>
      <c r="AB518" s="39">
        <v>55206</v>
      </c>
      <c r="AC518" s="90" t="s">
        <v>7109</v>
      </c>
      <c r="AD518" s="53" t="str">
        <f t="shared" si="386"/>
        <v>Link</v>
      </c>
      <c r="AE518" s="54">
        <v>1958</v>
      </c>
      <c r="AF518" s="55"/>
      <c r="AG518" s="54">
        <v>87</v>
      </c>
      <c r="AH518" s="56">
        <v>174747</v>
      </c>
      <c r="AI518" s="56"/>
    </row>
    <row r="519" spans="1:35" ht="15" x14ac:dyDescent="0.2">
      <c r="A519" s="57"/>
      <c r="B519" s="31" t="s">
        <v>4669</v>
      </c>
      <c r="C519" s="36" t="s">
        <v>43</v>
      </c>
      <c r="D519" s="86">
        <v>5</v>
      </c>
      <c r="E519" s="7" t="s">
        <v>7129</v>
      </c>
      <c r="F519" s="7"/>
      <c r="G519" s="86"/>
      <c r="H519" s="33" t="s">
        <v>7096</v>
      </c>
      <c r="I519" s="34" t="s">
        <v>7130</v>
      </c>
      <c r="J519" s="2" t="s">
        <v>7131</v>
      </c>
      <c r="K519" s="7" t="s">
        <v>55</v>
      </c>
      <c r="L519" s="2"/>
      <c r="M519" s="2"/>
      <c r="N519" s="45" t="str">
        <f t="shared" si="387"/>
        <v>@CSBSoftball</v>
      </c>
      <c r="O519" s="45" t="str">
        <f t="shared" si="385"/>
        <v>Questionnaire</v>
      </c>
      <c r="P519" s="48" t="s">
        <v>7109</v>
      </c>
      <c r="Q519" s="60" t="s">
        <v>4661</v>
      </c>
      <c r="R519" s="48" t="s">
        <v>7110</v>
      </c>
      <c r="S519" s="60" t="s">
        <v>205</v>
      </c>
      <c r="T519" s="49" t="s">
        <v>63</v>
      </c>
      <c r="U519" s="6" t="s">
        <v>343</v>
      </c>
      <c r="V519" s="49"/>
      <c r="W519" s="39">
        <v>3.67</v>
      </c>
      <c r="X519" s="49" t="s">
        <v>1029</v>
      </c>
      <c r="Y519" s="49" t="s">
        <v>2375</v>
      </c>
      <c r="Z519" s="49" t="s">
        <v>689</v>
      </c>
      <c r="AA519" s="80">
        <v>0.88</v>
      </c>
      <c r="AB519" s="39">
        <v>55206</v>
      </c>
      <c r="AC519" s="90" t="s">
        <v>7109</v>
      </c>
      <c r="AD519" s="53" t="str">
        <f t="shared" si="386"/>
        <v>Link</v>
      </c>
      <c r="AE519" s="54">
        <v>1958</v>
      </c>
      <c r="AF519" s="55"/>
      <c r="AG519" s="54">
        <v>87</v>
      </c>
      <c r="AH519" s="56">
        <v>174747</v>
      </c>
      <c r="AI519" s="56"/>
    </row>
    <row r="520" spans="1:35" ht="15" x14ac:dyDescent="0.2">
      <c r="A520" s="57"/>
      <c r="B520" s="31" t="s">
        <v>4669</v>
      </c>
      <c r="C520" s="36" t="s">
        <v>43</v>
      </c>
      <c r="D520" s="86">
        <v>5</v>
      </c>
      <c r="E520" s="7" t="s">
        <v>7136</v>
      </c>
      <c r="F520" s="7"/>
      <c r="G520" s="86"/>
      <c r="H520" s="33" t="s">
        <v>7096</v>
      </c>
      <c r="I520" s="2" t="s">
        <v>981</v>
      </c>
      <c r="J520" s="2" t="s">
        <v>7137</v>
      </c>
      <c r="K520" s="2" t="s">
        <v>55</v>
      </c>
      <c r="L520" s="2"/>
      <c r="M520" s="2"/>
      <c r="N520" s="45" t="str">
        <f t="shared" si="387"/>
        <v>@CSBSoftball</v>
      </c>
      <c r="O520" s="45" t="str">
        <f t="shared" si="385"/>
        <v>Questionnaire</v>
      </c>
      <c r="P520" s="48" t="s">
        <v>7109</v>
      </c>
      <c r="Q520" s="60" t="s">
        <v>4661</v>
      </c>
      <c r="R520" s="48" t="s">
        <v>7110</v>
      </c>
      <c r="S520" s="60" t="s">
        <v>205</v>
      </c>
      <c r="T520" s="49" t="s">
        <v>63</v>
      </c>
      <c r="U520" s="6" t="s">
        <v>343</v>
      </c>
      <c r="V520" s="49"/>
      <c r="W520" s="39">
        <v>3.67</v>
      </c>
      <c r="X520" s="49" t="s">
        <v>1029</v>
      </c>
      <c r="Y520" s="49" t="s">
        <v>2375</v>
      </c>
      <c r="Z520" s="49" t="s">
        <v>689</v>
      </c>
      <c r="AA520" s="80">
        <v>0.88</v>
      </c>
      <c r="AB520" s="39">
        <v>55206</v>
      </c>
      <c r="AC520" s="90" t="s">
        <v>7109</v>
      </c>
      <c r="AD520" s="53" t="str">
        <f t="shared" si="386"/>
        <v>Link</v>
      </c>
      <c r="AE520" s="54">
        <v>1958</v>
      </c>
      <c r="AF520" s="55"/>
      <c r="AG520" s="54">
        <v>87</v>
      </c>
      <c r="AH520" s="56">
        <v>174747</v>
      </c>
      <c r="AI520" s="56"/>
    </row>
    <row r="521" spans="1:35" ht="15" x14ac:dyDescent="0.2">
      <c r="A521" s="57"/>
      <c r="B521" s="31" t="s">
        <v>4669</v>
      </c>
      <c r="C521" s="36" t="s">
        <v>43</v>
      </c>
      <c r="D521" s="86">
        <v>5</v>
      </c>
      <c r="E521" s="7" t="s">
        <v>7143</v>
      </c>
      <c r="F521" s="7"/>
      <c r="G521" s="86"/>
      <c r="H521" s="33" t="s">
        <v>7096</v>
      </c>
      <c r="I521" s="2" t="s">
        <v>7144</v>
      </c>
      <c r="J521" s="2" t="s">
        <v>7146</v>
      </c>
      <c r="K521" s="2" t="s">
        <v>919</v>
      </c>
      <c r="L521" s="2"/>
      <c r="M521" s="2"/>
      <c r="N521" s="45" t="str">
        <f t="shared" si="387"/>
        <v>@CSBSoftball</v>
      </c>
      <c r="O521" s="45" t="str">
        <f t="shared" si="385"/>
        <v>Questionnaire</v>
      </c>
      <c r="P521" s="48" t="s">
        <v>7109</v>
      </c>
      <c r="Q521" s="60" t="s">
        <v>4661</v>
      </c>
      <c r="R521" s="48" t="s">
        <v>7110</v>
      </c>
      <c r="S521" s="60" t="s">
        <v>205</v>
      </c>
      <c r="T521" s="49" t="s">
        <v>63</v>
      </c>
      <c r="U521" s="6" t="s">
        <v>343</v>
      </c>
      <c r="V521" s="49"/>
      <c r="W521" s="39">
        <v>3.67</v>
      </c>
      <c r="X521" s="49" t="s">
        <v>1029</v>
      </c>
      <c r="Y521" s="49" t="s">
        <v>2375</v>
      </c>
      <c r="Z521" s="49" t="s">
        <v>689</v>
      </c>
      <c r="AA521" s="80">
        <v>0.88</v>
      </c>
      <c r="AB521" s="39">
        <v>55206</v>
      </c>
      <c r="AC521" s="90" t="s">
        <v>7109</v>
      </c>
      <c r="AD521" s="53" t="str">
        <f t="shared" si="386"/>
        <v>Link</v>
      </c>
      <c r="AE521" s="54">
        <v>1958</v>
      </c>
      <c r="AF521" s="55"/>
      <c r="AG521" s="54">
        <v>87</v>
      </c>
      <c r="AH521" s="56">
        <v>174747</v>
      </c>
      <c r="AI521" s="56"/>
    </row>
    <row r="522" spans="1:35" ht="15" x14ac:dyDescent="0.2">
      <c r="A522" s="57"/>
      <c r="B522" s="31" t="s">
        <v>4669</v>
      </c>
      <c r="C522" s="36" t="s">
        <v>43</v>
      </c>
      <c r="D522" s="86">
        <v>5</v>
      </c>
      <c r="E522" s="7" t="s">
        <v>7151</v>
      </c>
      <c r="F522" s="7"/>
      <c r="G522" s="86"/>
      <c r="H522" s="36" t="s">
        <v>7152</v>
      </c>
      <c r="I522" s="34" t="s">
        <v>2591</v>
      </c>
      <c r="J522" s="33" t="s">
        <v>6038</v>
      </c>
      <c r="K522" s="33" t="s">
        <v>48</v>
      </c>
      <c r="L522" s="2" t="s">
        <v>7154</v>
      </c>
      <c r="M522" s="2" t="s">
        <v>7155</v>
      </c>
      <c r="N522" s="45" t="str">
        <f t="shared" ref="N522:N525" si="388">HYPERLINK("twitter.com/stkatesoftball","@stkatesoftball")</f>
        <v>@stkatesoftball</v>
      </c>
      <c r="O522" s="45" t="str">
        <f t="shared" ref="O522:O525" si="389">HYPERLINK("https://www.stkatesathletics.com/sports/2010/11/16/WBB_1116101844.aspx","Questionnaire")</f>
        <v>Questionnaire</v>
      </c>
      <c r="P522" s="48" t="s">
        <v>7162</v>
      </c>
      <c r="Q522" s="60" t="s">
        <v>4661</v>
      </c>
      <c r="R522" s="48" t="s">
        <v>5747</v>
      </c>
      <c r="S522" s="48" t="s">
        <v>354</v>
      </c>
      <c r="T522" s="49" t="s">
        <v>63</v>
      </c>
      <c r="U522" s="48" t="s">
        <v>343</v>
      </c>
      <c r="V522" s="49" t="s">
        <v>1006</v>
      </c>
      <c r="W522" s="39">
        <v>3.62</v>
      </c>
      <c r="X522" s="49" t="s">
        <v>7163</v>
      </c>
      <c r="Y522" s="49" t="s">
        <v>7164</v>
      </c>
      <c r="Z522" s="49" t="s">
        <v>746</v>
      </c>
      <c r="AA522" s="80">
        <v>0.91</v>
      </c>
      <c r="AB522" s="39">
        <v>49180</v>
      </c>
      <c r="AC522" s="90" t="s">
        <v>7162</v>
      </c>
      <c r="AD522" s="53" t="str">
        <f t="shared" ref="AD522:AD525" si="390">HYPERLINK("https://www.stkate.edu/academics/academic-programs/?&amp;degree-level=bachelors&amp;school=all&amp;delivery=all&amp;when=all","Link")</f>
        <v>Link</v>
      </c>
      <c r="AE522" s="54">
        <v>3176</v>
      </c>
      <c r="AF522" s="55"/>
      <c r="AG522" s="55"/>
      <c r="AH522" s="56">
        <v>175005</v>
      </c>
      <c r="AI522" s="56"/>
    </row>
    <row r="523" spans="1:35" ht="15" x14ac:dyDescent="0.2">
      <c r="A523" s="57"/>
      <c r="B523" s="31" t="s">
        <v>4669</v>
      </c>
      <c r="C523" s="36" t="s">
        <v>43</v>
      </c>
      <c r="D523" s="86">
        <v>5</v>
      </c>
      <c r="E523" s="7" t="s">
        <v>7172</v>
      </c>
      <c r="F523" s="7"/>
      <c r="G523" s="86"/>
      <c r="H523" s="36" t="s">
        <v>7152</v>
      </c>
      <c r="I523" s="2" t="s">
        <v>2622</v>
      </c>
      <c r="J523" s="2" t="s">
        <v>7173</v>
      </c>
      <c r="K523" s="2" t="s">
        <v>55</v>
      </c>
      <c r="L523" s="2"/>
      <c r="M523" s="2"/>
      <c r="N523" s="45" t="str">
        <f t="shared" si="388"/>
        <v>@stkatesoftball</v>
      </c>
      <c r="O523" s="45" t="str">
        <f t="shared" si="389"/>
        <v>Questionnaire</v>
      </c>
      <c r="P523" s="48" t="s">
        <v>7162</v>
      </c>
      <c r="Q523" s="60" t="s">
        <v>4661</v>
      </c>
      <c r="R523" s="48" t="s">
        <v>5747</v>
      </c>
      <c r="S523" s="48" t="s">
        <v>354</v>
      </c>
      <c r="T523" s="49" t="s">
        <v>63</v>
      </c>
      <c r="U523" s="48" t="s">
        <v>343</v>
      </c>
      <c r="V523" s="49" t="s">
        <v>1006</v>
      </c>
      <c r="W523" s="39">
        <v>3.62</v>
      </c>
      <c r="X523" s="49" t="s">
        <v>7163</v>
      </c>
      <c r="Y523" s="49" t="s">
        <v>7164</v>
      </c>
      <c r="Z523" s="49" t="s">
        <v>746</v>
      </c>
      <c r="AA523" s="80">
        <v>0.91</v>
      </c>
      <c r="AB523" s="39">
        <v>49180</v>
      </c>
      <c r="AC523" s="90" t="s">
        <v>7162</v>
      </c>
      <c r="AD523" s="53" t="str">
        <f t="shared" si="390"/>
        <v>Link</v>
      </c>
      <c r="AE523" s="54">
        <v>3176</v>
      </c>
      <c r="AF523" s="55"/>
      <c r="AG523" s="55"/>
      <c r="AH523" s="56">
        <v>175005</v>
      </c>
      <c r="AI523" s="56"/>
    </row>
    <row r="524" spans="1:35" ht="15" x14ac:dyDescent="0.2">
      <c r="A524" s="57"/>
      <c r="B524" s="31" t="s">
        <v>4669</v>
      </c>
      <c r="C524" s="36" t="s">
        <v>43</v>
      </c>
      <c r="D524" s="86">
        <v>5</v>
      </c>
      <c r="E524" s="7" t="s">
        <v>7179</v>
      </c>
      <c r="F524" s="7"/>
      <c r="G524" s="86"/>
      <c r="H524" s="36" t="s">
        <v>7152</v>
      </c>
      <c r="I524" s="34" t="s">
        <v>1075</v>
      </c>
      <c r="J524" s="33" t="s">
        <v>7180</v>
      </c>
      <c r="K524" s="33" t="s">
        <v>55</v>
      </c>
      <c r="L524" s="2"/>
      <c r="M524" s="33"/>
      <c r="N524" s="45" t="str">
        <f t="shared" si="388"/>
        <v>@stkatesoftball</v>
      </c>
      <c r="O524" s="45" t="str">
        <f t="shared" si="389"/>
        <v>Questionnaire</v>
      </c>
      <c r="P524" s="48" t="s">
        <v>7162</v>
      </c>
      <c r="Q524" s="60" t="s">
        <v>4661</v>
      </c>
      <c r="R524" s="48" t="s">
        <v>5747</v>
      </c>
      <c r="S524" s="48" t="s">
        <v>354</v>
      </c>
      <c r="T524" s="49" t="s">
        <v>63</v>
      </c>
      <c r="U524" s="48" t="s">
        <v>343</v>
      </c>
      <c r="V524" s="49" t="s">
        <v>1006</v>
      </c>
      <c r="W524" s="39">
        <v>3.62</v>
      </c>
      <c r="X524" s="49" t="s">
        <v>7163</v>
      </c>
      <c r="Y524" s="49" t="s">
        <v>7164</v>
      </c>
      <c r="Z524" s="49" t="s">
        <v>746</v>
      </c>
      <c r="AA524" s="80">
        <v>0.91</v>
      </c>
      <c r="AB524" s="39">
        <v>49180</v>
      </c>
      <c r="AC524" s="90" t="s">
        <v>7162</v>
      </c>
      <c r="AD524" s="53" t="str">
        <f t="shared" si="390"/>
        <v>Link</v>
      </c>
      <c r="AE524" s="54">
        <v>3176</v>
      </c>
      <c r="AF524" s="55"/>
      <c r="AG524" s="55"/>
      <c r="AH524" s="56">
        <v>175005</v>
      </c>
      <c r="AI524" s="56"/>
    </row>
    <row r="525" spans="1:35" ht="15" x14ac:dyDescent="0.2">
      <c r="A525" s="57"/>
      <c r="B525" s="31" t="s">
        <v>4669</v>
      </c>
      <c r="C525" s="36" t="s">
        <v>43</v>
      </c>
      <c r="D525" s="86">
        <v>5</v>
      </c>
      <c r="E525" s="7" t="s">
        <v>7193</v>
      </c>
      <c r="F525" s="7"/>
      <c r="G525" s="86"/>
      <c r="H525" s="36" t="s">
        <v>7152</v>
      </c>
      <c r="I525" s="2" t="s">
        <v>7194</v>
      </c>
      <c r="J525" s="2" t="s">
        <v>7195</v>
      </c>
      <c r="K525" s="7" t="s">
        <v>55</v>
      </c>
      <c r="L525" s="2"/>
      <c r="M525" s="2"/>
      <c r="N525" s="45" t="str">
        <f t="shared" si="388"/>
        <v>@stkatesoftball</v>
      </c>
      <c r="O525" s="45" t="str">
        <f t="shared" si="389"/>
        <v>Questionnaire</v>
      </c>
      <c r="P525" s="48" t="s">
        <v>7162</v>
      </c>
      <c r="Q525" s="60" t="s">
        <v>4661</v>
      </c>
      <c r="R525" s="48" t="s">
        <v>5747</v>
      </c>
      <c r="S525" s="48" t="s">
        <v>354</v>
      </c>
      <c r="T525" s="49" t="s">
        <v>63</v>
      </c>
      <c r="U525" s="48" t="s">
        <v>343</v>
      </c>
      <c r="V525" s="49" t="s">
        <v>1006</v>
      </c>
      <c r="W525" s="39">
        <v>3.62</v>
      </c>
      <c r="X525" s="49" t="s">
        <v>7163</v>
      </c>
      <c r="Y525" s="49" t="s">
        <v>7164</v>
      </c>
      <c r="Z525" s="49" t="s">
        <v>746</v>
      </c>
      <c r="AA525" s="80">
        <v>0.91</v>
      </c>
      <c r="AB525" s="39">
        <v>49180</v>
      </c>
      <c r="AC525" s="90" t="s">
        <v>7162</v>
      </c>
      <c r="AD525" s="53" t="str">
        <f t="shared" si="390"/>
        <v>Link</v>
      </c>
      <c r="AE525" s="54">
        <v>3176</v>
      </c>
      <c r="AF525" s="55"/>
      <c r="AG525" s="55"/>
      <c r="AH525" s="56">
        <v>175005</v>
      </c>
      <c r="AI525" s="56"/>
    </row>
    <row r="526" spans="1:35" ht="15" x14ac:dyDescent="0.2">
      <c r="A526" s="57"/>
      <c r="B526" s="31" t="s">
        <v>4669</v>
      </c>
      <c r="C526" s="36" t="s">
        <v>43</v>
      </c>
      <c r="D526" s="86">
        <v>5</v>
      </c>
      <c r="E526" s="7" t="s">
        <v>7203</v>
      </c>
      <c r="F526" s="7"/>
      <c r="G526" s="86"/>
      <c r="H526" s="33" t="s">
        <v>7204</v>
      </c>
      <c r="I526" s="34" t="s">
        <v>1092</v>
      </c>
      <c r="J526" s="33" t="s">
        <v>977</v>
      </c>
      <c r="K526" s="33" t="s">
        <v>48</v>
      </c>
      <c r="L526" s="7" t="s">
        <v>7205</v>
      </c>
      <c r="M526" s="2" t="s">
        <v>7206</v>
      </c>
      <c r="N526" s="45" t="str">
        <f t="shared" ref="N526:N528" si="391">HYPERLINK("twitter.com/smumnfastpitch","@smumnfastpitch")</f>
        <v>@smumnfastpitch</v>
      </c>
      <c r="O526" s="45" t="str">
        <f t="shared" ref="O526:O528" si="392">HYPERLINK("https://saintmaryssports.com/sports/2013/9/23/GEN_0923132518.aspx?path=gen","Questionnaire")</f>
        <v>Questionnaire</v>
      </c>
      <c r="P526" s="48" t="s">
        <v>7214</v>
      </c>
      <c r="Q526" s="60" t="s">
        <v>4661</v>
      </c>
      <c r="R526" s="48" t="s">
        <v>6098</v>
      </c>
      <c r="S526" s="48" t="s">
        <v>468</v>
      </c>
      <c r="T526" s="5" t="s">
        <v>63</v>
      </c>
      <c r="U526" s="6" t="s">
        <v>343</v>
      </c>
      <c r="V526" s="49"/>
      <c r="W526" s="39">
        <v>3.34</v>
      </c>
      <c r="X526" s="49" t="s">
        <v>1578</v>
      </c>
      <c r="Y526" s="49" t="s">
        <v>3520</v>
      </c>
      <c r="Z526" s="49" t="s">
        <v>278</v>
      </c>
      <c r="AA526" s="65">
        <v>0.79</v>
      </c>
      <c r="AB526" s="39">
        <v>44000</v>
      </c>
      <c r="AC526" s="90" t="s">
        <v>7214</v>
      </c>
      <c r="AD526" s="53" t="str">
        <f t="shared" ref="AD526:AD528" si="393">HYPERLINK("https://www.smumn.edu/academics/undergraduate","Link")</f>
        <v>Link</v>
      </c>
      <c r="AE526" s="54">
        <v>1590</v>
      </c>
      <c r="AF526" s="55"/>
      <c r="AG526" s="55"/>
      <c r="AH526" s="56">
        <v>174817</v>
      </c>
      <c r="AI526" s="56"/>
    </row>
    <row r="527" spans="1:35" ht="15" x14ac:dyDescent="0.2">
      <c r="A527" s="57"/>
      <c r="B527" s="31" t="s">
        <v>4669</v>
      </c>
      <c r="C527" s="36" t="s">
        <v>43</v>
      </c>
      <c r="D527" s="86">
        <v>5</v>
      </c>
      <c r="E527" s="7" t="s">
        <v>7222</v>
      </c>
      <c r="F527" s="7"/>
      <c r="G527" s="86"/>
      <c r="H527" s="33" t="s">
        <v>7204</v>
      </c>
      <c r="I527" s="34" t="s">
        <v>1286</v>
      </c>
      <c r="J527" s="33" t="s">
        <v>7223</v>
      </c>
      <c r="K527" s="33" t="s">
        <v>55</v>
      </c>
      <c r="L527" s="2" t="s">
        <v>7224</v>
      </c>
      <c r="M527" s="2" t="s">
        <v>7225</v>
      </c>
      <c r="N527" s="45" t="str">
        <f t="shared" si="391"/>
        <v>@smumnfastpitch</v>
      </c>
      <c r="O527" s="45" t="str">
        <f t="shared" si="392"/>
        <v>Questionnaire</v>
      </c>
      <c r="P527" s="48" t="s">
        <v>7214</v>
      </c>
      <c r="Q527" s="60" t="s">
        <v>4661</v>
      </c>
      <c r="R527" s="48" t="s">
        <v>6098</v>
      </c>
      <c r="S527" s="48" t="s">
        <v>468</v>
      </c>
      <c r="T527" s="5" t="s">
        <v>63</v>
      </c>
      <c r="U527" s="6" t="s">
        <v>343</v>
      </c>
      <c r="V527" s="49"/>
      <c r="W527" s="39">
        <v>3.34</v>
      </c>
      <c r="X527" s="49" t="s">
        <v>1578</v>
      </c>
      <c r="Y527" s="49" t="s">
        <v>3520</v>
      </c>
      <c r="Z527" s="49" t="s">
        <v>278</v>
      </c>
      <c r="AA527" s="65">
        <v>0.79</v>
      </c>
      <c r="AB527" s="39">
        <v>44000</v>
      </c>
      <c r="AC527" s="90" t="s">
        <v>7214</v>
      </c>
      <c r="AD527" s="53" t="str">
        <f t="shared" si="393"/>
        <v>Link</v>
      </c>
      <c r="AE527" s="54">
        <v>1590</v>
      </c>
      <c r="AF527" s="55"/>
      <c r="AG527" s="55"/>
      <c r="AH527" s="56">
        <v>174817</v>
      </c>
      <c r="AI527" s="56"/>
    </row>
    <row r="528" spans="1:35" ht="15" x14ac:dyDescent="0.2">
      <c r="A528" s="57"/>
      <c r="B528" s="31" t="s">
        <v>4669</v>
      </c>
      <c r="C528" s="36" t="s">
        <v>43</v>
      </c>
      <c r="D528" s="86">
        <v>5</v>
      </c>
      <c r="E528" s="7" t="s">
        <v>7230</v>
      </c>
      <c r="F528" s="7"/>
      <c r="G528" s="86"/>
      <c r="H528" s="33" t="s">
        <v>7204</v>
      </c>
      <c r="I528" s="34" t="s">
        <v>1148</v>
      </c>
      <c r="J528" s="33" t="s">
        <v>1792</v>
      </c>
      <c r="K528" s="33" t="s">
        <v>55</v>
      </c>
      <c r="L528" s="34"/>
      <c r="M528" s="2"/>
      <c r="N528" s="45" t="str">
        <f t="shared" si="391"/>
        <v>@smumnfastpitch</v>
      </c>
      <c r="O528" s="45" t="str">
        <f t="shared" si="392"/>
        <v>Questionnaire</v>
      </c>
      <c r="P528" s="48" t="s">
        <v>7214</v>
      </c>
      <c r="Q528" s="60" t="s">
        <v>4661</v>
      </c>
      <c r="R528" s="48" t="s">
        <v>6098</v>
      </c>
      <c r="S528" s="48" t="s">
        <v>468</v>
      </c>
      <c r="T528" s="5" t="s">
        <v>63</v>
      </c>
      <c r="U528" s="6" t="s">
        <v>343</v>
      </c>
      <c r="V528" s="49"/>
      <c r="W528" s="39">
        <v>3.34</v>
      </c>
      <c r="X528" s="49" t="s">
        <v>1578</v>
      </c>
      <c r="Y528" s="49" t="s">
        <v>3520</v>
      </c>
      <c r="Z528" s="49" t="s">
        <v>278</v>
      </c>
      <c r="AA528" s="65">
        <v>0.79</v>
      </c>
      <c r="AB528" s="39">
        <v>44000</v>
      </c>
      <c r="AC528" s="90" t="s">
        <v>7214</v>
      </c>
      <c r="AD528" s="53" t="str">
        <f t="shared" si="393"/>
        <v>Link</v>
      </c>
      <c r="AE528" s="54">
        <v>1590</v>
      </c>
      <c r="AF528" s="55"/>
      <c r="AG528" s="55"/>
      <c r="AH528" s="56">
        <v>174817</v>
      </c>
      <c r="AI528" s="56"/>
    </row>
    <row r="529" spans="1:35" ht="15" x14ac:dyDescent="0.2">
      <c r="A529" s="57"/>
      <c r="B529" s="31" t="s">
        <v>4669</v>
      </c>
      <c r="C529" s="36" t="s">
        <v>43</v>
      </c>
      <c r="D529" s="86">
        <v>5</v>
      </c>
      <c r="E529" s="7" t="s">
        <v>7242</v>
      </c>
      <c r="F529" s="7"/>
      <c r="G529" s="86"/>
      <c r="H529" s="33" t="s">
        <v>7243</v>
      </c>
      <c r="I529" s="2" t="s">
        <v>860</v>
      </c>
      <c r="J529" s="2" t="s">
        <v>7244</v>
      </c>
      <c r="K529" s="2" t="s">
        <v>48</v>
      </c>
      <c r="L529" s="2" t="s">
        <v>7245</v>
      </c>
      <c r="M529" s="2" t="s">
        <v>7247</v>
      </c>
      <c r="N529" s="45" t="str">
        <f t="shared" ref="N529:N530" si="394">HYPERLINK("twitter.com/StOlafSoftball","@StOlafSoftball")</f>
        <v>@StOlafSoftball</v>
      </c>
      <c r="O529" s="45" t="str">
        <f t="shared" ref="O529:O530" si="395">HYPERLINK("https://athletics.stolaf.edu/sports/2014/9/29/GEN_0929141044.aspx","Questionnaire")</f>
        <v>Questionnaire</v>
      </c>
      <c r="P529" s="48" t="s">
        <v>7253</v>
      </c>
      <c r="Q529" s="60" t="s">
        <v>4661</v>
      </c>
      <c r="R529" s="48" t="s">
        <v>6741</v>
      </c>
      <c r="S529" s="48" t="s">
        <v>172</v>
      </c>
      <c r="T529" s="49" t="s">
        <v>63</v>
      </c>
      <c r="U529" s="6" t="s">
        <v>318</v>
      </c>
      <c r="V529" s="49"/>
      <c r="W529" s="39">
        <v>3.63</v>
      </c>
      <c r="X529" s="49" t="s">
        <v>487</v>
      </c>
      <c r="Y529" s="49" t="s">
        <v>1067</v>
      </c>
      <c r="Z529" s="49" t="s">
        <v>179</v>
      </c>
      <c r="AA529" s="65">
        <v>0.45</v>
      </c>
      <c r="AB529" s="39">
        <v>56160</v>
      </c>
      <c r="AC529" s="84" t="s">
        <v>7253</v>
      </c>
      <c r="AD529" s="53" t="str">
        <f t="shared" ref="AD529:AD530" si="396">HYPERLINK("https://wp.stolaf.edu/academics/departments/","Link")</f>
        <v>Link</v>
      </c>
      <c r="AE529" s="54">
        <v>3040</v>
      </c>
      <c r="AF529" s="55"/>
      <c r="AG529" s="54">
        <v>57</v>
      </c>
      <c r="AH529" s="56">
        <v>174844</v>
      </c>
      <c r="AI529" s="56"/>
    </row>
    <row r="530" spans="1:35" ht="15" x14ac:dyDescent="0.2">
      <c r="A530" s="57"/>
      <c r="B530" s="31" t="s">
        <v>4669</v>
      </c>
      <c r="C530" s="36" t="s">
        <v>43</v>
      </c>
      <c r="D530" s="86">
        <v>5</v>
      </c>
      <c r="E530" s="7" t="s">
        <v>7265</v>
      </c>
      <c r="F530" s="7"/>
      <c r="G530" s="86"/>
      <c r="H530" s="33" t="s">
        <v>7243</v>
      </c>
      <c r="I530" s="2" t="s">
        <v>1405</v>
      </c>
      <c r="J530" s="2" t="s">
        <v>7266</v>
      </c>
      <c r="K530" s="2" t="s">
        <v>55</v>
      </c>
      <c r="L530" s="95" t="s">
        <v>7267</v>
      </c>
      <c r="M530" s="2"/>
      <c r="N530" s="45" t="str">
        <f t="shared" si="394"/>
        <v>@StOlafSoftball</v>
      </c>
      <c r="O530" s="45" t="str">
        <f t="shared" si="395"/>
        <v>Questionnaire</v>
      </c>
      <c r="P530" s="48" t="s">
        <v>7253</v>
      </c>
      <c r="Q530" s="60" t="s">
        <v>4661</v>
      </c>
      <c r="R530" s="48" t="s">
        <v>6741</v>
      </c>
      <c r="S530" s="48" t="s">
        <v>172</v>
      </c>
      <c r="T530" s="49" t="s">
        <v>63</v>
      </c>
      <c r="U530" s="6" t="s">
        <v>318</v>
      </c>
      <c r="V530" s="49"/>
      <c r="W530" s="39">
        <v>3.63</v>
      </c>
      <c r="X530" s="49" t="s">
        <v>487</v>
      </c>
      <c r="Y530" s="49" t="s">
        <v>1067</v>
      </c>
      <c r="Z530" s="49" t="s">
        <v>179</v>
      </c>
      <c r="AA530" s="65">
        <v>0.45</v>
      </c>
      <c r="AB530" s="39">
        <v>56160</v>
      </c>
      <c r="AC530" s="84" t="s">
        <v>7253</v>
      </c>
      <c r="AD530" s="53" t="str">
        <f t="shared" si="396"/>
        <v>Link</v>
      </c>
      <c r="AE530" s="54">
        <v>3040</v>
      </c>
      <c r="AF530" s="55"/>
      <c r="AG530" s="54">
        <v>57</v>
      </c>
      <c r="AH530" s="56">
        <v>174844</v>
      </c>
      <c r="AI530" s="56"/>
    </row>
    <row r="531" spans="1:35" ht="15" x14ac:dyDescent="0.2">
      <c r="A531" s="57"/>
      <c r="B531" s="31" t="s">
        <v>4669</v>
      </c>
      <c r="C531" s="36" t="s">
        <v>43</v>
      </c>
      <c r="D531" s="86">
        <v>5</v>
      </c>
      <c r="E531" s="7" t="s">
        <v>7273</v>
      </c>
      <c r="F531" s="7"/>
      <c r="G531" s="86"/>
      <c r="H531" s="2" t="s">
        <v>7274</v>
      </c>
      <c r="I531" s="34" t="s">
        <v>7275</v>
      </c>
      <c r="J531" s="33" t="s">
        <v>7276</v>
      </c>
      <c r="K531" s="33" t="s">
        <v>48</v>
      </c>
      <c r="L531" s="34" t="s">
        <v>7277</v>
      </c>
      <c r="M531" s="2" t="s">
        <v>7278</v>
      </c>
      <c r="N531" s="45" t="str">
        <f>HYPERLINK("twitter.com/rdawson14","@rdawson14")</f>
        <v>@rdawson14</v>
      </c>
      <c r="O531" s="45" t="str">
        <f t="shared" ref="O531:O537" si="397">HYPERLINK("https://csssaints.com/sports/2013/5/24/GEN_0524134200.aspx","Questionnaire")</f>
        <v>Questionnaire</v>
      </c>
      <c r="P531" s="48" t="s">
        <v>7283</v>
      </c>
      <c r="Q531" s="60" t="s">
        <v>4661</v>
      </c>
      <c r="R531" s="48" t="s">
        <v>5954</v>
      </c>
      <c r="S531" s="48" t="s">
        <v>238</v>
      </c>
      <c r="T531" s="49" t="s">
        <v>63</v>
      </c>
      <c r="U531" s="6" t="s">
        <v>343</v>
      </c>
      <c r="V531" s="49"/>
      <c r="W531" s="39">
        <v>3.5</v>
      </c>
      <c r="X531" s="49" t="s">
        <v>1628</v>
      </c>
      <c r="Y531" s="49" t="s">
        <v>720</v>
      </c>
      <c r="Z531" s="49" t="s">
        <v>1650</v>
      </c>
      <c r="AA531" s="65">
        <v>0.64</v>
      </c>
      <c r="AB531" s="39">
        <v>47794</v>
      </c>
      <c r="AC531" s="84" t="s">
        <v>7283</v>
      </c>
      <c r="AD531" s="53" t="str">
        <f t="shared" ref="AD531:AD537" si="398">HYPERLINK("http://www2.css.edu/app/depts/academics/programFinder/index.cfm?Bachelors=yes","Link")</f>
        <v>Link</v>
      </c>
      <c r="AE531" s="54">
        <v>2790</v>
      </c>
      <c r="AF531" s="55"/>
      <c r="AG531" s="55"/>
      <c r="AH531" s="56">
        <v>174899</v>
      </c>
      <c r="AI531" s="56"/>
    </row>
    <row r="532" spans="1:35" ht="13" x14ac:dyDescent="0.15">
      <c r="A532" s="57"/>
      <c r="B532" s="31" t="s">
        <v>4669</v>
      </c>
      <c r="C532" s="36" t="s">
        <v>43</v>
      </c>
      <c r="D532" s="86">
        <v>5</v>
      </c>
      <c r="E532" s="7" t="s">
        <v>7292</v>
      </c>
      <c r="F532" s="7"/>
      <c r="G532" s="86"/>
      <c r="H532" s="2" t="s">
        <v>7274</v>
      </c>
      <c r="I532" s="2" t="s">
        <v>7293</v>
      </c>
      <c r="J532" s="2" t="s">
        <v>263</v>
      </c>
      <c r="K532" s="2" t="s">
        <v>55</v>
      </c>
      <c r="L532" s="95" t="s">
        <v>7294</v>
      </c>
      <c r="M532" s="2"/>
      <c r="N532" s="45" t="str">
        <f t="shared" ref="N532:N537" si="399">HYPERLINK("twitter.com/csssoftball","@csssoftball")</f>
        <v>@csssoftball</v>
      </c>
      <c r="O532" s="45" t="str">
        <f t="shared" si="397"/>
        <v>Questionnaire</v>
      </c>
      <c r="P532" s="48" t="s">
        <v>7283</v>
      </c>
      <c r="Q532" s="60" t="s">
        <v>4661</v>
      </c>
      <c r="R532" s="48" t="s">
        <v>5954</v>
      </c>
      <c r="S532" s="48" t="s">
        <v>238</v>
      </c>
      <c r="T532" s="49" t="s">
        <v>63</v>
      </c>
      <c r="U532" s="6" t="s">
        <v>343</v>
      </c>
      <c r="V532" s="49"/>
      <c r="W532" s="39">
        <v>3.5</v>
      </c>
      <c r="X532" s="49" t="s">
        <v>1628</v>
      </c>
      <c r="Y532" s="49" t="s">
        <v>720</v>
      </c>
      <c r="Z532" s="49" t="s">
        <v>1650</v>
      </c>
      <c r="AA532" s="65">
        <v>0.64</v>
      </c>
      <c r="AB532" s="39">
        <v>47794</v>
      </c>
      <c r="AC532" s="84" t="s">
        <v>7283</v>
      </c>
      <c r="AD532" s="53" t="str">
        <f t="shared" si="398"/>
        <v>Link</v>
      </c>
      <c r="AE532" s="54">
        <v>2790</v>
      </c>
      <c r="AF532" s="55"/>
      <c r="AG532" s="55"/>
      <c r="AH532" s="56">
        <v>174899</v>
      </c>
      <c r="AI532" s="56"/>
    </row>
    <row r="533" spans="1:35" ht="13" x14ac:dyDescent="0.15">
      <c r="A533" s="57"/>
      <c r="B533" s="31" t="s">
        <v>4669</v>
      </c>
      <c r="C533" s="36" t="s">
        <v>43</v>
      </c>
      <c r="D533" s="86">
        <v>5</v>
      </c>
      <c r="E533" s="7" t="s">
        <v>7301</v>
      </c>
      <c r="F533" s="7"/>
      <c r="G533" s="86"/>
      <c r="H533" s="2" t="s">
        <v>7274</v>
      </c>
      <c r="I533" s="2" t="s">
        <v>539</v>
      </c>
      <c r="J533" s="2" t="s">
        <v>7302</v>
      </c>
      <c r="K533" s="2" t="s">
        <v>55</v>
      </c>
      <c r="L533" s="2" t="s">
        <v>7304</v>
      </c>
      <c r="M533" s="2" t="s">
        <v>7306</v>
      </c>
      <c r="N533" s="45" t="str">
        <f t="shared" si="399"/>
        <v>@csssoftball</v>
      </c>
      <c r="O533" s="45" t="str">
        <f t="shared" si="397"/>
        <v>Questionnaire</v>
      </c>
      <c r="P533" s="48" t="s">
        <v>7283</v>
      </c>
      <c r="Q533" s="60" t="s">
        <v>4661</v>
      </c>
      <c r="R533" s="48" t="s">
        <v>5954</v>
      </c>
      <c r="S533" s="48" t="s">
        <v>238</v>
      </c>
      <c r="T533" s="49" t="s">
        <v>63</v>
      </c>
      <c r="U533" s="6" t="s">
        <v>343</v>
      </c>
      <c r="V533" s="49"/>
      <c r="W533" s="39">
        <v>3.5</v>
      </c>
      <c r="X533" s="49" t="s">
        <v>1628</v>
      </c>
      <c r="Y533" s="49" t="s">
        <v>720</v>
      </c>
      <c r="Z533" s="49" t="s">
        <v>1650</v>
      </c>
      <c r="AA533" s="65">
        <v>0.64</v>
      </c>
      <c r="AB533" s="39">
        <v>47794</v>
      </c>
      <c r="AC533" s="84" t="s">
        <v>7283</v>
      </c>
      <c r="AD533" s="53" t="str">
        <f t="shared" si="398"/>
        <v>Link</v>
      </c>
      <c r="AE533" s="54">
        <v>2790</v>
      </c>
      <c r="AF533" s="55"/>
      <c r="AG533" s="55"/>
      <c r="AH533" s="56">
        <v>174899</v>
      </c>
      <c r="AI533" s="56"/>
    </row>
    <row r="534" spans="1:35" ht="15" x14ac:dyDescent="0.2">
      <c r="A534" s="57"/>
      <c r="B534" s="31" t="s">
        <v>4669</v>
      </c>
      <c r="C534" s="36" t="s">
        <v>43</v>
      </c>
      <c r="D534" s="86">
        <v>5</v>
      </c>
      <c r="E534" s="7" t="s">
        <v>7315</v>
      </c>
      <c r="F534" s="7"/>
      <c r="G534" s="86" t="s">
        <v>126</v>
      </c>
      <c r="H534" s="2" t="s">
        <v>7274</v>
      </c>
      <c r="I534" s="139" t="s">
        <v>7317</v>
      </c>
      <c r="J534" s="33"/>
      <c r="K534" s="33"/>
      <c r="L534" s="2"/>
      <c r="M534" s="2"/>
      <c r="N534" s="45" t="str">
        <f t="shared" si="399"/>
        <v>@csssoftball</v>
      </c>
      <c r="O534" s="45" t="str">
        <f t="shared" si="397"/>
        <v>Questionnaire</v>
      </c>
      <c r="P534" s="48" t="s">
        <v>7283</v>
      </c>
      <c r="Q534" s="60" t="s">
        <v>4661</v>
      </c>
      <c r="R534" s="48" t="s">
        <v>5954</v>
      </c>
      <c r="S534" s="48" t="s">
        <v>238</v>
      </c>
      <c r="T534" s="49" t="s">
        <v>63</v>
      </c>
      <c r="U534" s="6" t="s">
        <v>343</v>
      </c>
      <c r="V534" s="49"/>
      <c r="W534" s="39">
        <v>3.5</v>
      </c>
      <c r="X534" s="49" t="s">
        <v>1628</v>
      </c>
      <c r="Y534" s="49" t="s">
        <v>720</v>
      </c>
      <c r="Z534" s="49" t="s">
        <v>1650</v>
      </c>
      <c r="AA534" s="65">
        <v>0.64</v>
      </c>
      <c r="AB534" s="39">
        <v>47794</v>
      </c>
      <c r="AC534" s="84" t="s">
        <v>7283</v>
      </c>
      <c r="AD534" s="53" t="str">
        <f t="shared" si="398"/>
        <v>Link</v>
      </c>
      <c r="AE534" s="54">
        <v>2790</v>
      </c>
      <c r="AF534" s="55"/>
      <c r="AG534" s="55"/>
      <c r="AH534" s="56">
        <v>174899</v>
      </c>
      <c r="AI534" s="56"/>
    </row>
    <row r="535" spans="1:35" ht="15" x14ac:dyDescent="0.2">
      <c r="A535" s="57"/>
      <c r="B535" s="31" t="s">
        <v>4669</v>
      </c>
      <c r="C535" s="36" t="s">
        <v>43</v>
      </c>
      <c r="D535" s="86">
        <v>5</v>
      </c>
      <c r="E535" s="7" t="s">
        <v>7331</v>
      </c>
      <c r="F535" s="7"/>
      <c r="G535" s="86" t="s">
        <v>126</v>
      </c>
      <c r="H535" s="2" t="s">
        <v>7274</v>
      </c>
      <c r="I535" s="139" t="s">
        <v>7333</v>
      </c>
      <c r="J535" s="33"/>
      <c r="K535" s="33"/>
      <c r="L535" s="2"/>
      <c r="M535" s="2"/>
      <c r="N535" s="45" t="str">
        <f t="shared" si="399"/>
        <v>@csssoftball</v>
      </c>
      <c r="O535" s="45" t="str">
        <f t="shared" si="397"/>
        <v>Questionnaire</v>
      </c>
      <c r="P535" s="48" t="s">
        <v>7283</v>
      </c>
      <c r="Q535" s="60" t="s">
        <v>4661</v>
      </c>
      <c r="R535" s="48" t="s">
        <v>5954</v>
      </c>
      <c r="S535" s="48" t="s">
        <v>238</v>
      </c>
      <c r="T535" s="49" t="s">
        <v>63</v>
      </c>
      <c r="U535" s="6" t="s">
        <v>343</v>
      </c>
      <c r="V535" s="49"/>
      <c r="W535" s="39">
        <v>3.5</v>
      </c>
      <c r="X535" s="49" t="s">
        <v>1628</v>
      </c>
      <c r="Y535" s="49" t="s">
        <v>720</v>
      </c>
      <c r="Z535" s="49" t="s">
        <v>1650</v>
      </c>
      <c r="AA535" s="65">
        <v>0.64</v>
      </c>
      <c r="AB535" s="39">
        <v>47794</v>
      </c>
      <c r="AC535" s="84" t="s">
        <v>7283</v>
      </c>
      <c r="AD535" s="53" t="str">
        <f t="shared" si="398"/>
        <v>Link</v>
      </c>
      <c r="AE535" s="54">
        <v>2790</v>
      </c>
      <c r="AF535" s="55"/>
      <c r="AG535" s="55"/>
      <c r="AH535" s="56">
        <v>174899</v>
      </c>
      <c r="AI535" s="56"/>
    </row>
    <row r="536" spans="1:35" ht="15" x14ac:dyDescent="0.2">
      <c r="A536" s="57"/>
      <c r="B536" s="31" t="s">
        <v>4669</v>
      </c>
      <c r="C536" s="36" t="s">
        <v>43</v>
      </c>
      <c r="D536" s="86">
        <v>5</v>
      </c>
      <c r="E536" s="7" t="s">
        <v>7343</v>
      </c>
      <c r="F536" s="7"/>
      <c r="G536" s="86"/>
      <c r="H536" s="2" t="s">
        <v>7274</v>
      </c>
      <c r="I536" s="34" t="s">
        <v>234</v>
      </c>
      <c r="J536" s="33" t="s">
        <v>3206</v>
      </c>
      <c r="K536" s="33" t="s">
        <v>55</v>
      </c>
      <c r="L536" s="2"/>
      <c r="M536" s="2"/>
      <c r="N536" s="45" t="str">
        <f t="shared" si="399"/>
        <v>@csssoftball</v>
      </c>
      <c r="O536" s="45" t="str">
        <f t="shared" si="397"/>
        <v>Questionnaire</v>
      </c>
      <c r="P536" s="48" t="s">
        <v>7283</v>
      </c>
      <c r="Q536" s="60" t="s">
        <v>4661</v>
      </c>
      <c r="R536" s="48" t="s">
        <v>5954</v>
      </c>
      <c r="S536" s="48" t="s">
        <v>238</v>
      </c>
      <c r="T536" s="49" t="s">
        <v>63</v>
      </c>
      <c r="U536" s="6" t="s">
        <v>343</v>
      </c>
      <c r="V536" s="49"/>
      <c r="W536" s="39">
        <v>3.5</v>
      </c>
      <c r="X536" s="49" t="s">
        <v>1628</v>
      </c>
      <c r="Y536" s="49" t="s">
        <v>720</v>
      </c>
      <c r="Z536" s="49" t="s">
        <v>1650</v>
      </c>
      <c r="AA536" s="65">
        <v>0.64</v>
      </c>
      <c r="AB536" s="39">
        <v>47794</v>
      </c>
      <c r="AC536" s="84" t="s">
        <v>7283</v>
      </c>
      <c r="AD536" s="53" t="str">
        <f t="shared" si="398"/>
        <v>Link</v>
      </c>
      <c r="AE536" s="54">
        <v>2790</v>
      </c>
      <c r="AF536" s="55"/>
      <c r="AG536" s="55"/>
      <c r="AH536" s="56">
        <v>174899</v>
      </c>
      <c r="AI536" s="56"/>
    </row>
    <row r="537" spans="1:35" ht="15" x14ac:dyDescent="0.2">
      <c r="A537" s="57"/>
      <c r="B537" s="31" t="s">
        <v>4669</v>
      </c>
      <c r="C537" s="36" t="s">
        <v>43</v>
      </c>
      <c r="D537" s="86">
        <v>5</v>
      </c>
      <c r="E537" s="7" t="s">
        <v>7356</v>
      </c>
      <c r="F537" s="7"/>
      <c r="G537" s="86"/>
      <c r="H537" s="2" t="s">
        <v>7274</v>
      </c>
      <c r="I537" s="34" t="s">
        <v>1726</v>
      </c>
      <c r="J537" s="33" t="s">
        <v>3902</v>
      </c>
      <c r="K537" s="33" t="s">
        <v>55</v>
      </c>
      <c r="L537" s="2"/>
      <c r="M537" s="2"/>
      <c r="N537" s="45" t="str">
        <f t="shared" si="399"/>
        <v>@csssoftball</v>
      </c>
      <c r="O537" s="45" t="str">
        <f t="shared" si="397"/>
        <v>Questionnaire</v>
      </c>
      <c r="P537" s="48" t="s">
        <v>7283</v>
      </c>
      <c r="Q537" s="60" t="s">
        <v>4661</v>
      </c>
      <c r="R537" s="48" t="s">
        <v>5954</v>
      </c>
      <c r="S537" s="48" t="s">
        <v>238</v>
      </c>
      <c r="T537" s="49" t="s">
        <v>63</v>
      </c>
      <c r="U537" s="6" t="s">
        <v>343</v>
      </c>
      <c r="V537" s="49"/>
      <c r="W537" s="39">
        <v>3.5</v>
      </c>
      <c r="X537" s="49" t="s">
        <v>1628</v>
      </c>
      <c r="Y537" s="49" t="s">
        <v>720</v>
      </c>
      <c r="Z537" s="49" t="s">
        <v>1650</v>
      </c>
      <c r="AA537" s="65">
        <v>0.64</v>
      </c>
      <c r="AB537" s="39">
        <v>47794</v>
      </c>
      <c r="AC537" s="84" t="s">
        <v>7283</v>
      </c>
      <c r="AD537" s="53" t="str">
        <f t="shared" si="398"/>
        <v>Link</v>
      </c>
      <c r="AE537" s="54">
        <v>2790</v>
      </c>
      <c r="AF537" s="55"/>
      <c r="AG537" s="55"/>
      <c r="AH537" s="56">
        <v>174899</v>
      </c>
      <c r="AI537" s="56"/>
    </row>
    <row r="538" spans="1:35" ht="15" x14ac:dyDescent="0.2">
      <c r="A538" s="57"/>
      <c r="B538" s="31" t="s">
        <v>4669</v>
      </c>
      <c r="C538" s="36" t="s">
        <v>43</v>
      </c>
      <c r="D538" s="86">
        <v>5</v>
      </c>
      <c r="E538" s="7" t="s">
        <v>7364</v>
      </c>
      <c r="F538" s="7"/>
      <c r="G538" s="86"/>
      <c r="H538" s="33" t="s">
        <v>7365</v>
      </c>
      <c r="I538" s="7" t="s">
        <v>658</v>
      </c>
      <c r="J538" s="7" t="s">
        <v>7366</v>
      </c>
      <c r="K538" s="7" t="s">
        <v>48</v>
      </c>
      <c r="L538" s="7" t="s">
        <v>7369</v>
      </c>
      <c r="M538" s="7" t="s">
        <v>7371</v>
      </c>
      <c r="N538" s="45" t="str">
        <f t="shared" ref="N538:N544" si="400">HYPERLINK("twitter.com/ustsoftball","@ustsoftball")</f>
        <v>@ustsoftball</v>
      </c>
      <c r="O538" s="45" t="str">
        <f t="shared" ref="O538:O544" si="401">HYPERLINK("https://www.stthomas.edu/athletics/future-athletes-questionnaire/","Questionnaire")</f>
        <v>Questionnaire</v>
      </c>
      <c r="P538" s="48" t="s">
        <v>7380</v>
      </c>
      <c r="Q538" s="60" t="s">
        <v>4661</v>
      </c>
      <c r="R538" s="48" t="s">
        <v>5747</v>
      </c>
      <c r="S538" s="48" t="s">
        <v>354</v>
      </c>
      <c r="T538" s="49" t="s">
        <v>63</v>
      </c>
      <c r="U538" s="6" t="s">
        <v>343</v>
      </c>
      <c r="V538" s="49"/>
      <c r="W538" s="39">
        <v>3.61</v>
      </c>
      <c r="X538" s="49" t="s">
        <v>7386</v>
      </c>
      <c r="Y538" s="49" t="s">
        <v>345</v>
      </c>
      <c r="Z538" s="49" t="s">
        <v>1650</v>
      </c>
      <c r="AA538" s="65">
        <v>0.77</v>
      </c>
      <c r="AB538" s="39">
        <v>45016</v>
      </c>
      <c r="AC538" s="84" t="s">
        <v>7380</v>
      </c>
      <c r="AD538" s="53" t="str">
        <f t="shared" ref="AD538:AD544" si="402">HYPERLINK("https://www.stthomas.edu/catalog/current/?utm_source=ustredirect&amp;utm_medium=majorsandminors","Link")</f>
        <v>Link</v>
      </c>
      <c r="AE538" s="54">
        <v>1768</v>
      </c>
      <c r="AF538" s="54">
        <v>115</v>
      </c>
      <c r="AG538" s="55"/>
      <c r="AH538" s="56">
        <v>174914</v>
      </c>
      <c r="AI538" s="56"/>
    </row>
    <row r="539" spans="1:35" ht="15" x14ac:dyDescent="0.2">
      <c r="A539" s="57"/>
      <c r="B539" s="31" t="s">
        <v>4669</v>
      </c>
      <c r="C539" s="36" t="s">
        <v>43</v>
      </c>
      <c r="D539" s="86">
        <v>5</v>
      </c>
      <c r="E539" s="7" t="s">
        <v>7392</v>
      </c>
      <c r="F539" s="7"/>
      <c r="G539" s="86"/>
      <c r="H539" s="33" t="s">
        <v>7365</v>
      </c>
      <c r="I539" s="95" t="s">
        <v>991</v>
      </c>
      <c r="J539" s="2" t="s">
        <v>7366</v>
      </c>
      <c r="K539" s="2" t="s">
        <v>55</v>
      </c>
      <c r="L539" s="7"/>
      <c r="M539" s="7"/>
      <c r="N539" s="45" t="str">
        <f t="shared" si="400"/>
        <v>@ustsoftball</v>
      </c>
      <c r="O539" s="45" t="str">
        <f t="shared" si="401"/>
        <v>Questionnaire</v>
      </c>
      <c r="P539" s="48" t="s">
        <v>7380</v>
      </c>
      <c r="Q539" s="60" t="s">
        <v>4661</v>
      </c>
      <c r="R539" s="48" t="s">
        <v>5747</v>
      </c>
      <c r="S539" s="48" t="s">
        <v>354</v>
      </c>
      <c r="T539" s="49" t="s">
        <v>63</v>
      </c>
      <c r="U539" s="6" t="s">
        <v>343</v>
      </c>
      <c r="V539" s="49"/>
      <c r="W539" s="39">
        <v>3.61</v>
      </c>
      <c r="X539" s="49" t="s">
        <v>7386</v>
      </c>
      <c r="Y539" s="49" t="s">
        <v>345</v>
      </c>
      <c r="Z539" s="49" t="s">
        <v>1650</v>
      </c>
      <c r="AA539" s="65">
        <v>0.77</v>
      </c>
      <c r="AB539" s="39">
        <v>45016</v>
      </c>
      <c r="AC539" s="84" t="s">
        <v>7380</v>
      </c>
      <c r="AD539" s="53" t="str">
        <f t="shared" si="402"/>
        <v>Link</v>
      </c>
      <c r="AE539" s="54">
        <v>1768</v>
      </c>
      <c r="AF539" s="54">
        <v>115</v>
      </c>
      <c r="AG539" s="55"/>
      <c r="AH539" s="56">
        <v>174914</v>
      </c>
      <c r="AI539" s="56"/>
    </row>
    <row r="540" spans="1:35" ht="15" x14ac:dyDescent="0.2">
      <c r="A540" s="57"/>
      <c r="B540" s="31" t="s">
        <v>4669</v>
      </c>
      <c r="C540" s="36" t="s">
        <v>43</v>
      </c>
      <c r="D540" s="86">
        <v>5</v>
      </c>
      <c r="E540" s="7" t="s">
        <v>7406</v>
      </c>
      <c r="F540" s="7"/>
      <c r="G540" s="86"/>
      <c r="H540" s="33" t="s">
        <v>7365</v>
      </c>
      <c r="I540" s="95" t="s">
        <v>2705</v>
      </c>
      <c r="J540" s="2" t="s">
        <v>7407</v>
      </c>
      <c r="K540" s="2" t="s">
        <v>55</v>
      </c>
      <c r="L540" s="7"/>
      <c r="M540" s="7"/>
      <c r="N540" s="45" t="str">
        <f t="shared" si="400"/>
        <v>@ustsoftball</v>
      </c>
      <c r="O540" s="45" t="str">
        <f t="shared" si="401"/>
        <v>Questionnaire</v>
      </c>
      <c r="P540" s="48" t="s">
        <v>7380</v>
      </c>
      <c r="Q540" s="60" t="s">
        <v>4661</v>
      </c>
      <c r="R540" s="48" t="s">
        <v>5747</v>
      </c>
      <c r="S540" s="48" t="s">
        <v>354</v>
      </c>
      <c r="T540" s="49" t="s">
        <v>63</v>
      </c>
      <c r="U540" s="6" t="s">
        <v>343</v>
      </c>
      <c r="V540" s="49"/>
      <c r="W540" s="39">
        <v>3.61</v>
      </c>
      <c r="X540" s="49" t="s">
        <v>7386</v>
      </c>
      <c r="Y540" s="49" t="s">
        <v>345</v>
      </c>
      <c r="Z540" s="49" t="s">
        <v>1650</v>
      </c>
      <c r="AA540" s="65">
        <v>0.77</v>
      </c>
      <c r="AB540" s="39">
        <v>45016</v>
      </c>
      <c r="AC540" s="84" t="s">
        <v>7380</v>
      </c>
      <c r="AD540" s="53" t="str">
        <f t="shared" si="402"/>
        <v>Link</v>
      </c>
      <c r="AE540" s="54">
        <v>1768</v>
      </c>
      <c r="AF540" s="54">
        <v>115</v>
      </c>
      <c r="AG540" s="55"/>
      <c r="AH540" s="56">
        <v>174914</v>
      </c>
      <c r="AI540" s="56"/>
    </row>
    <row r="541" spans="1:35" ht="15" x14ac:dyDescent="0.2">
      <c r="A541" s="57"/>
      <c r="B541" s="31" t="s">
        <v>4669</v>
      </c>
      <c r="C541" s="36" t="s">
        <v>43</v>
      </c>
      <c r="D541" s="86">
        <v>5</v>
      </c>
      <c r="E541" s="7" t="s">
        <v>7411</v>
      </c>
      <c r="F541" s="7"/>
      <c r="G541" s="86"/>
      <c r="H541" s="33" t="s">
        <v>7365</v>
      </c>
      <c r="I541" s="95" t="s">
        <v>4659</v>
      </c>
      <c r="J541" s="2" t="s">
        <v>7413</v>
      </c>
      <c r="K541" s="2" t="s">
        <v>55</v>
      </c>
      <c r="L541" s="7"/>
      <c r="M541" s="7"/>
      <c r="N541" s="45" t="str">
        <f t="shared" si="400"/>
        <v>@ustsoftball</v>
      </c>
      <c r="O541" s="45" t="str">
        <f t="shared" si="401"/>
        <v>Questionnaire</v>
      </c>
      <c r="P541" s="48" t="s">
        <v>7380</v>
      </c>
      <c r="Q541" s="60" t="s">
        <v>4661</v>
      </c>
      <c r="R541" s="48" t="s">
        <v>5747</v>
      </c>
      <c r="S541" s="48" t="s">
        <v>354</v>
      </c>
      <c r="T541" s="49" t="s">
        <v>63</v>
      </c>
      <c r="U541" s="6" t="s">
        <v>343</v>
      </c>
      <c r="V541" s="49"/>
      <c r="W541" s="39">
        <v>3.61</v>
      </c>
      <c r="X541" s="49" t="s">
        <v>7386</v>
      </c>
      <c r="Y541" s="49" t="s">
        <v>345</v>
      </c>
      <c r="Z541" s="49" t="s">
        <v>1650</v>
      </c>
      <c r="AA541" s="65">
        <v>0.77</v>
      </c>
      <c r="AB541" s="39">
        <v>45016</v>
      </c>
      <c r="AC541" s="84" t="s">
        <v>7380</v>
      </c>
      <c r="AD541" s="53" t="str">
        <f t="shared" si="402"/>
        <v>Link</v>
      </c>
      <c r="AE541" s="54">
        <v>1768</v>
      </c>
      <c r="AF541" s="54">
        <v>115</v>
      </c>
      <c r="AG541" s="55"/>
      <c r="AH541" s="56">
        <v>174914</v>
      </c>
      <c r="AI541" s="56"/>
    </row>
    <row r="542" spans="1:35" ht="15" x14ac:dyDescent="0.2">
      <c r="A542" s="57"/>
      <c r="B542" s="31" t="s">
        <v>4669</v>
      </c>
      <c r="C542" s="36" t="s">
        <v>43</v>
      </c>
      <c r="D542" s="86">
        <v>5</v>
      </c>
      <c r="E542" s="7" t="s">
        <v>7420</v>
      </c>
      <c r="F542" s="7"/>
      <c r="G542" s="86"/>
      <c r="H542" s="33" t="s">
        <v>7365</v>
      </c>
      <c r="I542" s="95" t="s">
        <v>2348</v>
      </c>
      <c r="J542" s="2" t="s">
        <v>805</v>
      </c>
      <c r="K542" s="2" t="s">
        <v>55</v>
      </c>
      <c r="L542" s="7"/>
      <c r="M542" s="7"/>
      <c r="N542" s="45" t="str">
        <f t="shared" si="400"/>
        <v>@ustsoftball</v>
      </c>
      <c r="O542" s="45" t="str">
        <f t="shared" si="401"/>
        <v>Questionnaire</v>
      </c>
      <c r="P542" s="48" t="s">
        <v>7380</v>
      </c>
      <c r="Q542" s="60" t="s">
        <v>4661</v>
      </c>
      <c r="R542" s="48" t="s">
        <v>5747</v>
      </c>
      <c r="S542" s="48" t="s">
        <v>354</v>
      </c>
      <c r="T542" s="49" t="s">
        <v>63</v>
      </c>
      <c r="U542" s="6" t="s">
        <v>343</v>
      </c>
      <c r="V542" s="49"/>
      <c r="W542" s="39">
        <v>3.61</v>
      </c>
      <c r="X542" s="49" t="s">
        <v>7386</v>
      </c>
      <c r="Y542" s="49" t="s">
        <v>345</v>
      </c>
      <c r="Z542" s="49" t="s">
        <v>1650</v>
      </c>
      <c r="AA542" s="65">
        <v>0.77</v>
      </c>
      <c r="AB542" s="39">
        <v>45016</v>
      </c>
      <c r="AC542" s="84" t="s">
        <v>7380</v>
      </c>
      <c r="AD542" s="53" t="str">
        <f t="shared" si="402"/>
        <v>Link</v>
      </c>
      <c r="AE542" s="54">
        <v>1768</v>
      </c>
      <c r="AF542" s="54">
        <v>115</v>
      </c>
      <c r="AG542" s="55"/>
      <c r="AH542" s="56">
        <v>174914</v>
      </c>
      <c r="AI542" s="56"/>
    </row>
    <row r="543" spans="1:35" ht="15" x14ac:dyDescent="0.2">
      <c r="A543" s="57"/>
      <c r="B543" s="31" t="s">
        <v>4669</v>
      </c>
      <c r="C543" s="36" t="s">
        <v>43</v>
      </c>
      <c r="D543" s="86">
        <v>5</v>
      </c>
      <c r="E543" s="7" t="s">
        <v>7430</v>
      </c>
      <c r="F543" s="7"/>
      <c r="G543" s="86"/>
      <c r="H543" s="33" t="s">
        <v>7365</v>
      </c>
      <c r="I543" s="95" t="s">
        <v>306</v>
      </c>
      <c r="J543" s="2" t="s">
        <v>7431</v>
      </c>
      <c r="K543" s="2" t="s">
        <v>55</v>
      </c>
      <c r="L543" s="7"/>
      <c r="M543" s="7"/>
      <c r="N543" s="45" t="str">
        <f t="shared" si="400"/>
        <v>@ustsoftball</v>
      </c>
      <c r="O543" s="45" t="str">
        <f t="shared" si="401"/>
        <v>Questionnaire</v>
      </c>
      <c r="P543" s="48" t="s">
        <v>7380</v>
      </c>
      <c r="Q543" s="60" t="s">
        <v>4661</v>
      </c>
      <c r="R543" s="48" t="s">
        <v>5747</v>
      </c>
      <c r="S543" s="48" t="s">
        <v>354</v>
      </c>
      <c r="T543" s="49" t="s">
        <v>63</v>
      </c>
      <c r="U543" s="6" t="s">
        <v>343</v>
      </c>
      <c r="V543" s="49"/>
      <c r="W543" s="39">
        <v>3.61</v>
      </c>
      <c r="X543" s="49" t="s">
        <v>7386</v>
      </c>
      <c r="Y543" s="49" t="s">
        <v>345</v>
      </c>
      <c r="Z543" s="49" t="s">
        <v>1650</v>
      </c>
      <c r="AA543" s="65">
        <v>0.77</v>
      </c>
      <c r="AB543" s="39">
        <v>45016</v>
      </c>
      <c r="AC543" s="84" t="s">
        <v>7380</v>
      </c>
      <c r="AD543" s="53" t="str">
        <f t="shared" si="402"/>
        <v>Link</v>
      </c>
      <c r="AE543" s="54">
        <v>1768</v>
      </c>
      <c r="AF543" s="54">
        <v>115</v>
      </c>
      <c r="AG543" s="55"/>
      <c r="AH543" s="56">
        <v>174914</v>
      </c>
      <c r="AI543" s="56"/>
    </row>
    <row r="544" spans="1:35" ht="13" x14ac:dyDescent="0.15">
      <c r="A544" s="57"/>
      <c r="B544" s="131" t="s">
        <v>4669</v>
      </c>
      <c r="C544" s="132" t="s">
        <v>43</v>
      </c>
      <c r="D544" s="44">
        <v>5</v>
      </c>
      <c r="E544" s="7" t="s">
        <v>7445</v>
      </c>
      <c r="F544" s="7"/>
      <c r="G544" s="7"/>
      <c r="H544" s="133" t="s">
        <v>7365</v>
      </c>
      <c r="I544" s="7" t="s">
        <v>1266</v>
      </c>
      <c r="J544" s="7" t="s">
        <v>7446</v>
      </c>
      <c r="K544" s="7" t="s">
        <v>55</v>
      </c>
      <c r="L544" s="7"/>
      <c r="M544" s="7"/>
      <c r="N544" s="45" t="str">
        <f t="shared" si="400"/>
        <v>@ustsoftball</v>
      </c>
      <c r="O544" s="45" t="str">
        <f t="shared" si="401"/>
        <v>Questionnaire</v>
      </c>
      <c r="P544" s="48" t="s">
        <v>7380</v>
      </c>
      <c r="Q544" s="60" t="s">
        <v>4661</v>
      </c>
      <c r="R544" s="6" t="s">
        <v>5747</v>
      </c>
      <c r="S544" s="4" t="s">
        <v>354</v>
      </c>
      <c r="T544" s="49" t="s">
        <v>63</v>
      </c>
      <c r="U544" s="4" t="s">
        <v>343</v>
      </c>
      <c r="V544" s="135"/>
      <c r="W544" s="134">
        <v>3.61</v>
      </c>
      <c r="X544" s="49" t="s">
        <v>7386</v>
      </c>
      <c r="Y544" s="49" t="s">
        <v>345</v>
      </c>
      <c r="Z544" s="4" t="s">
        <v>1650</v>
      </c>
      <c r="AA544" s="65">
        <v>0.77</v>
      </c>
      <c r="AB544" s="39">
        <v>45016</v>
      </c>
      <c r="AC544" s="76" t="s">
        <v>7380</v>
      </c>
      <c r="AD544" s="67" t="str">
        <f t="shared" si="402"/>
        <v>Link</v>
      </c>
      <c r="AE544" s="42">
        <v>1768</v>
      </c>
      <c r="AF544" s="42">
        <v>115</v>
      </c>
      <c r="AG544" s="135"/>
      <c r="AH544" s="56">
        <v>174914</v>
      </c>
      <c r="AI544" s="56"/>
    </row>
    <row r="545" spans="1:35" ht="15" x14ac:dyDescent="0.2">
      <c r="A545" s="57"/>
      <c r="B545" s="31" t="s">
        <v>6135</v>
      </c>
      <c r="C545" s="36" t="s">
        <v>43</v>
      </c>
      <c r="D545" s="86">
        <v>5</v>
      </c>
      <c r="E545" s="7" t="s">
        <v>7457</v>
      </c>
      <c r="F545" s="7"/>
      <c r="G545" s="86"/>
      <c r="H545" s="33" t="s">
        <v>7458</v>
      </c>
      <c r="I545" s="34" t="s">
        <v>3279</v>
      </c>
      <c r="J545" s="2" t="s">
        <v>968</v>
      </c>
      <c r="K545" s="2" t="s">
        <v>48</v>
      </c>
      <c r="L545" s="2" t="s">
        <v>7462</v>
      </c>
      <c r="M545" s="2" t="s">
        <v>7463</v>
      </c>
      <c r="N545" s="45" t="str">
        <f t="shared" ref="N545:N546" si="403">HYPERLINK("twitter.com/@softballbu","@softballbu")</f>
        <v>@softballbu</v>
      </c>
      <c r="O545" s="45" t="str">
        <f t="shared" ref="O545:O546" si="404">HYPERLINK("https://blazers.belhaven.edu/sb_output.aspx?frform=11","Questionnaire")</f>
        <v>Questionnaire</v>
      </c>
      <c r="P545" s="48" t="s">
        <v>7467</v>
      </c>
      <c r="Q545" s="60" t="s">
        <v>6149</v>
      </c>
      <c r="R545" s="48" t="s">
        <v>773</v>
      </c>
      <c r="S545" s="48" t="s">
        <v>62</v>
      </c>
      <c r="T545" s="49" t="s">
        <v>63</v>
      </c>
      <c r="U545" s="6" t="s">
        <v>248</v>
      </c>
      <c r="V545" s="49"/>
      <c r="W545" s="39">
        <v>3.3</v>
      </c>
      <c r="X545" s="49" t="s">
        <v>86</v>
      </c>
      <c r="Y545" s="49" t="s">
        <v>7473</v>
      </c>
      <c r="Z545" s="49" t="s">
        <v>449</v>
      </c>
      <c r="AA545" s="38">
        <v>0.42559999999999998</v>
      </c>
      <c r="AB545" s="39">
        <v>34816</v>
      </c>
      <c r="AC545" s="52" t="s">
        <v>7467</v>
      </c>
      <c r="AD545" s="53" t="str">
        <f t="shared" ref="AD545:AD546" si="405">HYPERLINK("http://www.belhaven.edu/academics/Default.htm","Link")</f>
        <v>Link</v>
      </c>
      <c r="AE545" s="54">
        <v>2714</v>
      </c>
      <c r="AF545" s="55"/>
      <c r="AG545" s="55"/>
      <c r="AH545" s="56">
        <v>175421</v>
      </c>
      <c r="AI545" s="56"/>
    </row>
    <row r="546" spans="1:35" ht="15" x14ac:dyDescent="0.2">
      <c r="A546" s="57"/>
      <c r="B546" s="31" t="s">
        <v>6135</v>
      </c>
      <c r="C546" s="36" t="s">
        <v>43</v>
      </c>
      <c r="D546" s="86">
        <v>5</v>
      </c>
      <c r="E546" s="7" t="s">
        <v>7482</v>
      </c>
      <c r="F546" s="7"/>
      <c r="G546" s="86"/>
      <c r="H546" s="33" t="s">
        <v>7458</v>
      </c>
      <c r="I546" s="34" t="s">
        <v>222</v>
      </c>
      <c r="J546" s="33" t="s">
        <v>7483</v>
      </c>
      <c r="K546" s="33" t="s">
        <v>55</v>
      </c>
      <c r="L546" s="34" t="s">
        <v>7484</v>
      </c>
      <c r="M546" s="2" t="s">
        <v>7485</v>
      </c>
      <c r="N546" s="45" t="str">
        <f t="shared" si="403"/>
        <v>@softballbu</v>
      </c>
      <c r="O546" s="45" t="str">
        <f t="shared" si="404"/>
        <v>Questionnaire</v>
      </c>
      <c r="P546" s="48" t="s">
        <v>7467</v>
      </c>
      <c r="Q546" s="60" t="s">
        <v>6149</v>
      </c>
      <c r="R546" s="48" t="s">
        <v>773</v>
      </c>
      <c r="S546" s="48" t="s">
        <v>62</v>
      </c>
      <c r="T546" s="49" t="s">
        <v>63</v>
      </c>
      <c r="U546" s="6" t="s">
        <v>248</v>
      </c>
      <c r="V546" s="49"/>
      <c r="W546" s="39">
        <v>3.3</v>
      </c>
      <c r="X546" s="49" t="s">
        <v>86</v>
      </c>
      <c r="Y546" s="49" t="s">
        <v>7473</v>
      </c>
      <c r="Z546" s="49" t="s">
        <v>449</v>
      </c>
      <c r="AA546" s="38">
        <v>0.42559999999999998</v>
      </c>
      <c r="AB546" s="39">
        <v>34816</v>
      </c>
      <c r="AC546" s="52" t="s">
        <v>7467</v>
      </c>
      <c r="AD546" s="53" t="str">
        <f t="shared" si="405"/>
        <v>Link</v>
      </c>
      <c r="AE546" s="54">
        <v>2714</v>
      </c>
      <c r="AF546" s="55"/>
      <c r="AG546" s="55"/>
      <c r="AH546" s="56">
        <v>175421</v>
      </c>
      <c r="AI546" s="56"/>
    </row>
    <row r="547" spans="1:35" ht="15" x14ac:dyDescent="0.2">
      <c r="A547" s="57"/>
      <c r="B547" s="31" t="s">
        <v>6135</v>
      </c>
      <c r="C547" s="36" t="s">
        <v>43</v>
      </c>
      <c r="D547" s="86">
        <v>5</v>
      </c>
      <c r="E547" s="7" t="s">
        <v>7493</v>
      </c>
      <c r="F547" s="7"/>
      <c r="G547" s="86"/>
      <c r="H547" s="33" t="s">
        <v>7494</v>
      </c>
      <c r="I547" s="2" t="s">
        <v>926</v>
      </c>
      <c r="J547" s="2" t="s">
        <v>7495</v>
      </c>
      <c r="K547" s="2" t="s">
        <v>48</v>
      </c>
      <c r="L547" s="95" t="s">
        <v>7496</v>
      </c>
      <c r="M547" s="2" t="s">
        <v>7497</v>
      </c>
      <c r="N547" s="45" t="str">
        <f t="shared" ref="N547:N549" si="406">HYPERLINK("twitter.com/sapssoftball","@sapssoftball")</f>
        <v>@sapssoftball</v>
      </c>
      <c r="O547" s="45" t="str">
        <f t="shared" ref="O547:O549" si="407">HYPERLINK("https://gomajors.com/sb_output.aspx?frform=15&amp;path=softball","Questionnaire")</f>
        <v>Questionnaire</v>
      </c>
      <c r="P547" s="48" t="s">
        <v>7505</v>
      </c>
      <c r="Q547" s="60" t="s">
        <v>6149</v>
      </c>
      <c r="R547" s="48" t="s">
        <v>773</v>
      </c>
      <c r="S547" s="48" t="s">
        <v>62</v>
      </c>
      <c r="T547" s="49" t="s">
        <v>63</v>
      </c>
      <c r="U547" s="48" t="s">
        <v>75</v>
      </c>
      <c r="V547" s="49"/>
      <c r="W547" s="39">
        <v>3.6</v>
      </c>
      <c r="X547" s="49" t="s">
        <v>7506</v>
      </c>
      <c r="Y547" s="49" t="s">
        <v>7507</v>
      </c>
      <c r="Z547" s="49" t="s">
        <v>78</v>
      </c>
      <c r="AA547" s="65">
        <v>0.59</v>
      </c>
      <c r="AB547" s="39">
        <v>53030</v>
      </c>
      <c r="AC547" s="84" t="s">
        <v>7505</v>
      </c>
      <c r="AD547" s="53" t="str">
        <f t="shared" ref="AD547:AD549" si="408">HYPERLINK("http://www.millsaps.edu/academics/majors-minors.php","Link")</f>
        <v>Link</v>
      </c>
      <c r="AE547" s="54">
        <v>802</v>
      </c>
      <c r="AF547" s="55"/>
      <c r="AG547" s="54">
        <v>87</v>
      </c>
      <c r="AH547" s="56">
        <v>175980</v>
      </c>
      <c r="AI547" s="56"/>
    </row>
    <row r="548" spans="1:35" ht="13" x14ac:dyDescent="0.15">
      <c r="A548" s="57"/>
      <c r="B548" s="31" t="s">
        <v>6135</v>
      </c>
      <c r="C548" s="36" t="s">
        <v>43</v>
      </c>
      <c r="D548" s="86">
        <v>5</v>
      </c>
      <c r="E548" s="7" t="s">
        <v>7512</v>
      </c>
      <c r="F548" s="7"/>
      <c r="G548" s="86"/>
      <c r="H548" s="2" t="s">
        <v>7494</v>
      </c>
      <c r="I548" s="2" t="s">
        <v>53</v>
      </c>
      <c r="J548" s="2" t="s">
        <v>7513</v>
      </c>
      <c r="K548" s="7" t="s">
        <v>55</v>
      </c>
      <c r="L548" s="95" t="s">
        <v>7514</v>
      </c>
      <c r="M548" s="2" t="s">
        <v>7515</v>
      </c>
      <c r="N548" s="45" t="str">
        <f t="shared" si="406"/>
        <v>@sapssoftball</v>
      </c>
      <c r="O548" s="45" t="str">
        <f t="shared" si="407"/>
        <v>Questionnaire</v>
      </c>
      <c r="P548" s="48" t="s">
        <v>7505</v>
      </c>
      <c r="Q548" s="60" t="s">
        <v>6149</v>
      </c>
      <c r="R548" s="48" t="s">
        <v>773</v>
      </c>
      <c r="S548" s="48" t="s">
        <v>62</v>
      </c>
      <c r="T548" s="49" t="s">
        <v>63</v>
      </c>
      <c r="U548" s="48" t="s">
        <v>75</v>
      </c>
      <c r="V548" s="49"/>
      <c r="W548" s="39">
        <v>3.6</v>
      </c>
      <c r="X548" s="49" t="s">
        <v>7506</v>
      </c>
      <c r="Y548" s="49" t="s">
        <v>7507</v>
      </c>
      <c r="Z548" s="49" t="s">
        <v>78</v>
      </c>
      <c r="AA548" s="65">
        <v>0.59</v>
      </c>
      <c r="AB548" s="39">
        <v>53030</v>
      </c>
      <c r="AC548" s="84" t="s">
        <v>7505</v>
      </c>
      <c r="AD548" s="53" t="str">
        <f t="shared" si="408"/>
        <v>Link</v>
      </c>
      <c r="AE548" s="54">
        <v>802</v>
      </c>
      <c r="AF548" s="55"/>
      <c r="AG548" s="54">
        <v>87</v>
      </c>
      <c r="AH548" s="56">
        <v>175980</v>
      </c>
      <c r="AI548" s="56"/>
    </row>
    <row r="549" spans="1:35" ht="15" x14ac:dyDescent="0.2">
      <c r="A549" s="57"/>
      <c r="B549" s="31" t="s">
        <v>6135</v>
      </c>
      <c r="C549" s="36" t="s">
        <v>43</v>
      </c>
      <c r="D549" s="86">
        <v>5</v>
      </c>
      <c r="E549" s="7" t="s">
        <v>7521</v>
      </c>
      <c r="F549" s="7"/>
      <c r="G549" s="86"/>
      <c r="H549" s="33" t="s">
        <v>7494</v>
      </c>
      <c r="I549" s="2" t="s">
        <v>860</v>
      </c>
      <c r="J549" s="2" t="s">
        <v>7522</v>
      </c>
      <c r="K549" s="7" t="s">
        <v>55</v>
      </c>
      <c r="L549" s="2"/>
      <c r="M549" s="2"/>
      <c r="N549" s="45" t="str">
        <f t="shared" si="406"/>
        <v>@sapssoftball</v>
      </c>
      <c r="O549" s="45" t="str">
        <f t="shared" si="407"/>
        <v>Questionnaire</v>
      </c>
      <c r="P549" s="48" t="s">
        <v>7505</v>
      </c>
      <c r="Q549" s="60" t="s">
        <v>6149</v>
      </c>
      <c r="R549" s="48" t="s">
        <v>773</v>
      </c>
      <c r="S549" s="48" t="s">
        <v>62</v>
      </c>
      <c r="T549" s="49" t="s">
        <v>63</v>
      </c>
      <c r="U549" s="48" t="s">
        <v>75</v>
      </c>
      <c r="V549" s="49"/>
      <c r="W549" s="39">
        <v>3.6</v>
      </c>
      <c r="X549" s="49" t="s">
        <v>7506</v>
      </c>
      <c r="Y549" s="49" t="s">
        <v>7507</v>
      </c>
      <c r="Z549" s="49" t="s">
        <v>78</v>
      </c>
      <c r="AA549" s="65">
        <v>0.59</v>
      </c>
      <c r="AB549" s="39">
        <v>53030</v>
      </c>
      <c r="AC549" s="84" t="s">
        <v>7505</v>
      </c>
      <c r="AD549" s="53" t="str">
        <f t="shared" si="408"/>
        <v>Link</v>
      </c>
      <c r="AE549" s="54">
        <v>802</v>
      </c>
      <c r="AF549" s="55"/>
      <c r="AG549" s="54">
        <v>87</v>
      </c>
      <c r="AH549" s="56">
        <v>175980</v>
      </c>
      <c r="AI549" s="56"/>
    </row>
    <row r="550" spans="1:35" ht="15" x14ac:dyDescent="0.2">
      <c r="A550" s="57"/>
      <c r="B550" s="31" t="s">
        <v>6237</v>
      </c>
      <c r="C550" s="36" t="s">
        <v>43</v>
      </c>
      <c r="D550" s="86">
        <v>5</v>
      </c>
      <c r="E550" s="7" t="s">
        <v>7528</v>
      </c>
      <c r="F550" s="7"/>
      <c r="G550" s="86"/>
      <c r="H550" s="33" t="s">
        <v>7529</v>
      </c>
      <c r="I550" s="34" t="s">
        <v>111</v>
      </c>
      <c r="J550" s="33" t="s">
        <v>7530</v>
      </c>
      <c r="K550" s="33" t="s">
        <v>48</v>
      </c>
      <c r="L550" s="2" t="s">
        <v>7531</v>
      </c>
      <c r="M550" s="2" t="s">
        <v>7533</v>
      </c>
      <c r="N550" s="48"/>
      <c r="O550" s="45" t="str">
        <f t="shared" ref="O550:O552" si="409">HYPERLINK("https://www.fontbonnegriffins.com/recruits/recruitme/index","Questionnaire")</f>
        <v>Questionnaire</v>
      </c>
      <c r="P550" s="48" t="s">
        <v>7538</v>
      </c>
      <c r="Q550" s="60" t="s">
        <v>2246</v>
      </c>
      <c r="R550" s="48" t="s">
        <v>2259</v>
      </c>
      <c r="S550" s="48" t="s">
        <v>354</v>
      </c>
      <c r="T550" s="49" t="s">
        <v>63</v>
      </c>
      <c r="U550" s="6" t="s">
        <v>343</v>
      </c>
      <c r="V550" s="49"/>
      <c r="W550" s="39">
        <v>3.43</v>
      </c>
      <c r="X550" s="49" t="s">
        <v>214</v>
      </c>
      <c r="Y550" s="49" t="s">
        <v>214</v>
      </c>
      <c r="Z550" s="49" t="s">
        <v>1994</v>
      </c>
      <c r="AA550" s="65">
        <v>0.9</v>
      </c>
      <c r="AB550" s="39">
        <v>39597</v>
      </c>
      <c r="AC550" s="84" t="s">
        <v>7538</v>
      </c>
      <c r="AD550" s="53" t="str">
        <f t="shared" ref="AD550:AD552" si="410">HYPERLINK("https://www.fontbonne.edu/academics/undergraduate-programs/major-finder/","Link")</f>
        <v>Link</v>
      </c>
      <c r="AE550" s="54">
        <v>968</v>
      </c>
      <c r="AF550" s="55"/>
      <c r="AG550" s="55"/>
      <c r="AH550" s="56">
        <v>177418</v>
      </c>
      <c r="AI550" s="56"/>
    </row>
    <row r="551" spans="1:35" ht="15" x14ac:dyDescent="0.2">
      <c r="A551" s="57"/>
      <c r="B551" s="31" t="s">
        <v>6237</v>
      </c>
      <c r="C551" s="36" t="s">
        <v>43</v>
      </c>
      <c r="D551" s="86">
        <v>5</v>
      </c>
      <c r="E551" s="7" t="s">
        <v>7546</v>
      </c>
      <c r="F551" s="7"/>
      <c r="G551" s="86"/>
      <c r="H551" s="33" t="s">
        <v>7529</v>
      </c>
      <c r="I551" s="2" t="s">
        <v>7547</v>
      </c>
      <c r="J551" s="33" t="s">
        <v>7548</v>
      </c>
      <c r="K551" s="33" t="s">
        <v>55</v>
      </c>
      <c r="L551" s="34" t="s">
        <v>7549</v>
      </c>
      <c r="M551" s="2"/>
      <c r="N551" s="48"/>
      <c r="O551" s="45" t="str">
        <f t="shared" si="409"/>
        <v>Questionnaire</v>
      </c>
      <c r="P551" s="48" t="s">
        <v>7538</v>
      </c>
      <c r="Q551" s="60" t="s">
        <v>2246</v>
      </c>
      <c r="R551" s="48" t="s">
        <v>2259</v>
      </c>
      <c r="S551" s="48" t="s">
        <v>354</v>
      </c>
      <c r="T551" s="49" t="s">
        <v>63</v>
      </c>
      <c r="U551" s="6" t="s">
        <v>343</v>
      </c>
      <c r="V551" s="49"/>
      <c r="W551" s="39">
        <v>3.43</v>
      </c>
      <c r="X551" s="49" t="s">
        <v>214</v>
      </c>
      <c r="Y551" s="49" t="s">
        <v>214</v>
      </c>
      <c r="Z551" s="49" t="s">
        <v>1994</v>
      </c>
      <c r="AA551" s="65">
        <v>0.9</v>
      </c>
      <c r="AB551" s="39">
        <v>39597</v>
      </c>
      <c r="AC551" s="84" t="s">
        <v>7538</v>
      </c>
      <c r="AD551" s="53" t="str">
        <f t="shared" si="410"/>
        <v>Link</v>
      </c>
      <c r="AE551" s="54">
        <v>968</v>
      </c>
      <c r="AF551" s="55"/>
      <c r="AG551" s="55"/>
      <c r="AH551" s="56">
        <v>177418</v>
      </c>
      <c r="AI551" s="56"/>
    </row>
    <row r="552" spans="1:35" ht="15" x14ac:dyDescent="0.2">
      <c r="A552" s="57"/>
      <c r="B552" s="31" t="s">
        <v>6237</v>
      </c>
      <c r="C552" s="36" t="s">
        <v>43</v>
      </c>
      <c r="D552" s="86">
        <v>5</v>
      </c>
      <c r="E552" s="7" t="s">
        <v>7556</v>
      </c>
      <c r="F552" s="7"/>
      <c r="G552" s="86"/>
      <c r="H552" s="33" t="s">
        <v>7529</v>
      </c>
      <c r="I552" s="2" t="s">
        <v>1541</v>
      </c>
      <c r="J552" s="2" t="s">
        <v>7530</v>
      </c>
      <c r="K552" s="7" t="s">
        <v>139</v>
      </c>
      <c r="L552" s="2"/>
      <c r="M552" s="2"/>
      <c r="N552" s="48"/>
      <c r="O552" s="45" t="str">
        <f t="shared" si="409"/>
        <v>Questionnaire</v>
      </c>
      <c r="P552" s="48" t="s">
        <v>7538</v>
      </c>
      <c r="Q552" s="60" t="s">
        <v>2246</v>
      </c>
      <c r="R552" s="48" t="s">
        <v>2259</v>
      </c>
      <c r="S552" s="48" t="s">
        <v>354</v>
      </c>
      <c r="T552" s="49" t="s">
        <v>63</v>
      </c>
      <c r="U552" s="6" t="s">
        <v>343</v>
      </c>
      <c r="V552" s="49"/>
      <c r="W552" s="39">
        <v>3.43</v>
      </c>
      <c r="X552" s="49" t="s">
        <v>214</v>
      </c>
      <c r="Y552" s="49" t="s">
        <v>214</v>
      </c>
      <c r="Z552" s="49" t="s">
        <v>1994</v>
      </c>
      <c r="AA552" s="65">
        <v>0.9</v>
      </c>
      <c r="AB552" s="39">
        <v>39597</v>
      </c>
      <c r="AC552" s="84" t="s">
        <v>7538</v>
      </c>
      <c r="AD552" s="53" t="str">
        <f t="shared" si="410"/>
        <v>Link</v>
      </c>
      <c r="AE552" s="54">
        <v>968</v>
      </c>
      <c r="AF552" s="55"/>
      <c r="AG552" s="55"/>
      <c r="AH552" s="56">
        <v>177418</v>
      </c>
      <c r="AI552" s="56"/>
    </row>
    <row r="553" spans="1:35" ht="15" x14ac:dyDescent="0.2">
      <c r="A553" s="57"/>
      <c r="B553" s="131" t="s">
        <v>6237</v>
      </c>
      <c r="C553" s="132" t="s">
        <v>43</v>
      </c>
      <c r="D553" s="44">
        <v>5</v>
      </c>
      <c r="E553" s="7" t="s">
        <v>7564</v>
      </c>
      <c r="F553" s="7"/>
      <c r="G553" s="7"/>
      <c r="H553" s="140" t="s">
        <v>7565</v>
      </c>
      <c r="I553" s="7" t="s">
        <v>5470</v>
      </c>
      <c r="J553" s="7" t="s">
        <v>7573</v>
      </c>
      <c r="K553" s="7" t="s">
        <v>1558</v>
      </c>
      <c r="L553" s="7"/>
      <c r="M553" s="7" t="s">
        <v>7574</v>
      </c>
      <c r="N553" s="45" t="str">
        <f>HYPERLINK("twitter.com/wctitansoftball","@wctitansoftball")</f>
        <v>@wctitansoftball</v>
      </c>
      <c r="O553" s="45" t="str">
        <f>HYPERLINK("http://wcbluejays.com/recruits/recruit_me","Questionnaire")</f>
        <v>Questionnaire</v>
      </c>
      <c r="P553" s="48" t="s">
        <v>7580</v>
      </c>
      <c r="Q553" s="60" t="s">
        <v>2246</v>
      </c>
      <c r="R553" s="6" t="s">
        <v>7581</v>
      </c>
      <c r="S553" s="6" t="s">
        <v>172</v>
      </c>
      <c r="T553" s="4" t="s">
        <v>63</v>
      </c>
      <c r="U553" s="6" t="s">
        <v>248</v>
      </c>
      <c r="V553" s="49"/>
      <c r="W553" s="134">
        <v>3.38</v>
      </c>
      <c r="X553" s="49" t="s">
        <v>7584</v>
      </c>
      <c r="Y553" s="49" t="s">
        <v>3853</v>
      </c>
      <c r="Z553" s="4" t="s">
        <v>1650</v>
      </c>
      <c r="AA553" s="65">
        <v>0.65</v>
      </c>
      <c r="AB553" s="39">
        <v>38650</v>
      </c>
      <c r="AC553" s="84" t="s">
        <v>7581</v>
      </c>
      <c r="AD553" s="67" t="str">
        <f>HYPERLINK("http://www.westminster-mo.edu/academics/majorsminors/default.html","Link")</f>
        <v>Link</v>
      </c>
      <c r="AE553" s="42">
        <v>876</v>
      </c>
      <c r="AF553" s="55"/>
      <c r="AG553" s="42">
        <v>147</v>
      </c>
      <c r="AH553" s="56">
        <v>179946</v>
      </c>
      <c r="AI553" s="56"/>
    </row>
    <row r="554" spans="1:35" ht="15" x14ac:dyDescent="0.2">
      <c r="A554" s="57"/>
      <c r="B554" s="31" t="s">
        <v>6237</v>
      </c>
      <c r="C554" s="36" t="s">
        <v>43</v>
      </c>
      <c r="D554" s="86">
        <v>5</v>
      </c>
      <c r="E554" s="7" t="s">
        <v>7587</v>
      </c>
      <c r="F554" s="7"/>
      <c r="G554" s="86"/>
      <c r="H554" s="33" t="s">
        <v>7590</v>
      </c>
      <c r="I554" s="34" t="s">
        <v>1280</v>
      </c>
      <c r="J554" s="33" t="s">
        <v>7591</v>
      </c>
      <c r="K554" s="33" t="s">
        <v>48</v>
      </c>
      <c r="L554" s="2" t="s">
        <v>7592</v>
      </c>
      <c r="M554" s="2" t="s">
        <v>7594</v>
      </c>
      <c r="N554" s="45" t="str">
        <f t="shared" ref="N554:N559" si="411">HYPERLINK("twitter.com/washusoftball","@washusoftball")</f>
        <v>@washusoftball</v>
      </c>
      <c r="O554" s="45" t="str">
        <f t="shared" ref="O554:O559" si="412">HYPERLINK("https://www.washubears.com/sports/sball/recruit_form","Questionnaire")</f>
        <v>Questionnaire</v>
      </c>
      <c r="P554" s="48" t="s">
        <v>7600</v>
      </c>
      <c r="Q554" s="60" t="s">
        <v>2246</v>
      </c>
      <c r="R554" s="48" t="s">
        <v>2259</v>
      </c>
      <c r="S554" s="48" t="s">
        <v>354</v>
      </c>
      <c r="T554" s="49" t="s">
        <v>63</v>
      </c>
      <c r="U554" s="48" t="s">
        <v>75</v>
      </c>
      <c r="V554" s="49"/>
      <c r="W554" s="39">
        <v>4.1100000000000003</v>
      </c>
      <c r="X554" s="49" t="s">
        <v>5858</v>
      </c>
      <c r="Y554" s="49" t="s">
        <v>4796</v>
      </c>
      <c r="Z554" s="49" t="s">
        <v>4797</v>
      </c>
      <c r="AA554" s="65">
        <v>0.17</v>
      </c>
      <c r="AB554" s="39">
        <v>69754</v>
      </c>
      <c r="AC554" s="84" t="s">
        <v>7600</v>
      </c>
      <c r="AD554" s="53" t="str">
        <f t="shared" ref="AD554:AD559" si="413">HYPERLINK("https://admissions.wustl.edu/majors-academics","Link")</f>
        <v>Link</v>
      </c>
      <c r="AE554" s="54">
        <v>7555</v>
      </c>
      <c r="AF554" s="54">
        <v>18</v>
      </c>
      <c r="AG554" s="55"/>
      <c r="AH554" s="56">
        <v>179867</v>
      </c>
      <c r="AI554" s="56"/>
    </row>
    <row r="555" spans="1:35" ht="15" x14ac:dyDescent="0.2">
      <c r="A555" s="57"/>
      <c r="B555" s="31" t="s">
        <v>6237</v>
      </c>
      <c r="C555" s="36" t="s">
        <v>43</v>
      </c>
      <c r="D555" s="86">
        <v>5</v>
      </c>
      <c r="E555" s="7" t="s">
        <v>7607</v>
      </c>
      <c r="F555" s="7"/>
      <c r="G555" s="86"/>
      <c r="H555" s="33" t="s">
        <v>7590</v>
      </c>
      <c r="I555" s="34" t="s">
        <v>1280</v>
      </c>
      <c r="J555" s="33" t="s">
        <v>7591</v>
      </c>
      <c r="K555" s="33" t="s">
        <v>1048</v>
      </c>
      <c r="L555" s="2" t="s">
        <v>7608</v>
      </c>
      <c r="M555" s="2" t="s">
        <v>7594</v>
      </c>
      <c r="N555" s="45" t="str">
        <f t="shared" si="411"/>
        <v>@washusoftball</v>
      </c>
      <c r="O555" s="45" t="str">
        <f t="shared" si="412"/>
        <v>Questionnaire</v>
      </c>
      <c r="P555" s="48" t="s">
        <v>7600</v>
      </c>
      <c r="Q555" s="60" t="s">
        <v>2246</v>
      </c>
      <c r="R555" s="48" t="s">
        <v>2259</v>
      </c>
      <c r="S555" s="48" t="s">
        <v>354</v>
      </c>
      <c r="T555" s="49" t="s">
        <v>63</v>
      </c>
      <c r="U555" s="48" t="s">
        <v>75</v>
      </c>
      <c r="V555" s="49"/>
      <c r="W555" s="39">
        <v>4.1100000000000003</v>
      </c>
      <c r="X555" s="49" t="s">
        <v>5858</v>
      </c>
      <c r="Y555" s="49" t="s">
        <v>4796</v>
      </c>
      <c r="Z555" s="49" t="s">
        <v>4797</v>
      </c>
      <c r="AA555" s="65">
        <v>0.17</v>
      </c>
      <c r="AB555" s="39">
        <v>69754</v>
      </c>
      <c r="AC555" s="84" t="s">
        <v>7600</v>
      </c>
      <c r="AD555" s="53" t="str">
        <f t="shared" si="413"/>
        <v>Link</v>
      </c>
      <c r="AE555" s="54">
        <v>7555</v>
      </c>
      <c r="AF555" s="54">
        <v>18</v>
      </c>
      <c r="AG555" s="55"/>
      <c r="AH555" s="56">
        <v>179867</v>
      </c>
      <c r="AI555" s="56"/>
    </row>
    <row r="556" spans="1:35" ht="15" x14ac:dyDescent="0.2">
      <c r="A556" s="57"/>
      <c r="B556" s="31" t="s">
        <v>6237</v>
      </c>
      <c r="C556" s="36" t="s">
        <v>43</v>
      </c>
      <c r="D556" s="86">
        <v>5</v>
      </c>
      <c r="E556" s="7" t="s">
        <v>7620</v>
      </c>
      <c r="F556" s="7"/>
      <c r="G556" s="86"/>
      <c r="H556" s="33" t="s">
        <v>7590</v>
      </c>
      <c r="I556" s="34" t="s">
        <v>7621</v>
      </c>
      <c r="J556" s="2" t="s">
        <v>7623</v>
      </c>
      <c r="K556" s="2" t="s">
        <v>55</v>
      </c>
      <c r="L556" s="2" t="s">
        <v>7624</v>
      </c>
      <c r="M556" s="2" t="s">
        <v>7625</v>
      </c>
      <c r="N556" s="45" t="str">
        <f t="shared" si="411"/>
        <v>@washusoftball</v>
      </c>
      <c r="O556" s="45" t="str">
        <f t="shared" si="412"/>
        <v>Questionnaire</v>
      </c>
      <c r="P556" s="48" t="s">
        <v>7600</v>
      </c>
      <c r="Q556" s="60" t="s">
        <v>2246</v>
      </c>
      <c r="R556" s="48" t="s">
        <v>2259</v>
      </c>
      <c r="S556" s="48" t="s">
        <v>354</v>
      </c>
      <c r="T556" s="49" t="s">
        <v>63</v>
      </c>
      <c r="U556" s="48" t="s">
        <v>75</v>
      </c>
      <c r="V556" s="49"/>
      <c r="W556" s="39">
        <v>4.1100000000000003</v>
      </c>
      <c r="X556" s="49" t="s">
        <v>5858</v>
      </c>
      <c r="Y556" s="49" t="s">
        <v>4796</v>
      </c>
      <c r="Z556" s="49" t="s">
        <v>4797</v>
      </c>
      <c r="AA556" s="65">
        <v>0.17</v>
      </c>
      <c r="AB556" s="39">
        <v>69754</v>
      </c>
      <c r="AC556" s="84" t="s">
        <v>7600</v>
      </c>
      <c r="AD556" s="53" t="str">
        <f t="shared" si="413"/>
        <v>Link</v>
      </c>
      <c r="AE556" s="54">
        <v>7555</v>
      </c>
      <c r="AF556" s="54">
        <v>18</v>
      </c>
      <c r="AG556" s="55"/>
      <c r="AH556" s="56">
        <v>179867</v>
      </c>
      <c r="AI556" s="56"/>
    </row>
    <row r="557" spans="1:35" ht="15" x14ac:dyDescent="0.2">
      <c r="A557" s="57"/>
      <c r="B557" s="31" t="s">
        <v>6237</v>
      </c>
      <c r="C557" s="36" t="s">
        <v>43</v>
      </c>
      <c r="D557" s="86">
        <v>5</v>
      </c>
      <c r="E557" s="7" t="s">
        <v>7632</v>
      </c>
      <c r="F557" s="7"/>
      <c r="G557" s="86"/>
      <c r="H557" s="33" t="s">
        <v>7590</v>
      </c>
      <c r="I557" s="34" t="s">
        <v>508</v>
      </c>
      <c r="J557" s="2" t="s">
        <v>4003</v>
      </c>
      <c r="K557" s="2" t="s">
        <v>55</v>
      </c>
      <c r="L557" s="7"/>
      <c r="M557" s="2"/>
      <c r="N557" s="45" t="str">
        <f t="shared" si="411"/>
        <v>@washusoftball</v>
      </c>
      <c r="O557" s="45" t="str">
        <f t="shared" si="412"/>
        <v>Questionnaire</v>
      </c>
      <c r="P557" s="48" t="s">
        <v>7600</v>
      </c>
      <c r="Q557" s="60" t="s">
        <v>2246</v>
      </c>
      <c r="R557" s="48" t="s">
        <v>2259</v>
      </c>
      <c r="S557" s="48" t="s">
        <v>354</v>
      </c>
      <c r="T557" s="49" t="s">
        <v>63</v>
      </c>
      <c r="U557" s="48" t="s">
        <v>75</v>
      </c>
      <c r="V557" s="49"/>
      <c r="W557" s="39">
        <v>4.1100000000000003</v>
      </c>
      <c r="X557" s="49" t="s">
        <v>5858</v>
      </c>
      <c r="Y557" s="49" t="s">
        <v>4796</v>
      </c>
      <c r="Z557" s="49" t="s">
        <v>4797</v>
      </c>
      <c r="AA557" s="65">
        <v>0.17</v>
      </c>
      <c r="AB557" s="39">
        <v>69754</v>
      </c>
      <c r="AC557" s="84" t="s">
        <v>7600</v>
      </c>
      <c r="AD557" s="53" t="str">
        <f t="shared" si="413"/>
        <v>Link</v>
      </c>
      <c r="AE557" s="54">
        <v>7555</v>
      </c>
      <c r="AF557" s="54">
        <v>18</v>
      </c>
      <c r="AG557" s="55"/>
      <c r="AH557" s="56">
        <v>179867</v>
      </c>
      <c r="AI557" s="56"/>
    </row>
    <row r="558" spans="1:35" ht="15" x14ac:dyDescent="0.2">
      <c r="A558" s="57"/>
      <c r="B558" s="31" t="s">
        <v>6237</v>
      </c>
      <c r="C558" s="36" t="s">
        <v>43</v>
      </c>
      <c r="D558" s="86">
        <v>5</v>
      </c>
      <c r="E558" s="7" t="s">
        <v>7642</v>
      </c>
      <c r="F558" s="7"/>
      <c r="G558" s="86"/>
      <c r="H558" s="33" t="s">
        <v>7590</v>
      </c>
      <c r="I558" s="33" t="s">
        <v>7645</v>
      </c>
      <c r="J558" s="33" t="s">
        <v>7646</v>
      </c>
      <c r="K558" s="33" t="s">
        <v>55</v>
      </c>
      <c r="L558" s="2"/>
      <c r="M558" s="2"/>
      <c r="N558" s="45" t="str">
        <f t="shared" si="411"/>
        <v>@washusoftball</v>
      </c>
      <c r="O558" s="45" t="str">
        <f t="shared" si="412"/>
        <v>Questionnaire</v>
      </c>
      <c r="P558" s="48" t="s">
        <v>7600</v>
      </c>
      <c r="Q558" s="60" t="s">
        <v>2246</v>
      </c>
      <c r="R558" s="48" t="s">
        <v>2259</v>
      </c>
      <c r="S558" s="48" t="s">
        <v>354</v>
      </c>
      <c r="T558" s="49" t="s">
        <v>63</v>
      </c>
      <c r="U558" s="48" t="s">
        <v>75</v>
      </c>
      <c r="V558" s="49"/>
      <c r="W558" s="39">
        <v>4.1100000000000003</v>
      </c>
      <c r="X558" s="49" t="s">
        <v>5858</v>
      </c>
      <c r="Y558" s="49" t="s">
        <v>4796</v>
      </c>
      <c r="Z558" s="49" t="s">
        <v>4797</v>
      </c>
      <c r="AA558" s="65">
        <v>0.17</v>
      </c>
      <c r="AB558" s="39">
        <v>69754</v>
      </c>
      <c r="AC558" s="84" t="s">
        <v>7600</v>
      </c>
      <c r="AD558" s="53" t="str">
        <f t="shared" si="413"/>
        <v>Link</v>
      </c>
      <c r="AE558" s="54">
        <v>7555</v>
      </c>
      <c r="AF558" s="54">
        <v>18</v>
      </c>
      <c r="AG558" s="55"/>
      <c r="AH558" s="56">
        <v>179867</v>
      </c>
      <c r="AI558" s="56"/>
    </row>
    <row r="559" spans="1:35" ht="15" x14ac:dyDescent="0.2">
      <c r="A559" s="57"/>
      <c r="B559" s="31" t="s">
        <v>6237</v>
      </c>
      <c r="C559" s="36" t="s">
        <v>43</v>
      </c>
      <c r="D559" s="86">
        <v>5</v>
      </c>
      <c r="E559" s="7" t="s">
        <v>7650</v>
      </c>
      <c r="F559" s="7"/>
      <c r="G559" s="86"/>
      <c r="H559" s="33" t="s">
        <v>7590</v>
      </c>
      <c r="I559" s="33" t="s">
        <v>2465</v>
      </c>
      <c r="J559" s="33" t="s">
        <v>7652</v>
      </c>
      <c r="K559" s="33" t="s">
        <v>55</v>
      </c>
      <c r="L559" s="2"/>
      <c r="M559" s="2"/>
      <c r="N559" s="45" t="str">
        <f t="shared" si="411"/>
        <v>@washusoftball</v>
      </c>
      <c r="O559" s="45" t="str">
        <f t="shared" si="412"/>
        <v>Questionnaire</v>
      </c>
      <c r="P559" s="48" t="s">
        <v>7600</v>
      </c>
      <c r="Q559" s="60" t="s">
        <v>2246</v>
      </c>
      <c r="R559" s="48" t="s">
        <v>2259</v>
      </c>
      <c r="S559" s="48" t="s">
        <v>354</v>
      </c>
      <c r="T559" s="49" t="s">
        <v>63</v>
      </c>
      <c r="U559" s="48" t="s">
        <v>75</v>
      </c>
      <c r="V559" s="49"/>
      <c r="W559" s="39">
        <v>4.1100000000000003</v>
      </c>
      <c r="X559" s="49" t="s">
        <v>5858</v>
      </c>
      <c r="Y559" s="49" t="s">
        <v>4796</v>
      </c>
      <c r="Z559" s="49" t="s">
        <v>4797</v>
      </c>
      <c r="AA559" s="65">
        <v>0.17</v>
      </c>
      <c r="AB559" s="39">
        <v>69754</v>
      </c>
      <c r="AC559" s="84" t="s">
        <v>7600</v>
      </c>
      <c r="AD559" s="53" t="str">
        <f t="shared" si="413"/>
        <v>Link</v>
      </c>
      <c r="AE559" s="54">
        <v>7555</v>
      </c>
      <c r="AF559" s="54">
        <v>18</v>
      </c>
      <c r="AG559" s="55"/>
      <c r="AH559" s="56">
        <v>179867</v>
      </c>
      <c r="AI559" s="56"/>
    </row>
    <row r="560" spans="1:35" ht="15" x14ac:dyDescent="0.2">
      <c r="A560" s="57"/>
      <c r="B560" s="31" t="s">
        <v>6237</v>
      </c>
      <c r="C560" s="36" t="s">
        <v>43</v>
      </c>
      <c r="D560" s="86">
        <v>5</v>
      </c>
      <c r="E560" s="7" t="s">
        <v>7658</v>
      </c>
      <c r="F560" s="7"/>
      <c r="G560" s="86"/>
      <c r="H560" s="33" t="s">
        <v>7660</v>
      </c>
      <c r="I560" s="2" t="s">
        <v>234</v>
      </c>
      <c r="J560" s="2" t="s">
        <v>1968</v>
      </c>
      <c r="K560" s="2" t="s">
        <v>1423</v>
      </c>
      <c r="L560" s="95" t="s">
        <v>7662</v>
      </c>
      <c r="M560" s="2" t="s">
        <v>7663</v>
      </c>
      <c r="N560" s="48"/>
      <c r="O560" s="45" t="str">
        <f t="shared" ref="O560:O563" si="414">HYPERLINK("https://websterathletics.com/sb_output.aspx?form=1","Questionnaire")</f>
        <v>Questionnaire</v>
      </c>
      <c r="P560" s="48" t="s">
        <v>7666</v>
      </c>
      <c r="Q560" s="60" t="s">
        <v>2246</v>
      </c>
      <c r="R560" s="48" t="s">
        <v>7668</v>
      </c>
      <c r="S560" s="48" t="s">
        <v>172</v>
      </c>
      <c r="T560" s="49" t="s">
        <v>63</v>
      </c>
      <c r="U560" s="48" t="s">
        <v>75</v>
      </c>
      <c r="V560" s="49"/>
      <c r="W560" s="39">
        <v>3.48</v>
      </c>
      <c r="X560" s="49" t="s">
        <v>7670</v>
      </c>
      <c r="Y560" s="49" t="s">
        <v>7671</v>
      </c>
      <c r="Z560" s="49" t="s">
        <v>545</v>
      </c>
      <c r="AA560" s="65">
        <v>0.47</v>
      </c>
      <c r="AB560" s="39">
        <v>44054</v>
      </c>
      <c r="AC560" s="90" t="s">
        <v>7666</v>
      </c>
      <c r="AD560" s="53" t="str">
        <f t="shared" ref="AD560:AD563" si="415">HYPERLINK("http://www.webster.edu/undergraduate/majors-and-minors.html","Link")</f>
        <v>Link</v>
      </c>
      <c r="AE560" s="54">
        <v>3138</v>
      </c>
      <c r="AF560" s="55"/>
      <c r="AG560" s="55"/>
      <c r="AH560" s="56">
        <v>179894</v>
      </c>
      <c r="AI560" s="56"/>
    </row>
    <row r="561" spans="1:35" ht="15" x14ac:dyDescent="0.2">
      <c r="A561" s="57"/>
      <c r="B561" s="31" t="s">
        <v>6237</v>
      </c>
      <c r="C561" s="36" t="s">
        <v>43</v>
      </c>
      <c r="D561" s="86">
        <v>5</v>
      </c>
      <c r="E561" s="7" t="s">
        <v>7679</v>
      </c>
      <c r="F561" s="7"/>
      <c r="G561" s="86"/>
      <c r="H561" s="33" t="s">
        <v>7660</v>
      </c>
      <c r="I561" s="34" t="s">
        <v>338</v>
      </c>
      <c r="J561" s="33" t="s">
        <v>7681</v>
      </c>
      <c r="K561" s="33" t="s">
        <v>55</v>
      </c>
      <c r="L561" s="2"/>
      <c r="M561" s="2"/>
      <c r="N561" s="48"/>
      <c r="O561" s="45" t="str">
        <f t="shared" si="414"/>
        <v>Questionnaire</v>
      </c>
      <c r="P561" s="48" t="s">
        <v>7666</v>
      </c>
      <c r="Q561" s="60" t="s">
        <v>2246</v>
      </c>
      <c r="R561" s="48" t="s">
        <v>7668</v>
      </c>
      <c r="S561" s="48" t="s">
        <v>172</v>
      </c>
      <c r="T561" s="49" t="s">
        <v>63</v>
      </c>
      <c r="U561" s="48" t="s">
        <v>75</v>
      </c>
      <c r="V561" s="49"/>
      <c r="W561" s="39">
        <v>3.48</v>
      </c>
      <c r="X561" s="49" t="s">
        <v>7670</v>
      </c>
      <c r="Y561" s="49" t="s">
        <v>7671</v>
      </c>
      <c r="Z561" s="49" t="s">
        <v>545</v>
      </c>
      <c r="AA561" s="65">
        <v>0.47</v>
      </c>
      <c r="AB561" s="39">
        <v>44054</v>
      </c>
      <c r="AC561" s="90" t="s">
        <v>7666</v>
      </c>
      <c r="AD561" s="53" t="str">
        <f t="shared" si="415"/>
        <v>Link</v>
      </c>
      <c r="AE561" s="54">
        <v>3138</v>
      </c>
      <c r="AF561" s="55"/>
      <c r="AG561" s="55"/>
      <c r="AH561" s="56">
        <v>179894</v>
      </c>
      <c r="AI561" s="56"/>
    </row>
    <row r="562" spans="1:35" ht="15" x14ac:dyDescent="0.2">
      <c r="A562" s="57"/>
      <c r="B562" s="31" t="s">
        <v>6237</v>
      </c>
      <c r="C562" s="36" t="s">
        <v>43</v>
      </c>
      <c r="D562" s="44">
        <v>5</v>
      </c>
      <c r="E562" s="7" t="s">
        <v>7685</v>
      </c>
      <c r="F562" s="7" t="s">
        <v>116</v>
      </c>
      <c r="G562" s="57"/>
      <c r="H562" s="33" t="s">
        <v>7660</v>
      </c>
      <c r="I562" s="7" t="s">
        <v>7130</v>
      </c>
      <c r="J562" s="7" t="s">
        <v>7219</v>
      </c>
      <c r="K562" s="7" t="s">
        <v>139</v>
      </c>
      <c r="L562" s="57"/>
      <c r="M562" s="57"/>
      <c r="N562" s="48"/>
      <c r="O562" s="45" t="str">
        <f t="shared" si="414"/>
        <v>Questionnaire</v>
      </c>
      <c r="P562" s="48" t="s">
        <v>7666</v>
      </c>
      <c r="Q562" s="60" t="s">
        <v>2246</v>
      </c>
      <c r="R562" s="48" t="s">
        <v>7668</v>
      </c>
      <c r="S562" s="48" t="s">
        <v>172</v>
      </c>
      <c r="T562" s="49" t="s">
        <v>63</v>
      </c>
      <c r="U562" s="48" t="s">
        <v>75</v>
      </c>
      <c r="V562" s="49"/>
      <c r="W562" s="71">
        <v>3.48</v>
      </c>
      <c r="X562" s="49" t="s">
        <v>7670</v>
      </c>
      <c r="Y562" s="49" t="s">
        <v>7671</v>
      </c>
      <c r="Z562" s="49" t="s">
        <v>545</v>
      </c>
      <c r="AA562" s="65">
        <v>0.47</v>
      </c>
      <c r="AB562" s="39">
        <v>44054</v>
      </c>
      <c r="AC562" s="90" t="s">
        <v>7666</v>
      </c>
      <c r="AD562" s="53" t="str">
        <f t="shared" si="415"/>
        <v>Link</v>
      </c>
      <c r="AE562" s="54">
        <v>3138</v>
      </c>
      <c r="AF562" s="55"/>
      <c r="AG562" s="55"/>
      <c r="AH562" s="56">
        <v>179894</v>
      </c>
      <c r="AI562" s="59"/>
    </row>
    <row r="563" spans="1:35" ht="15" x14ac:dyDescent="0.2">
      <c r="A563" s="57"/>
      <c r="B563" s="31" t="s">
        <v>6237</v>
      </c>
      <c r="C563" s="36" t="s">
        <v>43</v>
      </c>
      <c r="D563" s="44">
        <v>5</v>
      </c>
      <c r="E563" s="7" t="s">
        <v>7696</v>
      </c>
      <c r="F563" s="7" t="s">
        <v>116</v>
      </c>
      <c r="G563" s="57"/>
      <c r="H563" s="33" t="s">
        <v>7660</v>
      </c>
      <c r="I563" s="7" t="s">
        <v>7698</v>
      </c>
      <c r="J563" s="7" t="s">
        <v>812</v>
      </c>
      <c r="K563" s="7" t="s">
        <v>55</v>
      </c>
      <c r="L563" s="57"/>
      <c r="M563" s="57"/>
      <c r="N563" s="48"/>
      <c r="O563" s="45" t="str">
        <f t="shared" si="414"/>
        <v>Questionnaire</v>
      </c>
      <c r="P563" s="48" t="s">
        <v>7666</v>
      </c>
      <c r="Q563" s="60" t="s">
        <v>2246</v>
      </c>
      <c r="R563" s="48" t="s">
        <v>7668</v>
      </c>
      <c r="S563" s="48" t="s">
        <v>172</v>
      </c>
      <c r="T563" s="49" t="s">
        <v>63</v>
      </c>
      <c r="U563" s="48" t="s">
        <v>75</v>
      </c>
      <c r="V563" s="49"/>
      <c r="W563" s="71">
        <v>3.48</v>
      </c>
      <c r="X563" s="49" t="s">
        <v>7670</v>
      </c>
      <c r="Y563" s="49" t="s">
        <v>7671</v>
      </c>
      <c r="Z563" s="49" t="s">
        <v>545</v>
      </c>
      <c r="AA563" s="65">
        <v>0.47</v>
      </c>
      <c r="AB563" s="39">
        <v>44054</v>
      </c>
      <c r="AC563" s="90" t="s">
        <v>7666</v>
      </c>
      <c r="AD563" s="53" t="str">
        <f t="shared" si="415"/>
        <v>Link</v>
      </c>
      <c r="AE563" s="54">
        <v>3138</v>
      </c>
      <c r="AF563" s="55"/>
      <c r="AG563" s="55"/>
      <c r="AH563" s="56">
        <v>179894</v>
      </c>
      <c r="AI563" s="59"/>
    </row>
    <row r="564" spans="1:35" ht="15" x14ac:dyDescent="0.2">
      <c r="A564" s="57"/>
      <c r="B564" s="31" t="s">
        <v>6237</v>
      </c>
      <c r="C564" s="36" t="s">
        <v>43</v>
      </c>
      <c r="D564" s="86">
        <v>5</v>
      </c>
      <c r="E564" s="7" t="s">
        <v>7704</v>
      </c>
      <c r="F564" s="7"/>
      <c r="G564" s="86"/>
      <c r="H564" s="33" t="s">
        <v>7565</v>
      </c>
      <c r="I564" s="2" t="s">
        <v>2037</v>
      </c>
      <c r="J564" s="2" t="s">
        <v>7705</v>
      </c>
      <c r="K564" s="2" t="s">
        <v>48</v>
      </c>
      <c r="L564" s="7" t="s">
        <v>7706</v>
      </c>
      <c r="M564" s="6" t="s">
        <v>7707</v>
      </c>
      <c r="N564" s="45" t="str">
        <f t="shared" ref="N564:N567" si="416">HYPERLINK("twitter.com/wctitansoftball","@wctitansoftball")</f>
        <v>@wctitansoftball</v>
      </c>
      <c r="O564" s="45" t="str">
        <f t="shared" ref="O564:O567" si="417">HYPERLINK("http://wcbluejays.com/recruits/recruit_me","Questionnaire")</f>
        <v>Questionnaire</v>
      </c>
      <c r="P564" s="48" t="s">
        <v>7580</v>
      </c>
      <c r="Q564" s="60" t="s">
        <v>2246</v>
      </c>
      <c r="R564" s="48" t="s">
        <v>7581</v>
      </c>
      <c r="S564" s="48" t="s">
        <v>172</v>
      </c>
      <c r="T564" s="49" t="s">
        <v>63</v>
      </c>
      <c r="U564" s="6" t="s">
        <v>248</v>
      </c>
      <c r="V564" s="49"/>
      <c r="W564" s="39">
        <v>3.38</v>
      </c>
      <c r="X564" s="49" t="s">
        <v>7584</v>
      </c>
      <c r="Y564" s="49" t="s">
        <v>3853</v>
      </c>
      <c r="Z564" s="49" t="s">
        <v>1650</v>
      </c>
      <c r="AA564" s="65">
        <v>0.65</v>
      </c>
      <c r="AB564" s="39">
        <v>38650</v>
      </c>
      <c r="AC564" s="90" t="s">
        <v>7580</v>
      </c>
      <c r="AD564" s="53" t="str">
        <f t="shared" ref="AD564:AD567" si="418">HYPERLINK("http://www.westminster-mo.edu/academics/majorsminors/default.html","Link")</f>
        <v>Link</v>
      </c>
      <c r="AE564" s="54">
        <v>876</v>
      </c>
      <c r="AF564" s="55"/>
      <c r="AG564" s="54">
        <v>147</v>
      </c>
      <c r="AH564" s="56">
        <v>179946</v>
      </c>
      <c r="AI564" s="56"/>
    </row>
    <row r="565" spans="1:35" ht="15" x14ac:dyDescent="0.2">
      <c r="A565" s="57"/>
      <c r="B565" s="31" t="s">
        <v>6237</v>
      </c>
      <c r="C565" s="36" t="s">
        <v>43</v>
      </c>
      <c r="D565" s="86">
        <v>5</v>
      </c>
      <c r="E565" s="7" t="s">
        <v>7720</v>
      </c>
      <c r="F565" s="7"/>
      <c r="G565" s="86"/>
      <c r="H565" s="33" t="s">
        <v>7565</v>
      </c>
      <c r="I565" s="34" t="s">
        <v>1060</v>
      </c>
      <c r="J565" s="2" t="s">
        <v>7723</v>
      </c>
      <c r="K565" s="7" t="s">
        <v>55</v>
      </c>
      <c r="L565" s="2" t="s">
        <v>7725</v>
      </c>
      <c r="M565" s="2" t="s">
        <v>7726</v>
      </c>
      <c r="N565" s="45" t="str">
        <f t="shared" si="416"/>
        <v>@wctitansoftball</v>
      </c>
      <c r="O565" s="45" t="str">
        <f t="shared" si="417"/>
        <v>Questionnaire</v>
      </c>
      <c r="P565" s="48" t="s">
        <v>7580</v>
      </c>
      <c r="Q565" s="60" t="s">
        <v>2246</v>
      </c>
      <c r="R565" s="48" t="s">
        <v>7581</v>
      </c>
      <c r="S565" s="48" t="s">
        <v>172</v>
      </c>
      <c r="T565" s="49" t="s">
        <v>63</v>
      </c>
      <c r="U565" s="6" t="s">
        <v>248</v>
      </c>
      <c r="V565" s="49"/>
      <c r="W565" s="39">
        <v>3.38</v>
      </c>
      <c r="X565" s="49" t="s">
        <v>7584</v>
      </c>
      <c r="Y565" s="49" t="s">
        <v>3853</v>
      </c>
      <c r="Z565" s="49" t="s">
        <v>1650</v>
      </c>
      <c r="AA565" s="65">
        <v>0.65</v>
      </c>
      <c r="AB565" s="39">
        <v>38650</v>
      </c>
      <c r="AC565" s="90" t="s">
        <v>7580</v>
      </c>
      <c r="AD565" s="53" t="str">
        <f t="shared" si="418"/>
        <v>Link</v>
      </c>
      <c r="AE565" s="54">
        <v>876</v>
      </c>
      <c r="AF565" s="55"/>
      <c r="AG565" s="54">
        <v>147</v>
      </c>
      <c r="AH565" s="56">
        <v>179946</v>
      </c>
      <c r="AI565" s="56"/>
    </row>
    <row r="566" spans="1:35" ht="15" x14ac:dyDescent="0.2">
      <c r="A566" s="57"/>
      <c r="B566" s="31" t="s">
        <v>6237</v>
      </c>
      <c r="C566" s="36" t="s">
        <v>43</v>
      </c>
      <c r="D566" s="86">
        <v>5</v>
      </c>
      <c r="E566" s="7" t="s">
        <v>7733</v>
      </c>
      <c r="F566" s="7"/>
      <c r="G566" s="86"/>
      <c r="H566" s="33" t="s">
        <v>7565</v>
      </c>
      <c r="I566" s="34" t="s">
        <v>361</v>
      </c>
      <c r="J566" s="2" t="s">
        <v>7735</v>
      </c>
      <c r="K566" s="7" t="s">
        <v>55</v>
      </c>
      <c r="L566" s="7"/>
      <c r="M566" s="2" t="s">
        <v>7736</v>
      </c>
      <c r="N566" s="45" t="str">
        <f t="shared" si="416"/>
        <v>@wctitansoftball</v>
      </c>
      <c r="O566" s="45" t="str">
        <f t="shared" si="417"/>
        <v>Questionnaire</v>
      </c>
      <c r="P566" s="48" t="s">
        <v>7580</v>
      </c>
      <c r="Q566" s="60" t="s">
        <v>2246</v>
      </c>
      <c r="R566" s="48" t="s">
        <v>7581</v>
      </c>
      <c r="S566" s="48" t="s">
        <v>172</v>
      </c>
      <c r="T566" s="49" t="s">
        <v>63</v>
      </c>
      <c r="U566" s="6" t="s">
        <v>248</v>
      </c>
      <c r="V566" s="49"/>
      <c r="W566" s="39">
        <v>3.38</v>
      </c>
      <c r="X566" s="49" t="s">
        <v>7584</v>
      </c>
      <c r="Y566" s="49" t="s">
        <v>3853</v>
      </c>
      <c r="Z566" s="49" t="s">
        <v>1650</v>
      </c>
      <c r="AA566" s="65">
        <v>0.65</v>
      </c>
      <c r="AB566" s="39">
        <v>38650</v>
      </c>
      <c r="AC566" s="90" t="s">
        <v>7580</v>
      </c>
      <c r="AD566" s="53" t="str">
        <f t="shared" si="418"/>
        <v>Link</v>
      </c>
      <c r="AE566" s="54">
        <v>876</v>
      </c>
      <c r="AF566" s="55"/>
      <c r="AG566" s="54">
        <v>147</v>
      </c>
      <c r="AH566" s="56">
        <v>179946</v>
      </c>
      <c r="AI566" s="56"/>
    </row>
    <row r="567" spans="1:35" ht="15" x14ac:dyDescent="0.2">
      <c r="A567" s="57"/>
      <c r="B567" s="31" t="s">
        <v>6237</v>
      </c>
      <c r="C567" s="36" t="s">
        <v>43</v>
      </c>
      <c r="D567" s="86">
        <v>5</v>
      </c>
      <c r="E567" s="7" t="s">
        <v>7743</v>
      </c>
      <c r="F567" s="7"/>
      <c r="G567" s="86"/>
      <c r="H567" s="33" t="s">
        <v>7565</v>
      </c>
      <c r="I567" s="34" t="s">
        <v>6072</v>
      </c>
      <c r="J567" s="2" t="s">
        <v>7744</v>
      </c>
      <c r="K567" s="7" t="s">
        <v>55</v>
      </c>
      <c r="L567" s="7"/>
      <c r="M567" s="2"/>
      <c r="N567" s="45" t="str">
        <f t="shared" si="416"/>
        <v>@wctitansoftball</v>
      </c>
      <c r="O567" s="45" t="str">
        <f t="shared" si="417"/>
        <v>Questionnaire</v>
      </c>
      <c r="P567" s="48" t="s">
        <v>7580</v>
      </c>
      <c r="Q567" s="60" t="s">
        <v>2246</v>
      </c>
      <c r="R567" s="48" t="s">
        <v>7581</v>
      </c>
      <c r="S567" s="48" t="s">
        <v>172</v>
      </c>
      <c r="T567" s="49" t="s">
        <v>63</v>
      </c>
      <c r="U567" s="6" t="s">
        <v>248</v>
      </c>
      <c r="V567" s="49"/>
      <c r="W567" s="39">
        <v>3.38</v>
      </c>
      <c r="X567" s="49" t="s">
        <v>7584</v>
      </c>
      <c r="Y567" s="49" t="s">
        <v>3853</v>
      </c>
      <c r="Z567" s="49" t="s">
        <v>1650</v>
      </c>
      <c r="AA567" s="65">
        <v>0.65</v>
      </c>
      <c r="AB567" s="39">
        <v>38650</v>
      </c>
      <c r="AC567" s="90" t="s">
        <v>7580</v>
      </c>
      <c r="AD567" s="53" t="str">
        <f t="shared" si="418"/>
        <v>Link</v>
      </c>
      <c r="AE567" s="54">
        <v>876</v>
      </c>
      <c r="AF567" s="55"/>
      <c r="AG567" s="54">
        <v>147</v>
      </c>
      <c r="AH567" s="56">
        <v>179946</v>
      </c>
      <c r="AI567" s="56"/>
    </row>
    <row r="568" spans="1:35" ht="15" x14ac:dyDescent="0.2">
      <c r="A568" s="47"/>
      <c r="B568" s="105" t="s">
        <v>4734</v>
      </c>
      <c r="C568" s="60" t="s">
        <v>43</v>
      </c>
      <c r="D568" s="44">
        <v>5</v>
      </c>
      <c r="E568" s="7" t="s">
        <v>7751</v>
      </c>
      <c r="F568" s="7" t="s">
        <v>116</v>
      </c>
      <c r="G568" s="57"/>
      <c r="H568" s="141" t="s">
        <v>7752</v>
      </c>
      <c r="I568" s="7" t="s">
        <v>537</v>
      </c>
      <c r="J568" s="7" t="s">
        <v>7760</v>
      </c>
      <c r="K568" s="7" t="s">
        <v>55</v>
      </c>
      <c r="L568" s="7"/>
      <c r="M568" s="7"/>
      <c r="N568" s="48"/>
      <c r="O568" s="45" t="str">
        <f t="shared" ref="O568:O573" si="419">HYPERLINK("https://nwusports.com/sports/2013/10/9/Recruiting.aspx","Questionnaire")</f>
        <v>Questionnaire</v>
      </c>
      <c r="P568" s="48" t="s">
        <v>7764</v>
      </c>
      <c r="Q568" s="60" t="s">
        <v>3105</v>
      </c>
      <c r="R568" s="48" t="s">
        <v>4736</v>
      </c>
      <c r="S568" s="48" t="s">
        <v>62</v>
      </c>
      <c r="T568" s="49" t="s">
        <v>63</v>
      </c>
      <c r="U568" s="6" t="s">
        <v>65</v>
      </c>
      <c r="V568" s="49"/>
      <c r="W568" s="39">
        <v>3.63</v>
      </c>
      <c r="X568" s="49" t="s">
        <v>1648</v>
      </c>
      <c r="Y568" s="49" t="s">
        <v>4412</v>
      </c>
      <c r="Z568" s="49" t="s">
        <v>545</v>
      </c>
      <c r="AA568" s="65">
        <v>0.74</v>
      </c>
      <c r="AB568" s="39">
        <v>44652</v>
      </c>
      <c r="AC568" s="52" t="s">
        <v>7764</v>
      </c>
      <c r="AD568" s="53" t="str">
        <f t="shared" ref="AD568:AD573" si="420">HYPERLINK("https://www.nebrwesleyan.edu/undergraduate/majors-and-minors","Link")</f>
        <v>Link</v>
      </c>
      <c r="AE568" s="54">
        <v>1816</v>
      </c>
      <c r="AF568" s="55"/>
      <c r="AG568" s="55"/>
      <c r="AH568" s="56">
        <v>181446</v>
      </c>
      <c r="AI568" s="59"/>
    </row>
    <row r="569" spans="1:35" ht="15" x14ac:dyDescent="0.2">
      <c r="A569" s="47"/>
      <c r="B569" s="105" t="s">
        <v>4734</v>
      </c>
      <c r="C569" s="60" t="s">
        <v>43</v>
      </c>
      <c r="D569" s="44">
        <v>5</v>
      </c>
      <c r="E569" s="7" t="s">
        <v>7774</v>
      </c>
      <c r="F569" s="7" t="s">
        <v>116</v>
      </c>
      <c r="G569" s="57"/>
      <c r="H569" s="141" t="s">
        <v>7752</v>
      </c>
      <c r="I569" s="7" t="s">
        <v>7775</v>
      </c>
      <c r="J569" s="7" t="s">
        <v>7776</v>
      </c>
      <c r="K569" s="7" t="s">
        <v>55</v>
      </c>
      <c r="L569" s="7"/>
      <c r="M569" s="7"/>
      <c r="N569" s="48"/>
      <c r="O569" s="45" t="str">
        <f t="shared" si="419"/>
        <v>Questionnaire</v>
      </c>
      <c r="P569" s="48" t="s">
        <v>7764</v>
      </c>
      <c r="Q569" s="60" t="s">
        <v>3105</v>
      </c>
      <c r="R569" s="48" t="s">
        <v>4736</v>
      </c>
      <c r="S569" s="48" t="s">
        <v>62</v>
      </c>
      <c r="T569" s="49" t="s">
        <v>63</v>
      </c>
      <c r="U569" s="6" t="s">
        <v>65</v>
      </c>
      <c r="V569" s="49"/>
      <c r="W569" s="39">
        <v>3.63</v>
      </c>
      <c r="X569" s="49" t="s">
        <v>1648</v>
      </c>
      <c r="Y569" s="49" t="s">
        <v>4412</v>
      </c>
      <c r="Z569" s="49" t="s">
        <v>545</v>
      </c>
      <c r="AA569" s="65">
        <v>0.74</v>
      </c>
      <c r="AB569" s="39">
        <v>44652</v>
      </c>
      <c r="AC569" s="52" t="s">
        <v>7764</v>
      </c>
      <c r="AD569" s="53" t="str">
        <f t="shared" si="420"/>
        <v>Link</v>
      </c>
      <c r="AE569" s="54">
        <v>1816</v>
      </c>
      <c r="AF569" s="55"/>
      <c r="AG569" s="55"/>
      <c r="AH569" s="56">
        <v>181446</v>
      </c>
      <c r="AI569" s="59"/>
    </row>
    <row r="570" spans="1:35" ht="15" x14ac:dyDescent="0.2">
      <c r="A570" s="47"/>
      <c r="B570" s="105" t="s">
        <v>4734</v>
      </c>
      <c r="C570" s="60" t="s">
        <v>43</v>
      </c>
      <c r="D570" s="44">
        <v>5</v>
      </c>
      <c r="E570" s="7" t="s">
        <v>5955</v>
      </c>
      <c r="F570" s="7" t="s">
        <v>116</v>
      </c>
      <c r="G570" s="57"/>
      <c r="H570" s="141" t="s">
        <v>7752</v>
      </c>
      <c r="I570" s="7" t="s">
        <v>7782</v>
      </c>
      <c r="J570" s="7" t="s">
        <v>7783</v>
      </c>
      <c r="K570" s="7" t="s">
        <v>55</v>
      </c>
      <c r="L570" s="7"/>
      <c r="M570" s="7"/>
      <c r="N570" s="48"/>
      <c r="O570" s="45" t="str">
        <f t="shared" si="419"/>
        <v>Questionnaire</v>
      </c>
      <c r="P570" s="48" t="s">
        <v>7764</v>
      </c>
      <c r="Q570" s="60" t="s">
        <v>3105</v>
      </c>
      <c r="R570" s="48" t="s">
        <v>4736</v>
      </c>
      <c r="S570" s="48" t="s">
        <v>62</v>
      </c>
      <c r="T570" s="49" t="s">
        <v>63</v>
      </c>
      <c r="U570" s="6" t="s">
        <v>65</v>
      </c>
      <c r="V570" s="49"/>
      <c r="W570" s="39">
        <v>3.63</v>
      </c>
      <c r="X570" s="49" t="s">
        <v>1648</v>
      </c>
      <c r="Y570" s="49" t="s">
        <v>4412</v>
      </c>
      <c r="Z570" s="49" t="s">
        <v>545</v>
      </c>
      <c r="AA570" s="65">
        <v>0.74</v>
      </c>
      <c r="AB570" s="39">
        <v>44652</v>
      </c>
      <c r="AC570" s="52" t="s">
        <v>7764</v>
      </c>
      <c r="AD570" s="53" t="str">
        <f t="shared" si="420"/>
        <v>Link</v>
      </c>
      <c r="AE570" s="54">
        <v>1816</v>
      </c>
      <c r="AF570" s="55"/>
      <c r="AG570" s="55"/>
      <c r="AH570" s="56">
        <v>181446</v>
      </c>
      <c r="AI570" s="59"/>
    </row>
    <row r="571" spans="1:35" ht="15" x14ac:dyDescent="0.2">
      <c r="A571" s="47"/>
      <c r="B571" s="105" t="s">
        <v>4734</v>
      </c>
      <c r="C571" s="60" t="s">
        <v>43</v>
      </c>
      <c r="D571" s="86">
        <v>5</v>
      </c>
      <c r="E571" s="7" t="s">
        <v>7789</v>
      </c>
      <c r="F571" s="7"/>
      <c r="G571" s="86"/>
      <c r="H571" s="141" t="s">
        <v>7752</v>
      </c>
      <c r="I571" s="34" t="s">
        <v>2150</v>
      </c>
      <c r="J571" s="33" t="s">
        <v>7792</v>
      </c>
      <c r="K571" s="33" t="s">
        <v>48</v>
      </c>
      <c r="L571" s="2" t="s">
        <v>7794</v>
      </c>
      <c r="M571" s="2" t="s">
        <v>7796</v>
      </c>
      <c r="N571" s="48"/>
      <c r="O571" s="45" t="str">
        <f t="shared" si="419"/>
        <v>Questionnaire</v>
      </c>
      <c r="P571" s="48" t="s">
        <v>7764</v>
      </c>
      <c r="Q571" s="60" t="s">
        <v>3105</v>
      </c>
      <c r="R571" s="48" t="s">
        <v>4736</v>
      </c>
      <c r="S571" s="48" t="s">
        <v>62</v>
      </c>
      <c r="T571" s="49" t="s">
        <v>63</v>
      </c>
      <c r="U571" s="6" t="s">
        <v>65</v>
      </c>
      <c r="V571" s="49"/>
      <c r="W571" s="39">
        <v>3.63</v>
      </c>
      <c r="X571" s="49" t="s">
        <v>1648</v>
      </c>
      <c r="Y571" s="49" t="s">
        <v>4412</v>
      </c>
      <c r="Z571" s="49" t="s">
        <v>545</v>
      </c>
      <c r="AA571" s="65">
        <v>0.74</v>
      </c>
      <c r="AB571" s="39">
        <v>44652</v>
      </c>
      <c r="AC571" s="52" t="s">
        <v>7764</v>
      </c>
      <c r="AD571" s="53" t="str">
        <f t="shared" si="420"/>
        <v>Link</v>
      </c>
      <c r="AE571" s="54">
        <v>1816</v>
      </c>
      <c r="AF571" s="55"/>
      <c r="AG571" s="55"/>
      <c r="AH571" s="56">
        <v>181446</v>
      </c>
      <c r="AI571" s="56"/>
    </row>
    <row r="572" spans="1:35" ht="15" x14ac:dyDescent="0.2">
      <c r="A572" s="47"/>
      <c r="B572" s="105" t="s">
        <v>4734</v>
      </c>
      <c r="C572" s="60" t="s">
        <v>43</v>
      </c>
      <c r="D572" s="86">
        <v>5</v>
      </c>
      <c r="E572" s="7" t="s">
        <v>7798</v>
      </c>
      <c r="F572" s="7"/>
      <c r="G572" s="86"/>
      <c r="H572" s="141" t="s">
        <v>7752</v>
      </c>
      <c r="I572" s="34" t="s">
        <v>754</v>
      </c>
      <c r="J572" s="33" t="s">
        <v>7800</v>
      </c>
      <c r="K572" s="33" t="s">
        <v>55</v>
      </c>
      <c r="L572" s="2" t="s">
        <v>7802</v>
      </c>
      <c r="M572" s="2"/>
      <c r="N572" s="48"/>
      <c r="O572" s="45" t="str">
        <f t="shared" si="419"/>
        <v>Questionnaire</v>
      </c>
      <c r="P572" s="48" t="s">
        <v>7764</v>
      </c>
      <c r="Q572" s="60" t="s">
        <v>3105</v>
      </c>
      <c r="R572" s="48" t="s">
        <v>4736</v>
      </c>
      <c r="S572" s="48" t="s">
        <v>62</v>
      </c>
      <c r="T572" s="49" t="s">
        <v>63</v>
      </c>
      <c r="U572" s="6" t="s">
        <v>65</v>
      </c>
      <c r="V572" s="49"/>
      <c r="W572" s="39">
        <v>3.63</v>
      </c>
      <c r="X572" s="49" t="s">
        <v>1648</v>
      </c>
      <c r="Y572" s="49" t="s">
        <v>4412</v>
      </c>
      <c r="Z572" s="49" t="s">
        <v>545</v>
      </c>
      <c r="AA572" s="65">
        <v>0.74</v>
      </c>
      <c r="AB572" s="39">
        <v>44652</v>
      </c>
      <c r="AC572" s="52" t="s">
        <v>7764</v>
      </c>
      <c r="AD572" s="53" t="str">
        <f t="shared" si="420"/>
        <v>Link</v>
      </c>
      <c r="AE572" s="54">
        <v>1816</v>
      </c>
      <c r="AF572" s="55"/>
      <c r="AG572" s="55"/>
      <c r="AH572" s="56">
        <v>181446</v>
      </c>
      <c r="AI572" s="56"/>
    </row>
    <row r="573" spans="1:35" ht="15" x14ac:dyDescent="0.2">
      <c r="A573" s="47"/>
      <c r="B573" s="105" t="s">
        <v>4734</v>
      </c>
      <c r="C573" s="60" t="s">
        <v>43</v>
      </c>
      <c r="D573" s="86">
        <v>5</v>
      </c>
      <c r="E573" s="7" t="s">
        <v>7811</v>
      </c>
      <c r="F573" s="7"/>
      <c r="G573" s="86"/>
      <c r="H573" s="141" t="s">
        <v>7752</v>
      </c>
      <c r="I573" s="2" t="s">
        <v>7812</v>
      </c>
      <c r="J573" s="2" t="s">
        <v>7813</v>
      </c>
      <c r="K573" s="2" t="s">
        <v>55</v>
      </c>
      <c r="L573" s="130" t="s">
        <v>7814</v>
      </c>
      <c r="M573" s="2"/>
      <c r="N573" s="48"/>
      <c r="O573" s="45" t="str">
        <f t="shared" si="419"/>
        <v>Questionnaire</v>
      </c>
      <c r="P573" s="48" t="s">
        <v>7764</v>
      </c>
      <c r="Q573" s="60" t="s">
        <v>3105</v>
      </c>
      <c r="R573" s="48" t="s">
        <v>4736</v>
      </c>
      <c r="S573" s="48" t="s">
        <v>62</v>
      </c>
      <c r="T573" s="49" t="s">
        <v>63</v>
      </c>
      <c r="U573" s="6" t="s">
        <v>65</v>
      </c>
      <c r="V573" s="49"/>
      <c r="W573" s="39">
        <v>3.63</v>
      </c>
      <c r="X573" s="49" t="s">
        <v>1648</v>
      </c>
      <c r="Y573" s="49" t="s">
        <v>4412</v>
      </c>
      <c r="Z573" s="49" t="s">
        <v>545</v>
      </c>
      <c r="AA573" s="65">
        <v>0.74</v>
      </c>
      <c r="AB573" s="39">
        <v>44652</v>
      </c>
      <c r="AC573" s="52" t="s">
        <v>7764</v>
      </c>
      <c r="AD573" s="53" t="str">
        <f t="shared" si="420"/>
        <v>Link</v>
      </c>
      <c r="AE573" s="54">
        <v>1816</v>
      </c>
      <c r="AF573" s="55"/>
      <c r="AG573" s="55"/>
      <c r="AH573" s="56">
        <v>181446</v>
      </c>
      <c r="AI573" s="56"/>
    </row>
    <row r="574" spans="1:35" ht="15" x14ac:dyDescent="0.2">
      <c r="A574" s="47"/>
      <c r="B574" s="105" t="s">
        <v>6873</v>
      </c>
      <c r="C574" s="60" t="s">
        <v>43</v>
      </c>
      <c r="D574" s="86">
        <v>5</v>
      </c>
      <c r="E574" s="7" t="s">
        <v>7818</v>
      </c>
      <c r="F574" s="7"/>
      <c r="G574" s="86"/>
      <c r="H574" s="141" t="s">
        <v>7819</v>
      </c>
      <c r="I574" s="34" t="s">
        <v>7821</v>
      </c>
      <c r="J574" s="33" t="s">
        <v>7822</v>
      </c>
      <c r="K574" s="33" t="s">
        <v>48</v>
      </c>
      <c r="L574" s="34" t="s">
        <v>7823</v>
      </c>
      <c r="M574" s="2" t="s">
        <v>7825</v>
      </c>
      <c r="N574" s="45" t="str">
        <f t="shared" ref="N574:N577" si="421">HYPERLINK("twitter.com/KSCsoftball","@KSCsoftball")</f>
        <v>@KSCsoftball</v>
      </c>
      <c r="O574" s="45" t="str">
        <f t="shared" ref="O574:O577" si="422">HYPERLINK("http://www.keeneowls.com/recruitme/Prospective_Athlete_Page","Questionnaire")</f>
        <v>Questionnaire</v>
      </c>
      <c r="P574" s="48" t="s">
        <v>7836</v>
      </c>
      <c r="Q574" s="60" t="s">
        <v>6890</v>
      </c>
      <c r="R574" s="48" t="s">
        <v>7838</v>
      </c>
      <c r="S574" s="48" t="s">
        <v>172</v>
      </c>
      <c r="T574" s="49" t="s">
        <v>74</v>
      </c>
      <c r="U574" s="48" t="s">
        <v>75</v>
      </c>
      <c r="V574" s="49"/>
      <c r="W574" s="39">
        <v>3</v>
      </c>
      <c r="X574" s="49" t="s">
        <v>1145</v>
      </c>
      <c r="Y574" s="49" t="s">
        <v>2257</v>
      </c>
      <c r="Z574" s="49" t="s">
        <v>841</v>
      </c>
      <c r="AA574" s="65">
        <v>0.83</v>
      </c>
      <c r="AB574" s="48" t="s">
        <v>7839</v>
      </c>
      <c r="AC574" s="84" t="s">
        <v>7836</v>
      </c>
      <c r="AD574" s="53" t="str">
        <f t="shared" ref="AD574:AD577" si="423">HYPERLINK("https://www.keene.edu/academics/programs/","Link")</f>
        <v>Link</v>
      </c>
      <c r="AE574" s="54">
        <v>4165</v>
      </c>
      <c r="AF574" s="55"/>
      <c r="AG574" s="55"/>
      <c r="AH574" s="56">
        <v>183062</v>
      </c>
      <c r="AI574" s="56"/>
    </row>
    <row r="575" spans="1:35" ht="15" x14ac:dyDescent="0.2">
      <c r="A575" s="47"/>
      <c r="B575" s="105" t="s">
        <v>6873</v>
      </c>
      <c r="C575" s="60" t="s">
        <v>43</v>
      </c>
      <c r="D575" s="86">
        <v>5</v>
      </c>
      <c r="E575" s="7" t="s">
        <v>7841</v>
      </c>
      <c r="F575" s="7"/>
      <c r="G575" s="86"/>
      <c r="H575" s="141" t="s">
        <v>7819</v>
      </c>
      <c r="I575" s="2" t="s">
        <v>7843</v>
      </c>
      <c r="J575" s="33" t="s">
        <v>7844</v>
      </c>
      <c r="K575" s="33" t="s">
        <v>55</v>
      </c>
      <c r="L575" s="2"/>
      <c r="M575" s="2"/>
      <c r="N575" s="45" t="str">
        <f t="shared" si="421"/>
        <v>@KSCsoftball</v>
      </c>
      <c r="O575" s="45" t="str">
        <f t="shared" si="422"/>
        <v>Questionnaire</v>
      </c>
      <c r="P575" s="48" t="s">
        <v>7836</v>
      </c>
      <c r="Q575" s="60" t="s">
        <v>6890</v>
      </c>
      <c r="R575" s="48" t="s">
        <v>7838</v>
      </c>
      <c r="S575" s="48" t="s">
        <v>172</v>
      </c>
      <c r="T575" s="49" t="s">
        <v>74</v>
      </c>
      <c r="U575" s="48" t="s">
        <v>75</v>
      </c>
      <c r="V575" s="49"/>
      <c r="W575" s="39">
        <v>3</v>
      </c>
      <c r="X575" s="49" t="s">
        <v>1145</v>
      </c>
      <c r="Y575" s="49" t="s">
        <v>2257</v>
      </c>
      <c r="Z575" s="49" t="s">
        <v>841</v>
      </c>
      <c r="AA575" s="65">
        <v>0.83</v>
      </c>
      <c r="AB575" s="48" t="s">
        <v>7839</v>
      </c>
      <c r="AC575" s="84" t="s">
        <v>7836</v>
      </c>
      <c r="AD575" s="53" t="str">
        <f t="shared" si="423"/>
        <v>Link</v>
      </c>
      <c r="AE575" s="54">
        <v>4165</v>
      </c>
      <c r="AF575" s="55"/>
      <c r="AG575" s="55"/>
      <c r="AH575" s="56">
        <v>183062</v>
      </c>
      <c r="AI575" s="56"/>
    </row>
    <row r="576" spans="1:35" ht="15" x14ac:dyDescent="0.2">
      <c r="A576" s="47"/>
      <c r="B576" s="105" t="s">
        <v>6873</v>
      </c>
      <c r="C576" s="60" t="s">
        <v>43</v>
      </c>
      <c r="D576" s="86">
        <v>5</v>
      </c>
      <c r="E576" s="7" t="s">
        <v>7852</v>
      </c>
      <c r="F576" s="7"/>
      <c r="G576" s="86"/>
      <c r="H576" s="141" t="s">
        <v>7819</v>
      </c>
      <c r="I576" s="2" t="s">
        <v>7853</v>
      </c>
      <c r="J576" s="33" t="s">
        <v>7854</v>
      </c>
      <c r="K576" s="33" t="s">
        <v>55</v>
      </c>
      <c r="L576" s="2"/>
      <c r="M576" s="6"/>
      <c r="N576" s="45" t="str">
        <f t="shared" si="421"/>
        <v>@KSCsoftball</v>
      </c>
      <c r="O576" s="45" t="str">
        <f t="shared" si="422"/>
        <v>Questionnaire</v>
      </c>
      <c r="P576" s="48" t="s">
        <v>7836</v>
      </c>
      <c r="Q576" s="60" t="s">
        <v>6890</v>
      </c>
      <c r="R576" s="48" t="s">
        <v>7838</v>
      </c>
      <c r="S576" s="48" t="s">
        <v>172</v>
      </c>
      <c r="T576" s="49" t="s">
        <v>74</v>
      </c>
      <c r="U576" s="48" t="s">
        <v>75</v>
      </c>
      <c r="V576" s="49"/>
      <c r="W576" s="65">
        <v>3</v>
      </c>
      <c r="X576" s="49" t="s">
        <v>1145</v>
      </c>
      <c r="Y576" s="49" t="s">
        <v>2257</v>
      </c>
      <c r="Z576" s="49" t="s">
        <v>841</v>
      </c>
      <c r="AA576" s="65">
        <v>0.83</v>
      </c>
      <c r="AB576" s="48" t="s">
        <v>7839</v>
      </c>
      <c r="AC576" s="84" t="s">
        <v>7836</v>
      </c>
      <c r="AD576" s="53" t="str">
        <f t="shared" si="423"/>
        <v>Link</v>
      </c>
      <c r="AE576" s="54">
        <v>4165</v>
      </c>
      <c r="AF576" s="55"/>
      <c r="AG576" s="55"/>
      <c r="AH576" s="56">
        <v>183062</v>
      </c>
      <c r="AI576" s="56"/>
    </row>
    <row r="577" spans="1:35" ht="15" x14ac:dyDescent="0.2">
      <c r="A577" s="47"/>
      <c r="B577" s="105" t="s">
        <v>6873</v>
      </c>
      <c r="C577" s="60" t="s">
        <v>43</v>
      </c>
      <c r="D577" s="86">
        <v>5</v>
      </c>
      <c r="E577" s="7" t="s">
        <v>7862</v>
      </c>
      <c r="F577" s="7"/>
      <c r="G577" s="86"/>
      <c r="H577" s="141" t="s">
        <v>7819</v>
      </c>
      <c r="I577" s="2" t="s">
        <v>1875</v>
      </c>
      <c r="J577" s="33" t="s">
        <v>5816</v>
      </c>
      <c r="K577" s="33" t="s">
        <v>55</v>
      </c>
      <c r="L577" s="2"/>
      <c r="M577" s="6"/>
      <c r="N577" s="45" t="str">
        <f t="shared" si="421"/>
        <v>@KSCsoftball</v>
      </c>
      <c r="O577" s="45" t="str">
        <f t="shared" si="422"/>
        <v>Questionnaire</v>
      </c>
      <c r="P577" s="48" t="s">
        <v>7836</v>
      </c>
      <c r="Q577" s="60" t="s">
        <v>6890</v>
      </c>
      <c r="R577" s="48" t="s">
        <v>7838</v>
      </c>
      <c r="S577" s="48" t="s">
        <v>172</v>
      </c>
      <c r="T577" s="49" t="s">
        <v>74</v>
      </c>
      <c r="U577" s="48" t="s">
        <v>75</v>
      </c>
      <c r="V577" s="49"/>
      <c r="W577" s="65">
        <v>3</v>
      </c>
      <c r="X577" s="49" t="s">
        <v>1145</v>
      </c>
      <c r="Y577" s="49" t="s">
        <v>2257</v>
      </c>
      <c r="Z577" s="49" t="s">
        <v>841</v>
      </c>
      <c r="AA577" s="65">
        <v>0.83</v>
      </c>
      <c r="AB577" s="48" t="s">
        <v>7839</v>
      </c>
      <c r="AC577" s="84" t="s">
        <v>7836</v>
      </c>
      <c r="AD577" s="53" t="str">
        <f t="shared" si="423"/>
        <v>Link</v>
      </c>
      <c r="AE577" s="54">
        <v>4165</v>
      </c>
      <c r="AF577" s="55"/>
      <c r="AG577" s="55"/>
      <c r="AH577" s="56">
        <v>183062</v>
      </c>
      <c r="AI577" s="56"/>
    </row>
    <row r="578" spans="1:35" ht="15" x14ac:dyDescent="0.2">
      <c r="A578" s="47"/>
      <c r="B578" s="105" t="s">
        <v>6873</v>
      </c>
      <c r="C578" s="60" t="s">
        <v>43</v>
      </c>
      <c r="D578" s="86">
        <v>5</v>
      </c>
      <c r="E578" s="7" t="s">
        <v>7871</v>
      </c>
      <c r="F578" s="7"/>
      <c r="G578" s="86"/>
      <c r="H578" s="6" t="s">
        <v>7872</v>
      </c>
      <c r="I578" s="34" t="s">
        <v>3197</v>
      </c>
      <c r="J578" s="33" t="s">
        <v>7873</v>
      </c>
      <c r="K578" s="33" t="s">
        <v>48</v>
      </c>
      <c r="L578" s="2" t="s">
        <v>7874</v>
      </c>
      <c r="M578" s="2" t="s">
        <v>7876</v>
      </c>
      <c r="N578" s="45" t="str">
        <f t="shared" ref="N578:N579" si="424">HYPERLINK("twitter.com/necpilgrimssb","@necpilgrimssb")</f>
        <v>@necpilgrimssb</v>
      </c>
      <c r="O578" s="45" t="str">
        <f t="shared" ref="O578:O579" si="425">HYPERLINK("https://athletics.nec.edu/sb_output.aspx?form=3","Questionnaire")</f>
        <v>Questionnaire</v>
      </c>
      <c r="P578" s="48" t="s">
        <v>7872</v>
      </c>
      <c r="Q578" s="60" t="s">
        <v>6890</v>
      </c>
      <c r="R578" s="48" t="s">
        <v>7884</v>
      </c>
      <c r="S578" s="60" t="s">
        <v>205</v>
      </c>
      <c r="T578" s="49" t="s">
        <v>63</v>
      </c>
      <c r="U578" s="48" t="s">
        <v>75</v>
      </c>
      <c r="V578" s="49"/>
      <c r="W578" s="39">
        <v>2.57</v>
      </c>
      <c r="X578" s="49" t="s">
        <v>214</v>
      </c>
      <c r="Y578" s="49" t="s">
        <v>214</v>
      </c>
      <c r="Z578" s="49" t="s">
        <v>214</v>
      </c>
      <c r="AA578" s="65">
        <v>0.99</v>
      </c>
      <c r="AB578" s="39">
        <v>52488</v>
      </c>
      <c r="AC578" s="84" t="s">
        <v>7872</v>
      </c>
      <c r="AD578" s="53" t="str">
        <f t="shared" ref="AD578:AD579" si="426">HYPERLINK("https://www.nec.edu/academics/bachelor-degree-programs/","Link")</f>
        <v>Link</v>
      </c>
      <c r="AE578" s="54">
        <v>1771</v>
      </c>
      <c r="AF578" s="55"/>
      <c r="AG578" s="55"/>
      <c r="AH578" s="56">
        <v>182980</v>
      </c>
      <c r="AI578" s="56"/>
    </row>
    <row r="579" spans="1:35" ht="13" x14ac:dyDescent="0.15">
      <c r="A579" s="47"/>
      <c r="B579" s="105" t="s">
        <v>6873</v>
      </c>
      <c r="C579" s="60" t="s">
        <v>43</v>
      </c>
      <c r="D579" s="86">
        <v>5</v>
      </c>
      <c r="E579" s="7" t="s">
        <v>7892</v>
      </c>
      <c r="F579" s="7"/>
      <c r="G579" s="86"/>
      <c r="H579" s="6" t="s">
        <v>7872</v>
      </c>
      <c r="I579" s="2" t="s">
        <v>363</v>
      </c>
      <c r="J579" s="2" t="s">
        <v>4700</v>
      </c>
      <c r="K579" s="2" t="s">
        <v>55</v>
      </c>
      <c r="L579" s="95" t="s">
        <v>7893</v>
      </c>
      <c r="M579" s="2"/>
      <c r="N579" s="45" t="str">
        <f t="shared" si="424"/>
        <v>@necpilgrimssb</v>
      </c>
      <c r="O579" s="45" t="str">
        <f t="shared" si="425"/>
        <v>Questionnaire</v>
      </c>
      <c r="P579" s="48" t="s">
        <v>7872</v>
      </c>
      <c r="Q579" s="60" t="s">
        <v>6890</v>
      </c>
      <c r="R579" s="48" t="s">
        <v>7884</v>
      </c>
      <c r="S579" s="60" t="s">
        <v>205</v>
      </c>
      <c r="T579" s="49" t="s">
        <v>63</v>
      </c>
      <c r="U579" s="48" t="s">
        <v>75</v>
      </c>
      <c r="V579" s="49"/>
      <c r="W579" s="39">
        <v>2.57</v>
      </c>
      <c r="X579" s="49" t="s">
        <v>214</v>
      </c>
      <c r="Y579" s="49" t="s">
        <v>214</v>
      </c>
      <c r="Z579" s="49" t="s">
        <v>214</v>
      </c>
      <c r="AA579" s="65">
        <v>0.99</v>
      </c>
      <c r="AB579" s="39">
        <v>52488</v>
      </c>
      <c r="AC579" s="84" t="s">
        <v>7872</v>
      </c>
      <c r="AD579" s="53" t="str">
        <f t="shared" si="426"/>
        <v>Link</v>
      </c>
      <c r="AE579" s="54">
        <v>1771</v>
      </c>
      <c r="AF579" s="55"/>
      <c r="AG579" s="55"/>
      <c r="AH579" s="56">
        <v>182980</v>
      </c>
      <c r="AI579" s="56"/>
    </row>
    <row r="580" spans="1:35" ht="15" x14ac:dyDescent="0.2">
      <c r="A580" s="47"/>
      <c r="B580" s="105" t="s">
        <v>6873</v>
      </c>
      <c r="C580" s="6" t="s">
        <v>43</v>
      </c>
      <c r="D580" s="44">
        <v>5</v>
      </c>
      <c r="E580" s="7" t="s">
        <v>7897</v>
      </c>
      <c r="F580" s="7"/>
      <c r="G580" s="7"/>
      <c r="H580" s="141" t="s">
        <v>7898</v>
      </c>
      <c r="I580" s="7" t="s">
        <v>1351</v>
      </c>
      <c r="J580" s="7" t="s">
        <v>7900</v>
      </c>
      <c r="K580" s="7" t="s">
        <v>55</v>
      </c>
      <c r="L580" s="7"/>
      <c r="M580" s="7"/>
      <c r="N580" s="48"/>
      <c r="O580" s="48"/>
      <c r="P580" s="48" t="s">
        <v>7901</v>
      </c>
      <c r="Q580" s="47" t="s">
        <v>6890</v>
      </c>
      <c r="R580" s="48" t="s">
        <v>7902</v>
      </c>
      <c r="S580" s="60" t="s">
        <v>205</v>
      </c>
      <c r="T580" s="49" t="s">
        <v>74</v>
      </c>
      <c r="U580" s="49" t="s">
        <v>75</v>
      </c>
      <c r="V580" s="49"/>
      <c r="W580" s="71">
        <v>2.95</v>
      </c>
      <c r="X580" s="49" t="s">
        <v>447</v>
      </c>
      <c r="Y580" s="49" t="s">
        <v>1145</v>
      </c>
      <c r="Z580" s="49" t="s">
        <v>1339</v>
      </c>
      <c r="AA580" s="61">
        <v>0.79</v>
      </c>
      <c r="AB580" s="48" t="s">
        <v>7903</v>
      </c>
      <c r="AC580" s="62" t="s">
        <v>7901</v>
      </c>
      <c r="AD580" s="53" t="str">
        <f t="shared" ref="AD580:AD583" si="427">HYPERLINK("https://www.plymouth.edu/undergraduate/curriculum-planning-guides/","Link")</f>
        <v>Link</v>
      </c>
      <c r="AE580" s="54">
        <v>4124</v>
      </c>
      <c r="AF580" s="55"/>
      <c r="AG580" s="55"/>
      <c r="AH580" s="56">
        <v>183080</v>
      </c>
      <c r="AI580" s="56"/>
    </row>
    <row r="581" spans="1:35" ht="15" x14ac:dyDescent="0.2">
      <c r="A581" s="47"/>
      <c r="B581" s="105" t="s">
        <v>6873</v>
      </c>
      <c r="C581" s="60" t="s">
        <v>43</v>
      </c>
      <c r="D581" s="86">
        <v>5</v>
      </c>
      <c r="E581" s="7" t="s">
        <v>7909</v>
      </c>
      <c r="F581" s="7"/>
      <c r="G581" s="86"/>
      <c r="H581" s="141" t="s">
        <v>7898</v>
      </c>
      <c r="I581" s="34" t="s">
        <v>1212</v>
      </c>
      <c r="J581" s="2" t="s">
        <v>7911</v>
      </c>
      <c r="K581" s="2" t="s">
        <v>48</v>
      </c>
      <c r="L581" s="2" t="s">
        <v>7913</v>
      </c>
      <c r="M581" s="2" t="s">
        <v>7914</v>
      </c>
      <c r="N581" s="45" t="str">
        <f t="shared" ref="N581:N583" si="428">HYPERLINK("twitter.com/pstatesoftball","@pstatesoftball")</f>
        <v>@pstatesoftball</v>
      </c>
      <c r="O581" s="45" t="str">
        <f t="shared" ref="O581:O583" si="429">HYPERLINK("http://athletics.plymouth.edu/information/Recruiting/Index","Questionnaire")</f>
        <v>Questionnaire</v>
      </c>
      <c r="P581" s="48" t="s">
        <v>7901</v>
      </c>
      <c r="Q581" s="60" t="s">
        <v>6890</v>
      </c>
      <c r="R581" s="48" t="s">
        <v>7902</v>
      </c>
      <c r="S581" s="60" t="s">
        <v>205</v>
      </c>
      <c r="T581" s="49" t="s">
        <v>74</v>
      </c>
      <c r="U581" s="48" t="s">
        <v>75</v>
      </c>
      <c r="V581" s="49"/>
      <c r="W581" s="39">
        <v>2.95</v>
      </c>
      <c r="X581" s="49" t="s">
        <v>447</v>
      </c>
      <c r="Y581" s="49" t="s">
        <v>1145</v>
      </c>
      <c r="Z581" s="49" t="s">
        <v>1339</v>
      </c>
      <c r="AA581" s="65">
        <v>0.79</v>
      </c>
      <c r="AB581" s="48" t="s">
        <v>7903</v>
      </c>
      <c r="AC581" s="84" t="s">
        <v>7901</v>
      </c>
      <c r="AD581" s="53" t="str">
        <f t="shared" si="427"/>
        <v>Link</v>
      </c>
      <c r="AE581" s="54">
        <v>4124</v>
      </c>
      <c r="AF581" s="55"/>
      <c r="AG581" s="55"/>
      <c r="AH581" s="56">
        <v>183080</v>
      </c>
      <c r="AI581" s="56"/>
    </row>
    <row r="582" spans="1:35" ht="15" x14ac:dyDescent="0.2">
      <c r="A582" s="47"/>
      <c r="B582" s="105" t="s">
        <v>6873</v>
      </c>
      <c r="C582" s="60" t="s">
        <v>43</v>
      </c>
      <c r="D582" s="86">
        <v>5</v>
      </c>
      <c r="E582" s="7" t="s">
        <v>7920</v>
      </c>
      <c r="F582" s="7"/>
      <c r="G582" s="86"/>
      <c r="H582" s="141" t="s">
        <v>7898</v>
      </c>
      <c r="I582" s="34" t="s">
        <v>3882</v>
      </c>
      <c r="J582" s="33" t="s">
        <v>7922</v>
      </c>
      <c r="K582" s="33" t="s">
        <v>55</v>
      </c>
      <c r="L582" s="2"/>
      <c r="M582" s="2"/>
      <c r="N582" s="45" t="str">
        <f t="shared" si="428"/>
        <v>@pstatesoftball</v>
      </c>
      <c r="O582" s="45" t="str">
        <f t="shared" si="429"/>
        <v>Questionnaire</v>
      </c>
      <c r="P582" s="48" t="s">
        <v>7901</v>
      </c>
      <c r="Q582" s="60" t="s">
        <v>6890</v>
      </c>
      <c r="R582" s="48" t="s">
        <v>7902</v>
      </c>
      <c r="S582" s="60" t="s">
        <v>205</v>
      </c>
      <c r="T582" s="49" t="s">
        <v>74</v>
      </c>
      <c r="U582" s="48" t="s">
        <v>75</v>
      </c>
      <c r="V582" s="49"/>
      <c r="W582" s="39">
        <v>2.95</v>
      </c>
      <c r="X582" s="49" t="s">
        <v>447</v>
      </c>
      <c r="Y582" s="49" t="s">
        <v>1145</v>
      </c>
      <c r="Z582" s="49" t="s">
        <v>1339</v>
      </c>
      <c r="AA582" s="65">
        <v>0.79</v>
      </c>
      <c r="AB582" s="48" t="s">
        <v>7903</v>
      </c>
      <c r="AC582" s="84" t="s">
        <v>7901</v>
      </c>
      <c r="AD582" s="53" t="str">
        <f t="shared" si="427"/>
        <v>Link</v>
      </c>
      <c r="AE582" s="54">
        <v>4124</v>
      </c>
      <c r="AF582" s="55"/>
      <c r="AG582" s="55"/>
      <c r="AH582" s="56">
        <v>183080</v>
      </c>
      <c r="AI582" s="56"/>
    </row>
    <row r="583" spans="1:35" ht="15" x14ac:dyDescent="0.2">
      <c r="A583" s="47"/>
      <c r="B583" s="105" t="s">
        <v>6873</v>
      </c>
      <c r="C583" s="60" t="s">
        <v>43</v>
      </c>
      <c r="D583" s="86">
        <v>5</v>
      </c>
      <c r="E583" s="7" t="s">
        <v>7929</v>
      </c>
      <c r="F583" s="7"/>
      <c r="G583" s="86"/>
      <c r="H583" s="141" t="s">
        <v>7898</v>
      </c>
      <c r="I583" s="2" t="s">
        <v>2599</v>
      </c>
      <c r="J583" s="2" t="s">
        <v>7932</v>
      </c>
      <c r="K583" s="2" t="s">
        <v>55</v>
      </c>
      <c r="L583" s="2"/>
      <c r="M583" s="2"/>
      <c r="N583" s="45" t="str">
        <f t="shared" si="428"/>
        <v>@pstatesoftball</v>
      </c>
      <c r="O583" s="45" t="str">
        <f t="shared" si="429"/>
        <v>Questionnaire</v>
      </c>
      <c r="P583" s="48" t="s">
        <v>7901</v>
      </c>
      <c r="Q583" s="60" t="s">
        <v>6890</v>
      </c>
      <c r="R583" s="48" t="s">
        <v>7902</v>
      </c>
      <c r="S583" s="60" t="s">
        <v>205</v>
      </c>
      <c r="T583" s="49" t="s">
        <v>74</v>
      </c>
      <c r="U583" s="48" t="s">
        <v>75</v>
      </c>
      <c r="V583" s="49"/>
      <c r="W583" s="39">
        <v>2.95</v>
      </c>
      <c r="X583" s="49" t="s">
        <v>447</v>
      </c>
      <c r="Y583" s="49" t="s">
        <v>1145</v>
      </c>
      <c r="Z583" s="49" t="s">
        <v>1339</v>
      </c>
      <c r="AA583" s="65">
        <v>0.79</v>
      </c>
      <c r="AB583" s="48" t="s">
        <v>7903</v>
      </c>
      <c r="AC583" s="84" t="s">
        <v>7901</v>
      </c>
      <c r="AD583" s="53" t="str">
        <f t="shared" si="427"/>
        <v>Link</v>
      </c>
      <c r="AE583" s="54">
        <v>4124</v>
      </c>
      <c r="AF583" s="55"/>
      <c r="AG583" s="55"/>
      <c r="AH583" s="56">
        <v>183080</v>
      </c>
      <c r="AI583" s="56"/>
    </row>
    <row r="584" spans="1:35" ht="15" x14ac:dyDescent="0.2">
      <c r="A584" s="47"/>
      <c r="B584" s="105" t="s">
        <v>6873</v>
      </c>
      <c r="C584" s="60" t="s">
        <v>43</v>
      </c>
      <c r="D584" s="86">
        <v>5</v>
      </c>
      <c r="E584" s="7" t="s">
        <v>7935</v>
      </c>
      <c r="F584" s="7"/>
      <c r="G584" s="86"/>
      <c r="H584" s="141" t="s">
        <v>7936</v>
      </c>
      <c r="I584" s="2" t="s">
        <v>754</v>
      </c>
      <c r="J584" s="33" t="s">
        <v>7937</v>
      </c>
      <c r="K584" s="33" t="s">
        <v>48</v>
      </c>
      <c r="L584" s="2" t="s">
        <v>7938</v>
      </c>
      <c r="M584" s="2" t="s">
        <v>7939</v>
      </c>
      <c r="N584" s="45" t="str">
        <f t="shared" ref="N584:N586" si="430">HYPERLINK("twitter.com/RivSoftball","@RivSoftball")</f>
        <v>@RivSoftball</v>
      </c>
      <c r="O584" s="45" t="str">
        <f t="shared" ref="O584:O586" si="431">HYPERLINK("https://www.rivierathletics.com/information/frontrush","Questionnaire")</f>
        <v>Questionnaire</v>
      </c>
      <c r="P584" s="48" t="s">
        <v>7948</v>
      </c>
      <c r="Q584" s="60" t="s">
        <v>6890</v>
      </c>
      <c r="R584" s="48" t="s">
        <v>7950</v>
      </c>
      <c r="S584" s="48" t="s">
        <v>238</v>
      </c>
      <c r="T584" s="5" t="s">
        <v>63</v>
      </c>
      <c r="U584" s="6" t="s">
        <v>343</v>
      </c>
      <c r="V584" s="49"/>
      <c r="W584" s="39">
        <v>3.19</v>
      </c>
      <c r="X584" s="49" t="s">
        <v>447</v>
      </c>
      <c r="Y584" s="49" t="s">
        <v>2257</v>
      </c>
      <c r="Z584" s="49" t="s">
        <v>2307</v>
      </c>
      <c r="AA584" s="65">
        <v>0.71</v>
      </c>
      <c r="AB584" s="39">
        <v>45902</v>
      </c>
      <c r="AC584" s="84" t="s">
        <v>7948</v>
      </c>
      <c r="AD584" s="53" t="str">
        <f t="shared" ref="AD584:AD586" si="432">HYPERLINK("https://www.rivier.edu/academics/programs/","Link")</f>
        <v>Link</v>
      </c>
      <c r="AE584" s="54">
        <v>1396</v>
      </c>
      <c r="AF584" s="55"/>
      <c r="AG584" s="55"/>
      <c r="AH584" s="56">
        <v>183211</v>
      </c>
      <c r="AI584" s="56"/>
    </row>
    <row r="585" spans="1:35" ht="15" x14ac:dyDescent="0.2">
      <c r="A585" s="47"/>
      <c r="B585" s="105" t="s">
        <v>6873</v>
      </c>
      <c r="C585" s="60" t="s">
        <v>43</v>
      </c>
      <c r="D585" s="86">
        <v>5</v>
      </c>
      <c r="E585" s="7" t="s">
        <v>7954</v>
      </c>
      <c r="F585" s="7"/>
      <c r="G585" s="86"/>
      <c r="H585" s="141" t="s">
        <v>7936</v>
      </c>
      <c r="I585" s="34" t="s">
        <v>7956</v>
      </c>
      <c r="J585" s="33" t="s">
        <v>977</v>
      </c>
      <c r="K585" s="33" t="s">
        <v>55</v>
      </c>
      <c r="L585" s="2"/>
      <c r="M585" s="2"/>
      <c r="N585" s="45" t="str">
        <f t="shared" si="430"/>
        <v>@RivSoftball</v>
      </c>
      <c r="O585" s="45" t="str">
        <f t="shared" si="431"/>
        <v>Questionnaire</v>
      </c>
      <c r="P585" s="48" t="s">
        <v>7948</v>
      </c>
      <c r="Q585" s="60" t="s">
        <v>6890</v>
      </c>
      <c r="R585" s="48" t="s">
        <v>7950</v>
      </c>
      <c r="S585" s="48" t="s">
        <v>238</v>
      </c>
      <c r="T585" s="5" t="s">
        <v>63</v>
      </c>
      <c r="U585" s="6" t="s">
        <v>343</v>
      </c>
      <c r="V585" s="49"/>
      <c r="W585" s="39">
        <v>3.19</v>
      </c>
      <c r="X585" s="49" t="s">
        <v>447</v>
      </c>
      <c r="Y585" s="49" t="s">
        <v>2257</v>
      </c>
      <c r="Z585" s="49" t="s">
        <v>2307</v>
      </c>
      <c r="AA585" s="65">
        <v>0.71</v>
      </c>
      <c r="AB585" s="39">
        <v>45902</v>
      </c>
      <c r="AC585" s="84" t="s">
        <v>7948</v>
      </c>
      <c r="AD585" s="53" t="str">
        <f t="shared" si="432"/>
        <v>Link</v>
      </c>
      <c r="AE585" s="54">
        <v>1396</v>
      </c>
      <c r="AF585" s="55"/>
      <c r="AG585" s="55"/>
      <c r="AH585" s="56">
        <v>183211</v>
      </c>
      <c r="AI585" s="56"/>
    </row>
    <row r="586" spans="1:35" ht="15" x14ac:dyDescent="0.2">
      <c r="A586" s="47"/>
      <c r="B586" s="105" t="s">
        <v>6873</v>
      </c>
      <c r="C586" s="60" t="s">
        <v>43</v>
      </c>
      <c r="D586" s="86">
        <v>5</v>
      </c>
      <c r="E586" s="7" t="s">
        <v>7962</v>
      </c>
      <c r="F586" s="7"/>
      <c r="G586" s="86"/>
      <c r="H586" s="141" t="s">
        <v>7936</v>
      </c>
      <c r="I586" s="34" t="s">
        <v>363</v>
      </c>
      <c r="J586" s="33" t="s">
        <v>7965</v>
      </c>
      <c r="K586" s="33" t="s">
        <v>55</v>
      </c>
      <c r="L586" s="2"/>
      <c r="M586" s="2"/>
      <c r="N586" s="45" t="str">
        <f t="shared" si="430"/>
        <v>@RivSoftball</v>
      </c>
      <c r="O586" s="45" t="str">
        <f t="shared" si="431"/>
        <v>Questionnaire</v>
      </c>
      <c r="P586" s="48" t="s">
        <v>7948</v>
      </c>
      <c r="Q586" s="60" t="s">
        <v>6890</v>
      </c>
      <c r="R586" s="48" t="s">
        <v>7950</v>
      </c>
      <c r="S586" s="48" t="s">
        <v>238</v>
      </c>
      <c r="T586" s="5" t="s">
        <v>63</v>
      </c>
      <c r="U586" s="6" t="s">
        <v>343</v>
      </c>
      <c r="V586" s="49"/>
      <c r="W586" s="39">
        <v>3.19</v>
      </c>
      <c r="X586" s="49" t="s">
        <v>447</v>
      </c>
      <c r="Y586" s="49" t="s">
        <v>2257</v>
      </c>
      <c r="Z586" s="49" t="s">
        <v>2307</v>
      </c>
      <c r="AA586" s="65">
        <v>0.71</v>
      </c>
      <c r="AB586" s="39">
        <v>45902</v>
      </c>
      <c r="AC586" s="84" t="s">
        <v>7948</v>
      </c>
      <c r="AD586" s="53" t="str">
        <f t="shared" si="432"/>
        <v>Link</v>
      </c>
      <c r="AE586" s="54">
        <v>1396</v>
      </c>
      <c r="AF586" s="55"/>
      <c r="AG586" s="55"/>
      <c r="AH586" s="56">
        <v>183211</v>
      </c>
      <c r="AI586" s="56"/>
    </row>
    <row r="587" spans="1:35" ht="15" x14ac:dyDescent="0.2">
      <c r="A587" s="47"/>
      <c r="B587" s="105" t="s">
        <v>6998</v>
      </c>
      <c r="C587" s="60" t="s">
        <v>43</v>
      </c>
      <c r="D587" s="86">
        <v>5</v>
      </c>
      <c r="E587" s="7" t="s">
        <v>7972</v>
      </c>
      <c r="F587" s="7"/>
      <c r="G587" s="86"/>
      <c r="H587" s="6" t="s">
        <v>7973</v>
      </c>
      <c r="I587" s="7" t="s">
        <v>1159</v>
      </c>
      <c r="J587" s="7" t="s">
        <v>7974</v>
      </c>
      <c r="K587" s="7" t="s">
        <v>48</v>
      </c>
      <c r="L587" s="95" t="s">
        <v>7975</v>
      </c>
      <c r="M587" s="7" t="s">
        <v>7976</v>
      </c>
      <c r="N587" s="45" t="str">
        <f>HYPERLINK("twitter.com/CentCyclonesSB","@CentCyclonesSB")</f>
        <v>@CentCyclonesSB</v>
      </c>
      <c r="O587" s="45" t="str">
        <f t="shared" ref="O587:O589" si="433">HYPERLINK("https://centenarycyclones.com/sports/2015/1/20/GEN_0120151750.aspx","Questionnaire")</f>
        <v>Questionnaire</v>
      </c>
      <c r="P587" s="48" t="s">
        <v>7981</v>
      </c>
      <c r="Q587" s="60" t="s">
        <v>3272</v>
      </c>
      <c r="R587" s="48" t="s">
        <v>7982</v>
      </c>
      <c r="S587" s="60" t="s">
        <v>205</v>
      </c>
      <c r="T587" s="49" t="s">
        <v>63</v>
      </c>
      <c r="U587" s="6" t="s">
        <v>65</v>
      </c>
      <c r="V587" s="49"/>
      <c r="W587" s="39">
        <v>3.04</v>
      </c>
      <c r="X587" s="49" t="s">
        <v>3428</v>
      </c>
      <c r="Y587" s="49" t="s">
        <v>1338</v>
      </c>
      <c r="Z587" s="49" t="s">
        <v>7983</v>
      </c>
      <c r="AA587" s="38">
        <v>0.87880000000000003</v>
      </c>
      <c r="AB587" s="39">
        <v>47717</v>
      </c>
      <c r="AC587" s="52" t="s">
        <v>7981</v>
      </c>
      <c r="AD587" s="53" t="str">
        <f t="shared" ref="AD587:AD589" si="434">HYPERLINK("http://www.centenaryuniversity.edu/academics/undergraduate/","Link")</f>
        <v>Link</v>
      </c>
      <c r="AE587" s="54">
        <v>1518</v>
      </c>
      <c r="AF587" s="55"/>
      <c r="AG587" s="55"/>
      <c r="AH587" s="56">
        <v>183974</v>
      </c>
      <c r="AI587" s="56"/>
    </row>
    <row r="588" spans="1:35" ht="15" x14ac:dyDescent="0.2">
      <c r="A588" s="47"/>
      <c r="B588" s="105" t="s">
        <v>6998</v>
      </c>
      <c r="C588" s="60" t="s">
        <v>43</v>
      </c>
      <c r="D588" s="86">
        <v>5</v>
      </c>
      <c r="E588" s="7" t="s">
        <v>7985</v>
      </c>
      <c r="F588" s="7"/>
      <c r="G588" s="86"/>
      <c r="H588" s="6" t="s">
        <v>7973</v>
      </c>
      <c r="I588" s="7" t="s">
        <v>7987</v>
      </c>
      <c r="J588" s="7" t="s">
        <v>7988</v>
      </c>
      <c r="K588" s="33" t="s">
        <v>55</v>
      </c>
      <c r="L588" s="7"/>
      <c r="M588" s="7"/>
      <c r="N588" s="48"/>
      <c r="O588" s="45" t="str">
        <f t="shared" si="433"/>
        <v>Questionnaire</v>
      </c>
      <c r="P588" s="48" t="s">
        <v>7981</v>
      </c>
      <c r="Q588" s="60" t="s">
        <v>3272</v>
      </c>
      <c r="R588" s="48" t="s">
        <v>7982</v>
      </c>
      <c r="S588" s="60" t="s">
        <v>205</v>
      </c>
      <c r="T588" s="49" t="s">
        <v>63</v>
      </c>
      <c r="U588" s="6" t="s">
        <v>65</v>
      </c>
      <c r="V588" s="49"/>
      <c r="W588" s="39">
        <v>3.04</v>
      </c>
      <c r="X588" s="49" t="s">
        <v>3428</v>
      </c>
      <c r="Y588" s="49" t="s">
        <v>1338</v>
      </c>
      <c r="Z588" s="49" t="s">
        <v>7983</v>
      </c>
      <c r="AA588" s="38">
        <v>0.87880000000000003</v>
      </c>
      <c r="AB588" s="39">
        <v>47717</v>
      </c>
      <c r="AC588" s="52" t="s">
        <v>7981</v>
      </c>
      <c r="AD588" s="53" t="str">
        <f t="shared" si="434"/>
        <v>Link</v>
      </c>
      <c r="AE588" s="54">
        <v>1518</v>
      </c>
      <c r="AF588" s="55"/>
      <c r="AG588" s="55"/>
      <c r="AH588" s="56">
        <v>183974</v>
      </c>
      <c r="AI588" s="56"/>
    </row>
    <row r="589" spans="1:35" ht="15" x14ac:dyDescent="0.2">
      <c r="A589" s="47"/>
      <c r="B589" s="105" t="s">
        <v>6998</v>
      </c>
      <c r="C589" s="60" t="s">
        <v>43</v>
      </c>
      <c r="D589" s="86">
        <v>5</v>
      </c>
      <c r="E589" s="7" t="s">
        <v>7990</v>
      </c>
      <c r="F589" s="7"/>
      <c r="G589" s="86"/>
      <c r="H589" s="6" t="s">
        <v>7973</v>
      </c>
      <c r="I589" s="2" t="s">
        <v>1307</v>
      </c>
      <c r="J589" s="2" t="s">
        <v>6218</v>
      </c>
      <c r="K589" s="33" t="s">
        <v>55</v>
      </c>
      <c r="L589" s="2" t="s">
        <v>7993</v>
      </c>
      <c r="M589" s="7"/>
      <c r="N589" s="48"/>
      <c r="O589" s="45" t="str">
        <f t="shared" si="433"/>
        <v>Questionnaire</v>
      </c>
      <c r="P589" s="48" t="s">
        <v>7981</v>
      </c>
      <c r="Q589" s="60" t="s">
        <v>3272</v>
      </c>
      <c r="R589" s="48" t="s">
        <v>7982</v>
      </c>
      <c r="S589" s="60" t="s">
        <v>205</v>
      </c>
      <c r="T589" s="49" t="s">
        <v>63</v>
      </c>
      <c r="U589" s="6" t="s">
        <v>65</v>
      </c>
      <c r="V589" s="49"/>
      <c r="W589" s="39">
        <v>3.04</v>
      </c>
      <c r="X589" s="49" t="s">
        <v>3428</v>
      </c>
      <c r="Y589" s="49" t="s">
        <v>1338</v>
      </c>
      <c r="Z589" s="49" t="s">
        <v>7983</v>
      </c>
      <c r="AA589" s="38">
        <v>0.87880000000000003</v>
      </c>
      <c r="AB589" s="39">
        <v>47717</v>
      </c>
      <c r="AC589" s="52" t="s">
        <v>7981</v>
      </c>
      <c r="AD589" s="53" t="str">
        <f t="shared" si="434"/>
        <v>Link</v>
      </c>
      <c r="AE589" s="54">
        <v>1518</v>
      </c>
      <c r="AF589" s="55"/>
      <c r="AG589" s="55"/>
      <c r="AH589" s="56">
        <v>183974</v>
      </c>
      <c r="AI589" s="56"/>
    </row>
    <row r="590" spans="1:35" ht="13" x14ac:dyDescent="0.15">
      <c r="A590" s="47"/>
      <c r="B590" s="105" t="s">
        <v>6998</v>
      </c>
      <c r="C590" s="60" t="s">
        <v>43</v>
      </c>
      <c r="D590" s="44">
        <v>5</v>
      </c>
      <c r="E590" s="7" t="s">
        <v>7999</v>
      </c>
      <c r="F590" s="7" t="s">
        <v>116</v>
      </c>
      <c r="G590" s="57"/>
      <c r="H590" s="6" t="s">
        <v>8001</v>
      </c>
      <c r="I590" s="7" t="s">
        <v>8002</v>
      </c>
      <c r="J590" s="7" t="s">
        <v>8003</v>
      </c>
      <c r="K590" s="7" t="s">
        <v>55</v>
      </c>
      <c r="L590" s="7"/>
      <c r="M590" s="7"/>
      <c r="N590" s="45" t="str">
        <f t="shared" ref="N590:N594" si="435">HYPERLINK("twitter.com/tcnjsoftball","@tcnjsoftball")</f>
        <v>@tcnjsoftball</v>
      </c>
      <c r="O590" s="45" t="str">
        <f t="shared" ref="O590:O594" si="436">HYPERLINK("https://tcnjathletics.com/sb_output.aspx?frform=12&amp;path=sball","Questionnaire")</f>
        <v>Questionnaire</v>
      </c>
      <c r="P590" s="48" t="s">
        <v>8007</v>
      </c>
      <c r="Q590" s="60" t="s">
        <v>3272</v>
      </c>
      <c r="R590" s="48" t="s">
        <v>8008</v>
      </c>
      <c r="S590" s="48" t="s">
        <v>468</v>
      </c>
      <c r="T590" s="49" t="s">
        <v>74</v>
      </c>
      <c r="U590" s="48" t="s">
        <v>75</v>
      </c>
      <c r="V590" s="49"/>
      <c r="W590" s="39">
        <v>3.65</v>
      </c>
      <c r="X590" s="49" t="s">
        <v>86</v>
      </c>
      <c r="Y590" s="49" t="s">
        <v>677</v>
      </c>
      <c r="Z590" s="49" t="s">
        <v>412</v>
      </c>
      <c r="AA590" s="65">
        <v>0.49</v>
      </c>
      <c r="AB590" s="48" t="s">
        <v>8013</v>
      </c>
      <c r="AC590" s="84" t="s">
        <v>8007</v>
      </c>
      <c r="AD590" s="53" t="str">
        <f t="shared" ref="AD590:AD594" si="437">HYPERLINK("https://tcnj.pages.tcnj.edu/academics/majors/","Link")</f>
        <v>Link</v>
      </c>
      <c r="AE590" s="54">
        <v>6787</v>
      </c>
      <c r="AF590" s="55"/>
      <c r="AG590" s="55"/>
      <c r="AH590" s="56">
        <v>187134</v>
      </c>
      <c r="AI590" s="59"/>
    </row>
    <row r="591" spans="1:35" ht="13" x14ac:dyDescent="0.15">
      <c r="A591" s="47"/>
      <c r="B591" s="105" t="s">
        <v>6998</v>
      </c>
      <c r="C591" s="60" t="s">
        <v>43</v>
      </c>
      <c r="D591" s="86">
        <v>5</v>
      </c>
      <c r="E591" s="7" t="s">
        <v>8019</v>
      </c>
      <c r="F591" s="7"/>
      <c r="G591" s="86"/>
      <c r="H591" s="6" t="s">
        <v>8001</v>
      </c>
      <c r="I591" s="7" t="s">
        <v>8020</v>
      </c>
      <c r="J591" s="7" t="s">
        <v>977</v>
      </c>
      <c r="K591" s="7" t="s">
        <v>48</v>
      </c>
      <c r="L591" s="7" t="s">
        <v>8021</v>
      </c>
      <c r="M591" s="7" t="s">
        <v>8022</v>
      </c>
      <c r="N591" s="45" t="str">
        <f t="shared" si="435"/>
        <v>@tcnjsoftball</v>
      </c>
      <c r="O591" s="45" t="str">
        <f t="shared" si="436"/>
        <v>Questionnaire</v>
      </c>
      <c r="P591" s="48" t="s">
        <v>8007</v>
      </c>
      <c r="Q591" s="60" t="s">
        <v>3272</v>
      </c>
      <c r="R591" s="48" t="s">
        <v>8008</v>
      </c>
      <c r="S591" s="48" t="s">
        <v>468</v>
      </c>
      <c r="T591" s="49" t="s">
        <v>74</v>
      </c>
      <c r="U591" s="48" t="s">
        <v>75</v>
      </c>
      <c r="V591" s="49"/>
      <c r="W591" s="39">
        <v>3.65</v>
      </c>
      <c r="X591" s="49" t="s">
        <v>86</v>
      </c>
      <c r="Y591" s="49" t="s">
        <v>677</v>
      </c>
      <c r="Z591" s="49" t="s">
        <v>412</v>
      </c>
      <c r="AA591" s="65">
        <v>0.49</v>
      </c>
      <c r="AB591" s="48" t="s">
        <v>8013</v>
      </c>
      <c r="AC591" s="84" t="s">
        <v>8007</v>
      </c>
      <c r="AD591" s="53" t="str">
        <f t="shared" si="437"/>
        <v>Link</v>
      </c>
      <c r="AE591" s="54">
        <v>6787</v>
      </c>
      <c r="AF591" s="55"/>
      <c r="AG591" s="55"/>
      <c r="AH591" s="56">
        <v>187134</v>
      </c>
      <c r="AI591" s="56"/>
    </row>
    <row r="592" spans="1:35" ht="15" x14ac:dyDescent="0.2">
      <c r="A592" s="47"/>
      <c r="B592" s="105" t="s">
        <v>6998</v>
      </c>
      <c r="C592" s="60" t="s">
        <v>43</v>
      </c>
      <c r="D592" s="86">
        <v>5</v>
      </c>
      <c r="E592" s="7" t="s">
        <v>8024</v>
      </c>
      <c r="F592" s="7"/>
      <c r="G592" s="86"/>
      <c r="H592" s="6" t="s">
        <v>8001</v>
      </c>
      <c r="I592" s="7" t="s">
        <v>1159</v>
      </c>
      <c r="J592" s="7" t="s">
        <v>8026</v>
      </c>
      <c r="K592" s="33" t="s">
        <v>55</v>
      </c>
      <c r="L592" s="7"/>
      <c r="M592" s="7"/>
      <c r="N592" s="45" t="str">
        <f t="shared" si="435"/>
        <v>@tcnjsoftball</v>
      </c>
      <c r="O592" s="45" t="str">
        <f t="shared" si="436"/>
        <v>Questionnaire</v>
      </c>
      <c r="P592" s="48" t="s">
        <v>8007</v>
      </c>
      <c r="Q592" s="60" t="s">
        <v>3272</v>
      </c>
      <c r="R592" s="48" t="s">
        <v>8008</v>
      </c>
      <c r="S592" s="48" t="s">
        <v>468</v>
      </c>
      <c r="T592" s="49" t="s">
        <v>74</v>
      </c>
      <c r="U592" s="48" t="s">
        <v>75</v>
      </c>
      <c r="V592" s="49"/>
      <c r="W592" s="39">
        <v>3.65</v>
      </c>
      <c r="X592" s="49" t="s">
        <v>86</v>
      </c>
      <c r="Y592" s="49" t="s">
        <v>677</v>
      </c>
      <c r="Z592" s="49" t="s">
        <v>412</v>
      </c>
      <c r="AA592" s="65">
        <v>0.49</v>
      </c>
      <c r="AB592" s="48" t="s">
        <v>8013</v>
      </c>
      <c r="AC592" s="84" t="s">
        <v>8007</v>
      </c>
      <c r="AD592" s="53" t="str">
        <f t="shared" si="437"/>
        <v>Link</v>
      </c>
      <c r="AE592" s="54">
        <v>6787</v>
      </c>
      <c r="AF592" s="55"/>
      <c r="AG592" s="55"/>
      <c r="AH592" s="56">
        <v>187134</v>
      </c>
      <c r="AI592" s="56"/>
    </row>
    <row r="593" spans="1:35" ht="13" x14ac:dyDescent="0.15">
      <c r="A593" s="47"/>
      <c r="B593" s="105" t="s">
        <v>6998</v>
      </c>
      <c r="C593" s="60" t="s">
        <v>43</v>
      </c>
      <c r="D593" s="86">
        <v>5</v>
      </c>
      <c r="E593" s="7" t="s">
        <v>8034</v>
      </c>
      <c r="F593" s="7"/>
      <c r="G593" s="86" t="s">
        <v>126</v>
      </c>
      <c r="H593" s="6" t="s">
        <v>8001</v>
      </c>
      <c r="I593" s="7" t="s">
        <v>8037</v>
      </c>
      <c r="J593" s="7"/>
      <c r="K593" s="2"/>
      <c r="L593" s="7"/>
      <c r="M593" s="7"/>
      <c r="N593" s="45" t="str">
        <f t="shared" si="435"/>
        <v>@tcnjsoftball</v>
      </c>
      <c r="O593" s="45" t="str">
        <f t="shared" si="436"/>
        <v>Questionnaire</v>
      </c>
      <c r="P593" s="48" t="s">
        <v>8007</v>
      </c>
      <c r="Q593" s="60" t="s">
        <v>3272</v>
      </c>
      <c r="R593" s="48" t="s">
        <v>8008</v>
      </c>
      <c r="S593" s="48" t="s">
        <v>468</v>
      </c>
      <c r="T593" s="49" t="s">
        <v>74</v>
      </c>
      <c r="U593" s="48" t="s">
        <v>75</v>
      </c>
      <c r="V593" s="49"/>
      <c r="W593" s="65">
        <v>3.65</v>
      </c>
      <c r="X593" s="49" t="s">
        <v>86</v>
      </c>
      <c r="Y593" s="49" t="s">
        <v>677</v>
      </c>
      <c r="Z593" s="49" t="s">
        <v>412</v>
      </c>
      <c r="AA593" s="65">
        <v>0.49</v>
      </c>
      <c r="AB593" s="48" t="s">
        <v>8013</v>
      </c>
      <c r="AC593" s="84" t="s">
        <v>8007</v>
      </c>
      <c r="AD593" s="53" t="str">
        <f t="shared" si="437"/>
        <v>Link</v>
      </c>
      <c r="AE593" s="54">
        <v>6787</v>
      </c>
      <c r="AF593" s="55"/>
      <c r="AG593" s="55"/>
      <c r="AH593" s="56">
        <v>187134</v>
      </c>
      <c r="AI593" s="56"/>
    </row>
    <row r="594" spans="1:35" ht="13" x14ac:dyDescent="0.15">
      <c r="A594" s="47"/>
      <c r="B594" s="105" t="s">
        <v>6998</v>
      </c>
      <c r="C594" s="60" t="s">
        <v>43</v>
      </c>
      <c r="D594" s="86">
        <v>5</v>
      </c>
      <c r="E594" s="7" t="s">
        <v>8048</v>
      </c>
      <c r="F594" s="7"/>
      <c r="G594" s="86"/>
      <c r="H594" s="6" t="s">
        <v>8001</v>
      </c>
      <c r="I594" s="7" t="s">
        <v>453</v>
      </c>
      <c r="J594" s="7" t="s">
        <v>8049</v>
      </c>
      <c r="K594" s="2" t="s">
        <v>55</v>
      </c>
      <c r="L594" s="7"/>
      <c r="M594" s="7"/>
      <c r="N594" s="45" t="str">
        <f t="shared" si="435"/>
        <v>@tcnjsoftball</v>
      </c>
      <c r="O594" s="45" t="str">
        <f t="shared" si="436"/>
        <v>Questionnaire</v>
      </c>
      <c r="P594" s="48" t="s">
        <v>8007</v>
      </c>
      <c r="Q594" s="60" t="s">
        <v>3272</v>
      </c>
      <c r="R594" s="48" t="s">
        <v>8008</v>
      </c>
      <c r="S594" s="48" t="s">
        <v>468</v>
      </c>
      <c r="T594" s="49" t="s">
        <v>74</v>
      </c>
      <c r="U594" s="48" t="s">
        <v>75</v>
      </c>
      <c r="V594" s="49"/>
      <c r="W594" s="65">
        <v>3.65</v>
      </c>
      <c r="X594" s="49" t="s">
        <v>86</v>
      </c>
      <c r="Y594" s="49" t="s">
        <v>677</v>
      </c>
      <c r="Z594" s="49" t="s">
        <v>412</v>
      </c>
      <c r="AA594" s="65">
        <v>0.49</v>
      </c>
      <c r="AB594" s="48" t="s">
        <v>8013</v>
      </c>
      <c r="AC594" s="84" t="s">
        <v>8007</v>
      </c>
      <c r="AD594" s="53" t="str">
        <f t="shared" si="437"/>
        <v>Link</v>
      </c>
      <c r="AE594" s="54">
        <v>6787</v>
      </c>
      <c r="AF594" s="55"/>
      <c r="AG594" s="55"/>
      <c r="AH594" s="56">
        <v>187134</v>
      </c>
      <c r="AI594" s="56"/>
    </row>
    <row r="595" spans="1:35" ht="13" x14ac:dyDescent="0.15">
      <c r="A595" s="47"/>
      <c r="B595" s="105" t="s">
        <v>6998</v>
      </c>
      <c r="C595" s="60" t="s">
        <v>43</v>
      </c>
      <c r="D595" s="86">
        <v>5</v>
      </c>
      <c r="E595" s="7" t="s">
        <v>8052</v>
      </c>
      <c r="F595" s="7"/>
      <c r="G595" s="86"/>
      <c r="H595" s="6" t="s">
        <v>8053</v>
      </c>
      <c r="I595" s="7" t="s">
        <v>2348</v>
      </c>
      <c r="J595" s="7" t="s">
        <v>8055</v>
      </c>
      <c r="K595" s="7" t="s">
        <v>48</v>
      </c>
      <c r="L595" s="7" t="s">
        <v>8056</v>
      </c>
      <c r="M595" s="7" t="s">
        <v>8058</v>
      </c>
      <c r="N595" s="45" t="str">
        <f t="shared" ref="N595:N598" si="438">HYPERLINK("twitter.com/drewsoftball","@drewsoftball")</f>
        <v>@drewsoftball</v>
      </c>
      <c r="O595" s="45" t="str">
        <f t="shared" ref="O595:O598" si="439">HYPERLINK("http://www.drewrangers.com/sports/2017/1/19/recruiting-center.aspx","Questionnaire")</f>
        <v>Questionnaire</v>
      </c>
      <c r="P595" s="48" t="s">
        <v>8061</v>
      </c>
      <c r="Q595" s="60" t="s">
        <v>3272</v>
      </c>
      <c r="R595" s="48" t="s">
        <v>1905</v>
      </c>
      <c r="S595" s="48" t="s">
        <v>172</v>
      </c>
      <c r="T595" s="49" t="s">
        <v>63</v>
      </c>
      <c r="U595" s="6" t="s">
        <v>65</v>
      </c>
      <c r="V595" s="49"/>
      <c r="W595" s="65">
        <v>3.44</v>
      </c>
      <c r="X595" s="49" t="s">
        <v>214</v>
      </c>
      <c r="Y595" s="49" t="s">
        <v>214</v>
      </c>
      <c r="Z595" s="49" t="s">
        <v>214</v>
      </c>
      <c r="AA595" s="65">
        <v>0.56999999999999995</v>
      </c>
      <c r="AB595" s="39">
        <v>64670</v>
      </c>
      <c r="AC595" s="84" t="s">
        <v>8061</v>
      </c>
      <c r="AD595" s="53" t="str">
        <f t="shared" ref="AD595:AD598" si="440">HYPERLINK("http://www.drew.edu/academics/undergraduate-studies/majors-and-minors/","Link")</f>
        <v>Link</v>
      </c>
      <c r="AE595" s="54">
        <v>1521</v>
      </c>
      <c r="AF595" s="55"/>
      <c r="AG595" s="54">
        <v>112</v>
      </c>
      <c r="AH595" s="56">
        <v>184348</v>
      </c>
      <c r="AI595" s="56"/>
    </row>
    <row r="596" spans="1:35" ht="13" x14ac:dyDescent="0.15">
      <c r="A596" s="47"/>
      <c r="B596" s="105" t="s">
        <v>6998</v>
      </c>
      <c r="C596" s="60" t="s">
        <v>43</v>
      </c>
      <c r="D596" s="86">
        <v>5</v>
      </c>
      <c r="E596" s="7" t="s">
        <v>8076</v>
      </c>
      <c r="F596" s="7"/>
      <c r="G596" s="86"/>
      <c r="H596" s="6" t="s">
        <v>8053</v>
      </c>
      <c r="I596" s="7" t="s">
        <v>1052</v>
      </c>
      <c r="J596" s="7" t="s">
        <v>8077</v>
      </c>
      <c r="K596" s="7" t="s">
        <v>55</v>
      </c>
      <c r="L596" s="95" t="s">
        <v>8078</v>
      </c>
      <c r="M596" s="7"/>
      <c r="N596" s="45" t="str">
        <f t="shared" si="438"/>
        <v>@drewsoftball</v>
      </c>
      <c r="O596" s="45" t="str">
        <f t="shared" si="439"/>
        <v>Questionnaire</v>
      </c>
      <c r="P596" s="48" t="s">
        <v>8061</v>
      </c>
      <c r="Q596" s="60" t="s">
        <v>3272</v>
      </c>
      <c r="R596" s="48" t="s">
        <v>1905</v>
      </c>
      <c r="S596" s="48" t="s">
        <v>172</v>
      </c>
      <c r="T596" s="49" t="s">
        <v>63</v>
      </c>
      <c r="U596" s="6" t="s">
        <v>65</v>
      </c>
      <c r="V596" s="49"/>
      <c r="W596" s="65">
        <v>3.44</v>
      </c>
      <c r="X596" s="49" t="s">
        <v>214</v>
      </c>
      <c r="Y596" s="49" t="s">
        <v>214</v>
      </c>
      <c r="Z596" s="49" t="s">
        <v>214</v>
      </c>
      <c r="AA596" s="65">
        <v>0.56999999999999995</v>
      </c>
      <c r="AB596" s="39">
        <v>64670</v>
      </c>
      <c r="AC596" s="84" t="s">
        <v>8061</v>
      </c>
      <c r="AD596" s="53" t="str">
        <f t="shared" si="440"/>
        <v>Link</v>
      </c>
      <c r="AE596" s="54">
        <v>1521</v>
      </c>
      <c r="AF596" s="55"/>
      <c r="AG596" s="54">
        <v>112</v>
      </c>
      <c r="AH596" s="56">
        <v>184348</v>
      </c>
      <c r="AI596" s="56"/>
    </row>
    <row r="597" spans="1:35" ht="13" x14ac:dyDescent="0.15">
      <c r="A597" s="47"/>
      <c r="B597" s="105" t="s">
        <v>6998</v>
      </c>
      <c r="C597" s="60" t="s">
        <v>43</v>
      </c>
      <c r="D597" s="86">
        <v>5</v>
      </c>
      <c r="E597" s="7" t="s">
        <v>8084</v>
      </c>
      <c r="F597" s="7"/>
      <c r="G597" s="86"/>
      <c r="H597" s="6" t="s">
        <v>8053</v>
      </c>
      <c r="I597" s="7" t="s">
        <v>8086</v>
      </c>
      <c r="J597" s="7" t="s">
        <v>8087</v>
      </c>
      <c r="K597" s="7" t="s">
        <v>139</v>
      </c>
      <c r="L597" s="95" t="s">
        <v>8089</v>
      </c>
      <c r="M597" s="7"/>
      <c r="N597" s="45" t="str">
        <f t="shared" si="438"/>
        <v>@drewsoftball</v>
      </c>
      <c r="O597" s="45" t="str">
        <f t="shared" si="439"/>
        <v>Questionnaire</v>
      </c>
      <c r="P597" s="48" t="s">
        <v>8061</v>
      </c>
      <c r="Q597" s="60" t="s">
        <v>3272</v>
      </c>
      <c r="R597" s="48" t="s">
        <v>1905</v>
      </c>
      <c r="S597" s="48" t="s">
        <v>172</v>
      </c>
      <c r="T597" s="49" t="s">
        <v>63</v>
      </c>
      <c r="U597" s="6" t="s">
        <v>65</v>
      </c>
      <c r="V597" s="49"/>
      <c r="W597" s="39">
        <v>3.44</v>
      </c>
      <c r="X597" s="49" t="s">
        <v>214</v>
      </c>
      <c r="Y597" s="49" t="s">
        <v>214</v>
      </c>
      <c r="Z597" s="49" t="s">
        <v>214</v>
      </c>
      <c r="AA597" s="65">
        <v>0.56999999999999995</v>
      </c>
      <c r="AB597" s="39">
        <v>64670</v>
      </c>
      <c r="AC597" s="84" t="s">
        <v>8061</v>
      </c>
      <c r="AD597" s="53" t="str">
        <f t="shared" si="440"/>
        <v>Link</v>
      </c>
      <c r="AE597" s="54">
        <v>1521</v>
      </c>
      <c r="AF597" s="55"/>
      <c r="AG597" s="54">
        <v>112</v>
      </c>
      <c r="AH597" s="56">
        <v>184348</v>
      </c>
      <c r="AI597" s="56"/>
    </row>
    <row r="598" spans="1:35" ht="13" x14ac:dyDescent="0.15">
      <c r="A598" s="47"/>
      <c r="B598" s="105" t="s">
        <v>6998</v>
      </c>
      <c r="C598" s="60" t="s">
        <v>43</v>
      </c>
      <c r="D598" s="86">
        <v>5</v>
      </c>
      <c r="E598" s="7" t="s">
        <v>8093</v>
      </c>
      <c r="F598" s="7"/>
      <c r="G598" s="86"/>
      <c r="H598" s="6" t="s">
        <v>8053</v>
      </c>
      <c r="I598" s="7" t="s">
        <v>130</v>
      </c>
      <c r="J598" s="7" t="s">
        <v>196</v>
      </c>
      <c r="K598" s="2" t="s">
        <v>139</v>
      </c>
      <c r="L598" s="7"/>
      <c r="M598" s="7"/>
      <c r="N598" s="45" t="str">
        <f t="shared" si="438"/>
        <v>@drewsoftball</v>
      </c>
      <c r="O598" s="45" t="str">
        <f t="shared" si="439"/>
        <v>Questionnaire</v>
      </c>
      <c r="P598" s="48" t="s">
        <v>8061</v>
      </c>
      <c r="Q598" s="60" t="s">
        <v>3272</v>
      </c>
      <c r="R598" s="48" t="s">
        <v>1905</v>
      </c>
      <c r="S598" s="48" t="s">
        <v>172</v>
      </c>
      <c r="T598" s="49" t="s">
        <v>63</v>
      </c>
      <c r="U598" s="6" t="s">
        <v>65</v>
      </c>
      <c r="V598" s="49"/>
      <c r="W598" s="39">
        <v>3.44</v>
      </c>
      <c r="X598" s="49" t="s">
        <v>214</v>
      </c>
      <c r="Y598" s="49" t="s">
        <v>214</v>
      </c>
      <c r="Z598" s="49" t="s">
        <v>214</v>
      </c>
      <c r="AA598" s="65">
        <v>0.56999999999999995</v>
      </c>
      <c r="AB598" s="39">
        <v>64670</v>
      </c>
      <c r="AC598" s="84" t="s">
        <v>8061</v>
      </c>
      <c r="AD598" s="53" t="str">
        <f t="shared" si="440"/>
        <v>Link</v>
      </c>
      <c r="AE598" s="54">
        <v>1521</v>
      </c>
      <c r="AF598" s="55"/>
      <c r="AG598" s="54">
        <v>112</v>
      </c>
      <c r="AH598" s="56">
        <v>184348</v>
      </c>
      <c r="AI598" s="56"/>
    </row>
    <row r="599" spans="1:35" ht="13" x14ac:dyDescent="0.15">
      <c r="A599" s="47"/>
      <c r="B599" s="105" t="s">
        <v>6998</v>
      </c>
      <c r="C599" s="60" t="s">
        <v>43</v>
      </c>
      <c r="D599" s="86">
        <v>5</v>
      </c>
      <c r="E599" s="7" t="s">
        <v>8100</v>
      </c>
      <c r="F599" s="7"/>
      <c r="G599" s="86"/>
      <c r="H599" s="6" t="s">
        <v>8102</v>
      </c>
      <c r="I599" s="7" t="s">
        <v>8103</v>
      </c>
      <c r="J599" s="7" t="s">
        <v>8104</v>
      </c>
      <c r="K599" s="7" t="s">
        <v>48</v>
      </c>
      <c r="L599" s="7" t="s">
        <v>8106</v>
      </c>
      <c r="M599" s="7" t="s">
        <v>8107</v>
      </c>
      <c r="N599" s="45" t="str">
        <f t="shared" ref="N599:N600" si="441">HYPERLINK("twitter.com/fdudevilssb","@fdudevilssb")</f>
        <v>@fdudevilssb</v>
      </c>
      <c r="O599" s="45" t="str">
        <f t="shared" ref="O599:O600" si="442">HYPERLINK("https://fdudevils.com/sb_output.aspx?form=3","Questionnaire")</f>
        <v>Questionnaire</v>
      </c>
      <c r="P599" s="48" t="s">
        <v>8112</v>
      </c>
      <c r="Q599" s="60" t="s">
        <v>3272</v>
      </c>
      <c r="R599" s="48" t="s">
        <v>1905</v>
      </c>
      <c r="S599" s="48" t="s">
        <v>172</v>
      </c>
      <c r="T599" s="49" t="s">
        <v>63</v>
      </c>
      <c r="U599" s="48" t="s">
        <v>75</v>
      </c>
      <c r="V599" s="49"/>
      <c r="W599" s="39">
        <v>3.16</v>
      </c>
      <c r="X599" s="49" t="s">
        <v>521</v>
      </c>
      <c r="Y599" s="49" t="s">
        <v>522</v>
      </c>
      <c r="Z599" s="49" t="s">
        <v>746</v>
      </c>
      <c r="AA599" s="65">
        <v>0.79</v>
      </c>
      <c r="AB599" s="39">
        <v>57360</v>
      </c>
      <c r="AC599" s="84" t="s">
        <v>8112</v>
      </c>
      <c r="AD599" s="53" t="str">
        <f t="shared" ref="AD599:AD600" si="443">HYPERLINK("http://view2.fdu.edu/academics/undergraduate-and-graduate-studies/?degree=undergraduate&amp;campus=all&amp;topic=all","Link")</f>
        <v>Link</v>
      </c>
      <c r="AE599" s="54">
        <v>2513</v>
      </c>
      <c r="AF599" s="55"/>
      <c r="AG599" s="55"/>
      <c r="AH599" s="56">
        <v>184694</v>
      </c>
      <c r="AI599" s="56"/>
    </row>
    <row r="600" spans="1:35" ht="13" x14ac:dyDescent="0.15">
      <c r="A600" s="47"/>
      <c r="B600" s="105" t="s">
        <v>6998</v>
      </c>
      <c r="C600" s="60" t="s">
        <v>43</v>
      </c>
      <c r="D600" s="86">
        <v>5</v>
      </c>
      <c r="E600" s="7" t="s">
        <v>8118</v>
      </c>
      <c r="F600" s="7"/>
      <c r="G600" s="86"/>
      <c r="H600" s="6" t="s">
        <v>8102</v>
      </c>
      <c r="I600" s="2" t="s">
        <v>338</v>
      </c>
      <c r="J600" s="2" t="s">
        <v>8119</v>
      </c>
      <c r="K600" s="2" t="s">
        <v>55</v>
      </c>
      <c r="L600" s="2" t="s">
        <v>8120</v>
      </c>
      <c r="M600" s="7"/>
      <c r="N600" s="45" t="str">
        <f t="shared" si="441"/>
        <v>@fdudevilssb</v>
      </c>
      <c r="O600" s="45" t="str">
        <f t="shared" si="442"/>
        <v>Questionnaire</v>
      </c>
      <c r="P600" s="48" t="s">
        <v>8112</v>
      </c>
      <c r="Q600" s="60" t="s">
        <v>3272</v>
      </c>
      <c r="R600" s="48" t="s">
        <v>1905</v>
      </c>
      <c r="S600" s="48" t="s">
        <v>172</v>
      </c>
      <c r="T600" s="49" t="s">
        <v>63</v>
      </c>
      <c r="U600" s="48" t="s">
        <v>75</v>
      </c>
      <c r="V600" s="49"/>
      <c r="W600" s="39">
        <v>3.16</v>
      </c>
      <c r="X600" s="49" t="s">
        <v>521</v>
      </c>
      <c r="Y600" s="49" t="s">
        <v>522</v>
      </c>
      <c r="Z600" s="49" t="s">
        <v>746</v>
      </c>
      <c r="AA600" s="65">
        <v>0.79</v>
      </c>
      <c r="AB600" s="39">
        <v>57360</v>
      </c>
      <c r="AC600" s="84" t="s">
        <v>8112</v>
      </c>
      <c r="AD600" s="53" t="str">
        <f t="shared" si="443"/>
        <v>Link</v>
      </c>
      <c r="AE600" s="54">
        <v>2513</v>
      </c>
      <c r="AF600" s="55"/>
      <c r="AG600" s="55"/>
      <c r="AH600" s="56">
        <v>184694</v>
      </c>
      <c r="AI600" s="56"/>
    </row>
    <row r="601" spans="1:35" ht="13" x14ac:dyDescent="0.15">
      <c r="A601" s="47"/>
      <c r="B601" s="105" t="s">
        <v>6998</v>
      </c>
      <c r="C601" s="60" t="s">
        <v>43</v>
      </c>
      <c r="D601" s="44">
        <v>5</v>
      </c>
      <c r="E601" s="7" t="s">
        <v>8126</v>
      </c>
      <c r="F601" s="7" t="s">
        <v>116</v>
      </c>
      <c r="G601" s="57"/>
      <c r="H601" s="6" t="s">
        <v>8128</v>
      </c>
      <c r="I601" s="7" t="s">
        <v>338</v>
      </c>
      <c r="J601" s="7" t="s">
        <v>8129</v>
      </c>
      <c r="K601" s="7" t="s">
        <v>55</v>
      </c>
      <c r="L601" s="7"/>
      <c r="M601" s="7"/>
      <c r="N601" s="45" t="str">
        <f t="shared" ref="N601:N605" si="444">HYPERLINK("twitter.com/keansoftball","@keansoftball")</f>
        <v>@keansoftball</v>
      </c>
      <c r="O601" s="45" t="str">
        <f t="shared" ref="O601:O605" si="445">HYPERLINK("https://keanathletics.com/sports/2019/5/9/information-prospective-list.aspx","Questionnaire")</f>
        <v>Questionnaire</v>
      </c>
      <c r="P601" s="48" t="s">
        <v>8135</v>
      </c>
      <c r="Q601" s="60" t="s">
        <v>3272</v>
      </c>
      <c r="R601" s="48" t="s">
        <v>8136</v>
      </c>
      <c r="S601" s="48" t="s">
        <v>186</v>
      </c>
      <c r="T601" s="5" t="s">
        <v>74</v>
      </c>
      <c r="U601" s="48" t="s">
        <v>75</v>
      </c>
      <c r="V601" s="49"/>
      <c r="W601" s="39">
        <v>3.1</v>
      </c>
      <c r="X601" s="49" t="s">
        <v>8138</v>
      </c>
      <c r="Y601" s="49" t="s">
        <v>2522</v>
      </c>
      <c r="Z601" s="49" t="s">
        <v>1948</v>
      </c>
      <c r="AA601" s="65">
        <v>0.74</v>
      </c>
      <c r="AB601" s="48" t="s">
        <v>8142</v>
      </c>
      <c r="AC601" s="84" t="s">
        <v>8135</v>
      </c>
      <c r="AD601" s="53" t="str">
        <f t="shared" ref="AD601:AD605" si="446">HYPERLINK("http://www.kean.edu/degrees-programs","Link")</f>
        <v>Link</v>
      </c>
      <c r="AE601" s="54">
        <v>11812</v>
      </c>
      <c r="AF601" s="55"/>
      <c r="AG601" s="55"/>
      <c r="AH601" s="56">
        <v>185262</v>
      </c>
      <c r="AI601" s="59"/>
    </row>
    <row r="602" spans="1:35" ht="13" x14ac:dyDescent="0.15">
      <c r="A602" s="47"/>
      <c r="B602" s="105" t="s">
        <v>6998</v>
      </c>
      <c r="C602" s="60" t="s">
        <v>43</v>
      </c>
      <c r="D602" s="44">
        <v>5</v>
      </c>
      <c r="E602" s="7" t="s">
        <v>8146</v>
      </c>
      <c r="F602" s="7" t="s">
        <v>116</v>
      </c>
      <c r="G602" s="57"/>
      <c r="H602" s="6" t="s">
        <v>8128</v>
      </c>
      <c r="I602" s="7" t="s">
        <v>635</v>
      </c>
      <c r="J602" s="7" t="s">
        <v>8148</v>
      </c>
      <c r="K602" s="7" t="s">
        <v>55</v>
      </c>
      <c r="L602" s="7"/>
      <c r="M602" s="7"/>
      <c r="N602" s="45" t="str">
        <f t="shared" si="444"/>
        <v>@keansoftball</v>
      </c>
      <c r="O602" s="45" t="str">
        <f t="shared" si="445"/>
        <v>Questionnaire</v>
      </c>
      <c r="P602" s="48" t="s">
        <v>8135</v>
      </c>
      <c r="Q602" s="60" t="s">
        <v>3272</v>
      </c>
      <c r="R602" s="48" t="s">
        <v>8136</v>
      </c>
      <c r="S602" s="48" t="s">
        <v>186</v>
      </c>
      <c r="T602" s="5" t="s">
        <v>74</v>
      </c>
      <c r="U602" s="48" t="s">
        <v>75</v>
      </c>
      <c r="V602" s="49"/>
      <c r="W602" s="39">
        <v>3.1</v>
      </c>
      <c r="X602" s="49" t="s">
        <v>8138</v>
      </c>
      <c r="Y602" s="49" t="s">
        <v>2522</v>
      </c>
      <c r="Z602" s="49" t="s">
        <v>1948</v>
      </c>
      <c r="AA602" s="65">
        <v>0.74</v>
      </c>
      <c r="AB602" s="48" t="s">
        <v>8142</v>
      </c>
      <c r="AC602" s="84" t="s">
        <v>8135</v>
      </c>
      <c r="AD602" s="53" t="str">
        <f t="shared" si="446"/>
        <v>Link</v>
      </c>
      <c r="AE602" s="54">
        <v>11812</v>
      </c>
      <c r="AF602" s="55"/>
      <c r="AG602" s="55"/>
      <c r="AH602" s="56">
        <v>185262</v>
      </c>
      <c r="AI602" s="59"/>
    </row>
    <row r="603" spans="1:35" ht="13" x14ac:dyDescent="0.15">
      <c r="A603" s="47"/>
      <c r="B603" s="105" t="s">
        <v>6998</v>
      </c>
      <c r="C603" s="60" t="s">
        <v>43</v>
      </c>
      <c r="D603" s="86">
        <v>5</v>
      </c>
      <c r="E603" s="7" t="s">
        <v>8152</v>
      </c>
      <c r="F603" s="7"/>
      <c r="G603" s="86"/>
      <c r="H603" s="6" t="s">
        <v>8128</v>
      </c>
      <c r="I603" s="7" t="s">
        <v>4328</v>
      </c>
      <c r="J603" s="7" t="s">
        <v>8153</v>
      </c>
      <c r="K603" s="7" t="s">
        <v>48</v>
      </c>
      <c r="L603" s="7" t="s">
        <v>8155</v>
      </c>
      <c r="M603" s="7" t="s">
        <v>8156</v>
      </c>
      <c r="N603" s="45" t="str">
        <f t="shared" si="444"/>
        <v>@keansoftball</v>
      </c>
      <c r="O603" s="45" t="str">
        <f t="shared" si="445"/>
        <v>Questionnaire</v>
      </c>
      <c r="P603" s="48" t="s">
        <v>8135</v>
      </c>
      <c r="Q603" s="60" t="s">
        <v>3272</v>
      </c>
      <c r="R603" s="48" t="s">
        <v>8136</v>
      </c>
      <c r="S603" s="48" t="s">
        <v>186</v>
      </c>
      <c r="T603" s="5" t="s">
        <v>74</v>
      </c>
      <c r="U603" s="48" t="s">
        <v>75</v>
      </c>
      <c r="V603" s="49"/>
      <c r="W603" s="39">
        <v>3.1</v>
      </c>
      <c r="X603" s="49" t="s">
        <v>8138</v>
      </c>
      <c r="Y603" s="49" t="s">
        <v>2522</v>
      </c>
      <c r="Z603" s="49" t="s">
        <v>1948</v>
      </c>
      <c r="AA603" s="65">
        <v>0.74</v>
      </c>
      <c r="AB603" s="48" t="s">
        <v>8142</v>
      </c>
      <c r="AC603" s="84" t="s">
        <v>8135</v>
      </c>
      <c r="AD603" s="53" t="str">
        <f t="shared" si="446"/>
        <v>Link</v>
      </c>
      <c r="AE603" s="54">
        <v>11812</v>
      </c>
      <c r="AF603" s="55"/>
      <c r="AG603" s="55"/>
      <c r="AH603" s="56">
        <v>185262</v>
      </c>
      <c r="AI603" s="56"/>
    </row>
    <row r="604" spans="1:35" ht="15" x14ac:dyDescent="0.2">
      <c r="A604" s="47"/>
      <c r="B604" s="105" t="s">
        <v>6998</v>
      </c>
      <c r="C604" s="60" t="s">
        <v>43</v>
      </c>
      <c r="D604" s="86">
        <v>5</v>
      </c>
      <c r="E604" s="7" t="s">
        <v>8164</v>
      </c>
      <c r="F604" s="7"/>
      <c r="G604" s="86"/>
      <c r="H604" s="6" t="s">
        <v>8128</v>
      </c>
      <c r="I604" s="34" t="s">
        <v>7526</v>
      </c>
      <c r="J604" s="7" t="s">
        <v>8165</v>
      </c>
      <c r="K604" s="7" t="s">
        <v>55</v>
      </c>
      <c r="L604" s="2" t="s">
        <v>8166</v>
      </c>
      <c r="M604" s="7"/>
      <c r="N604" s="45" t="str">
        <f t="shared" si="444"/>
        <v>@keansoftball</v>
      </c>
      <c r="O604" s="45" t="str">
        <f t="shared" si="445"/>
        <v>Questionnaire</v>
      </c>
      <c r="P604" s="48" t="s">
        <v>8135</v>
      </c>
      <c r="Q604" s="60" t="s">
        <v>3272</v>
      </c>
      <c r="R604" s="48" t="s">
        <v>8136</v>
      </c>
      <c r="S604" s="48" t="s">
        <v>186</v>
      </c>
      <c r="T604" s="5" t="s">
        <v>74</v>
      </c>
      <c r="U604" s="48" t="s">
        <v>75</v>
      </c>
      <c r="V604" s="49"/>
      <c r="W604" s="39">
        <v>3.1</v>
      </c>
      <c r="X604" s="49" t="s">
        <v>8138</v>
      </c>
      <c r="Y604" s="49" t="s">
        <v>2522</v>
      </c>
      <c r="Z604" s="49" t="s">
        <v>1948</v>
      </c>
      <c r="AA604" s="65">
        <v>0.74</v>
      </c>
      <c r="AB604" s="48" t="s">
        <v>8142</v>
      </c>
      <c r="AC604" s="84" t="s">
        <v>8135</v>
      </c>
      <c r="AD604" s="53" t="str">
        <f t="shared" si="446"/>
        <v>Link</v>
      </c>
      <c r="AE604" s="54">
        <v>11812</v>
      </c>
      <c r="AF604" s="55"/>
      <c r="AG604" s="55"/>
      <c r="AH604" s="56">
        <v>185262</v>
      </c>
      <c r="AI604" s="56"/>
    </row>
    <row r="605" spans="1:35" ht="15" x14ac:dyDescent="0.2">
      <c r="A605" s="47"/>
      <c r="B605" s="105" t="s">
        <v>6998</v>
      </c>
      <c r="C605" s="60" t="s">
        <v>43</v>
      </c>
      <c r="D605" s="86">
        <v>5</v>
      </c>
      <c r="E605" s="7" t="s">
        <v>8177</v>
      </c>
      <c r="F605" s="7"/>
      <c r="G605" s="86"/>
      <c r="H605" s="6" t="s">
        <v>8128</v>
      </c>
      <c r="I605" s="2" t="s">
        <v>143</v>
      </c>
      <c r="J605" s="2" t="s">
        <v>8179</v>
      </c>
      <c r="K605" s="33" t="s">
        <v>55</v>
      </c>
      <c r="L605" s="7"/>
      <c r="M605" s="7"/>
      <c r="N605" s="45" t="str">
        <f t="shared" si="444"/>
        <v>@keansoftball</v>
      </c>
      <c r="O605" s="45" t="str">
        <f t="shared" si="445"/>
        <v>Questionnaire</v>
      </c>
      <c r="P605" s="48" t="s">
        <v>8135</v>
      </c>
      <c r="Q605" s="60" t="s">
        <v>3272</v>
      </c>
      <c r="R605" s="48" t="s">
        <v>8136</v>
      </c>
      <c r="S605" s="48" t="s">
        <v>186</v>
      </c>
      <c r="T605" s="5" t="s">
        <v>74</v>
      </c>
      <c r="U605" s="48" t="s">
        <v>75</v>
      </c>
      <c r="V605" s="49"/>
      <c r="W605" s="39">
        <v>3.1</v>
      </c>
      <c r="X605" s="49" t="s">
        <v>8138</v>
      </c>
      <c r="Y605" s="49" t="s">
        <v>2522</v>
      </c>
      <c r="Z605" s="49" t="s">
        <v>1948</v>
      </c>
      <c r="AA605" s="65">
        <v>0.74</v>
      </c>
      <c r="AB605" s="48" t="s">
        <v>8142</v>
      </c>
      <c r="AC605" s="84" t="s">
        <v>8135</v>
      </c>
      <c r="AD605" s="53" t="str">
        <f t="shared" si="446"/>
        <v>Link</v>
      </c>
      <c r="AE605" s="54">
        <v>11812</v>
      </c>
      <c r="AF605" s="55"/>
      <c r="AG605" s="55"/>
      <c r="AH605" s="56">
        <v>185262</v>
      </c>
      <c r="AI605" s="56"/>
    </row>
    <row r="606" spans="1:35" ht="15" x14ac:dyDescent="0.2">
      <c r="A606" s="47"/>
      <c r="B606" s="105" t="s">
        <v>6998</v>
      </c>
      <c r="C606" s="60" t="s">
        <v>43</v>
      </c>
      <c r="D606" s="44">
        <v>5</v>
      </c>
      <c r="E606" s="7" t="s">
        <v>8185</v>
      </c>
      <c r="F606" s="7" t="s">
        <v>116</v>
      </c>
      <c r="G606" s="57"/>
      <c r="H606" s="6" t="s">
        <v>8186</v>
      </c>
      <c r="I606" s="7" t="s">
        <v>1524</v>
      </c>
      <c r="J606" s="7" t="s">
        <v>8188</v>
      </c>
      <c r="K606" s="7" t="s">
        <v>55</v>
      </c>
      <c r="L606" s="7"/>
      <c r="M606" s="7"/>
      <c r="N606" s="45" t="str">
        <f t="shared" ref="N606:N610" si="447">HYPERLINK("twitter.com/montclair_sb","@montclair_sb")</f>
        <v>@montclair_sb</v>
      </c>
      <c r="O606" s="45" t="str">
        <f t="shared" ref="O606:O610" si="448">HYPERLINK("https://montclairathletics.com/sb_output.aspx?form=3","Questionnaire")</f>
        <v>Questionnaire</v>
      </c>
      <c r="P606" s="48" t="s">
        <v>8191</v>
      </c>
      <c r="Q606" s="60" t="s">
        <v>3272</v>
      </c>
      <c r="R606" s="48" t="s">
        <v>8192</v>
      </c>
      <c r="S606" s="48" t="s">
        <v>468</v>
      </c>
      <c r="T606" s="49" t="s">
        <v>74</v>
      </c>
      <c r="U606" s="48" t="s">
        <v>75</v>
      </c>
      <c r="V606" s="49"/>
      <c r="W606" s="39">
        <v>3.2</v>
      </c>
      <c r="X606" s="49" t="s">
        <v>253</v>
      </c>
      <c r="Y606" s="49" t="s">
        <v>1145</v>
      </c>
      <c r="Z606" s="49" t="s">
        <v>214</v>
      </c>
      <c r="AA606" s="65">
        <v>0.66</v>
      </c>
      <c r="AB606" s="48" t="s">
        <v>8194</v>
      </c>
      <c r="AC606" s="52" t="s">
        <v>8191</v>
      </c>
      <c r="AD606" s="53" t="str">
        <f t="shared" ref="AD606:AD610" si="449">HYPERLINK("http://catalog.montclair.edu/programs/","Link")</f>
        <v>Link</v>
      </c>
      <c r="AE606" s="54">
        <v>16810</v>
      </c>
      <c r="AF606" s="54">
        <v>187</v>
      </c>
      <c r="AG606" s="55"/>
      <c r="AH606" s="56">
        <v>185590</v>
      </c>
      <c r="AI606" s="59"/>
    </row>
    <row r="607" spans="1:35" ht="15" x14ac:dyDescent="0.2">
      <c r="A607" s="47"/>
      <c r="B607" s="105" t="s">
        <v>6998</v>
      </c>
      <c r="C607" s="60" t="s">
        <v>43</v>
      </c>
      <c r="D607" s="86">
        <v>5</v>
      </c>
      <c r="E607" s="7" t="s">
        <v>8201</v>
      </c>
      <c r="F607" s="7"/>
      <c r="G607" s="86"/>
      <c r="H607" s="6" t="s">
        <v>8186</v>
      </c>
      <c r="I607" s="7" t="s">
        <v>8203</v>
      </c>
      <c r="J607" s="7" t="s">
        <v>8205</v>
      </c>
      <c r="K607" s="7" t="s">
        <v>48</v>
      </c>
      <c r="L607" s="7" t="s">
        <v>8207</v>
      </c>
      <c r="M607" s="7" t="s">
        <v>8208</v>
      </c>
      <c r="N607" s="45" t="str">
        <f t="shared" si="447"/>
        <v>@montclair_sb</v>
      </c>
      <c r="O607" s="45" t="str">
        <f t="shared" si="448"/>
        <v>Questionnaire</v>
      </c>
      <c r="P607" s="48" t="s">
        <v>8191</v>
      </c>
      <c r="Q607" s="60" t="s">
        <v>3272</v>
      </c>
      <c r="R607" s="48" t="s">
        <v>8192</v>
      </c>
      <c r="S607" s="48" t="s">
        <v>468</v>
      </c>
      <c r="T607" s="49" t="s">
        <v>74</v>
      </c>
      <c r="U607" s="48" t="s">
        <v>75</v>
      </c>
      <c r="V607" s="49"/>
      <c r="W607" s="39">
        <v>3.2</v>
      </c>
      <c r="X607" s="49" t="s">
        <v>253</v>
      </c>
      <c r="Y607" s="49" t="s">
        <v>1145</v>
      </c>
      <c r="Z607" s="49" t="s">
        <v>214</v>
      </c>
      <c r="AA607" s="65">
        <v>0.66</v>
      </c>
      <c r="AB607" s="48" t="s">
        <v>8194</v>
      </c>
      <c r="AC607" s="52" t="s">
        <v>8191</v>
      </c>
      <c r="AD607" s="53" t="str">
        <f t="shared" si="449"/>
        <v>Link</v>
      </c>
      <c r="AE607" s="54">
        <v>16810</v>
      </c>
      <c r="AF607" s="54">
        <v>187</v>
      </c>
      <c r="AG607" s="55"/>
      <c r="AH607" s="56">
        <v>185590</v>
      </c>
      <c r="AI607" s="56"/>
    </row>
    <row r="608" spans="1:35" ht="15" x14ac:dyDescent="0.2">
      <c r="A608" s="47"/>
      <c r="B608" s="105" t="s">
        <v>6998</v>
      </c>
      <c r="C608" s="60" t="s">
        <v>43</v>
      </c>
      <c r="D608" s="86">
        <v>5</v>
      </c>
      <c r="E608" s="7" t="s">
        <v>8211</v>
      </c>
      <c r="F608" s="7" t="s">
        <v>116</v>
      </c>
      <c r="G608" s="57"/>
      <c r="H608" s="6" t="s">
        <v>8186</v>
      </c>
      <c r="I608" s="7" t="s">
        <v>878</v>
      </c>
      <c r="J608" s="7" t="s">
        <v>6038</v>
      </c>
      <c r="K608" s="7" t="s">
        <v>55</v>
      </c>
      <c r="L608" s="7" t="s">
        <v>8213</v>
      </c>
      <c r="M608" s="7"/>
      <c r="N608" s="45" t="str">
        <f t="shared" si="447"/>
        <v>@montclair_sb</v>
      </c>
      <c r="O608" s="45" t="str">
        <f t="shared" si="448"/>
        <v>Questionnaire</v>
      </c>
      <c r="P608" s="48" t="s">
        <v>8191</v>
      </c>
      <c r="Q608" s="60" t="s">
        <v>3272</v>
      </c>
      <c r="R608" s="48" t="s">
        <v>8192</v>
      </c>
      <c r="S608" s="48" t="s">
        <v>468</v>
      </c>
      <c r="T608" s="49" t="s">
        <v>74</v>
      </c>
      <c r="U608" s="48" t="s">
        <v>75</v>
      </c>
      <c r="V608" s="49"/>
      <c r="W608" s="39">
        <v>3.2</v>
      </c>
      <c r="X608" s="49" t="s">
        <v>253</v>
      </c>
      <c r="Y608" s="49" t="s">
        <v>1145</v>
      </c>
      <c r="Z608" s="49" t="s">
        <v>214</v>
      </c>
      <c r="AA608" s="65">
        <v>0.66</v>
      </c>
      <c r="AB608" s="48" t="s">
        <v>8194</v>
      </c>
      <c r="AC608" s="52" t="s">
        <v>8191</v>
      </c>
      <c r="AD608" s="53" t="str">
        <f t="shared" si="449"/>
        <v>Link</v>
      </c>
      <c r="AE608" s="54">
        <v>16810</v>
      </c>
      <c r="AF608" s="54">
        <v>187</v>
      </c>
      <c r="AG608" s="55"/>
      <c r="AH608" s="56">
        <v>185590</v>
      </c>
      <c r="AI608" s="56"/>
    </row>
    <row r="609" spans="1:35" ht="15" x14ac:dyDescent="0.2">
      <c r="A609" s="47"/>
      <c r="B609" s="105" t="s">
        <v>6998</v>
      </c>
      <c r="C609" s="60" t="s">
        <v>43</v>
      </c>
      <c r="D609" s="86">
        <v>5</v>
      </c>
      <c r="E609" s="7" t="s">
        <v>8214</v>
      </c>
      <c r="F609" s="7"/>
      <c r="G609" s="86" t="s">
        <v>126</v>
      </c>
      <c r="H609" s="6" t="s">
        <v>8186</v>
      </c>
      <c r="I609" s="7" t="s">
        <v>8216</v>
      </c>
      <c r="J609" s="7"/>
      <c r="K609" s="2"/>
      <c r="L609" s="7"/>
      <c r="M609" s="7"/>
      <c r="N609" s="45" t="str">
        <f t="shared" si="447"/>
        <v>@montclair_sb</v>
      </c>
      <c r="O609" s="45" t="str">
        <f t="shared" si="448"/>
        <v>Questionnaire</v>
      </c>
      <c r="P609" s="48" t="s">
        <v>8191</v>
      </c>
      <c r="Q609" s="60" t="s">
        <v>3272</v>
      </c>
      <c r="R609" s="48" t="s">
        <v>8192</v>
      </c>
      <c r="S609" s="48" t="s">
        <v>468</v>
      </c>
      <c r="T609" s="49" t="s">
        <v>74</v>
      </c>
      <c r="U609" s="48" t="s">
        <v>75</v>
      </c>
      <c r="V609" s="49"/>
      <c r="W609" s="39">
        <v>3.2</v>
      </c>
      <c r="X609" s="49" t="s">
        <v>253</v>
      </c>
      <c r="Y609" s="49" t="s">
        <v>1145</v>
      </c>
      <c r="Z609" s="49" t="s">
        <v>214</v>
      </c>
      <c r="AA609" s="65">
        <v>0.66</v>
      </c>
      <c r="AB609" s="48" t="s">
        <v>8194</v>
      </c>
      <c r="AC609" s="52" t="s">
        <v>8191</v>
      </c>
      <c r="AD609" s="53" t="str">
        <f t="shared" si="449"/>
        <v>Link</v>
      </c>
      <c r="AE609" s="54">
        <v>16810</v>
      </c>
      <c r="AF609" s="54">
        <v>187</v>
      </c>
      <c r="AG609" s="55"/>
      <c r="AH609" s="56">
        <v>185590</v>
      </c>
      <c r="AI609" s="56"/>
    </row>
    <row r="610" spans="1:35" ht="15" x14ac:dyDescent="0.2">
      <c r="A610" s="47"/>
      <c r="B610" s="105" t="s">
        <v>6998</v>
      </c>
      <c r="C610" s="60" t="s">
        <v>43</v>
      </c>
      <c r="D610" s="86">
        <v>5</v>
      </c>
      <c r="E610" s="7" t="s">
        <v>8223</v>
      </c>
      <c r="F610" s="7"/>
      <c r="G610" s="86" t="s">
        <v>126</v>
      </c>
      <c r="H610" s="6" t="s">
        <v>8186</v>
      </c>
      <c r="I610" s="2" t="s">
        <v>8224</v>
      </c>
      <c r="J610" s="57"/>
      <c r="K610" s="33"/>
      <c r="L610" s="7"/>
      <c r="M610" s="7"/>
      <c r="N610" s="45" t="str">
        <f t="shared" si="447"/>
        <v>@montclair_sb</v>
      </c>
      <c r="O610" s="45" t="str">
        <f t="shared" si="448"/>
        <v>Questionnaire</v>
      </c>
      <c r="P610" s="48" t="s">
        <v>8191</v>
      </c>
      <c r="Q610" s="60" t="s">
        <v>3272</v>
      </c>
      <c r="R610" s="48" t="s">
        <v>8192</v>
      </c>
      <c r="S610" s="48" t="s">
        <v>468</v>
      </c>
      <c r="T610" s="49" t="s">
        <v>74</v>
      </c>
      <c r="U610" s="48" t="s">
        <v>75</v>
      </c>
      <c r="V610" s="49"/>
      <c r="W610" s="39">
        <v>3.2</v>
      </c>
      <c r="X610" s="49" t="s">
        <v>253</v>
      </c>
      <c r="Y610" s="49" t="s">
        <v>1145</v>
      </c>
      <c r="Z610" s="49" t="s">
        <v>214</v>
      </c>
      <c r="AA610" s="65">
        <v>0.66</v>
      </c>
      <c r="AB610" s="48" t="s">
        <v>8194</v>
      </c>
      <c r="AC610" s="52" t="s">
        <v>8191</v>
      </c>
      <c r="AD610" s="53" t="str">
        <f t="shared" si="449"/>
        <v>Link</v>
      </c>
      <c r="AE610" s="54">
        <v>16810</v>
      </c>
      <c r="AF610" s="54">
        <v>187</v>
      </c>
      <c r="AG610" s="55"/>
      <c r="AH610" s="56">
        <v>185590</v>
      </c>
      <c r="AI610" s="56"/>
    </row>
    <row r="611" spans="1:35" ht="13" x14ac:dyDescent="0.15">
      <c r="A611" s="47"/>
      <c r="B611" s="105" t="s">
        <v>6998</v>
      </c>
      <c r="C611" s="60" t="s">
        <v>43</v>
      </c>
      <c r="D611" s="86">
        <v>5</v>
      </c>
      <c r="E611" s="7" t="s">
        <v>8228</v>
      </c>
      <c r="F611" s="7"/>
      <c r="G611" s="86"/>
      <c r="H611" s="6" t="s">
        <v>8229</v>
      </c>
      <c r="I611" s="7" t="s">
        <v>981</v>
      </c>
      <c r="J611" s="7" t="s">
        <v>729</v>
      </c>
      <c r="K611" s="7" t="s">
        <v>48</v>
      </c>
      <c r="L611" s="95" t="s">
        <v>8230</v>
      </c>
      <c r="M611" s="7" t="s">
        <v>8231</v>
      </c>
      <c r="N611" s="45" t="str">
        <f t="shared" ref="N611:N613" si="450">HYPERLINK("twitter.com/njcusoftball","@njcusoftball")</f>
        <v>@njcusoftball</v>
      </c>
      <c r="O611" s="45" t="str">
        <f t="shared" ref="O611:O613" si="451">HYPERLINK("https://njcugothicknights.com/sb_output.aspx?form=3","Questionnaire")</f>
        <v>Questionnaire</v>
      </c>
      <c r="P611" s="48" t="s">
        <v>8233</v>
      </c>
      <c r="Q611" s="60" t="s">
        <v>3272</v>
      </c>
      <c r="R611" s="48" t="s">
        <v>8235</v>
      </c>
      <c r="S611" s="48" t="s">
        <v>62</v>
      </c>
      <c r="T611" s="49" t="s">
        <v>74</v>
      </c>
      <c r="U611" s="48" t="s">
        <v>75</v>
      </c>
      <c r="V611" s="49"/>
      <c r="W611" s="39">
        <v>2.97</v>
      </c>
      <c r="X611" s="49" t="s">
        <v>8237</v>
      </c>
      <c r="Y611" s="49" t="s">
        <v>8238</v>
      </c>
      <c r="Z611" s="49" t="s">
        <v>214</v>
      </c>
      <c r="AA611" s="65">
        <v>0.85</v>
      </c>
      <c r="AB611" s="48" t="s">
        <v>8240</v>
      </c>
      <c r="AC611" s="84" t="s">
        <v>8233</v>
      </c>
      <c r="AD611" s="53" t="str">
        <f t="shared" ref="AD611:AD613" si="452">HYPERLINK("http://www.njcu.edu/academic-departments","Link")</f>
        <v>Link</v>
      </c>
      <c r="AE611" s="54">
        <v>6663</v>
      </c>
      <c r="AF611" s="55"/>
      <c r="AG611" s="55"/>
      <c r="AH611" s="56">
        <v>185129</v>
      </c>
      <c r="AI611" s="56"/>
    </row>
    <row r="612" spans="1:35" ht="13" x14ac:dyDescent="0.15">
      <c r="A612" s="47"/>
      <c r="B612" s="105" t="s">
        <v>6998</v>
      </c>
      <c r="C612" s="60" t="s">
        <v>43</v>
      </c>
      <c r="D612" s="86">
        <v>5</v>
      </c>
      <c r="E612" s="7" t="s">
        <v>8241</v>
      </c>
      <c r="F612" s="7"/>
      <c r="G612" s="86"/>
      <c r="H612" s="6" t="s">
        <v>8229</v>
      </c>
      <c r="I612" s="7" t="s">
        <v>981</v>
      </c>
      <c r="J612" s="7" t="s">
        <v>729</v>
      </c>
      <c r="K612" s="7" t="s">
        <v>1048</v>
      </c>
      <c r="L612" s="95" t="s">
        <v>8242</v>
      </c>
      <c r="M612" s="7" t="s">
        <v>8231</v>
      </c>
      <c r="N612" s="45" t="str">
        <f t="shared" si="450"/>
        <v>@njcusoftball</v>
      </c>
      <c r="O612" s="45" t="str">
        <f t="shared" si="451"/>
        <v>Questionnaire</v>
      </c>
      <c r="P612" s="48" t="s">
        <v>8233</v>
      </c>
      <c r="Q612" s="60" t="s">
        <v>3272</v>
      </c>
      <c r="R612" s="48" t="s">
        <v>8235</v>
      </c>
      <c r="S612" s="48" t="s">
        <v>62</v>
      </c>
      <c r="T612" s="49" t="s">
        <v>74</v>
      </c>
      <c r="U612" s="48" t="s">
        <v>75</v>
      </c>
      <c r="V612" s="49"/>
      <c r="W612" s="39">
        <v>2.97</v>
      </c>
      <c r="X612" s="49" t="s">
        <v>8237</v>
      </c>
      <c r="Y612" s="49" t="s">
        <v>8238</v>
      </c>
      <c r="Z612" s="49" t="s">
        <v>214</v>
      </c>
      <c r="AA612" s="65">
        <v>0.85</v>
      </c>
      <c r="AB612" s="48" t="s">
        <v>8240</v>
      </c>
      <c r="AC612" s="84" t="s">
        <v>8233</v>
      </c>
      <c r="AD612" s="53" t="str">
        <f t="shared" si="452"/>
        <v>Link</v>
      </c>
      <c r="AE612" s="54">
        <v>6663</v>
      </c>
      <c r="AF612" s="55"/>
      <c r="AG612" s="55"/>
      <c r="AH612" s="56">
        <v>185129</v>
      </c>
      <c r="AI612" s="56"/>
    </row>
    <row r="613" spans="1:35" ht="13" x14ac:dyDescent="0.15">
      <c r="A613" s="47"/>
      <c r="B613" s="105" t="s">
        <v>6998</v>
      </c>
      <c r="C613" s="60" t="s">
        <v>43</v>
      </c>
      <c r="D613" s="86">
        <v>5</v>
      </c>
      <c r="E613" s="7" t="s">
        <v>8250</v>
      </c>
      <c r="F613" s="7"/>
      <c r="G613" s="86"/>
      <c r="H613" s="6" t="s">
        <v>8229</v>
      </c>
      <c r="I613" s="7" t="s">
        <v>1159</v>
      </c>
      <c r="J613" s="7" t="s">
        <v>8026</v>
      </c>
      <c r="K613" s="2" t="s">
        <v>55</v>
      </c>
      <c r="L613" s="7"/>
      <c r="M613" s="7" t="s">
        <v>8231</v>
      </c>
      <c r="N613" s="45" t="str">
        <f t="shared" si="450"/>
        <v>@njcusoftball</v>
      </c>
      <c r="O613" s="45" t="str">
        <f t="shared" si="451"/>
        <v>Questionnaire</v>
      </c>
      <c r="P613" s="48" t="s">
        <v>8233</v>
      </c>
      <c r="Q613" s="60" t="s">
        <v>3272</v>
      </c>
      <c r="R613" s="48" t="s">
        <v>8235</v>
      </c>
      <c r="S613" s="48" t="s">
        <v>62</v>
      </c>
      <c r="T613" s="49" t="s">
        <v>74</v>
      </c>
      <c r="U613" s="48" t="s">
        <v>75</v>
      </c>
      <c r="V613" s="49"/>
      <c r="W613" s="39">
        <v>2.97</v>
      </c>
      <c r="X613" s="49" t="s">
        <v>8237</v>
      </c>
      <c r="Y613" s="49" t="s">
        <v>8238</v>
      </c>
      <c r="Z613" s="49" t="s">
        <v>214</v>
      </c>
      <c r="AA613" s="65">
        <v>0.85</v>
      </c>
      <c r="AB613" s="48" t="s">
        <v>8240</v>
      </c>
      <c r="AC613" s="84" t="s">
        <v>8233</v>
      </c>
      <c r="AD613" s="53" t="str">
        <f t="shared" si="452"/>
        <v>Link</v>
      </c>
      <c r="AE613" s="54">
        <v>6663</v>
      </c>
      <c r="AF613" s="55"/>
      <c r="AG613" s="55"/>
      <c r="AH613" s="56">
        <v>185129</v>
      </c>
      <c r="AI613" s="56"/>
    </row>
    <row r="614" spans="1:35" ht="13" x14ac:dyDescent="0.15">
      <c r="A614" s="47"/>
      <c r="B614" s="105" t="s">
        <v>6998</v>
      </c>
      <c r="C614" s="60" t="s">
        <v>43</v>
      </c>
      <c r="D614" s="86">
        <v>5</v>
      </c>
      <c r="E614" s="7" t="s">
        <v>8255</v>
      </c>
      <c r="F614" s="7"/>
      <c r="G614" s="86"/>
      <c r="H614" s="6" t="s">
        <v>8257</v>
      </c>
      <c r="I614" s="7" t="s">
        <v>8259</v>
      </c>
      <c r="J614" s="7" t="s">
        <v>8261</v>
      </c>
      <c r="K614" s="7" t="s">
        <v>48</v>
      </c>
      <c r="L614" s="7" t="s">
        <v>8262</v>
      </c>
      <c r="M614" s="7" t="s">
        <v>8264</v>
      </c>
      <c r="N614" s="45" t="str">
        <f t="shared" ref="N614:N617" si="453">HYPERLINK("twitter.com/rcnjsoftball","@rcnjsoftball")</f>
        <v>@rcnjsoftball</v>
      </c>
      <c r="O614" s="45" t="str">
        <f t="shared" ref="O614:O617" si="454">HYPERLINK("https://ramapoathletics.com/sports/2008/1/30/GEN_0130085357.aspx","Questionnaire")</f>
        <v>Questionnaire</v>
      </c>
      <c r="P614" s="48" t="s">
        <v>8267</v>
      </c>
      <c r="Q614" s="60" t="s">
        <v>3272</v>
      </c>
      <c r="R614" s="48" t="s">
        <v>8268</v>
      </c>
      <c r="S614" s="48" t="s">
        <v>172</v>
      </c>
      <c r="T614" s="49" t="s">
        <v>74</v>
      </c>
      <c r="U614" s="48" t="s">
        <v>75</v>
      </c>
      <c r="V614" s="49"/>
      <c r="W614" s="39">
        <v>3.31</v>
      </c>
      <c r="X614" s="49" t="s">
        <v>802</v>
      </c>
      <c r="Y614" s="49" t="s">
        <v>676</v>
      </c>
      <c r="Z614" s="49" t="s">
        <v>1650</v>
      </c>
      <c r="AA614" s="65">
        <v>0.53</v>
      </c>
      <c r="AB614" s="48" t="s">
        <v>8272</v>
      </c>
      <c r="AC614" s="84" t="s">
        <v>8267</v>
      </c>
      <c r="AD614" s="53" t="str">
        <f t="shared" ref="AD614:AD617" si="455">HYPERLINK("https://www.ramapo.edu/majors-minors/a-z/","Link")</f>
        <v>Link</v>
      </c>
      <c r="AE614" s="54">
        <v>5762</v>
      </c>
      <c r="AF614" s="55"/>
      <c r="AG614" s="55"/>
      <c r="AH614" s="56">
        <v>186201</v>
      </c>
      <c r="AI614" s="56"/>
    </row>
    <row r="615" spans="1:35" ht="15" x14ac:dyDescent="0.2">
      <c r="A615" s="47"/>
      <c r="B615" s="105" t="s">
        <v>6998</v>
      </c>
      <c r="C615" s="60" t="s">
        <v>43</v>
      </c>
      <c r="D615" s="86">
        <v>5</v>
      </c>
      <c r="E615" s="7" t="s">
        <v>8274</v>
      </c>
      <c r="F615" s="7" t="s">
        <v>116</v>
      </c>
      <c r="G615" s="57"/>
      <c r="H615" s="6" t="s">
        <v>8257</v>
      </c>
      <c r="I615" s="7" t="s">
        <v>981</v>
      </c>
      <c r="J615" s="7" t="s">
        <v>8276</v>
      </c>
      <c r="K615" s="7" t="s">
        <v>55</v>
      </c>
      <c r="L615" s="34"/>
      <c r="M615" s="7"/>
      <c r="N615" s="45" t="str">
        <f t="shared" si="453"/>
        <v>@rcnjsoftball</v>
      </c>
      <c r="O615" s="45" t="str">
        <f t="shared" si="454"/>
        <v>Questionnaire</v>
      </c>
      <c r="P615" s="48" t="s">
        <v>8267</v>
      </c>
      <c r="Q615" s="60" t="s">
        <v>3272</v>
      </c>
      <c r="R615" s="48" t="s">
        <v>8268</v>
      </c>
      <c r="S615" s="48" t="s">
        <v>172</v>
      </c>
      <c r="T615" s="49" t="s">
        <v>74</v>
      </c>
      <c r="U615" s="48" t="s">
        <v>75</v>
      </c>
      <c r="V615" s="49"/>
      <c r="W615" s="39">
        <v>3.31</v>
      </c>
      <c r="X615" s="49" t="s">
        <v>802</v>
      </c>
      <c r="Y615" s="49" t="s">
        <v>676</v>
      </c>
      <c r="Z615" s="49" t="s">
        <v>1650</v>
      </c>
      <c r="AA615" s="65">
        <v>0.53</v>
      </c>
      <c r="AB615" s="48" t="s">
        <v>8272</v>
      </c>
      <c r="AC615" s="84" t="s">
        <v>8267</v>
      </c>
      <c r="AD615" s="53" t="str">
        <f t="shared" si="455"/>
        <v>Link</v>
      </c>
      <c r="AE615" s="54">
        <v>5762</v>
      </c>
      <c r="AF615" s="55"/>
      <c r="AG615" s="55"/>
      <c r="AH615" s="56">
        <v>186201</v>
      </c>
      <c r="AI615" s="56"/>
    </row>
    <row r="616" spans="1:35" ht="13" x14ac:dyDescent="0.15">
      <c r="A616" s="47"/>
      <c r="B616" s="105" t="s">
        <v>6998</v>
      </c>
      <c r="C616" s="60" t="s">
        <v>43</v>
      </c>
      <c r="D616" s="86">
        <v>5</v>
      </c>
      <c r="E616" s="7" t="s">
        <v>8277</v>
      </c>
      <c r="F616" s="7"/>
      <c r="G616" s="86"/>
      <c r="H616" s="6" t="s">
        <v>8257</v>
      </c>
      <c r="I616" s="7" t="s">
        <v>5294</v>
      </c>
      <c r="J616" s="7" t="s">
        <v>8278</v>
      </c>
      <c r="K616" s="2" t="s">
        <v>139</v>
      </c>
      <c r="L616" s="7"/>
      <c r="M616" s="7" t="s">
        <v>8264</v>
      </c>
      <c r="N616" s="45" t="str">
        <f t="shared" si="453"/>
        <v>@rcnjsoftball</v>
      </c>
      <c r="O616" s="45" t="str">
        <f t="shared" si="454"/>
        <v>Questionnaire</v>
      </c>
      <c r="P616" s="48" t="s">
        <v>8267</v>
      </c>
      <c r="Q616" s="60" t="s">
        <v>3272</v>
      </c>
      <c r="R616" s="48" t="s">
        <v>8268</v>
      </c>
      <c r="S616" s="48" t="s">
        <v>172</v>
      </c>
      <c r="T616" s="49" t="s">
        <v>74</v>
      </c>
      <c r="U616" s="48" t="s">
        <v>75</v>
      </c>
      <c r="V616" s="49"/>
      <c r="W616" s="39">
        <v>3.31</v>
      </c>
      <c r="X616" s="49" t="s">
        <v>802</v>
      </c>
      <c r="Y616" s="49" t="s">
        <v>676</v>
      </c>
      <c r="Z616" s="49" t="s">
        <v>1650</v>
      </c>
      <c r="AA616" s="65">
        <v>0.53</v>
      </c>
      <c r="AB616" s="48" t="s">
        <v>8272</v>
      </c>
      <c r="AC616" s="84" t="s">
        <v>8267</v>
      </c>
      <c r="AD616" s="53" t="str">
        <f t="shared" si="455"/>
        <v>Link</v>
      </c>
      <c r="AE616" s="54">
        <v>5762</v>
      </c>
      <c r="AF616" s="55"/>
      <c r="AG616" s="55"/>
      <c r="AH616" s="56">
        <v>186201</v>
      </c>
      <c r="AI616" s="56"/>
    </row>
    <row r="617" spans="1:35" ht="15" x14ac:dyDescent="0.2">
      <c r="A617" s="47"/>
      <c r="B617" s="105" t="s">
        <v>6998</v>
      </c>
      <c r="C617" s="60" t="s">
        <v>43</v>
      </c>
      <c r="D617" s="86">
        <v>5</v>
      </c>
      <c r="E617" s="7" t="s">
        <v>8287</v>
      </c>
      <c r="F617" s="7"/>
      <c r="G617" s="86"/>
      <c r="H617" s="6" t="s">
        <v>8257</v>
      </c>
      <c r="I617" s="7" t="s">
        <v>8288</v>
      </c>
      <c r="J617" s="7" t="s">
        <v>8289</v>
      </c>
      <c r="K617" s="33" t="s">
        <v>139</v>
      </c>
      <c r="L617" s="7"/>
      <c r="M617" s="7" t="s">
        <v>8264</v>
      </c>
      <c r="N617" s="45" t="str">
        <f t="shared" si="453"/>
        <v>@rcnjsoftball</v>
      </c>
      <c r="O617" s="45" t="str">
        <f t="shared" si="454"/>
        <v>Questionnaire</v>
      </c>
      <c r="P617" s="48" t="s">
        <v>8267</v>
      </c>
      <c r="Q617" s="60" t="s">
        <v>3272</v>
      </c>
      <c r="R617" s="48" t="s">
        <v>8268</v>
      </c>
      <c r="S617" s="48" t="s">
        <v>172</v>
      </c>
      <c r="T617" s="49" t="s">
        <v>74</v>
      </c>
      <c r="U617" s="48" t="s">
        <v>75</v>
      </c>
      <c r="V617" s="49"/>
      <c r="W617" s="39">
        <v>3.31</v>
      </c>
      <c r="X617" s="49" t="s">
        <v>802</v>
      </c>
      <c r="Y617" s="49" t="s">
        <v>676</v>
      </c>
      <c r="Z617" s="49" t="s">
        <v>1650</v>
      </c>
      <c r="AA617" s="65">
        <v>0.53</v>
      </c>
      <c r="AB617" s="48" t="s">
        <v>8272</v>
      </c>
      <c r="AC617" s="84" t="s">
        <v>8267</v>
      </c>
      <c r="AD617" s="53" t="str">
        <f t="shared" si="455"/>
        <v>Link</v>
      </c>
      <c r="AE617" s="54">
        <v>5762</v>
      </c>
      <c r="AF617" s="55"/>
      <c r="AG617" s="55"/>
      <c r="AH617" s="56">
        <v>186201</v>
      </c>
      <c r="AI617" s="56"/>
    </row>
    <row r="618" spans="1:35" ht="13" x14ac:dyDescent="0.15">
      <c r="A618" s="47"/>
      <c r="B618" s="105" t="s">
        <v>6998</v>
      </c>
      <c r="C618" s="60" t="s">
        <v>43</v>
      </c>
      <c r="D618" s="44">
        <v>5</v>
      </c>
      <c r="E618" s="7" t="s">
        <v>8296</v>
      </c>
      <c r="F618" s="7"/>
      <c r="G618" s="7"/>
      <c r="H618" s="6" t="s">
        <v>8297</v>
      </c>
      <c r="I618" s="7" t="s">
        <v>4603</v>
      </c>
      <c r="J618" s="7" t="s">
        <v>8299</v>
      </c>
      <c r="K618" s="7" t="s">
        <v>55</v>
      </c>
      <c r="L618" s="7" t="s">
        <v>8301</v>
      </c>
      <c r="M618" s="7"/>
      <c r="N618" s="48"/>
      <c r="O618" s="48"/>
      <c r="P618" s="48" t="s">
        <v>8302</v>
      </c>
      <c r="Q618" s="60" t="s">
        <v>3272</v>
      </c>
      <c r="R618" s="6" t="s">
        <v>8303</v>
      </c>
      <c r="S618" s="4" t="s">
        <v>172</v>
      </c>
      <c r="T618" s="4" t="s">
        <v>74</v>
      </c>
      <c r="U618" s="49" t="s">
        <v>75</v>
      </c>
      <c r="V618" s="49"/>
      <c r="W618" s="39">
        <v>3.46</v>
      </c>
      <c r="X618" s="49" t="s">
        <v>344</v>
      </c>
      <c r="Y618" s="49" t="s">
        <v>1229</v>
      </c>
      <c r="Z618" s="4" t="s">
        <v>320</v>
      </c>
      <c r="AA618" s="65">
        <v>0.71</v>
      </c>
      <c r="AB618" s="48" t="s">
        <v>8305</v>
      </c>
      <c r="AC618" s="66" t="s">
        <v>8302</v>
      </c>
      <c r="AD618" s="67" t="str">
        <f t="shared" ref="AD618:AD621" si="456">HYPERLINK("https://www.rowan.edu/home/undergraduate-admissions/undergraduate-degrees","Link")</f>
        <v>Link</v>
      </c>
      <c r="AE618" s="42">
        <v>14345</v>
      </c>
      <c r="AF618" s="42">
        <v>171</v>
      </c>
      <c r="AG618" s="55"/>
      <c r="AH618" s="56">
        <v>184782</v>
      </c>
      <c r="AI618" s="56"/>
    </row>
    <row r="619" spans="1:35" ht="13" x14ac:dyDescent="0.15">
      <c r="A619" s="47"/>
      <c r="B619" s="105" t="s">
        <v>6998</v>
      </c>
      <c r="C619" s="60" t="s">
        <v>43</v>
      </c>
      <c r="D619" s="86">
        <v>5</v>
      </c>
      <c r="E619" s="7" t="s">
        <v>8311</v>
      </c>
      <c r="F619" s="7"/>
      <c r="G619" s="86"/>
      <c r="H619" s="6" t="s">
        <v>8297</v>
      </c>
      <c r="I619" s="7" t="s">
        <v>1159</v>
      </c>
      <c r="J619" s="7" t="s">
        <v>805</v>
      </c>
      <c r="K619" s="7" t="s">
        <v>590</v>
      </c>
      <c r="L619" s="7" t="s">
        <v>8312</v>
      </c>
      <c r="M619" s="7" t="s">
        <v>8313</v>
      </c>
      <c r="N619" s="45" t="str">
        <f t="shared" ref="N619:N621" si="457">HYPERLINK("twitter.com/rowanusoftball","@rowanusoftball")</f>
        <v>@rowanusoftball</v>
      </c>
      <c r="O619" s="45" t="str">
        <f t="shared" ref="O619:O621" si="458">HYPERLINK("https://www.rowanathletics.com/sb_output.aspx?frform=1&amp;path=softball","Questionnaire")</f>
        <v>Questionnaire</v>
      </c>
      <c r="P619" s="48" t="s">
        <v>8302</v>
      </c>
      <c r="Q619" s="60" t="s">
        <v>3272</v>
      </c>
      <c r="R619" s="48" t="s">
        <v>8303</v>
      </c>
      <c r="S619" s="48" t="s">
        <v>172</v>
      </c>
      <c r="T619" s="49" t="s">
        <v>74</v>
      </c>
      <c r="U619" s="48" t="s">
        <v>75</v>
      </c>
      <c r="V619" s="49"/>
      <c r="W619" s="39">
        <v>3.46</v>
      </c>
      <c r="X619" s="49" t="s">
        <v>344</v>
      </c>
      <c r="Y619" s="49" t="s">
        <v>1229</v>
      </c>
      <c r="Z619" s="49" t="s">
        <v>320</v>
      </c>
      <c r="AA619" s="65">
        <v>0.71</v>
      </c>
      <c r="AB619" s="48" t="s">
        <v>8305</v>
      </c>
      <c r="AC619" s="90" t="s">
        <v>8302</v>
      </c>
      <c r="AD619" s="53" t="str">
        <f t="shared" si="456"/>
        <v>Link</v>
      </c>
      <c r="AE619" s="54">
        <v>14345</v>
      </c>
      <c r="AF619" s="54">
        <v>171</v>
      </c>
      <c r="AG619" s="55"/>
      <c r="AH619" s="56">
        <v>184782</v>
      </c>
      <c r="AI619" s="56"/>
    </row>
    <row r="620" spans="1:35" ht="13" x14ac:dyDescent="0.15">
      <c r="A620" s="47"/>
      <c r="B620" s="105" t="s">
        <v>6998</v>
      </c>
      <c r="C620" s="60" t="s">
        <v>43</v>
      </c>
      <c r="D620" s="86">
        <v>5</v>
      </c>
      <c r="E620" s="7" t="s">
        <v>8325</v>
      </c>
      <c r="F620" s="7"/>
      <c r="G620" s="86"/>
      <c r="H620" s="6" t="s">
        <v>8297</v>
      </c>
      <c r="I620" s="7" t="s">
        <v>8327</v>
      </c>
      <c r="J620" s="7" t="s">
        <v>8329</v>
      </c>
      <c r="K620" s="7" t="s">
        <v>55</v>
      </c>
      <c r="L620" s="95" t="s">
        <v>8330</v>
      </c>
      <c r="M620" s="7"/>
      <c r="N620" s="45" t="str">
        <f t="shared" si="457"/>
        <v>@rowanusoftball</v>
      </c>
      <c r="O620" s="45" t="str">
        <f t="shared" si="458"/>
        <v>Questionnaire</v>
      </c>
      <c r="P620" s="48" t="s">
        <v>8302</v>
      </c>
      <c r="Q620" s="60" t="s">
        <v>3272</v>
      </c>
      <c r="R620" s="48" t="s">
        <v>8303</v>
      </c>
      <c r="S620" s="48" t="s">
        <v>172</v>
      </c>
      <c r="T620" s="49" t="s">
        <v>74</v>
      </c>
      <c r="U620" s="48" t="s">
        <v>75</v>
      </c>
      <c r="V620" s="49"/>
      <c r="W620" s="39">
        <v>3.46</v>
      </c>
      <c r="X620" s="49" t="s">
        <v>344</v>
      </c>
      <c r="Y620" s="49" t="s">
        <v>1229</v>
      </c>
      <c r="Z620" s="49" t="s">
        <v>320</v>
      </c>
      <c r="AA620" s="65">
        <v>0.71</v>
      </c>
      <c r="AB620" s="48" t="s">
        <v>8305</v>
      </c>
      <c r="AC620" s="90" t="s">
        <v>8302</v>
      </c>
      <c r="AD620" s="53" t="str">
        <f t="shared" si="456"/>
        <v>Link</v>
      </c>
      <c r="AE620" s="54">
        <v>14345</v>
      </c>
      <c r="AF620" s="54">
        <v>171</v>
      </c>
      <c r="AG620" s="55"/>
      <c r="AH620" s="56">
        <v>184782</v>
      </c>
      <c r="AI620" s="56"/>
    </row>
    <row r="621" spans="1:35" ht="13" x14ac:dyDescent="0.15">
      <c r="A621" s="47"/>
      <c r="B621" s="105" t="s">
        <v>6998</v>
      </c>
      <c r="C621" s="60" t="s">
        <v>43</v>
      </c>
      <c r="D621" s="86">
        <v>5</v>
      </c>
      <c r="E621" s="7" t="s">
        <v>8335</v>
      </c>
      <c r="F621" s="7"/>
      <c r="G621" s="86"/>
      <c r="H621" s="6" t="s">
        <v>8297</v>
      </c>
      <c r="I621" s="7" t="s">
        <v>754</v>
      </c>
      <c r="J621" s="7" t="s">
        <v>8336</v>
      </c>
      <c r="K621" s="7" t="s">
        <v>55</v>
      </c>
      <c r="L621" s="95" t="s">
        <v>8337</v>
      </c>
      <c r="M621" s="7"/>
      <c r="N621" s="45" t="str">
        <f t="shared" si="457"/>
        <v>@rowanusoftball</v>
      </c>
      <c r="O621" s="45" t="str">
        <f t="shared" si="458"/>
        <v>Questionnaire</v>
      </c>
      <c r="P621" s="48" t="s">
        <v>8302</v>
      </c>
      <c r="Q621" s="60" t="s">
        <v>3272</v>
      </c>
      <c r="R621" s="48" t="s">
        <v>8303</v>
      </c>
      <c r="S621" s="48" t="s">
        <v>172</v>
      </c>
      <c r="T621" s="49" t="s">
        <v>74</v>
      </c>
      <c r="U621" s="48" t="s">
        <v>75</v>
      </c>
      <c r="V621" s="49"/>
      <c r="W621" s="39">
        <v>3.46</v>
      </c>
      <c r="X621" s="49" t="s">
        <v>344</v>
      </c>
      <c r="Y621" s="49" t="s">
        <v>1229</v>
      </c>
      <c r="Z621" s="49" t="s">
        <v>320</v>
      </c>
      <c r="AA621" s="65">
        <v>0.71</v>
      </c>
      <c r="AB621" s="48" t="s">
        <v>8305</v>
      </c>
      <c r="AC621" s="90" t="s">
        <v>8302</v>
      </c>
      <c r="AD621" s="53" t="str">
        <f t="shared" si="456"/>
        <v>Link</v>
      </c>
      <c r="AE621" s="54">
        <v>14345</v>
      </c>
      <c r="AF621" s="54">
        <v>171</v>
      </c>
      <c r="AG621" s="55"/>
      <c r="AH621" s="56">
        <v>184782</v>
      </c>
      <c r="AI621" s="56"/>
    </row>
    <row r="622" spans="1:35" ht="15" x14ac:dyDescent="0.2">
      <c r="A622" s="47"/>
      <c r="B622" s="105" t="s">
        <v>6998</v>
      </c>
      <c r="C622" s="60" t="s">
        <v>43</v>
      </c>
      <c r="D622" s="44">
        <v>5</v>
      </c>
      <c r="E622" s="7" t="s">
        <v>8338</v>
      </c>
      <c r="F622" s="7" t="s">
        <v>116</v>
      </c>
      <c r="G622" s="57"/>
      <c r="H622" s="6" t="s">
        <v>8340</v>
      </c>
      <c r="I622" s="7" t="s">
        <v>8342</v>
      </c>
      <c r="J622" s="7" t="s">
        <v>8343</v>
      </c>
      <c r="K622" s="7" t="s">
        <v>55</v>
      </c>
      <c r="L622" s="7"/>
      <c r="M622" s="7"/>
      <c r="N622" s="45" t="str">
        <f t="shared" ref="N622:N625" si="459">HYPERLINK("twitter.com/rucsoftball","@rucsoftball")</f>
        <v>@rucsoftball</v>
      </c>
      <c r="O622" s="45" t="str">
        <f t="shared" ref="O622:O625" si="460">HYPERLINK("https://scarletraptors.com/sb_output.aspx?form=4","Questionnaire")</f>
        <v>Questionnaire</v>
      </c>
      <c r="P622" s="48" t="s">
        <v>8350</v>
      </c>
      <c r="Q622" s="60" t="s">
        <v>3272</v>
      </c>
      <c r="R622" s="48" t="s">
        <v>2419</v>
      </c>
      <c r="S622" s="48" t="s">
        <v>186</v>
      </c>
      <c r="T622" s="49" t="s">
        <v>74</v>
      </c>
      <c r="U622" s="48" t="s">
        <v>75</v>
      </c>
      <c r="V622" s="49"/>
      <c r="W622" s="39">
        <v>3.66</v>
      </c>
      <c r="X622" s="49" t="s">
        <v>1144</v>
      </c>
      <c r="Y622" s="49" t="s">
        <v>1029</v>
      </c>
      <c r="Z622" s="49" t="s">
        <v>214</v>
      </c>
      <c r="AA622" s="65">
        <v>0.56999999999999995</v>
      </c>
      <c r="AB622" s="48" t="s">
        <v>8351</v>
      </c>
      <c r="AC622" s="52" t="s">
        <v>8350</v>
      </c>
      <c r="AD622" s="53" t="str">
        <f t="shared" ref="AD622:AD625" si="461">HYPERLINK("https://fas.camden.rutgers.edu/academics/majors-minors/","Link")</f>
        <v>Link</v>
      </c>
      <c r="AE622" s="54">
        <v>5003</v>
      </c>
      <c r="AF622" s="55"/>
      <c r="AG622" s="55"/>
      <c r="AH622" s="56">
        <v>186371</v>
      </c>
      <c r="AI622" s="59"/>
    </row>
    <row r="623" spans="1:35" ht="15" x14ac:dyDescent="0.2">
      <c r="A623" s="47"/>
      <c r="B623" s="105" t="s">
        <v>6998</v>
      </c>
      <c r="C623" s="60" t="s">
        <v>43</v>
      </c>
      <c r="D623" s="86">
        <v>5</v>
      </c>
      <c r="E623" s="7" t="s">
        <v>8356</v>
      </c>
      <c r="F623" s="7"/>
      <c r="G623" s="86"/>
      <c r="H623" s="6" t="s">
        <v>8340</v>
      </c>
      <c r="I623" s="2" t="s">
        <v>8357</v>
      </c>
      <c r="J623" s="2" t="s">
        <v>7387</v>
      </c>
      <c r="K623" s="2" t="s">
        <v>590</v>
      </c>
      <c r="L623" s="95" t="s">
        <v>8358</v>
      </c>
      <c r="M623" s="7" t="s">
        <v>8360</v>
      </c>
      <c r="N623" s="45" t="str">
        <f t="shared" si="459"/>
        <v>@rucsoftball</v>
      </c>
      <c r="O623" s="45" t="str">
        <f t="shared" si="460"/>
        <v>Questionnaire</v>
      </c>
      <c r="P623" s="48" t="s">
        <v>8350</v>
      </c>
      <c r="Q623" s="60" t="s">
        <v>3272</v>
      </c>
      <c r="R623" s="48" t="s">
        <v>2419</v>
      </c>
      <c r="S623" s="48" t="s">
        <v>186</v>
      </c>
      <c r="T623" s="49" t="s">
        <v>74</v>
      </c>
      <c r="U623" s="48" t="s">
        <v>75</v>
      </c>
      <c r="V623" s="49"/>
      <c r="W623" s="39">
        <v>3.66</v>
      </c>
      <c r="X623" s="49" t="s">
        <v>1144</v>
      </c>
      <c r="Y623" s="49" t="s">
        <v>1029</v>
      </c>
      <c r="Z623" s="49" t="s">
        <v>214</v>
      </c>
      <c r="AA623" s="65">
        <v>0.56999999999999995</v>
      </c>
      <c r="AB623" s="48" t="s">
        <v>8351</v>
      </c>
      <c r="AC623" s="52" t="s">
        <v>8350</v>
      </c>
      <c r="AD623" s="53" t="str">
        <f t="shared" si="461"/>
        <v>Link</v>
      </c>
      <c r="AE623" s="54">
        <v>5003</v>
      </c>
      <c r="AF623" s="55"/>
      <c r="AG623" s="55"/>
      <c r="AH623" s="56">
        <v>186371</v>
      </c>
      <c r="AI623" s="56"/>
    </row>
    <row r="624" spans="1:35" ht="15" x14ac:dyDescent="0.2">
      <c r="A624" s="47"/>
      <c r="B624" s="105" t="s">
        <v>6998</v>
      </c>
      <c r="C624" s="60" t="s">
        <v>43</v>
      </c>
      <c r="D624" s="86">
        <v>5</v>
      </c>
      <c r="E624" s="7" t="s">
        <v>8371</v>
      </c>
      <c r="F624" s="7"/>
      <c r="G624" s="86"/>
      <c r="H624" s="6" t="s">
        <v>8340</v>
      </c>
      <c r="I624" s="2" t="s">
        <v>201</v>
      </c>
      <c r="J624" s="2" t="s">
        <v>8372</v>
      </c>
      <c r="K624" s="2" t="s">
        <v>55</v>
      </c>
      <c r="L624" s="7"/>
      <c r="M624" s="7"/>
      <c r="N624" s="45" t="str">
        <f t="shared" si="459"/>
        <v>@rucsoftball</v>
      </c>
      <c r="O624" s="45" t="str">
        <f t="shared" si="460"/>
        <v>Questionnaire</v>
      </c>
      <c r="P624" s="48" t="s">
        <v>8350</v>
      </c>
      <c r="Q624" s="60" t="s">
        <v>3272</v>
      </c>
      <c r="R624" s="48" t="s">
        <v>2419</v>
      </c>
      <c r="S624" s="48" t="s">
        <v>186</v>
      </c>
      <c r="T624" s="49" t="s">
        <v>74</v>
      </c>
      <c r="U624" s="48" t="s">
        <v>75</v>
      </c>
      <c r="V624" s="49"/>
      <c r="W624" s="39">
        <v>3.66</v>
      </c>
      <c r="X624" s="49" t="s">
        <v>1144</v>
      </c>
      <c r="Y624" s="49" t="s">
        <v>1029</v>
      </c>
      <c r="Z624" s="49" t="s">
        <v>214</v>
      </c>
      <c r="AA624" s="65">
        <v>0.56999999999999995</v>
      </c>
      <c r="AB624" s="48" t="s">
        <v>8351</v>
      </c>
      <c r="AC624" s="52" t="s">
        <v>8350</v>
      </c>
      <c r="AD624" s="53" t="str">
        <f t="shared" si="461"/>
        <v>Link</v>
      </c>
      <c r="AE624" s="54">
        <v>5003</v>
      </c>
      <c r="AF624" s="55"/>
      <c r="AG624" s="55"/>
      <c r="AH624" s="56">
        <v>186371</v>
      </c>
      <c r="AI624" s="56"/>
    </row>
    <row r="625" spans="1:35" ht="15" x14ac:dyDescent="0.2">
      <c r="A625" s="47"/>
      <c r="B625" s="105" t="s">
        <v>6998</v>
      </c>
      <c r="C625" s="60" t="s">
        <v>43</v>
      </c>
      <c r="D625" s="86">
        <v>5</v>
      </c>
      <c r="E625" s="7" t="s">
        <v>8378</v>
      </c>
      <c r="F625" s="7"/>
      <c r="G625" s="86"/>
      <c r="H625" s="6" t="s">
        <v>8340</v>
      </c>
      <c r="I625" s="2" t="s">
        <v>962</v>
      </c>
      <c r="J625" s="2" t="s">
        <v>8380</v>
      </c>
      <c r="K625" s="2" t="s">
        <v>55</v>
      </c>
      <c r="L625" s="7"/>
      <c r="M625" s="7"/>
      <c r="N625" s="45" t="str">
        <f t="shared" si="459"/>
        <v>@rucsoftball</v>
      </c>
      <c r="O625" s="45" t="str">
        <f t="shared" si="460"/>
        <v>Questionnaire</v>
      </c>
      <c r="P625" s="48" t="s">
        <v>8350</v>
      </c>
      <c r="Q625" s="60" t="s">
        <v>3272</v>
      </c>
      <c r="R625" s="48" t="s">
        <v>2419</v>
      </c>
      <c r="S625" s="48" t="s">
        <v>186</v>
      </c>
      <c r="T625" s="49" t="s">
        <v>74</v>
      </c>
      <c r="U625" s="48" t="s">
        <v>75</v>
      </c>
      <c r="V625" s="49"/>
      <c r="W625" s="39">
        <v>3.66</v>
      </c>
      <c r="X625" s="49" t="s">
        <v>1144</v>
      </c>
      <c r="Y625" s="49" t="s">
        <v>1029</v>
      </c>
      <c r="Z625" s="49" t="s">
        <v>214</v>
      </c>
      <c r="AA625" s="65">
        <v>0.56999999999999995</v>
      </c>
      <c r="AB625" s="48" t="s">
        <v>8351</v>
      </c>
      <c r="AC625" s="52" t="s">
        <v>8350</v>
      </c>
      <c r="AD625" s="53" t="str">
        <f t="shared" si="461"/>
        <v>Link</v>
      </c>
      <c r="AE625" s="54">
        <v>5003</v>
      </c>
      <c r="AF625" s="55"/>
      <c r="AG625" s="55"/>
      <c r="AH625" s="56">
        <v>186371</v>
      </c>
      <c r="AI625" s="56"/>
    </row>
    <row r="626" spans="1:35" ht="15" x14ac:dyDescent="0.2">
      <c r="A626" s="47"/>
      <c r="B626" s="105" t="s">
        <v>6998</v>
      </c>
      <c r="C626" s="60" t="s">
        <v>43</v>
      </c>
      <c r="D626" s="44">
        <v>5</v>
      </c>
      <c r="E626" s="7" t="s">
        <v>8383</v>
      </c>
      <c r="F626" s="7" t="s">
        <v>116</v>
      </c>
      <c r="G626" s="57"/>
      <c r="H626" s="6" t="s">
        <v>8384</v>
      </c>
      <c r="I626" s="7" t="s">
        <v>3924</v>
      </c>
      <c r="J626" s="7" t="s">
        <v>8385</v>
      </c>
      <c r="K626" s="7" t="s">
        <v>48</v>
      </c>
      <c r="L626" s="7" t="s">
        <v>8386</v>
      </c>
      <c r="M626" s="7" t="s">
        <v>8387</v>
      </c>
      <c r="N626" s="45" t="str">
        <f t="shared" ref="N626:N631" si="462">HYPERLINK("twitter.com/runewark_sb","@runewark_sb")</f>
        <v>@runewark_sb</v>
      </c>
      <c r="O626" s="45" t="str">
        <f t="shared" ref="O626:O631" si="463">HYPERLINK("https://rutgersnewarkathletics.com/sports/2014/1/23/GEN_0123141643.aspx","Questionnaire")</f>
        <v>Questionnaire</v>
      </c>
      <c r="P626" s="48" t="s">
        <v>8399</v>
      </c>
      <c r="Q626" s="60" t="s">
        <v>3272</v>
      </c>
      <c r="R626" s="48" t="s">
        <v>5633</v>
      </c>
      <c r="S626" s="48" t="s">
        <v>62</v>
      </c>
      <c r="T626" s="49" t="s">
        <v>74</v>
      </c>
      <c r="U626" s="48" t="s">
        <v>75</v>
      </c>
      <c r="V626" s="49"/>
      <c r="W626" s="39">
        <v>3.66</v>
      </c>
      <c r="X626" s="49" t="s">
        <v>2257</v>
      </c>
      <c r="Y626" s="49" t="s">
        <v>522</v>
      </c>
      <c r="Z626" s="49" t="s">
        <v>214</v>
      </c>
      <c r="AA626" s="65">
        <v>0.65</v>
      </c>
      <c r="AB626" s="48" t="s">
        <v>8400</v>
      </c>
      <c r="AC626" s="52" t="s">
        <v>8399</v>
      </c>
      <c r="AD626" s="53" t="str">
        <f t="shared" ref="AD626:AD631" si="464">HYPERLINK("https://www.newark.rutgers.edu/academics/areas-of-study-departments","Link")</f>
        <v>Link</v>
      </c>
      <c r="AE626" s="54">
        <v>8170</v>
      </c>
      <c r="AF626" s="54">
        <v>133</v>
      </c>
      <c r="AG626" s="55"/>
      <c r="AH626" s="56">
        <v>186399</v>
      </c>
      <c r="AI626" s="59"/>
    </row>
    <row r="627" spans="1:35" ht="15" x14ac:dyDescent="0.2">
      <c r="A627" s="47"/>
      <c r="B627" s="105" t="s">
        <v>6998</v>
      </c>
      <c r="C627" s="60" t="s">
        <v>43</v>
      </c>
      <c r="D627" s="86">
        <v>5</v>
      </c>
      <c r="E627" s="7" t="s">
        <v>8403</v>
      </c>
      <c r="F627" s="7"/>
      <c r="G627" s="86"/>
      <c r="H627" s="6" t="s">
        <v>8384</v>
      </c>
      <c r="I627" s="2" t="s">
        <v>435</v>
      </c>
      <c r="J627" s="2" t="s">
        <v>2472</v>
      </c>
      <c r="K627" s="2" t="s">
        <v>48</v>
      </c>
      <c r="L627" s="2" t="s">
        <v>8404</v>
      </c>
      <c r="M627" s="7" t="s">
        <v>8405</v>
      </c>
      <c r="N627" s="45" t="str">
        <f t="shared" si="462"/>
        <v>@runewark_sb</v>
      </c>
      <c r="O627" s="45" t="str">
        <f t="shared" si="463"/>
        <v>Questionnaire</v>
      </c>
      <c r="P627" s="48" t="s">
        <v>8399</v>
      </c>
      <c r="Q627" s="60" t="s">
        <v>3272</v>
      </c>
      <c r="R627" s="48" t="s">
        <v>5633</v>
      </c>
      <c r="S627" s="48" t="s">
        <v>62</v>
      </c>
      <c r="T627" s="49" t="s">
        <v>74</v>
      </c>
      <c r="U627" s="48" t="s">
        <v>75</v>
      </c>
      <c r="V627" s="49"/>
      <c r="W627" s="65">
        <v>3.66</v>
      </c>
      <c r="X627" s="49" t="s">
        <v>2257</v>
      </c>
      <c r="Y627" s="49" t="s">
        <v>522</v>
      </c>
      <c r="Z627" s="49" t="s">
        <v>214</v>
      </c>
      <c r="AA627" s="65">
        <v>0.65</v>
      </c>
      <c r="AB627" s="48" t="s">
        <v>8400</v>
      </c>
      <c r="AC627" s="52" t="s">
        <v>8399</v>
      </c>
      <c r="AD627" s="53" t="str">
        <f t="shared" si="464"/>
        <v>Link</v>
      </c>
      <c r="AE627" s="54">
        <v>8170</v>
      </c>
      <c r="AF627" s="54">
        <v>133</v>
      </c>
      <c r="AG627" s="55"/>
      <c r="AH627" s="56">
        <v>186399</v>
      </c>
      <c r="AI627" s="56"/>
    </row>
    <row r="628" spans="1:35" ht="15" x14ac:dyDescent="0.2">
      <c r="A628" s="47"/>
      <c r="B628" s="105" t="s">
        <v>6998</v>
      </c>
      <c r="C628" s="60" t="s">
        <v>43</v>
      </c>
      <c r="D628" s="86">
        <v>5</v>
      </c>
      <c r="E628" s="7" t="s">
        <v>8410</v>
      </c>
      <c r="F628" s="7"/>
      <c r="G628" s="86"/>
      <c r="H628" s="6" t="s">
        <v>8384</v>
      </c>
      <c r="I628" s="34" t="s">
        <v>883</v>
      </c>
      <c r="J628" s="2" t="s">
        <v>8412</v>
      </c>
      <c r="K628" s="33" t="s">
        <v>55</v>
      </c>
      <c r="L628" s="7"/>
      <c r="M628" s="7"/>
      <c r="N628" s="45" t="str">
        <f t="shared" si="462"/>
        <v>@runewark_sb</v>
      </c>
      <c r="O628" s="45" t="str">
        <f t="shared" si="463"/>
        <v>Questionnaire</v>
      </c>
      <c r="P628" s="48" t="s">
        <v>8399</v>
      </c>
      <c r="Q628" s="60" t="s">
        <v>3272</v>
      </c>
      <c r="R628" s="48" t="s">
        <v>5633</v>
      </c>
      <c r="S628" s="48" t="s">
        <v>62</v>
      </c>
      <c r="T628" s="49" t="s">
        <v>74</v>
      </c>
      <c r="U628" s="48" t="s">
        <v>75</v>
      </c>
      <c r="V628" s="49"/>
      <c r="W628" s="65">
        <v>3.66</v>
      </c>
      <c r="X628" s="49" t="s">
        <v>2257</v>
      </c>
      <c r="Y628" s="49" t="s">
        <v>522</v>
      </c>
      <c r="Z628" s="49" t="s">
        <v>214</v>
      </c>
      <c r="AA628" s="65">
        <v>0.65</v>
      </c>
      <c r="AB628" s="48" t="s">
        <v>8400</v>
      </c>
      <c r="AC628" s="52" t="s">
        <v>8399</v>
      </c>
      <c r="AD628" s="53" t="str">
        <f t="shared" si="464"/>
        <v>Link</v>
      </c>
      <c r="AE628" s="54">
        <v>8170</v>
      </c>
      <c r="AF628" s="54">
        <v>133</v>
      </c>
      <c r="AG628" s="55"/>
      <c r="AH628" s="56">
        <v>186399</v>
      </c>
      <c r="AI628" s="56"/>
    </row>
    <row r="629" spans="1:35" ht="15" x14ac:dyDescent="0.2">
      <c r="A629" s="47"/>
      <c r="B629" s="105" t="s">
        <v>6998</v>
      </c>
      <c r="C629" s="60" t="s">
        <v>43</v>
      </c>
      <c r="D629" s="86">
        <v>5</v>
      </c>
      <c r="E629" s="7" t="s">
        <v>8420</v>
      </c>
      <c r="F629" s="7"/>
      <c r="G629" s="86"/>
      <c r="H629" s="6" t="s">
        <v>8384</v>
      </c>
      <c r="I629" s="7" t="s">
        <v>8421</v>
      </c>
      <c r="J629" s="7" t="s">
        <v>1934</v>
      </c>
      <c r="K629" s="33" t="s">
        <v>55</v>
      </c>
      <c r="L629" s="7"/>
      <c r="M629" s="7"/>
      <c r="N629" s="45" t="str">
        <f t="shared" si="462"/>
        <v>@runewark_sb</v>
      </c>
      <c r="O629" s="45" t="str">
        <f t="shared" si="463"/>
        <v>Questionnaire</v>
      </c>
      <c r="P629" s="48" t="s">
        <v>8399</v>
      </c>
      <c r="Q629" s="60" t="s">
        <v>3272</v>
      </c>
      <c r="R629" s="48" t="s">
        <v>5633</v>
      </c>
      <c r="S629" s="48" t="s">
        <v>62</v>
      </c>
      <c r="T629" s="49" t="s">
        <v>74</v>
      </c>
      <c r="U629" s="48" t="s">
        <v>75</v>
      </c>
      <c r="V629" s="49"/>
      <c r="W629" s="65">
        <v>3.66</v>
      </c>
      <c r="X629" s="49" t="s">
        <v>2257</v>
      </c>
      <c r="Y629" s="49" t="s">
        <v>522</v>
      </c>
      <c r="Z629" s="49" t="s">
        <v>214</v>
      </c>
      <c r="AA629" s="65">
        <v>0.65</v>
      </c>
      <c r="AB629" s="48" t="s">
        <v>8400</v>
      </c>
      <c r="AC629" s="52" t="s">
        <v>8399</v>
      </c>
      <c r="AD629" s="53" t="str">
        <f t="shared" si="464"/>
        <v>Link</v>
      </c>
      <c r="AE629" s="54">
        <v>8170</v>
      </c>
      <c r="AF629" s="54">
        <v>133</v>
      </c>
      <c r="AG629" s="55"/>
      <c r="AH629" s="56">
        <v>186399</v>
      </c>
      <c r="AI629" s="56"/>
    </row>
    <row r="630" spans="1:35" ht="15" x14ac:dyDescent="0.2">
      <c r="A630" s="47"/>
      <c r="B630" s="105" t="s">
        <v>6998</v>
      </c>
      <c r="C630" s="60" t="s">
        <v>43</v>
      </c>
      <c r="D630" s="86">
        <v>5</v>
      </c>
      <c r="E630" s="7" t="s">
        <v>8424</v>
      </c>
      <c r="F630" s="7"/>
      <c r="G630" s="86"/>
      <c r="H630" s="6" t="s">
        <v>8384</v>
      </c>
      <c r="I630" s="2" t="s">
        <v>8425</v>
      </c>
      <c r="J630" s="2" t="s">
        <v>8426</v>
      </c>
      <c r="K630" s="2" t="s">
        <v>55</v>
      </c>
      <c r="L630" s="2"/>
      <c r="M630" s="7"/>
      <c r="N630" s="45" t="str">
        <f t="shared" si="462"/>
        <v>@runewark_sb</v>
      </c>
      <c r="O630" s="45" t="str">
        <f t="shared" si="463"/>
        <v>Questionnaire</v>
      </c>
      <c r="P630" s="48" t="s">
        <v>8399</v>
      </c>
      <c r="Q630" s="60" t="s">
        <v>3272</v>
      </c>
      <c r="R630" s="48" t="s">
        <v>5633</v>
      </c>
      <c r="S630" s="48" t="s">
        <v>62</v>
      </c>
      <c r="T630" s="49" t="s">
        <v>74</v>
      </c>
      <c r="U630" s="48" t="s">
        <v>75</v>
      </c>
      <c r="V630" s="49"/>
      <c r="W630" s="65">
        <v>3.66</v>
      </c>
      <c r="X630" s="49" t="s">
        <v>2257</v>
      </c>
      <c r="Y630" s="49" t="s">
        <v>522</v>
      </c>
      <c r="Z630" s="49" t="s">
        <v>214</v>
      </c>
      <c r="AA630" s="65">
        <v>0.65</v>
      </c>
      <c r="AB630" s="48" t="s">
        <v>8400</v>
      </c>
      <c r="AC630" s="52" t="s">
        <v>8399</v>
      </c>
      <c r="AD630" s="53" t="str">
        <f t="shared" si="464"/>
        <v>Link</v>
      </c>
      <c r="AE630" s="54">
        <v>8170</v>
      </c>
      <c r="AF630" s="54">
        <v>133</v>
      </c>
      <c r="AG630" s="55"/>
      <c r="AH630" s="56">
        <v>186399</v>
      </c>
      <c r="AI630" s="56"/>
    </row>
    <row r="631" spans="1:35" ht="15" x14ac:dyDescent="0.2">
      <c r="A631" s="47"/>
      <c r="B631" s="105" t="s">
        <v>6998</v>
      </c>
      <c r="C631" s="60" t="s">
        <v>43</v>
      </c>
      <c r="D631" s="86">
        <v>5</v>
      </c>
      <c r="E631" s="7" t="s">
        <v>8430</v>
      </c>
      <c r="F631" s="7"/>
      <c r="G631" s="86"/>
      <c r="H631" s="6" t="s">
        <v>8384</v>
      </c>
      <c r="I631" s="2" t="s">
        <v>484</v>
      </c>
      <c r="J631" s="2" t="s">
        <v>8432</v>
      </c>
      <c r="K631" s="2" t="s">
        <v>139</v>
      </c>
      <c r="L631" s="2"/>
      <c r="M631" s="7"/>
      <c r="N631" s="45" t="str">
        <f t="shared" si="462"/>
        <v>@runewark_sb</v>
      </c>
      <c r="O631" s="45" t="str">
        <f t="shared" si="463"/>
        <v>Questionnaire</v>
      </c>
      <c r="P631" s="48" t="s">
        <v>8399</v>
      </c>
      <c r="Q631" s="60" t="s">
        <v>3272</v>
      </c>
      <c r="R631" s="48" t="s">
        <v>5633</v>
      </c>
      <c r="S631" s="48" t="s">
        <v>62</v>
      </c>
      <c r="T631" s="49" t="s">
        <v>74</v>
      </c>
      <c r="U631" s="48" t="s">
        <v>75</v>
      </c>
      <c r="V631" s="49"/>
      <c r="W631" s="65">
        <v>3.66</v>
      </c>
      <c r="X631" s="49" t="s">
        <v>2257</v>
      </c>
      <c r="Y631" s="49" t="s">
        <v>522</v>
      </c>
      <c r="Z631" s="49" t="s">
        <v>214</v>
      </c>
      <c r="AA631" s="65">
        <v>0.65</v>
      </c>
      <c r="AB631" s="48" t="s">
        <v>8400</v>
      </c>
      <c r="AC631" s="52" t="s">
        <v>8399</v>
      </c>
      <c r="AD631" s="53" t="str">
        <f t="shared" si="464"/>
        <v>Link</v>
      </c>
      <c r="AE631" s="54">
        <v>8170</v>
      </c>
      <c r="AF631" s="54">
        <v>133</v>
      </c>
      <c r="AG631" s="55"/>
      <c r="AH631" s="56">
        <v>186399</v>
      </c>
      <c r="AI631" s="56"/>
    </row>
    <row r="632" spans="1:35" ht="15" x14ac:dyDescent="0.2">
      <c r="A632" s="47"/>
      <c r="B632" s="105" t="s">
        <v>6998</v>
      </c>
      <c r="C632" s="60" t="s">
        <v>43</v>
      </c>
      <c r="D632" s="86">
        <v>5</v>
      </c>
      <c r="E632" s="7" t="s">
        <v>8442</v>
      </c>
      <c r="F632" s="7"/>
      <c r="G632" s="86"/>
      <c r="H632" s="6" t="s">
        <v>8443</v>
      </c>
      <c r="I632" s="2" t="s">
        <v>6702</v>
      </c>
      <c r="J632" s="2" t="s">
        <v>8445</v>
      </c>
      <c r="K632" s="2" t="s">
        <v>48</v>
      </c>
      <c r="L632" s="95" t="s">
        <v>8446</v>
      </c>
      <c r="M632" s="2" t="s">
        <v>8447</v>
      </c>
      <c r="N632" s="48"/>
      <c r="O632" s="45" t="str">
        <f>HYPERLINK("https://cseathletics.com/sports/2014/11/13/questionnaires.aspx","Questionnaire")</f>
        <v>Questionnaire</v>
      </c>
      <c r="P632" s="48" t="s">
        <v>8452</v>
      </c>
      <c r="Q632" s="60" t="s">
        <v>3272</v>
      </c>
      <c r="R632" s="48" t="s">
        <v>8454</v>
      </c>
      <c r="S632" s="48" t="s">
        <v>172</v>
      </c>
      <c r="T632" s="49" t="s">
        <v>63</v>
      </c>
      <c r="U632" s="6" t="s">
        <v>343</v>
      </c>
      <c r="V632" s="49"/>
      <c r="W632" s="65">
        <v>2.82</v>
      </c>
      <c r="X632" s="49" t="s">
        <v>8455</v>
      </c>
      <c r="Y632" s="49" t="s">
        <v>8456</v>
      </c>
      <c r="Z632" s="49" t="s">
        <v>3544</v>
      </c>
      <c r="AA632" s="80">
        <v>0.66</v>
      </c>
      <c r="AB632" s="39">
        <v>51225</v>
      </c>
      <c r="AC632" s="84" t="s">
        <v>8452</v>
      </c>
      <c r="AD632" s="53" t="str">
        <f>HYPERLINK("http://www.cse.edu/admissions/undergraduate/programs-of-study","Link")</f>
        <v>Link</v>
      </c>
      <c r="AE632" s="54">
        <v>763</v>
      </c>
      <c r="AF632" s="55"/>
      <c r="AG632" s="55"/>
      <c r="AH632" s="56">
        <v>186618</v>
      </c>
      <c r="AI632" s="56"/>
    </row>
    <row r="633" spans="1:35" ht="15" x14ac:dyDescent="0.2">
      <c r="A633" s="47"/>
      <c r="B633" s="105" t="s">
        <v>6998</v>
      </c>
      <c r="C633" s="60" t="s">
        <v>43</v>
      </c>
      <c r="D633" s="86">
        <v>5</v>
      </c>
      <c r="E633" s="7" t="s">
        <v>8458</v>
      </c>
      <c r="F633" s="7"/>
      <c r="G633" s="86"/>
      <c r="H633" s="6" t="s">
        <v>8459</v>
      </c>
      <c r="I633" s="7" t="s">
        <v>143</v>
      </c>
      <c r="J633" s="7" t="s">
        <v>8462</v>
      </c>
      <c r="K633" s="33" t="s">
        <v>48</v>
      </c>
      <c r="L633" s="7" t="s">
        <v>8463</v>
      </c>
      <c r="M633" s="7" t="s">
        <v>8466</v>
      </c>
      <c r="N633" s="45" t="str">
        <f t="shared" ref="N633:N636" si="465">HYPERLINK("twitter.com/stevenssoftball","@stevenssoftball")</f>
        <v>@stevenssoftball</v>
      </c>
      <c r="O633" s="45" t="str">
        <f t="shared" ref="O633:O636" si="466">HYPERLINK("https://stevensducks.com/sb_output.aspx?form=3","Questionnaire")</f>
        <v>Questionnaire</v>
      </c>
      <c r="P633" s="48" t="s">
        <v>8471</v>
      </c>
      <c r="Q633" s="60" t="s">
        <v>3272</v>
      </c>
      <c r="R633" s="48" t="s">
        <v>8472</v>
      </c>
      <c r="S633" s="48" t="s">
        <v>186</v>
      </c>
      <c r="T633" s="5" t="s">
        <v>63</v>
      </c>
      <c r="U633" s="48" t="s">
        <v>75</v>
      </c>
      <c r="V633" s="49"/>
      <c r="W633" s="65">
        <v>3.8</v>
      </c>
      <c r="X633" s="49" t="s">
        <v>1096</v>
      </c>
      <c r="Y633" s="49" t="s">
        <v>5884</v>
      </c>
      <c r="Z633" s="49" t="s">
        <v>1376</v>
      </c>
      <c r="AA633" s="80">
        <v>0.39</v>
      </c>
      <c r="AB633" s="39">
        <v>64988</v>
      </c>
      <c r="AC633" s="84" t="s">
        <v>8471</v>
      </c>
      <c r="AD633" s="53" t="str">
        <f t="shared" ref="AD633:AD636" si="467">HYPERLINK("https://www.stevens.edu/academics/undergraduate-studies/undergraduate-majors","Link")</f>
        <v>Link</v>
      </c>
      <c r="AE633" s="54">
        <v>3115</v>
      </c>
      <c r="AF633" s="54">
        <v>69</v>
      </c>
      <c r="AG633" s="55"/>
      <c r="AH633" s="56">
        <v>186867</v>
      </c>
      <c r="AI633" s="56"/>
    </row>
    <row r="634" spans="1:35" ht="15" x14ac:dyDescent="0.2">
      <c r="A634" s="47"/>
      <c r="B634" s="105" t="s">
        <v>6998</v>
      </c>
      <c r="C634" s="60" t="s">
        <v>43</v>
      </c>
      <c r="D634" s="86">
        <v>5</v>
      </c>
      <c r="E634" s="7" t="s">
        <v>8478</v>
      </c>
      <c r="F634" s="7"/>
      <c r="G634" s="86"/>
      <c r="H634" s="6" t="s">
        <v>8459</v>
      </c>
      <c r="I634" s="2" t="s">
        <v>234</v>
      </c>
      <c r="J634" s="2" t="s">
        <v>8481</v>
      </c>
      <c r="K634" s="2" t="s">
        <v>55</v>
      </c>
      <c r="L634" s="130" t="s">
        <v>8482</v>
      </c>
      <c r="M634" s="2" t="s">
        <v>8466</v>
      </c>
      <c r="N634" s="45" t="str">
        <f t="shared" si="465"/>
        <v>@stevenssoftball</v>
      </c>
      <c r="O634" s="45" t="str">
        <f t="shared" si="466"/>
        <v>Questionnaire</v>
      </c>
      <c r="P634" s="48" t="s">
        <v>8471</v>
      </c>
      <c r="Q634" s="60" t="s">
        <v>3272</v>
      </c>
      <c r="R634" s="48" t="s">
        <v>8472</v>
      </c>
      <c r="S634" s="48" t="s">
        <v>186</v>
      </c>
      <c r="T634" s="5" t="s">
        <v>63</v>
      </c>
      <c r="U634" s="48" t="s">
        <v>75</v>
      </c>
      <c r="V634" s="49"/>
      <c r="W634" s="65">
        <v>3.8</v>
      </c>
      <c r="X634" s="49" t="s">
        <v>1096</v>
      </c>
      <c r="Y634" s="49" t="s">
        <v>5884</v>
      </c>
      <c r="Z634" s="49" t="s">
        <v>1376</v>
      </c>
      <c r="AA634" s="80">
        <v>0.39</v>
      </c>
      <c r="AB634" s="39">
        <v>64988</v>
      </c>
      <c r="AC634" s="84" t="s">
        <v>8471</v>
      </c>
      <c r="AD634" s="53" t="str">
        <f t="shared" si="467"/>
        <v>Link</v>
      </c>
      <c r="AE634" s="54">
        <v>3115</v>
      </c>
      <c r="AF634" s="54">
        <v>69</v>
      </c>
      <c r="AG634" s="55"/>
      <c r="AH634" s="56">
        <v>186867</v>
      </c>
      <c r="AI634" s="56"/>
    </row>
    <row r="635" spans="1:35" ht="15" x14ac:dyDescent="0.2">
      <c r="A635" s="47"/>
      <c r="B635" s="105" t="s">
        <v>6998</v>
      </c>
      <c r="C635" s="60" t="s">
        <v>43</v>
      </c>
      <c r="D635" s="86">
        <v>5</v>
      </c>
      <c r="E635" s="7" t="s">
        <v>8486</v>
      </c>
      <c r="F635" s="7"/>
      <c r="G635" s="86"/>
      <c r="H635" s="6" t="s">
        <v>8459</v>
      </c>
      <c r="I635" s="7" t="s">
        <v>2316</v>
      </c>
      <c r="J635" s="7" t="s">
        <v>8488</v>
      </c>
      <c r="K635" s="7" t="s">
        <v>55</v>
      </c>
      <c r="L635" s="7" t="s">
        <v>8489</v>
      </c>
      <c r="M635" s="7" t="s">
        <v>8490</v>
      </c>
      <c r="N635" s="45" t="str">
        <f t="shared" si="465"/>
        <v>@stevenssoftball</v>
      </c>
      <c r="O635" s="45" t="str">
        <f t="shared" si="466"/>
        <v>Questionnaire</v>
      </c>
      <c r="P635" s="48" t="s">
        <v>8471</v>
      </c>
      <c r="Q635" s="60" t="s">
        <v>3272</v>
      </c>
      <c r="R635" s="48" t="s">
        <v>8472</v>
      </c>
      <c r="S635" s="48" t="s">
        <v>186</v>
      </c>
      <c r="T635" s="5" t="s">
        <v>63</v>
      </c>
      <c r="U635" s="48" t="s">
        <v>75</v>
      </c>
      <c r="V635" s="49"/>
      <c r="W635" s="65">
        <v>3.8</v>
      </c>
      <c r="X635" s="49" t="s">
        <v>1096</v>
      </c>
      <c r="Y635" s="49" t="s">
        <v>5884</v>
      </c>
      <c r="Z635" s="49" t="s">
        <v>1376</v>
      </c>
      <c r="AA635" s="80">
        <v>0.39</v>
      </c>
      <c r="AB635" s="39">
        <v>64988</v>
      </c>
      <c r="AC635" s="84" t="s">
        <v>8471</v>
      </c>
      <c r="AD635" s="53" t="str">
        <f t="shared" si="467"/>
        <v>Link</v>
      </c>
      <c r="AE635" s="54">
        <v>3115</v>
      </c>
      <c r="AF635" s="54">
        <v>69</v>
      </c>
      <c r="AG635" s="55"/>
      <c r="AH635" s="56">
        <v>186867</v>
      </c>
      <c r="AI635" s="56"/>
    </row>
    <row r="636" spans="1:35" ht="15" x14ac:dyDescent="0.2">
      <c r="A636" s="47"/>
      <c r="B636" s="105" t="s">
        <v>6998</v>
      </c>
      <c r="C636" s="60" t="s">
        <v>43</v>
      </c>
      <c r="D636" s="86">
        <v>5</v>
      </c>
      <c r="E636" s="7" t="s">
        <v>8496</v>
      </c>
      <c r="F636" s="7"/>
      <c r="G636" s="86"/>
      <c r="H636" s="6" t="s">
        <v>8459</v>
      </c>
      <c r="I636" s="7" t="s">
        <v>234</v>
      </c>
      <c r="J636" s="7" t="s">
        <v>8499</v>
      </c>
      <c r="K636" s="2" t="s">
        <v>55</v>
      </c>
      <c r="L636" s="7"/>
      <c r="M636" s="7"/>
      <c r="N636" s="45" t="str">
        <f t="shared" si="465"/>
        <v>@stevenssoftball</v>
      </c>
      <c r="O636" s="45" t="str">
        <f t="shared" si="466"/>
        <v>Questionnaire</v>
      </c>
      <c r="P636" s="48" t="s">
        <v>8471</v>
      </c>
      <c r="Q636" s="60" t="s">
        <v>3272</v>
      </c>
      <c r="R636" s="48" t="s">
        <v>8472</v>
      </c>
      <c r="S636" s="48" t="s">
        <v>186</v>
      </c>
      <c r="T636" s="5" t="s">
        <v>63</v>
      </c>
      <c r="U636" s="48" t="s">
        <v>75</v>
      </c>
      <c r="V636" s="49"/>
      <c r="W636" s="65">
        <v>3.8</v>
      </c>
      <c r="X636" s="49" t="s">
        <v>1096</v>
      </c>
      <c r="Y636" s="49" t="s">
        <v>5884</v>
      </c>
      <c r="Z636" s="49" t="s">
        <v>1376</v>
      </c>
      <c r="AA636" s="80">
        <v>0.39</v>
      </c>
      <c r="AB636" s="39">
        <v>64988</v>
      </c>
      <c r="AC636" s="84" t="s">
        <v>8471</v>
      </c>
      <c r="AD636" s="53" t="str">
        <f t="shared" si="467"/>
        <v>Link</v>
      </c>
      <c r="AE636" s="54">
        <v>3115</v>
      </c>
      <c r="AF636" s="54">
        <v>69</v>
      </c>
      <c r="AG636" s="55"/>
      <c r="AH636" s="56">
        <v>186867</v>
      </c>
      <c r="AI636" s="56"/>
    </row>
    <row r="637" spans="1:35" ht="13" x14ac:dyDescent="0.15">
      <c r="A637" s="47"/>
      <c r="B637" s="105" t="s">
        <v>6998</v>
      </c>
      <c r="C637" s="60" t="s">
        <v>43</v>
      </c>
      <c r="D637" s="44">
        <v>5</v>
      </c>
      <c r="E637" s="7" t="s">
        <v>8504</v>
      </c>
      <c r="F637" s="7" t="s">
        <v>116</v>
      </c>
      <c r="G637" s="57"/>
      <c r="H637" s="6" t="s">
        <v>8505</v>
      </c>
      <c r="I637" s="7" t="s">
        <v>161</v>
      </c>
      <c r="J637" s="7" t="s">
        <v>8506</v>
      </c>
      <c r="K637" s="7" t="s">
        <v>55</v>
      </c>
      <c r="L637" s="7"/>
      <c r="M637" s="7"/>
      <c r="N637" s="45" t="str">
        <f t="shared" ref="N637:N639" si="468">HYPERLINK("twitter.com/stocktonsofball","@stocktonsofball")</f>
        <v>@stocktonsofball</v>
      </c>
      <c r="O637" s="45" t="str">
        <f t="shared" ref="O637:O639" si="469">HYPERLINK("https://stocktonathletics.com/sb_output.aspx?frform=1","Questionnaire")</f>
        <v>Questionnaire</v>
      </c>
      <c r="P637" s="48" t="s">
        <v>8510</v>
      </c>
      <c r="Q637" s="60" t="s">
        <v>3272</v>
      </c>
      <c r="R637" s="48" t="s">
        <v>8511</v>
      </c>
      <c r="S637" s="48" t="s">
        <v>468</v>
      </c>
      <c r="T637" s="49" t="s">
        <v>74</v>
      </c>
      <c r="U637" s="48" t="s">
        <v>75</v>
      </c>
      <c r="V637" s="49"/>
      <c r="W637" s="65">
        <v>3.37</v>
      </c>
      <c r="X637" s="49" t="s">
        <v>522</v>
      </c>
      <c r="Y637" s="49" t="s">
        <v>675</v>
      </c>
      <c r="Z637" s="49" t="s">
        <v>125</v>
      </c>
      <c r="AA637" s="65">
        <v>0.77</v>
      </c>
      <c r="AB637" s="48" t="s">
        <v>8513</v>
      </c>
      <c r="AC637" s="84" t="s">
        <v>8510</v>
      </c>
      <c r="AD637" s="53" t="str">
        <f t="shared" ref="AD637:AD639" si="470">HYPERLINK("https://stockton.edu/admissions/majors.html","Link")</f>
        <v>Link</v>
      </c>
      <c r="AE637" s="54">
        <v>7854</v>
      </c>
      <c r="AF637" s="55"/>
      <c r="AG637" s="55"/>
      <c r="AH637" s="56">
        <v>186876</v>
      </c>
      <c r="AI637" s="59"/>
    </row>
    <row r="638" spans="1:35" ht="15" x14ac:dyDescent="0.2">
      <c r="A638" s="47"/>
      <c r="B638" s="105" t="s">
        <v>6998</v>
      </c>
      <c r="C638" s="60" t="s">
        <v>43</v>
      </c>
      <c r="D638" s="86">
        <v>5</v>
      </c>
      <c r="E638" s="7" t="s">
        <v>8517</v>
      </c>
      <c r="F638" s="7"/>
      <c r="G638" s="86"/>
      <c r="H638" s="6" t="s">
        <v>8505</v>
      </c>
      <c r="I638" s="34" t="s">
        <v>8518</v>
      </c>
      <c r="J638" s="7" t="s">
        <v>8519</v>
      </c>
      <c r="K638" s="7" t="s">
        <v>48</v>
      </c>
      <c r="L638" s="7" t="s">
        <v>8520</v>
      </c>
      <c r="M638" s="7" t="s">
        <v>8521</v>
      </c>
      <c r="N638" s="45" t="str">
        <f t="shared" si="468"/>
        <v>@stocktonsofball</v>
      </c>
      <c r="O638" s="45" t="str">
        <f t="shared" si="469"/>
        <v>Questionnaire</v>
      </c>
      <c r="P638" s="48" t="s">
        <v>8510</v>
      </c>
      <c r="Q638" s="60" t="s">
        <v>3272</v>
      </c>
      <c r="R638" s="48" t="s">
        <v>8511</v>
      </c>
      <c r="S638" s="48" t="s">
        <v>468</v>
      </c>
      <c r="T638" s="49" t="s">
        <v>74</v>
      </c>
      <c r="U638" s="48" t="s">
        <v>75</v>
      </c>
      <c r="V638" s="49"/>
      <c r="W638" s="65">
        <v>3.37</v>
      </c>
      <c r="X638" s="49" t="s">
        <v>522</v>
      </c>
      <c r="Y638" s="49" t="s">
        <v>675</v>
      </c>
      <c r="Z638" s="49" t="s">
        <v>125</v>
      </c>
      <c r="AA638" s="65">
        <v>0.77</v>
      </c>
      <c r="AB638" s="48" t="s">
        <v>8513</v>
      </c>
      <c r="AC638" s="84" t="s">
        <v>8510</v>
      </c>
      <c r="AD638" s="53" t="str">
        <f t="shared" si="470"/>
        <v>Link</v>
      </c>
      <c r="AE638" s="54">
        <v>7854</v>
      </c>
      <c r="AF638" s="55"/>
      <c r="AG638" s="55"/>
      <c r="AH638" s="56">
        <v>186876</v>
      </c>
      <c r="AI638" s="56"/>
    </row>
    <row r="639" spans="1:35" ht="13" x14ac:dyDescent="0.15">
      <c r="A639" s="47"/>
      <c r="B639" s="105" t="s">
        <v>6998</v>
      </c>
      <c r="C639" s="60" t="s">
        <v>43</v>
      </c>
      <c r="D639" s="86">
        <v>5</v>
      </c>
      <c r="E639" s="7" t="s">
        <v>8526</v>
      </c>
      <c r="F639" s="7"/>
      <c r="G639" s="86"/>
      <c r="H639" s="6" t="s">
        <v>8505</v>
      </c>
      <c r="I639" s="7" t="s">
        <v>8528</v>
      </c>
      <c r="J639" s="7" t="s">
        <v>2470</v>
      </c>
      <c r="K639" s="7" t="s">
        <v>55</v>
      </c>
      <c r="L639" s="2" t="s">
        <v>8530</v>
      </c>
      <c r="M639" s="7"/>
      <c r="N639" s="45" t="str">
        <f t="shared" si="468"/>
        <v>@stocktonsofball</v>
      </c>
      <c r="O639" s="45" t="str">
        <f t="shared" si="469"/>
        <v>Questionnaire</v>
      </c>
      <c r="P639" s="48" t="s">
        <v>8510</v>
      </c>
      <c r="Q639" s="60" t="s">
        <v>3272</v>
      </c>
      <c r="R639" s="48" t="s">
        <v>8511</v>
      </c>
      <c r="S639" s="48" t="s">
        <v>468</v>
      </c>
      <c r="T639" s="49" t="s">
        <v>74</v>
      </c>
      <c r="U639" s="48" t="s">
        <v>75</v>
      </c>
      <c r="V639" s="49"/>
      <c r="W639" s="65">
        <v>3.37</v>
      </c>
      <c r="X639" s="49" t="s">
        <v>522</v>
      </c>
      <c r="Y639" s="49" t="s">
        <v>675</v>
      </c>
      <c r="Z639" s="49" t="s">
        <v>125</v>
      </c>
      <c r="AA639" s="65">
        <v>0.77</v>
      </c>
      <c r="AB639" s="48" t="s">
        <v>8513</v>
      </c>
      <c r="AC639" s="84" t="s">
        <v>8510</v>
      </c>
      <c r="AD639" s="53" t="str">
        <f t="shared" si="470"/>
        <v>Link</v>
      </c>
      <c r="AE639" s="54">
        <v>7854</v>
      </c>
      <c r="AF639" s="55"/>
      <c r="AG639" s="55"/>
      <c r="AH639" s="56">
        <v>186876</v>
      </c>
      <c r="AI639" s="56"/>
    </row>
    <row r="640" spans="1:35" ht="15" x14ac:dyDescent="0.2">
      <c r="A640" s="47"/>
      <c r="B640" s="105" t="s">
        <v>6998</v>
      </c>
      <c r="C640" s="60" t="s">
        <v>43</v>
      </c>
      <c r="D640" s="44">
        <v>5</v>
      </c>
      <c r="E640" s="7" t="s">
        <v>8533</v>
      </c>
      <c r="F640" s="7" t="s">
        <v>116</v>
      </c>
      <c r="G640" s="57"/>
      <c r="H640" s="60" t="s">
        <v>8534</v>
      </c>
      <c r="I640" s="7" t="s">
        <v>2570</v>
      </c>
      <c r="J640" s="7" t="s">
        <v>8535</v>
      </c>
      <c r="K640" s="7" t="s">
        <v>55</v>
      </c>
      <c r="L640" s="7"/>
      <c r="M640" s="7"/>
      <c r="N640" s="45" t="str">
        <f t="shared" ref="N640:N647" si="471">HYPERLINK("twitter.com/wpusb","@wpusb")</f>
        <v>@wpusb</v>
      </c>
      <c r="O640" s="45" t="str">
        <f t="shared" ref="O640:O647" si="472">HYPERLINK("https://www.wpupioneers.com/sports/2009/9/21/gen_0921091201.aspx","Questionnaire")</f>
        <v>Questionnaire</v>
      </c>
      <c r="P640" s="48" t="s">
        <v>8544</v>
      </c>
      <c r="Q640" s="60" t="s">
        <v>3272</v>
      </c>
      <c r="R640" s="48" t="s">
        <v>6840</v>
      </c>
      <c r="S640" s="48" t="s">
        <v>186</v>
      </c>
      <c r="T640" s="49" t="s">
        <v>74</v>
      </c>
      <c r="U640" s="48" t="s">
        <v>75</v>
      </c>
      <c r="V640" s="49"/>
      <c r="W640" s="65">
        <v>3.15</v>
      </c>
      <c r="X640" s="49" t="s">
        <v>1145</v>
      </c>
      <c r="Y640" s="49" t="s">
        <v>3338</v>
      </c>
      <c r="Z640" s="49" t="s">
        <v>214</v>
      </c>
      <c r="AA640" s="65">
        <v>0.76</v>
      </c>
      <c r="AB640" s="48" t="s">
        <v>8546</v>
      </c>
      <c r="AC640" s="52" t="s">
        <v>8544</v>
      </c>
      <c r="AD640" s="53" t="str">
        <f t="shared" ref="AD640:AD647" si="473">HYPERLINK("https://www.wpunj.edu/cohss/Programs/undergraduate-majors.html","Link")</f>
        <v>Link</v>
      </c>
      <c r="AE640" s="54">
        <v>9103</v>
      </c>
      <c r="AF640" s="55"/>
      <c r="AG640" s="55"/>
      <c r="AH640" s="56">
        <v>187444</v>
      </c>
      <c r="AI640" s="59"/>
    </row>
    <row r="641" spans="1:37" ht="15" x14ac:dyDescent="0.2">
      <c r="A641" s="47"/>
      <c r="B641" s="105" t="s">
        <v>6998</v>
      </c>
      <c r="C641" s="60" t="s">
        <v>43</v>
      </c>
      <c r="D641" s="44">
        <v>5</v>
      </c>
      <c r="E641" s="7" t="s">
        <v>8554</v>
      </c>
      <c r="F641" s="7" t="s">
        <v>116</v>
      </c>
      <c r="G641" s="57"/>
      <c r="H641" s="60" t="s">
        <v>8534</v>
      </c>
      <c r="I641" s="7" t="s">
        <v>8221</v>
      </c>
      <c r="J641" s="7" t="s">
        <v>8555</v>
      </c>
      <c r="K641" s="7" t="s">
        <v>139</v>
      </c>
      <c r="L641" s="7"/>
      <c r="M641" s="7"/>
      <c r="N641" s="45" t="str">
        <f t="shared" si="471"/>
        <v>@wpusb</v>
      </c>
      <c r="O641" s="45" t="str">
        <f t="shared" si="472"/>
        <v>Questionnaire</v>
      </c>
      <c r="P641" s="48" t="s">
        <v>8544</v>
      </c>
      <c r="Q641" s="60" t="s">
        <v>3272</v>
      </c>
      <c r="R641" s="48" t="s">
        <v>6840</v>
      </c>
      <c r="S641" s="48" t="s">
        <v>186</v>
      </c>
      <c r="T641" s="49" t="s">
        <v>74</v>
      </c>
      <c r="U641" s="48" t="s">
        <v>75</v>
      </c>
      <c r="V641" s="49"/>
      <c r="W641" s="37">
        <v>3.15</v>
      </c>
      <c r="X641" s="49" t="s">
        <v>1145</v>
      </c>
      <c r="Y641" s="49" t="s">
        <v>3338</v>
      </c>
      <c r="Z641" s="49" t="s">
        <v>214</v>
      </c>
      <c r="AA641" s="65">
        <v>0.76</v>
      </c>
      <c r="AB641" s="48" t="s">
        <v>8546</v>
      </c>
      <c r="AC641" s="52" t="s">
        <v>8544</v>
      </c>
      <c r="AD641" s="53" t="str">
        <f t="shared" si="473"/>
        <v>Link</v>
      </c>
      <c r="AE641" s="54">
        <v>9103</v>
      </c>
      <c r="AF641" s="55"/>
      <c r="AG641" s="55"/>
      <c r="AH641" s="56">
        <v>187444</v>
      </c>
      <c r="AI641" s="59"/>
    </row>
    <row r="642" spans="1:37" ht="15" x14ac:dyDescent="0.2">
      <c r="A642" s="47"/>
      <c r="B642" s="105" t="s">
        <v>6998</v>
      </c>
      <c r="C642" s="60" t="s">
        <v>43</v>
      </c>
      <c r="D642" s="44">
        <v>5</v>
      </c>
      <c r="E642" s="7" t="s">
        <v>8563</v>
      </c>
      <c r="F642" s="7" t="s">
        <v>116</v>
      </c>
      <c r="G642" s="57"/>
      <c r="H642" s="60" t="s">
        <v>8534</v>
      </c>
      <c r="I642" s="7" t="s">
        <v>1726</v>
      </c>
      <c r="J642" s="7" t="s">
        <v>1955</v>
      </c>
      <c r="K642" s="7" t="s">
        <v>55</v>
      </c>
      <c r="L642" s="7"/>
      <c r="M642" s="7"/>
      <c r="N642" s="45" t="str">
        <f t="shared" si="471"/>
        <v>@wpusb</v>
      </c>
      <c r="O642" s="45" t="str">
        <f t="shared" si="472"/>
        <v>Questionnaire</v>
      </c>
      <c r="P642" s="48" t="s">
        <v>8544</v>
      </c>
      <c r="Q642" s="60" t="s">
        <v>3272</v>
      </c>
      <c r="R642" s="48" t="s">
        <v>6840</v>
      </c>
      <c r="S642" s="48" t="s">
        <v>186</v>
      </c>
      <c r="T642" s="49" t="s">
        <v>74</v>
      </c>
      <c r="U642" s="48" t="s">
        <v>75</v>
      </c>
      <c r="V642" s="49"/>
      <c r="W642" s="37">
        <v>3.15</v>
      </c>
      <c r="X642" s="49" t="s">
        <v>1145</v>
      </c>
      <c r="Y642" s="49" t="s">
        <v>3338</v>
      </c>
      <c r="Z642" s="49" t="s">
        <v>214</v>
      </c>
      <c r="AA642" s="65">
        <v>0.76</v>
      </c>
      <c r="AB642" s="48" t="s">
        <v>8546</v>
      </c>
      <c r="AC642" s="52" t="s">
        <v>8544</v>
      </c>
      <c r="AD642" s="53" t="str">
        <f t="shared" si="473"/>
        <v>Link</v>
      </c>
      <c r="AE642" s="54">
        <v>9103</v>
      </c>
      <c r="AF642" s="55"/>
      <c r="AG642" s="55"/>
      <c r="AH642" s="56">
        <v>187444</v>
      </c>
      <c r="AI642" s="59"/>
    </row>
    <row r="643" spans="1:37" ht="15" x14ac:dyDescent="0.2">
      <c r="A643" s="47"/>
      <c r="B643" s="105" t="s">
        <v>6998</v>
      </c>
      <c r="C643" s="60" t="s">
        <v>43</v>
      </c>
      <c r="D643" s="86">
        <v>5</v>
      </c>
      <c r="E643" s="7" t="s">
        <v>8570</v>
      </c>
      <c r="F643" s="7"/>
      <c r="G643" s="86" t="s">
        <v>126</v>
      </c>
      <c r="H643" s="60" t="s">
        <v>8534</v>
      </c>
      <c r="I643" s="139" t="s">
        <v>8571</v>
      </c>
      <c r="J643" s="7"/>
      <c r="K643" s="7"/>
      <c r="L643" s="7"/>
      <c r="M643" s="7"/>
      <c r="N643" s="45" t="str">
        <f t="shared" si="471"/>
        <v>@wpusb</v>
      </c>
      <c r="O643" s="45" t="str">
        <f t="shared" si="472"/>
        <v>Questionnaire</v>
      </c>
      <c r="P643" s="48" t="s">
        <v>8544</v>
      </c>
      <c r="Q643" s="60" t="s">
        <v>3272</v>
      </c>
      <c r="R643" s="48" t="s">
        <v>6840</v>
      </c>
      <c r="S643" s="48" t="s">
        <v>186</v>
      </c>
      <c r="T643" s="49" t="s">
        <v>74</v>
      </c>
      <c r="U643" s="48" t="s">
        <v>75</v>
      </c>
      <c r="V643" s="49"/>
      <c r="W643" s="37">
        <v>3.15</v>
      </c>
      <c r="X643" s="49" t="s">
        <v>1145</v>
      </c>
      <c r="Y643" s="49" t="s">
        <v>3338</v>
      </c>
      <c r="Z643" s="49" t="s">
        <v>214</v>
      </c>
      <c r="AA643" s="65">
        <v>0.76</v>
      </c>
      <c r="AB643" s="48" t="s">
        <v>8546</v>
      </c>
      <c r="AC643" s="52" t="s">
        <v>8544</v>
      </c>
      <c r="AD643" s="53" t="str">
        <f t="shared" si="473"/>
        <v>Link</v>
      </c>
      <c r="AE643" s="54">
        <v>9103</v>
      </c>
      <c r="AF643" s="55"/>
      <c r="AG643" s="55"/>
      <c r="AH643" s="56">
        <v>187444</v>
      </c>
      <c r="AI643" s="56"/>
    </row>
    <row r="644" spans="1:37" ht="15" x14ac:dyDescent="0.2">
      <c r="A644" s="47"/>
      <c r="B644" s="105" t="s">
        <v>6998</v>
      </c>
      <c r="C644" s="60" t="s">
        <v>43</v>
      </c>
      <c r="D644" s="86">
        <v>5</v>
      </c>
      <c r="E644" s="7" t="s">
        <v>8570</v>
      </c>
      <c r="F644" s="7" t="s">
        <v>116</v>
      </c>
      <c r="G644" s="86"/>
      <c r="H644" s="60" t="s">
        <v>8534</v>
      </c>
      <c r="I644" s="34" t="s">
        <v>421</v>
      </c>
      <c r="J644" s="7"/>
      <c r="K644" s="7" t="s">
        <v>48</v>
      </c>
      <c r="L644" s="7"/>
      <c r="M644" s="7"/>
      <c r="N644" s="45" t="str">
        <f t="shared" si="471"/>
        <v>@wpusb</v>
      </c>
      <c r="O644" s="45" t="str">
        <f t="shared" si="472"/>
        <v>Questionnaire</v>
      </c>
      <c r="P644" s="48" t="s">
        <v>8544</v>
      </c>
      <c r="Q644" s="60" t="s">
        <v>3272</v>
      </c>
      <c r="R644" s="48" t="s">
        <v>6840</v>
      </c>
      <c r="S644" s="48" t="s">
        <v>186</v>
      </c>
      <c r="T644" s="49" t="s">
        <v>74</v>
      </c>
      <c r="U644" s="48" t="s">
        <v>75</v>
      </c>
      <c r="V644" s="49"/>
      <c r="W644" s="37">
        <v>3.15</v>
      </c>
      <c r="X644" s="49" t="s">
        <v>1145</v>
      </c>
      <c r="Y644" s="49" t="s">
        <v>3338</v>
      </c>
      <c r="Z644" s="49" t="s">
        <v>214</v>
      </c>
      <c r="AA644" s="65">
        <v>0.76</v>
      </c>
      <c r="AB644" s="48" t="s">
        <v>8546</v>
      </c>
      <c r="AC644" s="52" t="s">
        <v>8544</v>
      </c>
      <c r="AD644" s="53" t="str">
        <f t="shared" si="473"/>
        <v>Link</v>
      </c>
      <c r="AE644" s="54">
        <v>9103</v>
      </c>
      <c r="AF644" s="55"/>
      <c r="AG644" s="55"/>
      <c r="AH644" s="56">
        <v>187444</v>
      </c>
      <c r="AI644" s="56"/>
    </row>
    <row r="645" spans="1:37" ht="15" x14ac:dyDescent="0.2">
      <c r="A645" s="47"/>
      <c r="B645" s="105" t="s">
        <v>6998</v>
      </c>
      <c r="C645" s="60" t="s">
        <v>43</v>
      </c>
      <c r="D645" s="86">
        <v>5</v>
      </c>
      <c r="E645" s="7" t="s">
        <v>8585</v>
      </c>
      <c r="F645" s="7"/>
      <c r="G645" s="86" t="s">
        <v>126</v>
      </c>
      <c r="H645" s="60" t="s">
        <v>8534</v>
      </c>
      <c r="I645" s="2" t="s">
        <v>8586</v>
      </c>
      <c r="J645" s="2"/>
      <c r="K645" s="7"/>
      <c r="L645" s="130"/>
      <c r="M645" s="7"/>
      <c r="N645" s="45" t="str">
        <f t="shared" si="471"/>
        <v>@wpusb</v>
      </c>
      <c r="O645" s="45" t="str">
        <f t="shared" si="472"/>
        <v>Questionnaire</v>
      </c>
      <c r="P645" s="48" t="s">
        <v>8544</v>
      </c>
      <c r="Q645" s="60" t="s">
        <v>3272</v>
      </c>
      <c r="R645" s="48" t="s">
        <v>6840</v>
      </c>
      <c r="S645" s="48" t="s">
        <v>186</v>
      </c>
      <c r="T645" s="49" t="s">
        <v>74</v>
      </c>
      <c r="U645" s="48" t="s">
        <v>75</v>
      </c>
      <c r="V645" s="49"/>
      <c r="W645" s="37">
        <v>3.15</v>
      </c>
      <c r="X645" s="49" t="s">
        <v>1145</v>
      </c>
      <c r="Y645" s="49" t="s">
        <v>3338</v>
      </c>
      <c r="Z645" s="49" t="s">
        <v>214</v>
      </c>
      <c r="AA645" s="65">
        <v>0.76</v>
      </c>
      <c r="AB645" s="48" t="s">
        <v>8546</v>
      </c>
      <c r="AC645" s="52" t="s">
        <v>8544</v>
      </c>
      <c r="AD645" s="53" t="str">
        <f t="shared" si="473"/>
        <v>Link</v>
      </c>
      <c r="AE645" s="54">
        <v>9103</v>
      </c>
      <c r="AF645" s="55"/>
      <c r="AG645" s="55"/>
      <c r="AH645" s="56">
        <v>187444</v>
      </c>
      <c r="AI645" s="56"/>
      <c r="AJ645" s="137"/>
      <c r="AK645" s="137"/>
    </row>
    <row r="646" spans="1:37" ht="15" x14ac:dyDescent="0.2">
      <c r="A646" s="47"/>
      <c r="B646" s="105" t="s">
        <v>6998</v>
      </c>
      <c r="C646" s="60" t="s">
        <v>43</v>
      </c>
      <c r="D646" s="86">
        <v>5</v>
      </c>
      <c r="E646" s="7" t="s">
        <v>8593</v>
      </c>
      <c r="F646" s="7" t="s">
        <v>116</v>
      </c>
      <c r="G646" s="57"/>
      <c r="H646" s="60" t="s">
        <v>8534</v>
      </c>
      <c r="I646" s="7" t="s">
        <v>658</v>
      </c>
      <c r="J646" s="7" t="s">
        <v>8596</v>
      </c>
      <c r="K646" s="7" t="s">
        <v>1423</v>
      </c>
      <c r="L646" s="7" t="s">
        <v>8597</v>
      </c>
      <c r="M646" s="7" t="s">
        <v>8598</v>
      </c>
      <c r="N646" s="45" t="str">
        <f t="shared" si="471"/>
        <v>@wpusb</v>
      </c>
      <c r="O646" s="45" t="str">
        <f t="shared" si="472"/>
        <v>Questionnaire</v>
      </c>
      <c r="P646" s="48" t="s">
        <v>8544</v>
      </c>
      <c r="Q646" s="60" t="s">
        <v>3272</v>
      </c>
      <c r="R646" s="48" t="s">
        <v>6840</v>
      </c>
      <c r="S646" s="48" t="s">
        <v>186</v>
      </c>
      <c r="T646" s="49" t="s">
        <v>74</v>
      </c>
      <c r="U646" s="48" t="s">
        <v>75</v>
      </c>
      <c r="V646" s="49"/>
      <c r="W646" s="37">
        <v>3.15</v>
      </c>
      <c r="X646" s="49" t="s">
        <v>1145</v>
      </c>
      <c r="Y646" s="49" t="s">
        <v>3338</v>
      </c>
      <c r="Z646" s="49" t="s">
        <v>214</v>
      </c>
      <c r="AA646" s="65">
        <v>0.76</v>
      </c>
      <c r="AB646" s="48" t="s">
        <v>8546</v>
      </c>
      <c r="AC646" s="52" t="s">
        <v>8544</v>
      </c>
      <c r="AD646" s="53" t="str">
        <f t="shared" si="473"/>
        <v>Link</v>
      </c>
      <c r="AE646" s="54">
        <v>9103</v>
      </c>
      <c r="AF646" s="55"/>
      <c r="AG646" s="55"/>
      <c r="AH646" s="56">
        <v>187444</v>
      </c>
      <c r="AI646" s="56"/>
    </row>
    <row r="647" spans="1:37" ht="15" x14ac:dyDescent="0.2">
      <c r="A647" s="47"/>
      <c r="B647" s="105" t="s">
        <v>6998</v>
      </c>
      <c r="C647" s="60" t="s">
        <v>43</v>
      </c>
      <c r="D647" s="86">
        <v>5</v>
      </c>
      <c r="E647" s="7" t="s">
        <v>8604</v>
      </c>
      <c r="F647" s="7"/>
      <c r="G647" s="86" t="s">
        <v>126</v>
      </c>
      <c r="H647" s="60" t="s">
        <v>8534</v>
      </c>
      <c r="I647" s="2" t="s">
        <v>8605</v>
      </c>
      <c r="J647" s="2"/>
      <c r="K647" s="2"/>
      <c r="L647" s="7"/>
      <c r="M647" s="7"/>
      <c r="N647" s="45" t="str">
        <f t="shared" si="471"/>
        <v>@wpusb</v>
      </c>
      <c r="O647" s="45" t="str">
        <f t="shared" si="472"/>
        <v>Questionnaire</v>
      </c>
      <c r="P647" s="48" t="s">
        <v>8544</v>
      </c>
      <c r="Q647" s="60" t="s">
        <v>3272</v>
      </c>
      <c r="R647" s="48" t="s">
        <v>6840</v>
      </c>
      <c r="S647" s="48" t="s">
        <v>186</v>
      </c>
      <c r="T647" s="49" t="s">
        <v>74</v>
      </c>
      <c r="U647" s="48" t="s">
        <v>75</v>
      </c>
      <c r="V647" s="49"/>
      <c r="W647" s="37">
        <v>3.15</v>
      </c>
      <c r="X647" s="49" t="s">
        <v>1145</v>
      </c>
      <c r="Y647" s="49" t="s">
        <v>3338</v>
      </c>
      <c r="Z647" s="49" t="s">
        <v>214</v>
      </c>
      <c r="AA647" s="65">
        <v>0.76</v>
      </c>
      <c r="AB647" s="48" t="s">
        <v>8546</v>
      </c>
      <c r="AC647" s="52" t="s">
        <v>8544</v>
      </c>
      <c r="AD647" s="53" t="str">
        <f t="shared" si="473"/>
        <v>Link</v>
      </c>
      <c r="AE647" s="54">
        <v>9103</v>
      </c>
      <c r="AF647" s="55"/>
      <c r="AG647" s="55"/>
      <c r="AH647" s="56">
        <v>187444</v>
      </c>
      <c r="AI647" s="56"/>
    </row>
    <row r="648" spans="1:37" ht="13" x14ac:dyDescent="0.15">
      <c r="A648" s="47"/>
      <c r="B648" s="142" t="s">
        <v>7303</v>
      </c>
      <c r="C648" s="60" t="s">
        <v>43</v>
      </c>
      <c r="D648" s="44">
        <v>5</v>
      </c>
      <c r="E648" s="7" t="s">
        <v>8615</v>
      </c>
      <c r="F648" s="7" t="s">
        <v>116</v>
      </c>
      <c r="G648" s="57"/>
      <c r="H648" s="6" t="s">
        <v>8617</v>
      </c>
      <c r="I648" s="7" t="s">
        <v>5294</v>
      </c>
      <c r="J648" s="7" t="s">
        <v>8619</v>
      </c>
      <c r="K648" s="7" t="s">
        <v>48</v>
      </c>
      <c r="L648" s="7" t="s">
        <v>8622</v>
      </c>
      <c r="M648" s="7" t="s">
        <v>8624</v>
      </c>
      <c r="N648" s="48"/>
      <c r="O648" s="45" t="str">
        <f t="shared" ref="O648:O650" si="474">HYPERLINK("https://alfredstate.prestosports.com/student_athletes/recruiting_forms","Questionnaire")</f>
        <v>Questionnaire</v>
      </c>
      <c r="P648" s="48" t="s">
        <v>8628</v>
      </c>
      <c r="Q648" s="60" t="s">
        <v>1304</v>
      </c>
      <c r="R648" s="48" t="s">
        <v>8629</v>
      </c>
      <c r="S648" s="60" t="s">
        <v>205</v>
      </c>
      <c r="T648" s="49" t="s">
        <v>74</v>
      </c>
      <c r="U648" s="48" t="s">
        <v>75</v>
      </c>
      <c r="V648" s="49"/>
      <c r="W648" s="37">
        <v>3.04</v>
      </c>
      <c r="X648" s="49" t="s">
        <v>3428</v>
      </c>
      <c r="Y648" s="49" t="s">
        <v>3485</v>
      </c>
      <c r="Z648" s="49" t="s">
        <v>125</v>
      </c>
      <c r="AA648" s="38">
        <v>0.7198</v>
      </c>
      <c r="AB648" s="48" t="s">
        <v>8630</v>
      </c>
      <c r="AC648" s="90" t="s">
        <v>8628</v>
      </c>
      <c r="AD648" s="53" t="str">
        <f t="shared" ref="AD648:AD650" si="475">HYPERLINK("http://www.alfredstate.edu/academics/majors-list","Link")</f>
        <v>Link</v>
      </c>
      <c r="AE648" s="54">
        <v>3735</v>
      </c>
      <c r="AF648" s="55"/>
      <c r="AG648" s="55"/>
      <c r="AH648" s="56">
        <v>196006</v>
      </c>
      <c r="AI648" s="59"/>
    </row>
    <row r="649" spans="1:37" ht="13" x14ac:dyDescent="0.15">
      <c r="A649" s="47"/>
      <c r="B649" s="142" t="s">
        <v>7303</v>
      </c>
      <c r="C649" s="60" t="s">
        <v>43</v>
      </c>
      <c r="D649" s="86">
        <v>5</v>
      </c>
      <c r="E649" s="7" t="s">
        <v>8636</v>
      </c>
      <c r="F649" s="7"/>
      <c r="G649" s="86"/>
      <c r="H649" s="6" t="s">
        <v>8617</v>
      </c>
      <c r="I649" s="2" t="s">
        <v>421</v>
      </c>
      <c r="J649" s="7"/>
      <c r="K649" s="7" t="s">
        <v>48</v>
      </c>
      <c r="L649" s="7"/>
      <c r="M649" s="7"/>
      <c r="N649" s="48"/>
      <c r="O649" s="45" t="str">
        <f t="shared" si="474"/>
        <v>Questionnaire</v>
      </c>
      <c r="P649" s="48" t="s">
        <v>8628</v>
      </c>
      <c r="Q649" s="60" t="s">
        <v>1304</v>
      </c>
      <c r="R649" s="48" t="s">
        <v>8629</v>
      </c>
      <c r="S649" s="60" t="s">
        <v>205</v>
      </c>
      <c r="T649" s="49" t="s">
        <v>74</v>
      </c>
      <c r="U649" s="48" t="s">
        <v>75</v>
      </c>
      <c r="V649" s="49"/>
      <c r="W649" s="37">
        <v>3.04</v>
      </c>
      <c r="X649" s="49" t="s">
        <v>3428</v>
      </c>
      <c r="Y649" s="49" t="s">
        <v>3485</v>
      </c>
      <c r="Z649" s="49" t="s">
        <v>125</v>
      </c>
      <c r="AA649" s="38">
        <v>0.7198</v>
      </c>
      <c r="AB649" s="48" t="s">
        <v>8630</v>
      </c>
      <c r="AC649" s="90" t="s">
        <v>8628</v>
      </c>
      <c r="AD649" s="53" t="str">
        <f t="shared" si="475"/>
        <v>Link</v>
      </c>
      <c r="AE649" s="54">
        <v>3735</v>
      </c>
      <c r="AF649" s="55"/>
      <c r="AG649" s="55"/>
      <c r="AH649" s="56">
        <v>196006</v>
      </c>
      <c r="AI649" s="56"/>
    </row>
    <row r="650" spans="1:37" ht="15" x14ac:dyDescent="0.2">
      <c r="A650" s="47"/>
      <c r="B650" s="142" t="s">
        <v>7303</v>
      </c>
      <c r="C650" s="60" t="s">
        <v>43</v>
      </c>
      <c r="D650" s="86">
        <v>5</v>
      </c>
      <c r="E650" s="7" t="s">
        <v>8639</v>
      </c>
      <c r="F650" s="7"/>
      <c r="G650" s="86" t="s">
        <v>126</v>
      </c>
      <c r="H650" s="6" t="s">
        <v>8617</v>
      </c>
      <c r="I650" s="2" t="s">
        <v>8640</v>
      </c>
      <c r="J650" s="2"/>
      <c r="K650" s="33"/>
      <c r="L650" s="2"/>
      <c r="M650" s="7"/>
      <c r="N650" s="48"/>
      <c r="O650" s="45" t="str">
        <f t="shared" si="474"/>
        <v>Questionnaire</v>
      </c>
      <c r="P650" s="48" t="s">
        <v>8628</v>
      </c>
      <c r="Q650" s="60" t="s">
        <v>1304</v>
      </c>
      <c r="R650" s="48" t="s">
        <v>8629</v>
      </c>
      <c r="S650" s="60" t="s">
        <v>205</v>
      </c>
      <c r="T650" s="49" t="s">
        <v>74</v>
      </c>
      <c r="U650" s="48" t="s">
        <v>75</v>
      </c>
      <c r="V650" s="49"/>
      <c r="W650" s="37">
        <v>3.04</v>
      </c>
      <c r="X650" s="49" t="s">
        <v>3428</v>
      </c>
      <c r="Y650" s="49" t="s">
        <v>3485</v>
      </c>
      <c r="Z650" s="49" t="s">
        <v>125</v>
      </c>
      <c r="AA650" s="38">
        <v>0.7198</v>
      </c>
      <c r="AB650" s="48" t="s">
        <v>8630</v>
      </c>
      <c r="AC650" s="90" t="s">
        <v>8628</v>
      </c>
      <c r="AD650" s="53" t="str">
        <f t="shared" si="475"/>
        <v>Link</v>
      </c>
      <c r="AE650" s="54">
        <v>3735</v>
      </c>
      <c r="AF650" s="55"/>
      <c r="AG650" s="55"/>
      <c r="AH650" s="56">
        <v>196006</v>
      </c>
      <c r="AI650" s="56"/>
      <c r="AJ650" s="137"/>
      <c r="AK650" s="137"/>
    </row>
    <row r="651" spans="1:37" ht="13" x14ac:dyDescent="0.15">
      <c r="A651" s="47"/>
      <c r="B651" s="142" t="s">
        <v>7303</v>
      </c>
      <c r="C651" s="60" t="s">
        <v>43</v>
      </c>
      <c r="D651" s="86">
        <v>5</v>
      </c>
      <c r="E651" s="7" t="s">
        <v>8644</v>
      </c>
      <c r="F651" s="7"/>
      <c r="G651" s="86"/>
      <c r="H651" s="48" t="s">
        <v>8645</v>
      </c>
      <c r="I651" s="7" t="s">
        <v>8646</v>
      </c>
      <c r="J651" s="7" t="s">
        <v>8647</v>
      </c>
      <c r="K651" s="7" t="s">
        <v>48</v>
      </c>
      <c r="L651" s="7" t="s">
        <v>8649</v>
      </c>
      <c r="M651" s="7" t="s">
        <v>8650</v>
      </c>
      <c r="N651" s="45" t="str">
        <f t="shared" ref="N651:N653" si="476">HYPERLINK("twitter.com/alfred_softball","@alfred_softball")</f>
        <v>@alfred_softball</v>
      </c>
      <c r="O651" s="45" t="str">
        <f t="shared" ref="O651:O653" si="477">HYPERLINK("https://gosaxons.com/sb_output.aspx?form=3","Questionnaire")</f>
        <v>Questionnaire</v>
      </c>
      <c r="P651" s="48" t="s">
        <v>8645</v>
      </c>
      <c r="Q651" s="60" t="s">
        <v>1304</v>
      </c>
      <c r="R651" s="48" t="s">
        <v>8629</v>
      </c>
      <c r="S651" s="60" t="s">
        <v>205</v>
      </c>
      <c r="T651" s="5" t="s">
        <v>63</v>
      </c>
      <c r="U651" s="48" t="s">
        <v>75</v>
      </c>
      <c r="V651" s="49"/>
      <c r="W651" s="37">
        <v>3.03</v>
      </c>
      <c r="X651" s="49" t="s">
        <v>356</v>
      </c>
      <c r="Y651" s="49" t="s">
        <v>276</v>
      </c>
      <c r="Z651" s="49" t="s">
        <v>278</v>
      </c>
      <c r="AA651" s="38">
        <v>0.62790000000000001</v>
      </c>
      <c r="AB651" s="39">
        <v>42524</v>
      </c>
      <c r="AC651" s="90" t="s">
        <v>8645</v>
      </c>
      <c r="AD651" s="53" t="str">
        <f t="shared" ref="AD651:AD653" si="478">HYPERLINK("https://admissions.alfred.edu/majors/","Link")</f>
        <v>Link</v>
      </c>
      <c r="AE651" s="54">
        <v>1815</v>
      </c>
      <c r="AF651" s="55"/>
      <c r="AG651" s="55"/>
      <c r="AH651" s="56">
        <v>188641</v>
      </c>
      <c r="AI651" s="56"/>
    </row>
    <row r="652" spans="1:37" ht="13" x14ac:dyDescent="0.15">
      <c r="A652" s="47"/>
      <c r="B652" s="142" t="s">
        <v>7303</v>
      </c>
      <c r="C652" s="60" t="s">
        <v>43</v>
      </c>
      <c r="D652" s="86">
        <v>5</v>
      </c>
      <c r="E652" s="7" t="s">
        <v>8655</v>
      </c>
      <c r="F652" s="7"/>
      <c r="G652" s="86"/>
      <c r="H652" s="48" t="s">
        <v>8645</v>
      </c>
      <c r="I652" s="2" t="s">
        <v>8656</v>
      </c>
      <c r="J652" s="2" t="s">
        <v>8657</v>
      </c>
      <c r="K652" s="2" t="s">
        <v>55</v>
      </c>
      <c r="L652" s="2" t="s">
        <v>8659</v>
      </c>
      <c r="M652" s="7"/>
      <c r="N652" s="45" t="str">
        <f t="shared" si="476"/>
        <v>@alfred_softball</v>
      </c>
      <c r="O652" s="45" t="str">
        <f t="shared" si="477"/>
        <v>Questionnaire</v>
      </c>
      <c r="P652" s="48" t="s">
        <v>8645</v>
      </c>
      <c r="Q652" s="60" t="s">
        <v>1304</v>
      </c>
      <c r="R652" s="48" t="s">
        <v>8629</v>
      </c>
      <c r="S652" s="60" t="s">
        <v>205</v>
      </c>
      <c r="T652" s="5" t="s">
        <v>63</v>
      </c>
      <c r="U652" s="48" t="s">
        <v>75</v>
      </c>
      <c r="V652" s="49"/>
      <c r="W652" s="37">
        <v>3.03</v>
      </c>
      <c r="X652" s="49" t="s">
        <v>356</v>
      </c>
      <c r="Y652" s="49" t="s">
        <v>276</v>
      </c>
      <c r="Z652" s="49" t="s">
        <v>278</v>
      </c>
      <c r="AA652" s="38">
        <v>0.62790000000000001</v>
      </c>
      <c r="AB652" s="39">
        <v>42524</v>
      </c>
      <c r="AC652" s="90" t="s">
        <v>8645</v>
      </c>
      <c r="AD652" s="53" t="str">
        <f t="shared" si="478"/>
        <v>Link</v>
      </c>
      <c r="AE652" s="54">
        <v>1815</v>
      </c>
      <c r="AF652" s="55"/>
      <c r="AG652" s="55"/>
      <c r="AH652" s="56">
        <v>188641</v>
      </c>
      <c r="AI652" s="56"/>
    </row>
    <row r="653" spans="1:37" ht="13" x14ac:dyDescent="0.15">
      <c r="A653" s="47"/>
      <c r="B653" s="142" t="s">
        <v>7303</v>
      </c>
      <c r="C653" s="60" t="s">
        <v>43</v>
      </c>
      <c r="D653" s="86">
        <v>5</v>
      </c>
      <c r="E653" s="7" t="s">
        <v>8663</v>
      </c>
      <c r="F653" s="7"/>
      <c r="G653" s="86"/>
      <c r="H653" s="48" t="s">
        <v>8645</v>
      </c>
      <c r="I653" s="2" t="s">
        <v>878</v>
      </c>
      <c r="J653" s="2" t="s">
        <v>8664</v>
      </c>
      <c r="K653" s="2" t="s">
        <v>55</v>
      </c>
      <c r="L653" s="2" t="s">
        <v>8665</v>
      </c>
      <c r="M653" s="7"/>
      <c r="N653" s="45" t="str">
        <f t="shared" si="476"/>
        <v>@alfred_softball</v>
      </c>
      <c r="O653" s="45" t="str">
        <f t="shared" si="477"/>
        <v>Questionnaire</v>
      </c>
      <c r="P653" s="48" t="s">
        <v>8645</v>
      </c>
      <c r="Q653" s="60" t="s">
        <v>1304</v>
      </c>
      <c r="R653" s="48" t="s">
        <v>8629</v>
      </c>
      <c r="S653" s="60" t="s">
        <v>205</v>
      </c>
      <c r="T653" s="5" t="s">
        <v>63</v>
      </c>
      <c r="U653" s="48" t="s">
        <v>75</v>
      </c>
      <c r="V653" s="49"/>
      <c r="W653" s="37">
        <v>3.03</v>
      </c>
      <c r="X653" s="49" t="s">
        <v>356</v>
      </c>
      <c r="Y653" s="49" t="s">
        <v>276</v>
      </c>
      <c r="Z653" s="49" t="s">
        <v>278</v>
      </c>
      <c r="AA653" s="38">
        <v>0.62790000000000001</v>
      </c>
      <c r="AB653" s="39">
        <v>42524</v>
      </c>
      <c r="AC653" s="90" t="s">
        <v>8645</v>
      </c>
      <c r="AD653" s="53" t="str">
        <f t="shared" si="478"/>
        <v>Link</v>
      </c>
      <c r="AE653" s="54">
        <v>1815</v>
      </c>
      <c r="AF653" s="55"/>
      <c r="AG653" s="55"/>
      <c r="AH653" s="56">
        <v>188641</v>
      </c>
      <c r="AI653" s="56"/>
    </row>
    <row r="654" spans="1:37" ht="13" x14ac:dyDescent="0.15">
      <c r="A654" s="47"/>
      <c r="B654" s="105" t="s">
        <v>7303</v>
      </c>
      <c r="C654" s="60" t="s">
        <v>43</v>
      </c>
      <c r="D654" s="44">
        <v>5</v>
      </c>
      <c r="E654" s="7" t="s">
        <v>8675</v>
      </c>
      <c r="F654" s="7" t="s">
        <v>116</v>
      </c>
      <c r="G654" s="57"/>
      <c r="H654" s="6" t="s">
        <v>8677</v>
      </c>
      <c r="I654" s="7" t="s">
        <v>1052</v>
      </c>
      <c r="J654" s="7" t="s">
        <v>8680</v>
      </c>
      <c r="K654" s="7" t="s">
        <v>55</v>
      </c>
      <c r="L654" s="7"/>
      <c r="M654" s="7" t="s">
        <v>8682</v>
      </c>
      <c r="N654" s="48"/>
      <c r="O654" s="45" t="str">
        <f t="shared" ref="O654:O655" si="479">HYPERLINK("https://athletics.baruch.cuny.edu/sb_output.aspx?form=3&amp;path=mten","Questionnaire")</f>
        <v>Questionnaire</v>
      </c>
      <c r="P654" s="48" t="s">
        <v>8685</v>
      </c>
      <c r="Q654" s="60" t="s">
        <v>1304</v>
      </c>
      <c r="R654" s="48" t="s">
        <v>1897</v>
      </c>
      <c r="S654" s="48" t="s">
        <v>288</v>
      </c>
      <c r="T654" s="49" t="s">
        <v>74</v>
      </c>
      <c r="U654" s="48" t="s">
        <v>75</v>
      </c>
      <c r="V654" s="49"/>
      <c r="W654" s="37">
        <v>3.3</v>
      </c>
      <c r="X654" s="49" t="s">
        <v>835</v>
      </c>
      <c r="Y654" s="49" t="s">
        <v>1096</v>
      </c>
      <c r="Z654" s="49" t="s">
        <v>214</v>
      </c>
      <c r="AA654" s="38">
        <v>0.30669999999999997</v>
      </c>
      <c r="AB654" s="48" t="s">
        <v>8686</v>
      </c>
      <c r="AC654" s="84" t="s">
        <v>8685</v>
      </c>
      <c r="AD654" s="53" t="str">
        <f t="shared" ref="AD654:AD655" si="480">HYPERLINK("https://www.baruch.cuny.edu/confluence/display/undergraduatebulletin/Majors","Link")</f>
        <v>Link</v>
      </c>
      <c r="AE654" s="54">
        <v>15210</v>
      </c>
      <c r="AF654" s="55"/>
      <c r="AG654" s="55"/>
      <c r="AH654" s="56">
        <v>190512</v>
      </c>
      <c r="AI654" s="59"/>
    </row>
    <row r="655" spans="1:37" ht="13" x14ac:dyDescent="0.15">
      <c r="A655" s="47"/>
      <c r="B655" s="105" t="s">
        <v>7303</v>
      </c>
      <c r="C655" s="60" t="s">
        <v>43</v>
      </c>
      <c r="D655" s="86">
        <v>5</v>
      </c>
      <c r="E655" s="7" t="s">
        <v>8691</v>
      </c>
      <c r="F655" s="7" t="s">
        <v>116</v>
      </c>
      <c r="G655" s="57"/>
      <c r="H655" s="6" t="s">
        <v>8677</v>
      </c>
      <c r="I655" s="7" t="s">
        <v>3393</v>
      </c>
      <c r="J655" s="7" t="s">
        <v>8693</v>
      </c>
      <c r="K655" s="7" t="s">
        <v>48</v>
      </c>
      <c r="L655" s="7" t="s">
        <v>8695</v>
      </c>
      <c r="M655" s="7" t="s">
        <v>8682</v>
      </c>
      <c r="N655" s="48"/>
      <c r="O655" s="45" t="str">
        <f t="shared" si="479"/>
        <v>Questionnaire</v>
      </c>
      <c r="P655" s="48" t="s">
        <v>8685</v>
      </c>
      <c r="Q655" s="60" t="s">
        <v>1304</v>
      </c>
      <c r="R655" s="48" t="s">
        <v>1897</v>
      </c>
      <c r="S655" s="48" t="s">
        <v>288</v>
      </c>
      <c r="T655" s="49" t="s">
        <v>74</v>
      </c>
      <c r="U655" s="48" t="s">
        <v>75</v>
      </c>
      <c r="V655" s="49"/>
      <c r="W655" s="37">
        <v>3.3</v>
      </c>
      <c r="X655" s="49" t="s">
        <v>835</v>
      </c>
      <c r="Y655" s="49" t="s">
        <v>1096</v>
      </c>
      <c r="Z655" s="49" t="s">
        <v>214</v>
      </c>
      <c r="AA655" s="38">
        <v>0.30669999999999997</v>
      </c>
      <c r="AB655" s="48" t="s">
        <v>8686</v>
      </c>
      <c r="AC655" s="84" t="s">
        <v>8685</v>
      </c>
      <c r="AD655" s="53" t="str">
        <f t="shared" si="480"/>
        <v>Link</v>
      </c>
      <c r="AE655" s="54">
        <v>15210</v>
      </c>
      <c r="AF655" s="55"/>
      <c r="AG655" s="55"/>
      <c r="AH655" s="56">
        <v>190512</v>
      </c>
      <c r="AI655" s="56"/>
    </row>
    <row r="656" spans="1:37" ht="15" x14ac:dyDescent="0.2">
      <c r="A656" s="47"/>
      <c r="B656" s="105" t="s">
        <v>7303</v>
      </c>
      <c r="C656" s="60" t="s">
        <v>43</v>
      </c>
      <c r="D656" s="86">
        <v>5</v>
      </c>
      <c r="E656" s="7" t="s">
        <v>8698</v>
      </c>
      <c r="F656" s="7"/>
      <c r="G656" s="86"/>
      <c r="H656" s="60" t="s">
        <v>8700</v>
      </c>
      <c r="I656" s="2" t="s">
        <v>2606</v>
      </c>
      <c r="J656" s="2" t="s">
        <v>423</v>
      </c>
      <c r="K656" s="2" t="s">
        <v>48</v>
      </c>
      <c r="L656" s="130" t="s">
        <v>8702</v>
      </c>
      <c r="M656" s="2" t="s">
        <v>8703</v>
      </c>
      <c r="N656" s="48"/>
      <c r="O656" s="45" t="str">
        <f t="shared" ref="O656:O658" si="481">HYPERLINK("https://www.brooklyncollegeathletics.com/sb_output.aspx?form=3","Questionnaire")</f>
        <v>Questionnaire</v>
      </c>
      <c r="P656" s="48" t="s">
        <v>8700</v>
      </c>
      <c r="Q656" s="60" t="s">
        <v>1304</v>
      </c>
      <c r="R656" s="48" t="s">
        <v>1897</v>
      </c>
      <c r="S656" s="48" t="s">
        <v>288</v>
      </c>
      <c r="T656" s="49" t="s">
        <v>74</v>
      </c>
      <c r="U656" s="48" t="s">
        <v>75</v>
      </c>
      <c r="V656" s="49"/>
      <c r="W656" s="37">
        <v>3.31</v>
      </c>
      <c r="X656" s="49" t="s">
        <v>1509</v>
      </c>
      <c r="Y656" s="49" t="s">
        <v>1230</v>
      </c>
      <c r="Z656" s="49" t="s">
        <v>214</v>
      </c>
      <c r="AA656" s="38">
        <v>0.37490000000000001</v>
      </c>
      <c r="AB656" s="48" t="s">
        <v>8705</v>
      </c>
      <c r="AC656" s="52" t="s">
        <v>8700</v>
      </c>
      <c r="AD656" s="53" t="str">
        <f t="shared" ref="AD656:AD658" si="482">HYPERLINK("http://www.brooklyn.cuny.edu/programs/index.jsp?div=U","Link")</f>
        <v>Link</v>
      </c>
      <c r="AE656" s="54">
        <v>14406</v>
      </c>
      <c r="AF656" s="55"/>
      <c r="AG656" s="55"/>
      <c r="AH656" s="56">
        <v>190549</v>
      </c>
      <c r="AI656" s="56"/>
    </row>
    <row r="657" spans="1:37" ht="15" x14ac:dyDescent="0.2">
      <c r="A657" s="47"/>
      <c r="B657" s="105" t="s">
        <v>7303</v>
      </c>
      <c r="C657" s="60" t="s">
        <v>43</v>
      </c>
      <c r="D657" s="86">
        <v>5</v>
      </c>
      <c r="E657" s="7" t="s">
        <v>8714</v>
      </c>
      <c r="F657" s="7"/>
      <c r="G657" s="86"/>
      <c r="H657" s="60" t="s">
        <v>8700</v>
      </c>
      <c r="I657" s="7" t="s">
        <v>8715</v>
      </c>
      <c r="J657" s="7" t="s">
        <v>196</v>
      </c>
      <c r="K657" s="7" t="s">
        <v>55</v>
      </c>
      <c r="L657" s="7" t="s">
        <v>8716</v>
      </c>
      <c r="M657" s="7" t="s">
        <v>8703</v>
      </c>
      <c r="N657" s="48"/>
      <c r="O657" s="45" t="str">
        <f t="shared" si="481"/>
        <v>Questionnaire</v>
      </c>
      <c r="P657" s="48" t="s">
        <v>8700</v>
      </c>
      <c r="Q657" s="60" t="s">
        <v>1304</v>
      </c>
      <c r="R657" s="48" t="s">
        <v>1897</v>
      </c>
      <c r="S657" s="48" t="s">
        <v>288</v>
      </c>
      <c r="T657" s="49" t="s">
        <v>74</v>
      </c>
      <c r="U657" s="48" t="s">
        <v>75</v>
      </c>
      <c r="V657" s="49"/>
      <c r="W657" s="37">
        <v>3.31</v>
      </c>
      <c r="X657" s="49" t="s">
        <v>1509</v>
      </c>
      <c r="Y657" s="49" t="s">
        <v>1230</v>
      </c>
      <c r="Z657" s="49" t="s">
        <v>214</v>
      </c>
      <c r="AA657" s="38">
        <v>0.37490000000000001</v>
      </c>
      <c r="AB657" s="48" t="s">
        <v>8705</v>
      </c>
      <c r="AC657" s="52" t="s">
        <v>8700</v>
      </c>
      <c r="AD657" s="53" t="str">
        <f t="shared" si="482"/>
        <v>Link</v>
      </c>
      <c r="AE657" s="54">
        <v>14406</v>
      </c>
      <c r="AF657" s="55"/>
      <c r="AG657" s="55"/>
      <c r="AH657" s="56">
        <v>190549</v>
      </c>
      <c r="AI657" s="56"/>
    </row>
    <row r="658" spans="1:37" ht="15" x14ac:dyDescent="0.2">
      <c r="A658" s="47"/>
      <c r="B658" s="105" t="s">
        <v>7303</v>
      </c>
      <c r="C658" s="60" t="s">
        <v>43</v>
      </c>
      <c r="D658" s="86">
        <v>5</v>
      </c>
      <c r="E658" s="7" t="s">
        <v>8722</v>
      </c>
      <c r="F658" s="7"/>
      <c r="G658" s="86"/>
      <c r="H658" s="60" t="s">
        <v>8700</v>
      </c>
      <c r="I658" s="2" t="s">
        <v>4003</v>
      </c>
      <c r="J658" s="2" t="s">
        <v>8723</v>
      </c>
      <c r="K658" s="7" t="s">
        <v>55</v>
      </c>
      <c r="L658" s="7"/>
      <c r="M658" s="7" t="s">
        <v>8703</v>
      </c>
      <c r="N658" s="48"/>
      <c r="O658" s="45" t="str">
        <f t="shared" si="481"/>
        <v>Questionnaire</v>
      </c>
      <c r="P658" s="48" t="s">
        <v>8700</v>
      </c>
      <c r="Q658" s="60" t="s">
        <v>1304</v>
      </c>
      <c r="R658" s="48" t="s">
        <v>1897</v>
      </c>
      <c r="S658" s="48" t="s">
        <v>288</v>
      </c>
      <c r="T658" s="49" t="s">
        <v>74</v>
      </c>
      <c r="U658" s="48" t="s">
        <v>75</v>
      </c>
      <c r="V658" s="49"/>
      <c r="W658" s="37">
        <v>3.31</v>
      </c>
      <c r="X658" s="49" t="s">
        <v>1509</v>
      </c>
      <c r="Y658" s="49" t="s">
        <v>1230</v>
      </c>
      <c r="Z658" s="49" t="s">
        <v>214</v>
      </c>
      <c r="AA658" s="38">
        <v>0.37490000000000001</v>
      </c>
      <c r="AB658" s="48" t="s">
        <v>8705</v>
      </c>
      <c r="AC658" s="52" t="s">
        <v>8700</v>
      </c>
      <c r="AD658" s="53" t="str">
        <f t="shared" si="482"/>
        <v>Link</v>
      </c>
      <c r="AE658" s="54">
        <v>14406</v>
      </c>
      <c r="AF658" s="55"/>
      <c r="AG658" s="55"/>
      <c r="AH658" s="56">
        <v>190549</v>
      </c>
      <c r="AI658" s="56"/>
    </row>
    <row r="659" spans="1:37" ht="13" x14ac:dyDescent="0.15">
      <c r="A659" s="47"/>
      <c r="B659" s="105" t="s">
        <v>7303</v>
      </c>
      <c r="C659" s="60" t="s">
        <v>43</v>
      </c>
      <c r="D659" s="86">
        <v>5</v>
      </c>
      <c r="E659" s="7" t="s">
        <v>8728</v>
      </c>
      <c r="F659" s="7"/>
      <c r="G659" s="86"/>
      <c r="H659" s="6" t="s">
        <v>8729</v>
      </c>
      <c r="I659" s="7" t="s">
        <v>1492</v>
      </c>
      <c r="J659" s="7" t="s">
        <v>8730</v>
      </c>
      <c r="K659" s="7" t="s">
        <v>48</v>
      </c>
      <c r="L659" s="2" t="s">
        <v>8731</v>
      </c>
      <c r="M659" s="7" t="s">
        <v>8732</v>
      </c>
      <c r="N659" s="48"/>
      <c r="O659" s="45" t="str">
        <f t="shared" ref="O659:O661" si="483">HYPERLINK("https://cazenoviawildcats.com/sb_output.aspx?form=3","Questionnaire")</f>
        <v>Questionnaire</v>
      </c>
      <c r="P659" s="48" t="s">
        <v>8734</v>
      </c>
      <c r="Q659" s="60" t="s">
        <v>1304</v>
      </c>
      <c r="R659" s="48" t="s">
        <v>8734</v>
      </c>
      <c r="S659" s="60" t="s">
        <v>205</v>
      </c>
      <c r="T659" s="49" t="s">
        <v>63</v>
      </c>
      <c r="U659" s="48" t="s">
        <v>75</v>
      </c>
      <c r="V659" s="49"/>
      <c r="W659" s="37">
        <v>3.2</v>
      </c>
      <c r="X659" s="49" t="s">
        <v>1628</v>
      </c>
      <c r="Y659" s="49" t="s">
        <v>8736</v>
      </c>
      <c r="Z659" s="49" t="s">
        <v>3995</v>
      </c>
      <c r="AA659" s="38">
        <v>0.89880000000000004</v>
      </c>
      <c r="AB659" s="39">
        <v>48820</v>
      </c>
      <c r="AC659" s="90" t="s">
        <v>8734</v>
      </c>
      <c r="AD659" s="53" t="str">
        <f t="shared" ref="AD659:AD661" si="484">HYPERLINK("http://www.cazenovia.edu/academic-programs","Link")</f>
        <v>Link</v>
      </c>
      <c r="AE659" s="54">
        <v>1042</v>
      </c>
      <c r="AF659" s="55"/>
      <c r="AG659" s="55"/>
      <c r="AH659" s="56">
        <v>189848</v>
      </c>
      <c r="AI659" s="56"/>
      <c r="AJ659" s="137"/>
      <c r="AK659" s="137"/>
    </row>
    <row r="660" spans="1:37" ht="15" x14ac:dyDescent="0.2">
      <c r="A660" s="47"/>
      <c r="B660" s="105" t="s">
        <v>7303</v>
      </c>
      <c r="C660" s="60" t="s">
        <v>43</v>
      </c>
      <c r="D660" s="86">
        <v>5</v>
      </c>
      <c r="E660" s="7" t="s">
        <v>8742</v>
      </c>
      <c r="F660" s="7"/>
      <c r="G660" s="86"/>
      <c r="H660" s="6" t="s">
        <v>8729</v>
      </c>
      <c r="I660" s="7" t="s">
        <v>930</v>
      </c>
      <c r="J660" s="7" t="s">
        <v>8744</v>
      </c>
      <c r="K660" s="33" t="s">
        <v>55</v>
      </c>
      <c r="L660" s="2"/>
      <c r="M660" s="7"/>
      <c r="N660" s="48"/>
      <c r="O660" s="45" t="str">
        <f t="shared" si="483"/>
        <v>Questionnaire</v>
      </c>
      <c r="P660" s="48" t="s">
        <v>8734</v>
      </c>
      <c r="Q660" s="60" t="s">
        <v>1304</v>
      </c>
      <c r="R660" s="48" t="s">
        <v>8734</v>
      </c>
      <c r="S660" s="60" t="s">
        <v>205</v>
      </c>
      <c r="T660" s="49" t="s">
        <v>63</v>
      </c>
      <c r="U660" s="48" t="s">
        <v>75</v>
      </c>
      <c r="V660" s="49"/>
      <c r="W660" s="37">
        <v>3.2</v>
      </c>
      <c r="X660" s="49" t="s">
        <v>1628</v>
      </c>
      <c r="Y660" s="49" t="s">
        <v>8736</v>
      </c>
      <c r="Z660" s="49" t="s">
        <v>3995</v>
      </c>
      <c r="AA660" s="38">
        <v>0.89880000000000004</v>
      </c>
      <c r="AB660" s="39">
        <v>48820</v>
      </c>
      <c r="AC660" s="90" t="s">
        <v>8734</v>
      </c>
      <c r="AD660" s="53" t="str">
        <f t="shared" si="484"/>
        <v>Link</v>
      </c>
      <c r="AE660" s="54">
        <v>1042</v>
      </c>
      <c r="AF660" s="55"/>
      <c r="AG660" s="55"/>
      <c r="AH660" s="56">
        <v>189848</v>
      </c>
      <c r="AI660" s="56"/>
    </row>
    <row r="661" spans="1:37" ht="13" x14ac:dyDescent="0.15">
      <c r="A661" s="47"/>
      <c r="B661" s="105" t="s">
        <v>7303</v>
      </c>
      <c r="C661" s="60" t="s">
        <v>43</v>
      </c>
      <c r="D661" s="86">
        <v>5</v>
      </c>
      <c r="E661" s="7" t="s">
        <v>8747</v>
      </c>
      <c r="F661" s="7"/>
      <c r="G661" s="86"/>
      <c r="H661" s="6" t="s">
        <v>8729</v>
      </c>
      <c r="I661" s="7" t="s">
        <v>8748</v>
      </c>
      <c r="J661" s="7" t="s">
        <v>8749</v>
      </c>
      <c r="K661" s="7" t="s">
        <v>919</v>
      </c>
      <c r="L661" s="2"/>
      <c r="M661" s="7"/>
      <c r="N661" s="48"/>
      <c r="O661" s="45" t="str">
        <f t="shared" si="483"/>
        <v>Questionnaire</v>
      </c>
      <c r="P661" s="48" t="s">
        <v>8734</v>
      </c>
      <c r="Q661" s="60" t="s">
        <v>1304</v>
      </c>
      <c r="R661" s="48" t="s">
        <v>8734</v>
      </c>
      <c r="S661" s="60" t="s">
        <v>205</v>
      </c>
      <c r="T661" s="49" t="s">
        <v>63</v>
      </c>
      <c r="U661" s="48" t="s">
        <v>75</v>
      </c>
      <c r="V661" s="49"/>
      <c r="W661" s="37">
        <v>3.2</v>
      </c>
      <c r="X661" s="49" t="s">
        <v>1628</v>
      </c>
      <c r="Y661" s="49" t="s">
        <v>8736</v>
      </c>
      <c r="Z661" s="49" t="s">
        <v>3995</v>
      </c>
      <c r="AA661" s="38">
        <v>0.89880000000000004</v>
      </c>
      <c r="AB661" s="39">
        <v>48820</v>
      </c>
      <c r="AC661" s="90" t="s">
        <v>8734</v>
      </c>
      <c r="AD661" s="53" t="str">
        <f t="shared" si="484"/>
        <v>Link</v>
      </c>
      <c r="AE661" s="54">
        <v>1042</v>
      </c>
      <c r="AF661" s="55"/>
      <c r="AG661" s="55"/>
      <c r="AH661" s="56">
        <v>189848</v>
      </c>
      <c r="AI661" s="56"/>
    </row>
    <row r="662" spans="1:37" ht="13" x14ac:dyDescent="0.15">
      <c r="A662" s="47"/>
      <c r="B662" s="142" t="s">
        <v>7303</v>
      </c>
      <c r="C662" s="60" t="s">
        <v>43</v>
      </c>
      <c r="D662" s="44">
        <v>5</v>
      </c>
      <c r="E662" s="7" t="s">
        <v>8756</v>
      </c>
      <c r="F662" s="7" t="s">
        <v>116</v>
      </c>
      <c r="G662" s="57"/>
      <c r="H662" s="6" t="s">
        <v>8757</v>
      </c>
      <c r="I662" s="7" t="s">
        <v>8758</v>
      </c>
      <c r="J662" s="7" t="s">
        <v>8759</v>
      </c>
      <c r="K662" s="7" t="s">
        <v>55</v>
      </c>
      <c r="L662" s="7"/>
      <c r="M662" s="7"/>
      <c r="N662" s="48"/>
      <c r="O662" s="45" t="str">
        <f t="shared" ref="O662:O664" si="485">HYPERLINK("https://ccnyathletics.com/sb_output.aspx?form=3","Questionnaire")</f>
        <v>Questionnaire</v>
      </c>
      <c r="P662" s="48" t="s">
        <v>8762</v>
      </c>
      <c r="Q662" s="60" t="s">
        <v>1304</v>
      </c>
      <c r="R662" s="6" t="s">
        <v>1897</v>
      </c>
      <c r="S662" s="6" t="s">
        <v>288</v>
      </c>
      <c r="T662" s="5" t="s">
        <v>74</v>
      </c>
      <c r="U662" s="48" t="s">
        <v>75</v>
      </c>
      <c r="V662" s="49"/>
      <c r="W662" s="7" t="s">
        <v>214</v>
      </c>
      <c r="X662" s="4" t="s">
        <v>2310</v>
      </c>
      <c r="Y662" s="4" t="s">
        <v>292</v>
      </c>
      <c r="Z662" s="4" t="s">
        <v>214</v>
      </c>
      <c r="AA662" s="38">
        <v>0.45390000000000003</v>
      </c>
      <c r="AB662" s="6" t="s">
        <v>8764</v>
      </c>
      <c r="AC662" s="90" t="s">
        <v>8762</v>
      </c>
      <c r="AD662" s="67" t="str">
        <f t="shared" ref="AD662:AD664" si="486">HYPERLINK("https://www.ccny.cuny.edu/academics/areas-of-study","Link")</f>
        <v>Link</v>
      </c>
      <c r="AE662" s="42">
        <v>13317</v>
      </c>
      <c r="AF662" s="55"/>
      <c r="AG662" s="55"/>
      <c r="AH662" s="56">
        <v>190567</v>
      </c>
      <c r="AI662" s="59"/>
      <c r="AJ662" s="137"/>
      <c r="AK662" s="137"/>
    </row>
    <row r="663" spans="1:37" ht="13" x14ac:dyDescent="0.15">
      <c r="A663" s="47"/>
      <c r="B663" s="142" t="s">
        <v>7303</v>
      </c>
      <c r="C663" s="60" t="s">
        <v>43</v>
      </c>
      <c r="D663" s="86">
        <v>5</v>
      </c>
      <c r="E663" s="7" t="s">
        <v>8769</v>
      </c>
      <c r="F663" s="7"/>
      <c r="G663" s="86"/>
      <c r="H663" s="6" t="s">
        <v>8757</v>
      </c>
      <c r="I663" s="7" t="s">
        <v>8770</v>
      </c>
      <c r="J663" s="2" t="s">
        <v>8771</v>
      </c>
      <c r="K663" s="7" t="s">
        <v>1048</v>
      </c>
      <c r="L663" s="2" t="s">
        <v>8772</v>
      </c>
      <c r="M663" s="2" t="s">
        <v>8773</v>
      </c>
      <c r="N663" s="48"/>
      <c r="O663" s="45" t="str">
        <f t="shared" si="485"/>
        <v>Questionnaire</v>
      </c>
      <c r="P663" s="48" t="s">
        <v>8762</v>
      </c>
      <c r="Q663" s="60" t="s">
        <v>1304</v>
      </c>
      <c r="R663" s="6" t="s">
        <v>1897</v>
      </c>
      <c r="S663" s="6" t="s">
        <v>288</v>
      </c>
      <c r="T663" s="5" t="s">
        <v>74</v>
      </c>
      <c r="U663" s="48" t="s">
        <v>75</v>
      </c>
      <c r="V663" s="49"/>
      <c r="W663" s="7" t="s">
        <v>214</v>
      </c>
      <c r="X663" s="4" t="s">
        <v>2310</v>
      </c>
      <c r="Y663" s="4" t="s">
        <v>292</v>
      </c>
      <c r="Z663" s="4" t="s">
        <v>214</v>
      </c>
      <c r="AA663" s="38">
        <v>0.45390000000000003</v>
      </c>
      <c r="AB663" s="6" t="s">
        <v>8764</v>
      </c>
      <c r="AC663" s="90" t="s">
        <v>8762</v>
      </c>
      <c r="AD663" s="67" t="str">
        <f t="shared" si="486"/>
        <v>Link</v>
      </c>
      <c r="AE663" s="42">
        <v>13317</v>
      </c>
      <c r="AF663" s="55"/>
      <c r="AG663" s="55"/>
      <c r="AH663" s="56">
        <v>190567</v>
      </c>
      <c r="AI663" s="56"/>
      <c r="AJ663" s="137"/>
      <c r="AK663" s="137"/>
    </row>
    <row r="664" spans="1:37" ht="13" x14ac:dyDescent="0.15">
      <c r="A664" s="47"/>
      <c r="B664" s="142" t="s">
        <v>7303</v>
      </c>
      <c r="C664" s="60" t="s">
        <v>43</v>
      </c>
      <c r="D664" s="86">
        <v>5</v>
      </c>
      <c r="E664" s="7" t="s">
        <v>8778</v>
      </c>
      <c r="F664" s="7"/>
      <c r="G664" s="86"/>
      <c r="H664" s="6" t="s">
        <v>8757</v>
      </c>
      <c r="I664" s="2" t="s">
        <v>1163</v>
      </c>
      <c r="J664" s="2" t="s">
        <v>8779</v>
      </c>
      <c r="K664" s="2" t="s">
        <v>55</v>
      </c>
      <c r="L664" s="2" t="s">
        <v>8780</v>
      </c>
      <c r="M664" s="2"/>
      <c r="N664" s="48"/>
      <c r="O664" s="45" t="str">
        <f t="shared" si="485"/>
        <v>Questionnaire</v>
      </c>
      <c r="P664" s="48" t="s">
        <v>8762</v>
      </c>
      <c r="Q664" s="60" t="s">
        <v>1304</v>
      </c>
      <c r="R664" s="6" t="s">
        <v>1897</v>
      </c>
      <c r="S664" s="6" t="s">
        <v>288</v>
      </c>
      <c r="T664" s="5" t="s">
        <v>74</v>
      </c>
      <c r="U664" s="48" t="s">
        <v>75</v>
      </c>
      <c r="V664" s="49"/>
      <c r="W664" s="7" t="s">
        <v>214</v>
      </c>
      <c r="X664" s="4" t="s">
        <v>2310</v>
      </c>
      <c r="Y664" s="4" t="s">
        <v>292</v>
      </c>
      <c r="Z664" s="4" t="s">
        <v>214</v>
      </c>
      <c r="AA664" s="38">
        <v>0.45390000000000003</v>
      </c>
      <c r="AB664" s="6" t="s">
        <v>8764</v>
      </c>
      <c r="AC664" s="90" t="s">
        <v>8762</v>
      </c>
      <c r="AD664" s="67" t="str">
        <f t="shared" si="486"/>
        <v>Link</v>
      </c>
      <c r="AE664" s="42">
        <v>13317</v>
      </c>
      <c r="AF664" s="55"/>
      <c r="AG664" s="55"/>
      <c r="AH664" s="56">
        <v>190567</v>
      </c>
      <c r="AI664" s="56"/>
      <c r="AJ664" s="137"/>
      <c r="AK664" s="137"/>
    </row>
    <row r="665" spans="1:37" ht="13" x14ac:dyDescent="0.15">
      <c r="A665" s="47"/>
      <c r="B665" s="105" t="s">
        <v>7303</v>
      </c>
      <c r="C665" s="60" t="s">
        <v>43</v>
      </c>
      <c r="D665" s="86">
        <v>5</v>
      </c>
      <c r="E665" s="7" t="s">
        <v>8790</v>
      </c>
      <c r="F665" s="7"/>
      <c r="G665" s="86"/>
      <c r="H665" s="6" t="s">
        <v>8791</v>
      </c>
      <c r="I665" s="7" t="s">
        <v>435</v>
      </c>
      <c r="J665" s="7" t="s">
        <v>8792</v>
      </c>
      <c r="K665" s="7" t="s">
        <v>48</v>
      </c>
      <c r="L665" s="7" t="s">
        <v>8793</v>
      </c>
      <c r="M665" s="7" t="s">
        <v>8794</v>
      </c>
      <c r="N665" s="45" t="str">
        <f>HYPERLINK("twitter.com/CUsbKNIGHTS","@CUsbKNIGHTS")</f>
        <v>@CUsbKNIGHTS</v>
      </c>
      <c r="O665" s="45" t="str">
        <f t="shared" ref="O665:O666" si="487">HYPERLINK("https://clarksonathletics.com/sports/2012/8/11/GEN_0811125651.aspx","Questionnaire")</f>
        <v>Questionnaire</v>
      </c>
      <c r="P665" s="48" t="s">
        <v>8802</v>
      </c>
      <c r="Q665" s="60" t="s">
        <v>1304</v>
      </c>
      <c r="R665" s="48" t="s">
        <v>8803</v>
      </c>
      <c r="S665" s="48" t="s">
        <v>172</v>
      </c>
      <c r="T665" s="49" t="s">
        <v>63</v>
      </c>
      <c r="U665" s="48" t="s">
        <v>75</v>
      </c>
      <c r="V665" s="49"/>
      <c r="W665" s="37">
        <v>3.6</v>
      </c>
      <c r="X665" s="49" t="s">
        <v>1230</v>
      </c>
      <c r="Y665" s="49" t="s">
        <v>8806</v>
      </c>
      <c r="Z665" s="49" t="s">
        <v>1408</v>
      </c>
      <c r="AA665" s="38">
        <v>0.68210000000000004</v>
      </c>
      <c r="AB665" s="39">
        <v>64018</v>
      </c>
      <c r="AC665" s="90" t="s">
        <v>8802</v>
      </c>
      <c r="AD665" s="53" t="str">
        <f t="shared" ref="AD665:AD666" si="488">HYPERLINK("http://internal.clarkson.edu/tcs/academics/undergraduate.html","Link")</f>
        <v>Link</v>
      </c>
      <c r="AE665" s="54">
        <v>3268</v>
      </c>
      <c r="AF665" s="54">
        <v>124</v>
      </c>
      <c r="AG665" s="55"/>
      <c r="AH665" s="56">
        <v>190044</v>
      </c>
      <c r="AI665" s="56"/>
      <c r="AJ665" s="137"/>
      <c r="AK665" s="137"/>
    </row>
    <row r="666" spans="1:37" ht="15" x14ac:dyDescent="0.2">
      <c r="A666" s="47"/>
      <c r="B666" s="105" t="s">
        <v>7303</v>
      </c>
      <c r="C666" s="60" t="s">
        <v>43</v>
      </c>
      <c r="D666" s="86">
        <v>5</v>
      </c>
      <c r="E666" s="7" t="s">
        <v>8812</v>
      </c>
      <c r="F666" s="7"/>
      <c r="G666" s="86"/>
      <c r="H666" s="6" t="s">
        <v>8791</v>
      </c>
      <c r="I666" s="34" t="s">
        <v>8813</v>
      </c>
      <c r="J666" s="2" t="s">
        <v>8814</v>
      </c>
      <c r="K666" s="7" t="s">
        <v>55</v>
      </c>
      <c r="L666" s="2" t="s">
        <v>8815</v>
      </c>
      <c r="M666" s="2" t="s">
        <v>8816</v>
      </c>
      <c r="N666" s="48"/>
      <c r="O666" s="45" t="str">
        <f t="shared" si="487"/>
        <v>Questionnaire</v>
      </c>
      <c r="P666" s="48" t="s">
        <v>8802</v>
      </c>
      <c r="Q666" s="60" t="s">
        <v>1304</v>
      </c>
      <c r="R666" s="48" t="s">
        <v>8803</v>
      </c>
      <c r="S666" s="48" t="s">
        <v>172</v>
      </c>
      <c r="T666" s="49" t="s">
        <v>63</v>
      </c>
      <c r="U666" s="48" t="s">
        <v>75</v>
      </c>
      <c r="V666" s="49"/>
      <c r="W666" s="37">
        <v>3.6</v>
      </c>
      <c r="X666" s="49" t="s">
        <v>1230</v>
      </c>
      <c r="Y666" s="49" t="s">
        <v>8806</v>
      </c>
      <c r="Z666" s="49" t="s">
        <v>1408</v>
      </c>
      <c r="AA666" s="38">
        <v>0.68210000000000004</v>
      </c>
      <c r="AB666" s="39">
        <v>64018</v>
      </c>
      <c r="AC666" s="90" t="s">
        <v>8802</v>
      </c>
      <c r="AD666" s="53" t="str">
        <f t="shared" si="488"/>
        <v>Link</v>
      </c>
      <c r="AE666" s="54">
        <v>3268</v>
      </c>
      <c r="AF666" s="54">
        <v>124</v>
      </c>
      <c r="AG666" s="55"/>
      <c r="AH666" s="56">
        <v>190044</v>
      </c>
      <c r="AI666" s="56"/>
    </row>
    <row r="667" spans="1:37" ht="13" x14ac:dyDescent="0.15">
      <c r="A667" s="47"/>
      <c r="B667" s="105" t="s">
        <v>7303</v>
      </c>
      <c r="C667" s="60" t="s">
        <v>43</v>
      </c>
      <c r="D667" s="86">
        <v>5</v>
      </c>
      <c r="E667" s="7" t="s">
        <v>8818</v>
      </c>
      <c r="F667" s="7"/>
      <c r="G667" s="86"/>
      <c r="H667" s="60" t="s">
        <v>8819</v>
      </c>
      <c r="I667" s="7" t="s">
        <v>8821</v>
      </c>
      <c r="J667" s="7" t="s">
        <v>8822</v>
      </c>
      <c r="K667" s="7" t="s">
        <v>48</v>
      </c>
      <c r="L667" s="7" t="s">
        <v>8823</v>
      </c>
      <c r="M667" s="7" t="s">
        <v>8824</v>
      </c>
      <c r="N667" s="48"/>
      <c r="O667" s="45" t="str">
        <f t="shared" ref="O667:O668" si="489">HYPERLINK("https://www.huntercollegeathletics.com/sb_output.aspx?frform=3","Questionnaire")</f>
        <v>Questionnaire</v>
      </c>
      <c r="P667" s="48" t="s">
        <v>8825</v>
      </c>
      <c r="Q667" s="60" t="s">
        <v>1304</v>
      </c>
      <c r="R667" s="48" t="s">
        <v>1897</v>
      </c>
      <c r="S667" s="48" t="s">
        <v>288</v>
      </c>
      <c r="T667" s="5" t="s">
        <v>74</v>
      </c>
      <c r="U667" s="48" t="s">
        <v>75</v>
      </c>
      <c r="V667" s="49"/>
      <c r="W667" s="37">
        <v>3.27</v>
      </c>
      <c r="X667" s="49" t="s">
        <v>1230</v>
      </c>
      <c r="Y667" s="49" t="s">
        <v>86</v>
      </c>
      <c r="Z667" s="49" t="s">
        <v>214</v>
      </c>
      <c r="AA667" s="65">
        <v>0.38</v>
      </c>
      <c r="AB667" s="48" t="s">
        <v>8828</v>
      </c>
      <c r="AC667" s="90" t="s">
        <v>8825</v>
      </c>
      <c r="AD667" s="53" t="str">
        <f t="shared" ref="AD667:AD668" si="490">HYPERLINK("http://www.hunter.cuny.edu/academics/majors","Link")</f>
        <v>Link</v>
      </c>
      <c r="AE667" s="54">
        <v>16723</v>
      </c>
      <c r="AF667" s="55"/>
      <c r="AG667" s="55"/>
      <c r="AH667" s="56">
        <v>190594</v>
      </c>
      <c r="AI667" s="56"/>
    </row>
    <row r="668" spans="1:37" ht="13" x14ac:dyDescent="0.15">
      <c r="A668" s="47"/>
      <c r="B668" s="105" t="s">
        <v>7303</v>
      </c>
      <c r="C668" s="60" t="s">
        <v>43</v>
      </c>
      <c r="D668" s="86">
        <v>5</v>
      </c>
      <c r="E668" s="7" t="s">
        <v>8835</v>
      </c>
      <c r="F668" s="7"/>
      <c r="G668" s="86"/>
      <c r="H668" s="60" t="s">
        <v>8819</v>
      </c>
      <c r="I668" s="2" t="s">
        <v>772</v>
      </c>
      <c r="J668" s="2" t="s">
        <v>8836</v>
      </c>
      <c r="K668" s="2" t="s">
        <v>55</v>
      </c>
      <c r="L668" s="2" t="s">
        <v>8838</v>
      </c>
      <c r="M668" s="2" t="s">
        <v>8824</v>
      </c>
      <c r="N668" s="48"/>
      <c r="O668" s="45" t="str">
        <f t="shared" si="489"/>
        <v>Questionnaire</v>
      </c>
      <c r="P668" s="48" t="s">
        <v>8825</v>
      </c>
      <c r="Q668" s="60" t="s">
        <v>1304</v>
      </c>
      <c r="R668" s="48" t="s">
        <v>1897</v>
      </c>
      <c r="S668" s="48" t="s">
        <v>288</v>
      </c>
      <c r="T668" s="5" t="s">
        <v>74</v>
      </c>
      <c r="U668" s="48" t="s">
        <v>75</v>
      </c>
      <c r="V668" s="49"/>
      <c r="W668" s="37">
        <v>3.27</v>
      </c>
      <c r="X668" s="49" t="s">
        <v>1230</v>
      </c>
      <c r="Y668" s="49" t="s">
        <v>86</v>
      </c>
      <c r="Z668" s="49" t="s">
        <v>214</v>
      </c>
      <c r="AA668" s="65">
        <v>0.38</v>
      </c>
      <c r="AB668" s="48" t="s">
        <v>8828</v>
      </c>
      <c r="AC668" s="90" t="s">
        <v>8825</v>
      </c>
      <c r="AD668" s="53" t="str">
        <f t="shared" si="490"/>
        <v>Link</v>
      </c>
      <c r="AE668" s="54">
        <v>16723</v>
      </c>
      <c r="AF668" s="55"/>
      <c r="AG668" s="55"/>
      <c r="AH668" s="56">
        <v>190594</v>
      </c>
      <c r="AI668" s="56"/>
    </row>
    <row r="669" spans="1:37" ht="13" x14ac:dyDescent="0.15">
      <c r="A669" s="47"/>
      <c r="B669" s="105" t="s">
        <v>7303</v>
      </c>
      <c r="C669" s="60" t="s">
        <v>43</v>
      </c>
      <c r="D669" s="44">
        <v>5</v>
      </c>
      <c r="E669" s="7" t="s">
        <v>8844</v>
      </c>
      <c r="F669" s="7"/>
      <c r="G669" s="7"/>
      <c r="H669" s="60" t="s">
        <v>8845</v>
      </c>
      <c r="I669" s="7" t="s">
        <v>338</v>
      </c>
      <c r="J669" s="7" t="s">
        <v>8846</v>
      </c>
      <c r="K669" s="7" t="s">
        <v>48</v>
      </c>
      <c r="L669" s="7" t="s">
        <v>8847</v>
      </c>
      <c r="M669" s="7" t="s">
        <v>8848</v>
      </c>
      <c r="N669" s="48"/>
      <c r="O669" s="45" t="str">
        <f t="shared" ref="O669:O671" si="491">HYPERLINK("https://johnjayathletics.com/sb_output.aspx?form=3","Questionnaire")</f>
        <v>Questionnaire</v>
      </c>
      <c r="P669" s="48" t="s">
        <v>8855</v>
      </c>
      <c r="Q669" s="60" t="s">
        <v>1304</v>
      </c>
      <c r="R669" s="6" t="s">
        <v>1897</v>
      </c>
      <c r="S669" s="6" t="s">
        <v>288</v>
      </c>
      <c r="T669" s="4" t="s">
        <v>74</v>
      </c>
      <c r="U669" s="48" t="s">
        <v>75</v>
      </c>
      <c r="V669" s="4"/>
      <c r="W669" s="37">
        <v>2.84</v>
      </c>
      <c r="X669" s="4" t="s">
        <v>2257</v>
      </c>
      <c r="Y669" s="4" t="s">
        <v>3338</v>
      </c>
      <c r="Z669" s="4" t="s">
        <v>214</v>
      </c>
      <c r="AA669" s="65">
        <v>0.34</v>
      </c>
      <c r="AB669" s="6" t="s">
        <v>8857</v>
      </c>
      <c r="AC669" s="90" t="s">
        <v>8855</v>
      </c>
      <c r="AD669" s="67" t="str">
        <f t="shared" ref="AD669:AD671" si="492">HYPERLINK("http://www.jjay.cuny.edu/majors","Link")</f>
        <v>Link</v>
      </c>
      <c r="AE669" s="42">
        <v>12674</v>
      </c>
      <c r="AF669" s="55"/>
      <c r="AG669" s="55"/>
      <c r="AH669" s="56">
        <v>190600</v>
      </c>
      <c r="AI669" s="56"/>
    </row>
    <row r="670" spans="1:37" ht="13" x14ac:dyDescent="0.15">
      <c r="A670" s="47"/>
      <c r="B670" s="105" t="s">
        <v>7303</v>
      </c>
      <c r="C670" s="60" t="s">
        <v>43</v>
      </c>
      <c r="D670" s="44">
        <v>5</v>
      </c>
      <c r="E670" s="7" t="s">
        <v>8858</v>
      </c>
      <c r="F670" s="7"/>
      <c r="G670" s="7"/>
      <c r="H670" s="60" t="s">
        <v>8845</v>
      </c>
      <c r="I670" s="7" t="s">
        <v>338</v>
      </c>
      <c r="J670" s="7" t="s">
        <v>8846</v>
      </c>
      <c r="K670" s="7" t="s">
        <v>48</v>
      </c>
      <c r="L670" s="7" t="s">
        <v>8847</v>
      </c>
      <c r="M670" s="7" t="s">
        <v>8848</v>
      </c>
      <c r="N670" s="7"/>
      <c r="O670" s="45" t="str">
        <f t="shared" si="491"/>
        <v>Questionnaire</v>
      </c>
      <c r="P670" s="48" t="s">
        <v>8855</v>
      </c>
      <c r="Q670" s="60" t="s">
        <v>1304</v>
      </c>
      <c r="R670" s="6" t="s">
        <v>1897</v>
      </c>
      <c r="S670" s="6" t="s">
        <v>288</v>
      </c>
      <c r="T670" s="4" t="s">
        <v>74</v>
      </c>
      <c r="U670" s="48" t="s">
        <v>75</v>
      </c>
      <c r="V670" s="4"/>
      <c r="W670" s="37">
        <v>2.84</v>
      </c>
      <c r="X670" s="4" t="s">
        <v>2257</v>
      </c>
      <c r="Y670" s="4" t="s">
        <v>3338</v>
      </c>
      <c r="Z670" s="4" t="s">
        <v>214</v>
      </c>
      <c r="AA670" s="65">
        <v>0.34</v>
      </c>
      <c r="AB670" s="6" t="s">
        <v>8857</v>
      </c>
      <c r="AC670" s="90" t="s">
        <v>8855</v>
      </c>
      <c r="AD670" s="67" t="str">
        <f t="shared" si="492"/>
        <v>Link</v>
      </c>
      <c r="AE670" s="42">
        <v>12674</v>
      </c>
      <c r="AF670" s="55"/>
      <c r="AG670" s="55"/>
      <c r="AH670" s="56">
        <v>190600</v>
      </c>
      <c r="AI670" s="56"/>
      <c r="AJ670" s="137"/>
      <c r="AK670" s="137"/>
    </row>
    <row r="671" spans="1:37" ht="13" x14ac:dyDescent="0.15">
      <c r="A671" s="47"/>
      <c r="B671" s="105" t="s">
        <v>7303</v>
      </c>
      <c r="C671" s="60" t="s">
        <v>43</v>
      </c>
      <c r="D671" s="44">
        <v>5</v>
      </c>
      <c r="E671" s="7" t="s">
        <v>8865</v>
      </c>
      <c r="F671" s="7"/>
      <c r="G671" s="7"/>
      <c r="H671" s="60" t="s">
        <v>8845</v>
      </c>
      <c r="I671" s="7" t="s">
        <v>1080</v>
      </c>
      <c r="J671" s="7" t="s">
        <v>8867</v>
      </c>
      <c r="K671" s="7" t="s">
        <v>55</v>
      </c>
      <c r="L671" s="7"/>
      <c r="M671" s="7"/>
      <c r="N671" s="7"/>
      <c r="O671" s="45" t="str">
        <f t="shared" si="491"/>
        <v>Questionnaire</v>
      </c>
      <c r="P671" s="48" t="s">
        <v>8855</v>
      </c>
      <c r="Q671" s="60" t="s">
        <v>1304</v>
      </c>
      <c r="R671" s="6" t="s">
        <v>1897</v>
      </c>
      <c r="S671" s="6" t="s">
        <v>288</v>
      </c>
      <c r="T671" s="4" t="s">
        <v>74</v>
      </c>
      <c r="U671" s="48" t="s">
        <v>75</v>
      </c>
      <c r="V671" s="4"/>
      <c r="W671" s="37">
        <v>2.84</v>
      </c>
      <c r="X671" s="4" t="s">
        <v>2257</v>
      </c>
      <c r="Y671" s="4" t="s">
        <v>3338</v>
      </c>
      <c r="Z671" s="4" t="s">
        <v>214</v>
      </c>
      <c r="AA671" s="65">
        <v>0.34</v>
      </c>
      <c r="AB671" s="6" t="s">
        <v>8857</v>
      </c>
      <c r="AC671" s="90" t="s">
        <v>8855</v>
      </c>
      <c r="AD671" s="67" t="str">
        <f t="shared" si="492"/>
        <v>Link</v>
      </c>
      <c r="AE671" s="42">
        <v>12674</v>
      </c>
      <c r="AF671" s="55"/>
      <c r="AG671" s="55"/>
      <c r="AH671" s="56">
        <v>190600</v>
      </c>
      <c r="AI671" s="56"/>
    </row>
    <row r="672" spans="1:37" ht="13" x14ac:dyDescent="0.15">
      <c r="A672" s="47"/>
      <c r="B672" s="105" t="s">
        <v>7303</v>
      </c>
      <c r="C672" s="60" t="s">
        <v>43</v>
      </c>
      <c r="D672" s="44">
        <v>5</v>
      </c>
      <c r="E672" s="7" t="s">
        <v>8876</v>
      </c>
      <c r="F672" s="7"/>
      <c r="G672" s="7"/>
      <c r="H672" s="6" t="s">
        <v>8877</v>
      </c>
      <c r="I672" s="7" t="s">
        <v>1163</v>
      </c>
      <c r="J672" s="7" t="s">
        <v>1039</v>
      </c>
      <c r="K672" s="7" t="s">
        <v>48</v>
      </c>
      <c r="L672" s="7" t="s">
        <v>8878</v>
      </c>
      <c r="M672" s="7" t="s">
        <v>8879</v>
      </c>
      <c r="N672" s="7"/>
      <c r="O672" s="45" t="str">
        <f t="shared" ref="O672:O673" si="493">HYPERLINK("https://lehmanathletics.com/sb_output.aspx?form=3","Questionnaire")</f>
        <v>Questionnaire</v>
      </c>
      <c r="P672" s="48" t="s">
        <v>8882</v>
      </c>
      <c r="Q672" s="60" t="s">
        <v>1304</v>
      </c>
      <c r="R672" s="4" t="s">
        <v>1897</v>
      </c>
      <c r="S672" s="6" t="s">
        <v>288</v>
      </c>
      <c r="T672" s="5" t="s">
        <v>74</v>
      </c>
      <c r="U672" s="6" t="s">
        <v>75</v>
      </c>
      <c r="V672" s="4"/>
      <c r="W672" s="37">
        <v>3.17</v>
      </c>
      <c r="X672" s="4" t="s">
        <v>3338</v>
      </c>
      <c r="Y672" s="4" t="s">
        <v>1578</v>
      </c>
      <c r="Z672" s="6" t="s">
        <v>214</v>
      </c>
      <c r="AA672" s="65">
        <v>0.32</v>
      </c>
      <c r="AB672" s="55" t="s">
        <v>8896</v>
      </c>
      <c r="AC672" s="84" t="s">
        <v>8882</v>
      </c>
      <c r="AD672" s="67" t="str">
        <f t="shared" ref="AD672:AD673" si="494">HYPERLINK("http://www.lehman.edu/academics/academic-programs.php","Link")</f>
        <v>Link</v>
      </c>
      <c r="AE672" s="42">
        <v>11320</v>
      </c>
      <c r="AF672" s="55"/>
      <c r="AG672" s="55"/>
      <c r="AH672" s="56">
        <v>190637</v>
      </c>
      <c r="AI672" s="56"/>
    </row>
    <row r="673" spans="1:37" ht="13" x14ac:dyDescent="0.15">
      <c r="A673" s="47"/>
      <c r="B673" s="105" t="s">
        <v>7303</v>
      </c>
      <c r="C673" s="60" t="s">
        <v>43</v>
      </c>
      <c r="D673" s="44">
        <v>5</v>
      </c>
      <c r="E673" s="7" t="s">
        <v>8899</v>
      </c>
      <c r="F673" s="7"/>
      <c r="G673" s="7"/>
      <c r="H673" s="6" t="s">
        <v>8877</v>
      </c>
      <c r="I673" s="7" t="s">
        <v>930</v>
      </c>
      <c r="J673" s="7" t="s">
        <v>8901</v>
      </c>
      <c r="K673" s="7" t="s">
        <v>55</v>
      </c>
      <c r="L673" s="7"/>
      <c r="M673" s="7"/>
      <c r="N673" s="7"/>
      <c r="O673" s="45" t="str">
        <f t="shared" si="493"/>
        <v>Questionnaire</v>
      </c>
      <c r="P673" s="48" t="s">
        <v>8882</v>
      </c>
      <c r="Q673" s="60" t="s">
        <v>1304</v>
      </c>
      <c r="R673" s="4" t="s">
        <v>1897</v>
      </c>
      <c r="S673" s="6" t="s">
        <v>288</v>
      </c>
      <c r="T673" s="5" t="s">
        <v>74</v>
      </c>
      <c r="U673" s="6" t="s">
        <v>75</v>
      </c>
      <c r="V673" s="4"/>
      <c r="W673" s="37">
        <v>3.17</v>
      </c>
      <c r="X673" s="4" t="s">
        <v>3338</v>
      </c>
      <c r="Y673" s="4" t="s">
        <v>1578</v>
      </c>
      <c r="Z673" s="6" t="s">
        <v>214</v>
      </c>
      <c r="AA673" s="65">
        <v>0.32</v>
      </c>
      <c r="AB673" s="55" t="s">
        <v>8896</v>
      </c>
      <c r="AC673" s="84" t="s">
        <v>8882</v>
      </c>
      <c r="AD673" s="67" t="str">
        <f t="shared" si="494"/>
        <v>Link</v>
      </c>
      <c r="AE673" s="42">
        <v>11320</v>
      </c>
      <c r="AF673" s="55"/>
      <c r="AG673" s="55"/>
      <c r="AH673" s="56">
        <v>190637</v>
      </c>
      <c r="AI673" s="56"/>
      <c r="AJ673" s="137"/>
      <c r="AK673" s="137"/>
    </row>
    <row r="674" spans="1:37" ht="13" x14ac:dyDescent="0.15">
      <c r="A674" s="47"/>
      <c r="B674" s="105" t="s">
        <v>7303</v>
      </c>
      <c r="C674" s="60" t="s">
        <v>43</v>
      </c>
      <c r="D674" s="44">
        <v>5</v>
      </c>
      <c r="E674" s="7" t="s">
        <v>8907</v>
      </c>
      <c r="F674" s="7"/>
      <c r="G674" s="7"/>
      <c r="H674" s="6" t="s">
        <v>8908</v>
      </c>
      <c r="I674" s="7" t="s">
        <v>173</v>
      </c>
      <c r="J674" s="7" t="s">
        <v>8909</v>
      </c>
      <c r="K674" s="7" t="s">
        <v>48</v>
      </c>
      <c r="L674" s="7" t="s">
        <v>8910</v>
      </c>
      <c r="M674" s="7" t="s">
        <v>8911</v>
      </c>
      <c r="N674" s="48"/>
      <c r="O674" s="45" t="str">
        <f>HYPERLINK("https://csidolphins.com/sb_output.aspx?form=3","Questionnaire")</f>
        <v>Questionnaire</v>
      </c>
      <c r="P674" s="48" t="s">
        <v>8916</v>
      </c>
      <c r="Q674" s="60" t="s">
        <v>1304</v>
      </c>
      <c r="R674" s="6" t="s">
        <v>1897</v>
      </c>
      <c r="S674" s="6" t="s">
        <v>288</v>
      </c>
      <c r="T674" s="4" t="s">
        <v>74</v>
      </c>
      <c r="U674" s="48" t="s">
        <v>75</v>
      </c>
      <c r="V674" s="4"/>
      <c r="W674" s="37">
        <v>3.06</v>
      </c>
      <c r="X674" s="4" t="s">
        <v>1145</v>
      </c>
      <c r="Y674" s="4" t="s">
        <v>521</v>
      </c>
      <c r="Z674" s="4" t="s">
        <v>214</v>
      </c>
      <c r="AA674" s="81">
        <v>0.99</v>
      </c>
      <c r="AB674" s="6" t="s">
        <v>8918</v>
      </c>
      <c r="AC674" s="84" t="s">
        <v>8916</v>
      </c>
      <c r="AD674" s="67" t="str">
        <f>HYPERLINK("https://www.csi.cuny.edu/catalog/undergraduate/majors-disciplines-and-course-descriptions.htm","Link")</f>
        <v>Link</v>
      </c>
      <c r="AE674" s="42">
        <v>12533</v>
      </c>
      <c r="AF674" s="55"/>
      <c r="AG674" s="55"/>
      <c r="AH674" s="56">
        <v>190558</v>
      </c>
      <c r="AI674" s="56"/>
    </row>
    <row r="675" spans="1:37" ht="13" x14ac:dyDescent="0.15">
      <c r="A675" s="47"/>
      <c r="B675" s="105" t="s">
        <v>7303</v>
      </c>
      <c r="C675" s="60" t="s">
        <v>43</v>
      </c>
      <c r="D675" s="44">
        <v>5</v>
      </c>
      <c r="E675" s="7" t="s">
        <v>8925</v>
      </c>
      <c r="F675" s="7"/>
      <c r="G675" s="7"/>
      <c r="H675" s="6" t="s">
        <v>8927</v>
      </c>
      <c r="I675" s="7" t="s">
        <v>8928</v>
      </c>
      <c r="J675" s="7" t="s">
        <v>8930</v>
      </c>
      <c r="K675" s="7" t="s">
        <v>48</v>
      </c>
      <c r="L675" s="7" t="s">
        <v>8932</v>
      </c>
      <c r="M675" s="7" t="s">
        <v>8933</v>
      </c>
      <c r="N675" s="48"/>
      <c r="O675" s="45" t="str">
        <f t="shared" ref="O675:O679" si="495">HYPERLINK("http://athletics.dyc.edu/recruit_me/recruit_me","Questionnaire")</f>
        <v>Questionnaire</v>
      </c>
      <c r="P675" s="48" t="s">
        <v>8936</v>
      </c>
      <c r="Q675" s="60" t="s">
        <v>1304</v>
      </c>
      <c r="R675" s="48" t="s">
        <v>7539</v>
      </c>
      <c r="S675" s="48" t="s">
        <v>62</v>
      </c>
      <c r="T675" s="4" t="s">
        <v>63</v>
      </c>
      <c r="U675" s="48" t="s">
        <v>75</v>
      </c>
      <c r="V675" s="49"/>
      <c r="W675" s="37">
        <v>3.32</v>
      </c>
      <c r="X675" s="49" t="s">
        <v>1145</v>
      </c>
      <c r="Y675" s="49" t="s">
        <v>8175</v>
      </c>
      <c r="Z675" s="49" t="s">
        <v>5269</v>
      </c>
      <c r="AA675" s="65">
        <v>0.81</v>
      </c>
      <c r="AB675" s="39">
        <v>40980</v>
      </c>
      <c r="AC675" s="62" t="s">
        <v>8936</v>
      </c>
      <c r="AD675" s="53" t="str">
        <f t="shared" ref="AD675:AD679" si="496">HYPERLINK("http://www.dyc.edu/academics/schools-and-departments/programs-and-degrees/bachelors.aspx","Link")</f>
        <v>Link</v>
      </c>
      <c r="AE675" s="42">
        <v>1716</v>
      </c>
      <c r="AF675" s="55"/>
      <c r="AG675" s="55"/>
      <c r="AH675" s="56">
        <v>190716</v>
      </c>
      <c r="AI675" s="56"/>
    </row>
    <row r="676" spans="1:37" ht="13" x14ac:dyDescent="0.15">
      <c r="A676" s="47"/>
      <c r="B676" s="105" t="s">
        <v>7303</v>
      </c>
      <c r="C676" s="60" t="s">
        <v>43</v>
      </c>
      <c r="D676" s="44">
        <v>5</v>
      </c>
      <c r="E676" s="7" t="s">
        <v>8950</v>
      </c>
      <c r="F676" s="7"/>
      <c r="G676" s="7"/>
      <c r="H676" s="6" t="s">
        <v>8927</v>
      </c>
      <c r="I676" s="7" t="s">
        <v>1307</v>
      </c>
      <c r="J676" s="7" t="s">
        <v>8951</v>
      </c>
      <c r="K676" s="7" t="s">
        <v>55</v>
      </c>
      <c r="L676" s="7"/>
      <c r="M676" s="7"/>
      <c r="N676" s="48"/>
      <c r="O676" s="45" t="str">
        <f t="shared" si="495"/>
        <v>Questionnaire</v>
      </c>
      <c r="P676" s="48" t="s">
        <v>8936</v>
      </c>
      <c r="Q676" s="60" t="s">
        <v>1304</v>
      </c>
      <c r="R676" s="48" t="s">
        <v>7539</v>
      </c>
      <c r="S676" s="48" t="s">
        <v>62</v>
      </c>
      <c r="T676" s="4" t="s">
        <v>63</v>
      </c>
      <c r="U676" s="48" t="s">
        <v>75</v>
      </c>
      <c r="V676" s="49"/>
      <c r="W676" s="37">
        <v>3.32</v>
      </c>
      <c r="X676" s="49" t="s">
        <v>1145</v>
      </c>
      <c r="Y676" s="49" t="s">
        <v>8175</v>
      </c>
      <c r="Z676" s="49" t="s">
        <v>5269</v>
      </c>
      <c r="AA676" s="65">
        <v>0.81</v>
      </c>
      <c r="AB676" s="39">
        <v>40980</v>
      </c>
      <c r="AC676" s="62" t="s">
        <v>8936</v>
      </c>
      <c r="AD676" s="53" t="str">
        <f t="shared" si="496"/>
        <v>Link</v>
      </c>
      <c r="AE676" s="42">
        <v>1716</v>
      </c>
      <c r="AF676" s="55"/>
      <c r="AG676" s="55"/>
      <c r="AH676" s="56">
        <v>190716</v>
      </c>
      <c r="AI676" s="56"/>
    </row>
    <row r="677" spans="1:37" ht="13" x14ac:dyDescent="0.15">
      <c r="A677" s="47"/>
      <c r="B677" s="105" t="s">
        <v>7303</v>
      </c>
      <c r="C677" s="60" t="s">
        <v>43</v>
      </c>
      <c r="D677" s="44">
        <v>5</v>
      </c>
      <c r="E677" s="7" t="s">
        <v>8959</v>
      </c>
      <c r="F677" s="7"/>
      <c r="G677" s="7"/>
      <c r="H677" s="6" t="s">
        <v>8927</v>
      </c>
      <c r="I677" s="7" t="s">
        <v>539</v>
      </c>
      <c r="J677" s="7" t="s">
        <v>8960</v>
      </c>
      <c r="K677" s="7" t="s">
        <v>55</v>
      </c>
      <c r="L677" s="7" t="s">
        <v>8961</v>
      </c>
      <c r="M677" s="7"/>
      <c r="N677" s="7"/>
      <c r="O677" s="45" t="str">
        <f t="shared" si="495"/>
        <v>Questionnaire</v>
      </c>
      <c r="P677" s="48" t="s">
        <v>8936</v>
      </c>
      <c r="Q677" s="60" t="s">
        <v>1304</v>
      </c>
      <c r="R677" s="48" t="s">
        <v>7539</v>
      </c>
      <c r="S677" s="48" t="s">
        <v>62</v>
      </c>
      <c r="T677" s="4" t="s">
        <v>63</v>
      </c>
      <c r="U677" s="48" t="s">
        <v>75</v>
      </c>
      <c r="V677" s="49"/>
      <c r="W677" s="37">
        <v>3.32</v>
      </c>
      <c r="X677" s="49" t="s">
        <v>1145</v>
      </c>
      <c r="Y677" s="49" t="s">
        <v>8175</v>
      </c>
      <c r="Z677" s="49" t="s">
        <v>5269</v>
      </c>
      <c r="AA677" s="65">
        <v>0.81</v>
      </c>
      <c r="AB677" s="39">
        <v>40980</v>
      </c>
      <c r="AC677" s="62" t="s">
        <v>8936</v>
      </c>
      <c r="AD677" s="53" t="str">
        <f t="shared" si="496"/>
        <v>Link</v>
      </c>
      <c r="AE677" s="42">
        <v>1716</v>
      </c>
      <c r="AF677" s="55"/>
      <c r="AG677" s="55"/>
      <c r="AH677" s="56">
        <v>190716</v>
      </c>
      <c r="AI677" s="56"/>
    </row>
    <row r="678" spans="1:37" ht="13" x14ac:dyDescent="0.15">
      <c r="A678" s="47"/>
      <c r="B678" s="105" t="s">
        <v>7303</v>
      </c>
      <c r="C678" s="60" t="s">
        <v>43</v>
      </c>
      <c r="D678" s="44">
        <v>5</v>
      </c>
      <c r="E678" s="7" t="s">
        <v>8969</v>
      </c>
      <c r="F678" s="7"/>
      <c r="G678" s="7"/>
      <c r="H678" s="6" t="s">
        <v>8927</v>
      </c>
      <c r="I678" s="7" t="s">
        <v>8970</v>
      </c>
      <c r="J678" s="7" t="s">
        <v>8971</v>
      </c>
      <c r="K678" s="7" t="s">
        <v>120</v>
      </c>
      <c r="L678" s="7" t="s">
        <v>8973</v>
      </c>
      <c r="M678" s="7"/>
      <c r="N678" s="48"/>
      <c r="O678" s="45" t="str">
        <f t="shared" si="495"/>
        <v>Questionnaire</v>
      </c>
      <c r="P678" s="48" t="s">
        <v>8936</v>
      </c>
      <c r="Q678" s="60" t="s">
        <v>1304</v>
      </c>
      <c r="R678" s="48" t="s">
        <v>7539</v>
      </c>
      <c r="S678" s="48" t="s">
        <v>62</v>
      </c>
      <c r="T678" s="4" t="s">
        <v>63</v>
      </c>
      <c r="U678" s="48" t="s">
        <v>75</v>
      </c>
      <c r="V678" s="49"/>
      <c r="W678" s="37">
        <v>3.32</v>
      </c>
      <c r="X678" s="49" t="s">
        <v>1145</v>
      </c>
      <c r="Y678" s="49" t="s">
        <v>8175</v>
      </c>
      <c r="Z678" s="49" t="s">
        <v>5269</v>
      </c>
      <c r="AA678" s="65">
        <v>0.81</v>
      </c>
      <c r="AB678" s="39">
        <v>40980</v>
      </c>
      <c r="AC678" s="62" t="s">
        <v>8936</v>
      </c>
      <c r="AD678" s="53" t="str">
        <f t="shared" si="496"/>
        <v>Link</v>
      </c>
      <c r="AE678" s="42">
        <v>1716</v>
      </c>
      <c r="AF678" s="55"/>
      <c r="AG678" s="55"/>
      <c r="AH678" s="56">
        <v>190716</v>
      </c>
      <c r="AI678" s="56"/>
    </row>
    <row r="679" spans="1:37" ht="13" x14ac:dyDescent="0.15">
      <c r="A679" s="47"/>
      <c r="B679" s="105" t="s">
        <v>7303</v>
      </c>
      <c r="C679" s="60" t="s">
        <v>43</v>
      </c>
      <c r="D679" s="44">
        <v>5</v>
      </c>
      <c r="E679" s="7" t="s">
        <v>8981</v>
      </c>
      <c r="F679" s="7"/>
      <c r="G679" s="7"/>
      <c r="H679" s="6" t="s">
        <v>8927</v>
      </c>
      <c r="I679" s="7" t="s">
        <v>306</v>
      </c>
      <c r="J679" s="7" t="s">
        <v>8982</v>
      </c>
      <c r="K679" s="7" t="s">
        <v>139</v>
      </c>
      <c r="L679" s="7" t="s">
        <v>8983</v>
      </c>
      <c r="M679" s="7"/>
      <c r="N679" s="48"/>
      <c r="O679" s="45" t="str">
        <f t="shared" si="495"/>
        <v>Questionnaire</v>
      </c>
      <c r="P679" s="48" t="s">
        <v>8936</v>
      </c>
      <c r="Q679" s="60" t="s">
        <v>1304</v>
      </c>
      <c r="R679" s="48" t="s">
        <v>7539</v>
      </c>
      <c r="S679" s="48" t="s">
        <v>62</v>
      </c>
      <c r="T679" s="4" t="s">
        <v>63</v>
      </c>
      <c r="U679" s="48" t="s">
        <v>75</v>
      </c>
      <c r="V679" s="49"/>
      <c r="W679" s="37">
        <v>3.32</v>
      </c>
      <c r="X679" s="49" t="s">
        <v>1145</v>
      </c>
      <c r="Y679" s="49" t="s">
        <v>8175</v>
      </c>
      <c r="Z679" s="49" t="s">
        <v>5269</v>
      </c>
      <c r="AA679" s="65">
        <v>0.81</v>
      </c>
      <c r="AB679" s="39">
        <v>40980</v>
      </c>
      <c r="AC679" s="62" t="s">
        <v>8936</v>
      </c>
      <c r="AD679" s="53" t="str">
        <f t="shared" si="496"/>
        <v>Link</v>
      </c>
      <c r="AE679" s="42">
        <v>1716</v>
      </c>
      <c r="AF679" s="55"/>
      <c r="AG679" s="55"/>
      <c r="AH679" s="56">
        <v>190716</v>
      </c>
      <c r="AI679" s="56"/>
    </row>
    <row r="680" spans="1:37" ht="13" x14ac:dyDescent="0.15">
      <c r="A680" s="47"/>
      <c r="B680" s="105" t="s">
        <v>7303</v>
      </c>
      <c r="C680" s="60" t="s">
        <v>43</v>
      </c>
      <c r="D680" s="44">
        <v>5</v>
      </c>
      <c r="E680" s="7" t="s">
        <v>8985</v>
      </c>
      <c r="F680" s="7"/>
      <c r="G680" s="7"/>
      <c r="H680" s="6" t="s">
        <v>8986</v>
      </c>
      <c r="I680" s="7" t="s">
        <v>4723</v>
      </c>
      <c r="J680" s="7" t="s">
        <v>8987</v>
      </c>
      <c r="K680" s="7" t="s">
        <v>48</v>
      </c>
      <c r="L680" s="7" t="s">
        <v>8989</v>
      </c>
      <c r="M680" s="7" t="s">
        <v>8990</v>
      </c>
      <c r="N680" s="45" t="str">
        <f t="shared" ref="N680:N681" si="497">HYPERLINK("twitter.com/ElmiraCollegeSB","@ElmiraCollegeSB")</f>
        <v>@ElmiraCollegeSB</v>
      </c>
      <c r="O680" s="45" t="str">
        <f t="shared" ref="O680:O681" si="498">HYPERLINK("https://athletics.elmira.edu/sb_output.aspx?frform=14&amp;path=softball&amp;tab=2","Questionnaire")</f>
        <v>Questionnaire</v>
      </c>
      <c r="P680" s="48" t="s">
        <v>8999</v>
      </c>
      <c r="Q680" s="60" t="s">
        <v>1304</v>
      </c>
      <c r="R680" s="48" t="s">
        <v>8999</v>
      </c>
      <c r="S680" s="48" t="s">
        <v>468</v>
      </c>
      <c r="T680" s="49" t="s">
        <v>63</v>
      </c>
      <c r="U680" s="48" t="s">
        <v>75</v>
      </c>
      <c r="V680" s="49"/>
      <c r="W680" s="44">
        <v>3.22</v>
      </c>
      <c r="X680" s="49" t="s">
        <v>214</v>
      </c>
      <c r="Y680" s="49" t="s">
        <v>214</v>
      </c>
      <c r="Z680" s="49" t="s">
        <v>214</v>
      </c>
      <c r="AA680" s="61">
        <v>0.82</v>
      </c>
      <c r="AB680" s="71">
        <v>55050</v>
      </c>
      <c r="AC680" s="62" t="s">
        <v>8999</v>
      </c>
      <c r="AD680" s="53" t="str">
        <f t="shared" ref="AD680:AD681" si="499">HYPERLINK("https://www.elmira.edu/academics/programs/Majors_Minors/index.html","Link")</f>
        <v>Link</v>
      </c>
      <c r="AE680" s="54">
        <v>1101</v>
      </c>
      <c r="AF680" s="55"/>
      <c r="AG680" s="54">
        <v>165</v>
      </c>
      <c r="AH680" s="56">
        <v>190983</v>
      </c>
      <c r="AI680" s="56"/>
    </row>
    <row r="681" spans="1:37" ht="13" x14ac:dyDescent="0.15">
      <c r="A681" s="47"/>
      <c r="B681" s="105" t="s">
        <v>7303</v>
      </c>
      <c r="C681" s="60" t="s">
        <v>43</v>
      </c>
      <c r="D681" s="44">
        <v>5</v>
      </c>
      <c r="E681" s="7" t="s">
        <v>9004</v>
      </c>
      <c r="F681" s="7"/>
      <c r="G681" s="7"/>
      <c r="H681" s="6" t="s">
        <v>8986</v>
      </c>
      <c r="I681" s="7" t="s">
        <v>9008</v>
      </c>
      <c r="J681" s="7" t="s">
        <v>9011</v>
      </c>
      <c r="K681" s="7" t="s">
        <v>55</v>
      </c>
      <c r="L681" s="7" t="s">
        <v>9013</v>
      </c>
      <c r="M681" s="7" t="s">
        <v>9014</v>
      </c>
      <c r="N681" s="45" t="str">
        <f t="shared" si="497"/>
        <v>@ElmiraCollegeSB</v>
      </c>
      <c r="O681" s="45" t="str">
        <f t="shared" si="498"/>
        <v>Questionnaire</v>
      </c>
      <c r="P681" s="48" t="s">
        <v>8999</v>
      </c>
      <c r="Q681" s="60" t="s">
        <v>1304</v>
      </c>
      <c r="R681" s="48" t="s">
        <v>8999</v>
      </c>
      <c r="S681" s="48" t="s">
        <v>468</v>
      </c>
      <c r="T681" s="49" t="s">
        <v>63</v>
      </c>
      <c r="U681" s="48" t="s">
        <v>75</v>
      </c>
      <c r="V681" s="49"/>
      <c r="W681" s="44">
        <v>3.22</v>
      </c>
      <c r="X681" s="49" t="s">
        <v>214</v>
      </c>
      <c r="Y681" s="49" t="s">
        <v>214</v>
      </c>
      <c r="Z681" s="49" t="s">
        <v>214</v>
      </c>
      <c r="AA681" s="61">
        <v>0.82</v>
      </c>
      <c r="AB681" s="71">
        <v>55050</v>
      </c>
      <c r="AC681" s="62" t="s">
        <v>8999</v>
      </c>
      <c r="AD681" s="53" t="str">
        <f t="shared" si="499"/>
        <v>Link</v>
      </c>
      <c r="AE681" s="54">
        <v>1101</v>
      </c>
      <c r="AF681" s="55"/>
      <c r="AG681" s="54">
        <v>165</v>
      </c>
      <c r="AH681" s="56">
        <v>190983</v>
      </c>
      <c r="AI681" s="56"/>
    </row>
    <row r="682" spans="1:37" ht="13" x14ac:dyDescent="0.15">
      <c r="A682" s="47"/>
      <c r="B682" s="105" t="s">
        <v>7303</v>
      </c>
      <c r="C682" s="60" t="s">
        <v>43</v>
      </c>
      <c r="D682" s="44">
        <v>5</v>
      </c>
      <c r="E682" s="7" t="s">
        <v>9018</v>
      </c>
      <c r="F682" s="7"/>
      <c r="G682" s="7"/>
      <c r="H682" s="6" t="s">
        <v>9019</v>
      </c>
      <c r="I682" s="7" t="s">
        <v>5963</v>
      </c>
      <c r="J682" s="7" t="s">
        <v>9020</v>
      </c>
      <c r="K682" s="7" t="s">
        <v>48</v>
      </c>
      <c r="L682" s="2" t="s">
        <v>9022</v>
      </c>
      <c r="M682" s="6" t="s">
        <v>9023</v>
      </c>
      <c r="N682" s="48"/>
      <c r="O682" s="45" t="str">
        <f t="shared" ref="O682:O685" si="500">HYPERLINK("http://www.farmingdalesports.com/athletics/forms/index","Questionnaire")</f>
        <v>Questionnaire</v>
      </c>
      <c r="P682" s="48" t="s">
        <v>9029</v>
      </c>
      <c r="Q682" s="47" t="s">
        <v>1304</v>
      </c>
      <c r="R682" s="48" t="s">
        <v>9032</v>
      </c>
      <c r="S682" s="60" t="s">
        <v>205</v>
      </c>
      <c r="T682" s="49" t="s">
        <v>74</v>
      </c>
      <c r="U682" s="48" t="s">
        <v>75</v>
      </c>
      <c r="V682" s="49"/>
      <c r="W682" s="61">
        <v>3.2</v>
      </c>
      <c r="X682" s="49" t="s">
        <v>1452</v>
      </c>
      <c r="Y682" s="49" t="s">
        <v>3338</v>
      </c>
      <c r="Z682" s="49" t="s">
        <v>3842</v>
      </c>
      <c r="AA682" s="61">
        <v>0.57999999999999996</v>
      </c>
      <c r="AB682" s="48" t="s">
        <v>9035</v>
      </c>
      <c r="AC682" s="62" t="s">
        <v>9036</v>
      </c>
      <c r="AD682" s="53" t="str">
        <f t="shared" ref="AD682:AD685" si="501">HYPERLINK("https://www.farmingdale.edu/academics/","Link")</f>
        <v>Link</v>
      </c>
      <c r="AE682" s="54">
        <v>9235</v>
      </c>
      <c r="AF682" s="55"/>
      <c r="AG682" s="55"/>
      <c r="AH682" s="56">
        <v>196042</v>
      </c>
      <c r="AI682" s="56"/>
      <c r="AJ682" s="137"/>
    </row>
    <row r="683" spans="1:37" ht="13" x14ac:dyDescent="0.15">
      <c r="A683" s="47"/>
      <c r="B683" s="105" t="s">
        <v>7303</v>
      </c>
      <c r="C683" s="60" t="s">
        <v>43</v>
      </c>
      <c r="D683" s="44">
        <v>5</v>
      </c>
      <c r="E683" s="7" t="s">
        <v>9042</v>
      </c>
      <c r="F683" s="7"/>
      <c r="G683" s="7"/>
      <c r="H683" s="6" t="s">
        <v>9019</v>
      </c>
      <c r="I683" s="7" t="s">
        <v>421</v>
      </c>
      <c r="J683" s="7"/>
      <c r="K683" s="7" t="s">
        <v>55</v>
      </c>
      <c r="L683" s="7"/>
      <c r="M683" s="7"/>
      <c r="N683" s="48"/>
      <c r="O683" s="45" t="str">
        <f t="shared" si="500"/>
        <v>Questionnaire</v>
      </c>
      <c r="P683" s="48" t="s">
        <v>9029</v>
      </c>
      <c r="Q683" s="47" t="s">
        <v>1304</v>
      </c>
      <c r="R683" s="48" t="s">
        <v>9032</v>
      </c>
      <c r="S683" s="60" t="s">
        <v>205</v>
      </c>
      <c r="T683" s="49" t="s">
        <v>74</v>
      </c>
      <c r="U683" s="48" t="s">
        <v>75</v>
      </c>
      <c r="V683" s="49"/>
      <c r="W683" s="44">
        <v>3.2</v>
      </c>
      <c r="X683" s="49" t="s">
        <v>1452</v>
      </c>
      <c r="Y683" s="49" t="s">
        <v>3338</v>
      </c>
      <c r="Z683" s="49" t="s">
        <v>3842</v>
      </c>
      <c r="AA683" s="61">
        <v>0.57999999999999996</v>
      </c>
      <c r="AB683" s="48" t="s">
        <v>9035</v>
      </c>
      <c r="AC683" s="62" t="s">
        <v>9036</v>
      </c>
      <c r="AD683" s="53" t="str">
        <f t="shared" si="501"/>
        <v>Link</v>
      </c>
      <c r="AE683" s="54">
        <v>9235</v>
      </c>
      <c r="AF683" s="55"/>
      <c r="AG683" s="55"/>
      <c r="AH683" s="56">
        <v>196042</v>
      </c>
      <c r="AI683" s="56"/>
      <c r="AJ683" s="137"/>
      <c r="AK683" s="137"/>
    </row>
    <row r="684" spans="1:37" ht="13" x14ac:dyDescent="0.15">
      <c r="A684" s="47"/>
      <c r="B684" s="105" t="s">
        <v>7303</v>
      </c>
      <c r="C684" s="60" t="s">
        <v>43</v>
      </c>
      <c r="D684" s="44">
        <v>5</v>
      </c>
      <c r="E684" s="7" t="s">
        <v>5712</v>
      </c>
      <c r="F684" s="7" t="s">
        <v>116</v>
      </c>
      <c r="G684" s="7"/>
      <c r="H684" s="6" t="s">
        <v>9019</v>
      </c>
      <c r="I684" s="7" t="s">
        <v>2570</v>
      </c>
      <c r="J684" s="7" t="s">
        <v>9049</v>
      </c>
      <c r="K684" s="7" t="s">
        <v>55</v>
      </c>
      <c r="L684" s="7"/>
      <c r="M684" s="7"/>
      <c r="N684" s="48"/>
      <c r="O684" s="45" t="str">
        <f t="shared" si="500"/>
        <v>Questionnaire</v>
      </c>
      <c r="P684" s="48" t="s">
        <v>9029</v>
      </c>
      <c r="Q684" s="47" t="s">
        <v>1304</v>
      </c>
      <c r="R684" s="48" t="s">
        <v>9032</v>
      </c>
      <c r="S684" s="60" t="s">
        <v>205</v>
      </c>
      <c r="T684" s="49" t="s">
        <v>74</v>
      </c>
      <c r="U684" s="48" t="s">
        <v>75</v>
      </c>
      <c r="V684" s="49"/>
      <c r="W684" s="44">
        <v>3.2</v>
      </c>
      <c r="X684" s="49" t="s">
        <v>1452</v>
      </c>
      <c r="Y684" s="49" t="s">
        <v>3338</v>
      </c>
      <c r="Z684" s="49" t="s">
        <v>3842</v>
      </c>
      <c r="AA684" s="61">
        <v>0.57999999999999996</v>
      </c>
      <c r="AB684" s="48" t="s">
        <v>9035</v>
      </c>
      <c r="AC684" s="62" t="s">
        <v>9036</v>
      </c>
      <c r="AD684" s="53" t="str">
        <f t="shared" si="501"/>
        <v>Link</v>
      </c>
      <c r="AE684" s="54">
        <v>9235</v>
      </c>
      <c r="AF684" s="55"/>
      <c r="AG684" s="55"/>
      <c r="AH684" s="56">
        <v>196042</v>
      </c>
      <c r="AI684" s="59"/>
      <c r="AJ684" s="137"/>
      <c r="AK684" s="137"/>
    </row>
    <row r="685" spans="1:37" ht="13" x14ac:dyDescent="0.15">
      <c r="A685" s="47"/>
      <c r="B685" s="105" t="s">
        <v>7303</v>
      </c>
      <c r="C685" s="60" t="s">
        <v>43</v>
      </c>
      <c r="D685" s="44">
        <v>5</v>
      </c>
      <c r="E685" s="7" t="s">
        <v>9055</v>
      </c>
      <c r="F685" s="7" t="s">
        <v>116</v>
      </c>
      <c r="G685" s="7"/>
      <c r="H685" s="6" t="s">
        <v>9019</v>
      </c>
      <c r="I685" s="7" t="s">
        <v>7816</v>
      </c>
      <c r="J685" s="7" t="s">
        <v>9058</v>
      </c>
      <c r="K685" s="7" t="s">
        <v>55</v>
      </c>
      <c r="L685" s="7"/>
      <c r="M685" s="7"/>
      <c r="N685" s="48"/>
      <c r="O685" s="45" t="str">
        <f t="shared" si="500"/>
        <v>Questionnaire</v>
      </c>
      <c r="P685" s="48" t="s">
        <v>9029</v>
      </c>
      <c r="Q685" s="47" t="s">
        <v>1304</v>
      </c>
      <c r="R685" s="48" t="s">
        <v>9032</v>
      </c>
      <c r="S685" s="60" t="s">
        <v>205</v>
      </c>
      <c r="T685" s="49" t="s">
        <v>74</v>
      </c>
      <c r="U685" s="48" t="s">
        <v>75</v>
      </c>
      <c r="V685" s="49"/>
      <c r="W685" s="44">
        <v>3.2</v>
      </c>
      <c r="X685" s="49" t="s">
        <v>1452</v>
      </c>
      <c r="Y685" s="49" t="s">
        <v>3338</v>
      </c>
      <c r="Z685" s="49" t="s">
        <v>3842</v>
      </c>
      <c r="AA685" s="61">
        <v>0.57999999999999996</v>
      </c>
      <c r="AB685" s="48" t="s">
        <v>9035</v>
      </c>
      <c r="AC685" s="62" t="s">
        <v>9036</v>
      </c>
      <c r="AD685" s="53" t="str">
        <f t="shared" si="501"/>
        <v>Link</v>
      </c>
      <c r="AE685" s="54">
        <v>9235</v>
      </c>
      <c r="AF685" s="55"/>
      <c r="AG685" s="55"/>
      <c r="AH685" s="56">
        <v>196042</v>
      </c>
      <c r="AI685" s="59"/>
      <c r="AJ685" s="137"/>
      <c r="AK685" s="137"/>
    </row>
    <row r="686" spans="1:37" ht="13" x14ac:dyDescent="0.15">
      <c r="A686" s="47"/>
      <c r="B686" s="105" t="s">
        <v>7303</v>
      </c>
      <c r="C686" s="60" t="s">
        <v>43</v>
      </c>
      <c r="D686" s="44">
        <v>5</v>
      </c>
      <c r="E686" s="7" t="s">
        <v>9068</v>
      </c>
      <c r="F686" s="7"/>
      <c r="G686" s="7"/>
      <c r="H686" s="60" t="s">
        <v>9070</v>
      </c>
      <c r="I686" s="7" t="s">
        <v>728</v>
      </c>
      <c r="J686" s="7" t="s">
        <v>5137</v>
      </c>
      <c r="K686" s="7" t="s">
        <v>48</v>
      </c>
      <c r="L686" s="7" t="s">
        <v>9074</v>
      </c>
      <c r="M686" s="7" t="s">
        <v>9075</v>
      </c>
      <c r="N686" s="45" t="str">
        <f t="shared" ref="N686:N687" si="502">HYPERLINK("twitter.com/geneseosb","@geneseosb")</f>
        <v>@geneseosb</v>
      </c>
      <c r="O686" s="45" t="str">
        <f t="shared" ref="O686:O687" si="503">HYPERLINK("https://www.geneseoknights.com/recruiting/index","Questionnaire")</f>
        <v>Questionnaire</v>
      </c>
      <c r="P686" s="48" t="s">
        <v>9080</v>
      </c>
      <c r="Q686" s="60" t="s">
        <v>1304</v>
      </c>
      <c r="R686" s="6" t="s">
        <v>9081</v>
      </c>
      <c r="S686" s="94" t="s">
        <v>205</v>
      </c>
      <c r="T686" s="4" t="s">
        <v>74</v>
      </c>
      <c r="U686" s="48" t="s">
        <v>75</v>
      </c>
      <c r="V686" s="49"/>
      <c r="W686" s="37">
        <v>3.67</v>
      </c>
      <c r="X686" s="49" t="s">
        <v>5008</v>
      </c>
      <c r="Y686" s="49" t="s">
        <v>176</v>
      </c>
      <c r="Z686" s="4" t="s">
        <v>836</v>
      </c>
      <c r="AA686" s="65">
        <v>0.67</v>
      </c>
      <c r="AB686" s="6" t="s">
        <v>9083</v>
      </c>
      <c r="AC686" s="84" t="s">
        <v>9081</v>
      </c>
      <c r="AD686" s="67" t="str">
        <f t="shared" ref="AD686:AD687" si="504">HYPERLINK("https://www.geneseo.edu/academics/majors-minors-and-degree-programs","Link")</f>
        <v>Link</v>
      </c>
      <c r="AE686" s="42">
        <v>5512</v>
      </c>
      <c r="AF686" s="55"/>
      <c r="AG686" s="55"/>
      <c r="AH686" s="56">
        <v>196167</v>
      </c>
      <c r="AI686" s="56"/>
      <c r="AJ686" s="137"/>
      <c r="AK686" s="137"/>
    </row>
    <row r="687" spans="1:37" ht="13" x14ac:dyDescent="0.15">
      <c r="A687" s="47"/>
      <c r="B687" s="105" t="s">
        <v>7303</v>
      </c>
      <c r="C687" s="60" t="s">
        <v>43</v>
      </c>
      <c r="D687" s="44">
        <v>5</v>
      </c>
      <c r="E687" s="7" t="s">
        <v>9088</v>
      </c>
      <c r="F687" s="7"/>
      <c r="G687" s="7"/>
      <c r="H687" s="60" t="s">
        <v>9070</v>
      </c>
      <c r="I687" s="7" t="s">
        <v>9089</v>
      </c>
      <c r="J687" s="7" t="s">
        <v>1611</v>
      </c>
      <c r="K687" s="7" t="s">
        <v>55</v>
      </c>
      <c r="L687" s="7"/>
      <c r="M687" s="7" t="s">
        <v>9075</v>
      </c>
      <c r="N687" s="45" t="str">
        <f t="shared" si="502"/>
        <v>@geneseosb</v>
      </c>
      <c r="O687" s="45" t="str">
        <f t="shared" si="503"/>
        <v>Questionnaire</v>
      </c>
      <c r="P687" s="48" t="s">
        <v>9080</v>
      </c>
      <c r="Q687" s="60" t="s">
        <v>1304</v>
      </c>
      <c r="R687" s="6" t="s">
        <v>9081</v>
      </c>
      <c r="S687" s="94" t="s">
        <v>205</v>
      </c>
      <c r="T687" s="4" t="s">
        <v>74</v>
      </c>
      <c r="U687" s="48" t="s">
        <v>75</v>
      </c>
      <c r="V687" s="49"/>
      <c r="W687" s="37">
        <v>3.67</v>
      </c>
      <c r="X687" s="49" t="s">
        <v>5008</v>
      </c>
      <c r="Y687" s="49" t="s">
        <v>176</v>
      </c>
      <c r="Z687" s="4" t="s">
        <v>836</v>
      </c>
      <c r="AA687" s="65">
        <v>0.67</v>
      </c>
      <c r="AB687" s="6" t="s">
        <v>9083</v>
      </c>
      <c r="AC687" s="84" t="s">
        <v>9081</v>
      </c>
      <c r="AD687" s="67" t="str">
        <f t="shared" si="504"/>
        <v>Link</v>
      </c>
      <c r="AE687" s="42">
        <v>5512</v>
      </c>
      <c r="AF687" s="55"/>
      <c r="AG687" s="55"/>
      <c r="AH687" s="56">
        <v>196167</v>
      </c>
      <c r="AI687" s="56"/>
      <c r="AJ687" s="137"/>
      <c r="AK687" s="137"/>
    </row>
    <row r="688" spans="1:37" ht="13" x14ac:dyDescent="0.15">
      <c r="A688" s="47"/>
      <c r="B688" s="105" t="s">
        <v>7303</v>
      </c>
      <c r="C688" s="60" t="s">
        <v>43</v>
      </c>
      <c r="D688" s="44">
        <v>5</v>
      </c>
      <c r="E688" s="7" t="s">
        <v>9099</v>
      </c>
      <c r="F688" s="7"/>
      <c r="G688" s="7"/>
      <c r="H688" s="6" t="s">
        <v>9100</v>
      </c>
      <c r="I688" s="7" t="s">
        <v>1258</v>
      </c>
      <c r="J688" s="7" t="s">
        <v>9102</v>
      </c>
      <c r="K688" s="7" t="s">
        <v>48</v>
      </c>
      <c r="L688" s="7" t="s">
        <v>9104</v>
      </c>
      <c r="M688" s="7" t="s">
        <v>9105</v>
      </c>
      <c r="N688" s="45" t="str">
        <f t="shared" ref="N688:N689" si="505">HYPERLINK("twitter.com/hamcollsoftball","@hamcollsoftball")</f>
        <v>@hamcollsoftball</v>
      </c>
      <c r="O688" s="45" t="str">
        <f t="shared" ref="O688:O689" si="506">HYPERLINK("https://athletics.hamilton.edu/recruiting/recruiting_forms","Questionnaire")</f>
        <v>Questionnaire</v>
      </c>
      <c r="P688" s="48" t="s">
        <v>9114</v>
      </c>
      <c r="Q688" s="47" t="s">
        <v>1304</v>
      </c>
      <c r="R688" s="48" t="s">
        <v>4064</v>
      </c>
      <c r="S688" s="60" t="s">
        <v>205</v>
      </c>
      <c r="T688" s="49" t="s">
        <v>63</v>
      </c>
      <c r="U688" s="48" t="s">
        <v>75</v>
      </c>
      <c r="V688" s="49"/>
      <c r="W688" s="44">
        <v>3.97</v>
      </c>
      <c r="X688" s="49" t="s">
        <v>469</v>
      </c>
      <c r="Y688" s="49" t="s">
        <v>469</v>
      </c>
      <c r="Z688" s="49" t="s">
        <v>471</v>
      </c>
      <c r="AA688" s="61">
        <v>0.26</v>
      </c>
      <c r="AB688" s="71">
        <v>65750</v>
      </c>
      <c r="AC688" s="62" t="s">
        <v>9114</v>
      </c>
      <c r="AD688" s="53" t="str">
        <f t="shared" ref="AD688:AD689" si="507">HYPERLINK("https://www.hamilton.edu/academics/areas-of-study","Link")</f>
        <v>Link</v>
      </c>
      <c r="AE688" s="54">
        <v>1883</v>
      </c>
      <c r="AF688" s="55"/>
      <c r="AG688" s="54">
        <v>18</v>
      </c>
      <c r="AH688" s="56">
        <v>191515</v>
      </c>
      <c r="AI688" s="56"/>
    </row>
    <row r="689" spans="1:37" ht="13" x14ac:dyDescent="0.15">
      <c r="A689" s="47"/>
      <c r="B689" s="105" t="s">
        <v>7303</v>
      </c>
      <c r="C689" s="60" t="s">
        <v>43</v>
      </c>
      <c r="D689" s="44">
        <v>5</v>
      </c>
      <c r="E689" s="7" t="s">
        <v>9123</v>
      </c>
      <c r="F689" s="7"/>
      <c r="G689" s="7"/>
      <c r="H689" s="6" t="s">
        <v>9100</v>
      </c>
      <c r="I689" s="7" t="s">
        <v>143</v>
      </c>
      <c r="J689" s="7" t="s">
        <v>9126</v>
      </c>
      <c r="K689" s="7" t="s">
        <v>55</v>
      </c>
      <c r="L689" s="7" t="s">
        <v>9128</v>
      </c>
      <c r="M689" s="7" t="s">
        <v>9129</v>
      </c>
      <c r="N689" s="45" t="str">
        <f t="shared" si="505"/>
        <v>@hamcollsoftball</v>
      </c>
      <c r="O689" s="45" t="str">
        <f t="shared" si="506"/>
        <v>Questionnaire</v>
      </c>
      <c r="P689" s="48" t="s">
        <v>9114</v>
      </c>
      <c r="Q689" s="47" t="s">
        <v>1304</v>
      </c>
      <c r="R689" s="48" t="s">
        <v>4064</v>
      </c>
      <c r="S689" s="60" t="s">
        <v>205</v>
      </c>
      <c r="T689" s="49" t="s">
        <v>63</v>
      </c>
      <c r="U689" s="48" t="s">
        <v>75</v>
      </c>
      <c r="V689" s="49"/>
      <c r="W689" s="44">
        <v>3.97</v>
      </c>
      <c r="X689" s="49" t="s">
        <v>469</v>
      </c>
      <c r="Y689" s="49" t="s">
        <v>469</v>
      </c>
      <c r="Z689" s="49" t="s">
        <v>471</v>
      </c>
      <c r="AA689" s="61">
        <v>0.26</v>
      </c>
      <c r="AB689" s="71">
        <v>65750</v>
      </c>
      <c r="AC689" s="62" t="s">
        <v>9114</v>
      </c>
      <c r="AD689" s="53" t="str">
        <f t="shared" si="507"/>
        <v>Link</v>
      </c>
      <c r="AE689" s="54">
        <v>1883</v>
      </c>
      <c r="AF689" s="55"/>
      <c r="AG689" s="54">
        <v>18</v>
      </c>
      <c r="AH689" s="56">
        <v>191515</v>
      </c>
      <c r="AI689" s="56"/>
    </row>
    <row r="690" spans="1:37" ht="13" x14ac:dyDescent="0.15">
      <c r="A690" s="47"/>
      <c r="B690" s="105" t="s">
        <v>7303</v>
      </c>
      <c r="C690" s="60" t="s">
        <v>43</v>
      </c>
      <c r="D690" s="44">
        <v>5</v>
      </c>
      <c r="E690" s="7" t="s">
        <v>9136</v>
      </c>
      <c r="F690" s="7"/>
      <c r="G690" s="7"/>
      <c r="H690" s="6" t="s">
        <v>9139</v>
      </c>
      <c r="I690" s="7" t="s">
        <v>658</v>
      </c>
      <c r="J690" s="7" t="s">
        <v>1267</v>
      </c>
      <c r="K690" s="7" t="s">
        <v>48</v>
      </c>
      <c r="L690" s="7" t="s">
        <v>9141</v>
      </c>
      <c r="M690" s="7" t="s">
        <v>9143</v>
      </c>
      <c r="N690" s="45" t="str">
        <f t="shared" ref="N690:N692" si="508">HYPERLINK("twitter.com/hilbertsoftball","@hilbertsoftball")</f>
        <v>@hilbertsoftball</v>
      </c>
      <c r="O690" s="45" t="str">
        <f t="shared" ref="O690:O692" si="509">HYPERLINK("https://hilberthawks.com/sb_output.aspx?frform=11&amp;path=softball","Questionnaire")</f>
        <v>Questionnaire</v>
      </c>
      <c r="P690" s="48" t="s">
        <v>9147</v>
      </c>
      <c r="Q690" s="60" t="s">
        <v>1304</v>
      </c>
      <c r="R690" s="48" t="s">
        <v>9148</v>
      </c>
      <c r="S690" s="48" t="s">
        <v>186</v>
      </c>
      <c r="T690" s="49" t="s">
        <v>63</v>
      </c>
      <c r="U690" s="48" t="s">
        <v>343</v>
      </c>
      <c r="V690" s="49"/>
      <c r="W690" s="44">
        <v>3.1</v>
      </c>
      <c r="X690" s="49" t="s">
        <v>214</v>
      </c>
      <c r="Y690" s="49" t="s">
        <v>214</v>
      </c>
      <c r="Z690" s="49" t="s">
        <v>214</v>
      </c>
      <c r="AA690" s="61">
        <v>0.81</v>
      </c>
      <c r="AB690" s="71">
        <v>32450</v>
      </c>
      <c r="AC690" s="90" t="s">
        <v>9147</v>
      </c>
      <c r="AD690" s="53" t="str">
        <f t="shared" ref="AD690:AD692" si="510">HYPERLINK("http://www.hilbert.edu/academics/undergraduate-programs","Link")</f>
        <v>Link</v>
      </c>
      <c r="AE690" s="54">
        <v>809</v>
      </c>
      <c r="AF690" s="55"/>
      <c r="AG690" s="55"/>
      <c r="AH690" s="56">
        <v>191621</v>
      </c>
      <c r="AI690" s="56"/>
    </row>
    <row r="691" spans="1:37" ht="13" x14ac:dyDescent="0.15">
      <c r="A691" s="47"/>
      <c r="B691" s="105" t="s">
        <v>7303</v>
      </c>
      <c r="C691" s="60" t="s">
        <v>43</v>
      </c>
      <c r="D691" s="44">
        <v>5</v>
      </c>
      <c r="E691" s="7" t="s">
        <v>9152</v>
      </c>
      <c r="F691" s="7"/>
      <c r="G691" s="7"/>
      <c r="H691" s="6" t="s">
        <v>9139</v>
      </c>
      <c r="I691" s="7" t="s">
        <v>1239</v>
      </c>
      <c r="J691" s="7" t="s">
        <v>9155</v>
      </c>
      <c r="K691" s="7" t="s">
        <v>139</v>
      </c>
      <c r="L691" s="7" t="s">
        <v>9141</v>
      </c>
      <c r="M691" s="7" t="s">
        <v>9143</v>
      </c>
      <c r="N691" s="45" t="str">
        <f t="shared" si="508"/>
        <v>@hilbertsoftball</v>
      </c>
      <c r="O691" s="45" t="str">
        <f t="shared" si="509"/>
        <v>Questionnaire</v>
      </c>
      <c r="P691" s="48" t="s">
        <v>9147</v>
      </c>
      <c r="Q691" s="60" t="s">
        <v>1304</v>
      </c>
      <c r="R691" s="48" t="s">
        <v>9148</v>
      </c>
      <c r="S691" s="48" t="s">
        <v>186</v>
      </c>
      <c r="T691" s="49" t="s">
        <v>63</v>
      </c>
      <c r="U691" s="48" t="s">
        <v>343</v>
      </c>
      <c r="V691" s="49"/>
      <c r="W691" s="44">
        <v>3.1</v>
      </c>
      <c r="X691" s="49" t="s">
        <v>214</v>
      </c>
      <c r="Y691" s="49" t="s">
        <v>214</v>
      </c>
      <c r="Z691" s="49" t="s">
        <v>214</v>
      </c>
      <c r="AA691" s="61">
        <v>0.81</v>
      </c>
      <c r="AB691" s="71">
        <v>32450</v>
      </c>
      <c r="AC691" s="90" t="s">
        <v>9147</v>
      </c>
      <c r="AD691" s="53" t="str">
        <f t="shared" si="510"/>
        <v>Link</v>
      </c>
      <c r="AE691" s="54">
        <v>809</v>
      </c>
      <c r="AF691" s="55"/>
      <c r="AG691" s="55"/>
      <c r="AH691" s="56">
        <v>191621</v>
      </c>
      <c r="AI691" s="56"/>
    </row>
    <row r="692" spans="1:37" ht="13" x14ac:dyDescent="0.15">
      <c r="A692" s="47"/>
      <c r="B692" s="105" t="s">
        <v>7303</v>
      </c>
      <c r="C692" s="60" t="s">
        <v>43</v>
      </c>
      <c r="D692" s="44">
        <v>5</v>
      </c>
      <c r="E692" s="7" t="s">
        <v>9165</v>
      </c>
      <c r="F692" s="7"/>
      <c r="G692" s="7"/>
      <c r="H692" s="6" t="s">
        <v>9139</v>
      </c>
      <c r="I692" s="7" t="s">
        <v>1266</v>
      </c>
      <c r="J692" s="7" t="s">
        <v>9166</v>
      </c>
      <c r="K692" s="7" t="s">
        <v>55</v>
      </c>
      <c r="L692" s="7" t="s">
        <v>9167</v>
      </c>
      <c r="M692" s="7" t="s">
        <v>9168</v>
      </c>
      <c r="N692" s="45" t="str">
        <f t="shared" si="508"/>
        <v>@hilbertsoftball</v>
      </c>
      <c r="O692" s="45" t="str">
        <f t="shared" si="509"/>
        <v>Questionnaire</v>
      </c>
      <c r="P692" s="48" t="s">
        <v>9147</v>
      </c>
      <c r="Q692" s="60" t="s">
        <v>1304</v>
      </c>
      <c r="R692" s="48" t="s">
        <v>9148</v>
      </c>
      <c r="S692" s="48" t="s">
        <v>186</v>
      </c>
      <c r="T692" s="49" t="s">
        <v>63</v>
      </c>
      <c r="U692" s="48" t="s">
        <v>343</v>
      </c>
      <c r="V692" s="49"/>
      <c r="W692" s="44">
        <v>3.1</v>
      </c>
      <c r="X692" s="49" t="s">
        <v>214</v>
      </c>
      <c r="Y692" s="49" t="s">
        <v>214</v>
      </c>
      <c r="Z692" s="49" t="s">
        <v>214</v>
      </c>
      <c r="AA692" s="61">
        <v>0.81</v>
      </c>
      <c r="AB692" s="71">
        <v>32450</v>
      </c>
      <c r="AC692" s="90" t="s">
        <v>9147</v>
      </c>
      <c r="AD692" s="53" t="str">
        <f t="shared" si="510"/>
        <v>Link</v>
      </c>
      <c r="AE692" s="54">
        <v>809</v>
      </c>
      <c r="AF692" s="55"/>
      <c r="AG692" s="55"/>
      <c r="AH692" s="56">
        <v>191621</v>
      </c>
      <c r="AI692" s="56"/>
    </row>
    <row r="693" spans="1:37" ht="13" x14ac:dyDescent="0.15">
      <c r="A693" s="47"/>
      <c r="B693" s="105" t="s">
        <v>7303</v>
      </c>
      <c r="C693" s="60" t="s">
        <v>43</v>
      </c>
      <c r="D693" s="44">
        <v>5</v>
      </c>
      <c r="E693" s="7" t="s">
        <v>9178</v>
      </c>
      <c r="F693" s="7"/>
      <c r="G693" s="7"/>
      <c r="H693" s="6" t="s">
        <v>9180</v>
      </c>
      <c r="I693" s="7" t="s">
        <v>234</v>
      </c>
      <c r="J693" s="7" t="s">
        <v>9181</v>
      </c>
      <c r="K693" s="7" t="s">
        <v>48</v>
      </c>
      <c r="L693" s="7" t="s">
        <v>9183</v>
      </c>
      <c r="M693" s="7" t="s">
        <v>9185</v>
      </c>
      <c r="N693" s="45" t="str">
        <f t="shared" ref="N693:N695" si="511">HYPERLINK("twitter.com/houghton_sb","@houghton_sb")</f>
        <v>@houghton_sb</v>
      </c>
      <c r="O693" s="45" t="str">
        <f t="shared" ref="O693:O695" si="512">HYPERLINK("https://athletics.houghton.edu/sports/2014/1/9/GEN_0109143930.aspx?path=general","Questionnaire")</f>
        <v>Questionnaire</v>
      </c>
      <c r="P693" s="48" t="s">
        <v>9195</v>
      </c>
      <c r="Q693" s="60" t="s">
        <v>1304</v>
      </c>
      <c r="R693" s="48" t="s">
        <v>9195</v>
      </c>
      <c r="S693" s="60" t="s">
        <v>205</v>
      </c>
      <c r="T693" s="49" t="s">
        <v>63</v>
      </c>
      <c r="U693" s="48" t="s">
        <v>9196</v>
      </c>
      <c r="V693" s="49"/>
      <c r="W693" s="44">
        <v>3.25</v>
      </c>
      <c r="X693" s="49" t="s">
        <v>4739</v>
      </c>
      <c r="Y693" s="49" t="s">
        <v>9197</v>
      </c>
      <c r="Z693" s="49" t="s">
        <v>803</v>
      </c>
      <c r="AA693" s="61">
        <v>0.79</v>
      </c>
      <c r="AB693" s="71">
        <v>42940</v>
      </c>
      <c r="AC693" s="62" t="s">
        <v>9195</v>
      </c>
      <c r="AD693" s="53" t="str">
        <f t="shared" ref="AD693:AD695" si="513">HYPERLINK("http://www.houghton.edu/academics/majors-programs/","Link")</f>
        <v>Link</v>
      </c>
      <c r="AE693" s="54">
        <v>1043</v>
      </c>
      <c r="AF693" s="55"/>
      <c r="AG693" s="54">
        <v>147</v>
      </c>
      <c r="AH693" s="56">
        <v>191676</v>
      </c>
      <c r="AI693" s="56"/>
    </row>
    <row r="694" spans="1:37" ht="13" x14ac:dyDescent="0.15">
      <c r="A694" s="47"/>
      <c r="B694" s="105" t="s">
        <v>7303</v>
      </c>
      <c r="C694" s="60" t="s">
        <v>43</v>
      </c>
      <c r="D694" s="44">
        <v>5</v>
      </c>
      <c r="E694" s="7" t="s">
        <v>9202</v>
      </c>
      <c r="F694" s="7"/>
      <c r="G694" s="7"/>
      <c r="H694" s="6" t="s">
        <v>9180</v>
      </c>
      <c r="I694" s="7" t="s">
        <v>1629</v>
      </c>
      <c r="J694" s="7" t="s">
        <v>852</v>
      </c>
      <c r="K694" s="7" t="s">
        <v>55</v>
      </c>
      <c r="L694" s="7" t="s">
        <v>9203</v>
      </c>
      <c r="M694" s="7"/>
      <c r="N694" s="45" t="str">
        <f t="shared" si="511"/>
        <v>@houghton_sb</v>
      </c>
      <c r="O694" s="45" t="str">
        <f t="shared" si="512"/>
        <v>Questionnaire</v>
      </c>
      <c r="P694" s="48" t="s">
        <v>9195</v>
      </c>
      <c r="Q694" s="60" t="s">
        <v>1304</v>
      </c>
      <c r="R694" s="48" t="s">
        <v>9195</v>
      </c>
      <c r="S694" s="60" t="s">
        <v>205</v>
      </c>
      <c r="T694" s="49" t="s">
        <v>63</v>
      </c>
      <c r="U694" s="48" t="s">
        <v>9196</v>
      </c>
      <c r="V694" s="49"/>
      <c r="W694" s="44">
        <v>3.25</v>
      </c>
      <c r="X694" s="49" t="s">
        <v>4739</v>
      </c>
      <c r="Y694" s="49" t="s">
        <v>9197</v>
      </c>
      <c r="Z694" s="49" t="s">
        <v>803</v>
      </c>
      <c r="AA694" s="61">
        <v>0.79</v>
      </c>
      <c r="AB694" s="71">
        <v>42940</v>
      </c>
      <c r="AC694" s="62" t="s">
        <v>9195</v>
      </c>
      <c r="AD694" s="53" t="str">
        <f t="shared" si="513"/>
        <v>Link</v>
      </c>
      <c r="AE694" s="54">
        <v>1043</v>
      </c>
      <c r="AF694" s="55"/>
      <c r="AG694" s="54">
        <v>147</v>
      </c>
      <c r="AH694" s="56">
        <v>191676</v>
      </c>
      <c r="AI694" s="56"/>
    </row>
    <row r="695" spans="1:37" ht="13" x14ac:dyDescent="0.15">
      <c r="A695" s="47"/>
      <c r="B695" s="105" t="s">
        <v>7303</v>
      </c>
      <c r="C695" s="60" t="s">
        <v>43</v>
      </c>
      <c r="D695" s="44">
        <v>5</v>
      </c>
      <c r="E695" s="7" t="s">
        <v>9209</v>
      </c>
      <c r="F695" s="7"/>
      <c r="G695" s="7"/>
      <c r="H695" s="6" t="s">
        <v>9180</v>
      </c>
      <c r="I695" s="7" t="s">
        <v>1124</v>
      </c>
      <c r="J695" s="7" t="s">
        <v>9211</v>
      </c>
      <c r="K695" s="7" t="s">
        <v>55</v>
      </c>
      <c r="L695" s="7" t="s">
        <v>9212</v>
      </c>
      <c r="M695" s="7"/>
      <c r="N695" s="45" t="str">
        <f t="shared" si="511"/>
        <v>@houghton_sb</v>
      </c>
      <c r="O695" s="45" t="str">
        <f t="shared" si="512"/>
        <v>Questionnaire</v>
      </c>
      <c r="P695" s="48" t="s">
        <v>9195</v>
      </c>
      <c r="Q695" s="60" t="s">
        <v>1304</v>
      </c>
      <c r="R695" s="48" t="s">
        <v>9195</v>
      </c>
      <c r="S695" s="60" t="s">
        <v>205</v>
      </c>
      <c r="T695" s="49" t="s">
        <v>63</v>
      </c>
      <c r="U695" s="48" t="s">
        <v>9196</v>
      </c>
      <c r="V695" s="49"/>
      <c r="W695" s="44">
        <v>3.25</v>
      </c>
      <c r="X695" s="49" t="s">
        <v>4739</v>
      </c>
      <c r="Y695" s="49" t="s">
        <v>9197</v>
      </c>
      <c r="Z695" s="49" t="s">
        <v>803</v>
      </c>
      <c r="AA695" s="61">
        <v>0.79</v>
      </c>
      <c r="AB695" s="71">
        <v>42940</v>
      </c>
      <c r="AC695" s="62" t="s">
        <v>9195</v>
      </c>
      <c r="AD695" s="53" t="str">
        <f t="shared" si="513"/>
        <v>Link</v>
      </c>
      <c r="AE695" s="54">
        <v>1043</v>
      </c>
      <c r="AF695" s="55"/>
      <c r="AG695" s="54">
        <v>147</v>
      </c>
      <c r="AH695" s="56">
        <v>191676</v>
      </c>
      <c r="AI695" s="56"/>
    </row>
    <row r="696" spans="1:37" ht="13" x14ac:dyDescent="0.15">
      <c r="A696" s="47"/>
      <c r="B696" s="105" t="s">
        <v>7303</v>
      </c>
      <c r="C696" s="60" t="s">
        <v>43</v>
      </c>
      <c r="D696" s="44">
        <v>5</v>
      </c>
      <c r="E696" s="7" t="s">
        <v>9216</v>
      </c>
      <c r="F696" s="7"/>
      <c r="G696" s="7"/>
      <c r="H696" s="6" t="s">
        <v>9217</v>
      </c>
      <c r="I696" s="7" t="s">
        <v>1629</v>
      </c>
      <c r="J696" s="7" t="s">
        <v>9219</v>
      </c>
      <c r="K696" s="7" t="s">
        <v>48</v>
      </c>
      <c r="L696" s="7" t="s">
        <v>9220</v>
      </c>
      <c r="M696" s="7" t="s">
        <v>9222</v>
      </c>
      <c r="N696" s="45" t="str">
        <f t="shared" ref="N696:N697" si="514">HYPERLINK("twitter.com/ithaca_softball","@ithaca_softball")</f>
        <v>@ithaca_softball</v>
      </c>
      <c r="O696" s="45" t="str">
        <f t="shared" ref="O696:O697" si="515">HYPERLINK("https://athletics.ithaca.edu/sports/2009/10/2/prospect-form.aspx","Questionnaire")</f>
        <v>Questionnaire</v>
      </c>
      <c r="P696" s="48" t="s">
        <v>7150</v>
      </c>
      <c r="Q696" s="47" t="s">
        <v>1304</v>
      </c>
      <c r="R696" s="48" t="s">
        <v>7150</v>
      </c>
      <c r="S696" s="48" t="s">
        <v>468</v>
      </c>
      <c r="T696" s="49" t="s">
        <v>63</v>
      </c>
      <c r="U696" s="48" t="s">
        <v>75</v>
      </c>
      <c r="V696" s="49"/>
      <c r="W696" s="44">
        <v>3.59</v>
      </c>
      <c r="X696" s="49" t="s">
        <v>835</v>
      </c>
      <c r="Y696" s="49" t="s">
        <v>86</v>
      </c>
      <c r="Z696" s="49" t="s">
        <v>836</v>
      </c>
      <c r="AA696" s="61">
        <v>0.7</v>
      </c>
      <c r="AB696" s="71">
        <v>59918</v>
      </c>
      <c r="AC696" s="62" t="s">
        <v>7150</v>
      </c>
      <c r="AD696" s="53" t="str">
        <f t="shared" ref="AD696:AD697" si="516">HYPERLINK("https://www.ithaca.edu/admission/programs/","Link")</f>
        <v>Link</v>
      </c>
      <c r="AE696" s="54">
        <v>6221</v>
      </c>
      <c r="AF696" s="55"/>
      <c r="AG696" s="55"/>
      <c r="AH696" s="56">
        <v>191968</v>
      </c>
      <c r="AI696" s="56"/>
    </row>
    <row r="697" spans="1:37" ht="13" x14ac:dyDescent="0.15">
      <c r="A697" s="47"/>
      <c r="B697" s="105" t="s">
        <v>7303</v>
      </c>
      <c r="C697" s="60" t="s">
        <v>43</v>
      </c>
      <c r="D697" s="44">
        <v>5</v>
      </c>
      <c r="E697" s="7" t="s">
        <v>9237</v>
      </c>
      <c r="F697" s="7"/>
      <c r="G697" s="7"/>
      <c r="H697" s="6" t="s">
        <v>9217</v>
      </c>
      <c r="I697" s="7" t="s">
        <v>484</v>
      </c>
      <c r="J697" s="7" t="s">
        <v>9240</v>
      </c>
      <c r="K697" s="7" t="s">
        <v>55</v>
      </c>
      <c r="L697" s="7" t="s">
        <v>9242</v>
      </c>
      <c r="M697" s="7" t="s">
        <v>9243</v>
      </c>
      <c r="N697" s="45" t="str">
        <f t="shared" si="514"/>
        <v>@ithaca_softball</v>
      </c>
      <c r="O697" s="45" t="str">
        <f t="shared" si="515"/>
        <v>Questionnaire</v>
      </c>
      <c r="P697" s="48" t="s">
        <v>7150</v>
      </c>
      <c r="Q697" s="47" t="s">
        <v>1304</v>
      </c>
      <c r="R697" s="48" t="s">
        <v>7150</v>
      </c>
      <c r="S697" s="48" t="s">
        <v>468</v>
      </c>
      <c r="T697" s="49" t="s">
        <v>63</v>
      </c>
      <c r="U697" s="48" t="s">
        <v>75</v>
      </c>
      <c r="V697" s="49"/>
      <c r="W697" s="44">
        <v>3.59</v>
      </c>
      <c r="X697" s="49" t="s">
        <v>835</v>
      </c>
      <c r="Y697" s="49" t="s">
        <v>86</v>
      </c>
      <c r="Z697" s="49" t="s">
        <v>836</v>
      </c>
      <c r="AA697" s="61">
        <v>0.7</v>
      </c>
      <c r="AB697" s="71">
        <v>59918</v>
      </c>
      <c r="AC697" s="62" t="s">
        <v>7150</v>
      </c>
      <c r="AD697" s="53" t="str">
        <f t="shared" si="516"/>
        <v>Link</v>
      </c>
      <c r="AE697" s="54">
        <v>6221</v>
      </c>
      <c r="AF697" s="55"/>
      <c r="AG697" s="55"/>
      <c r="AH697" s="56">
        <v>191968</v>
      </c>
      <c r="AI697" s="56"/>
    </row>
    <row r="698" spans="1:37" ht="13" x14ac:dyDescent="0.15">
      <c r="A698" s="47"/>
      <c r="B698" s="105" t="s">
        <v>7303</v>
      </c>
      <c r="C698" s="60" t="s">
        <v>43</v>
      </c>
      <c r="D698" s="44">
        <v>5</v>
      </c>
      <c r="E698" s="7" t="s">
        <v>9247</v>
      </c>
      <c r="F698" s="7"/>
      <c r="G698" s="7"/>
      <c r="H698" s="6" t="s">
        <v>9249</v>
      </c>
      <c r="I698" s="7" t="s">
        <v>1217</v>
      </c>
      <c r="J698" s="7" t="s">
        <v>7218</v>
      </c>
      <c r="K698" s="7" t="s">
        <v>48</v>
      </c>
      <c r="L698" s="7" t="s">
        <v>9253</v>
      </c>
      <c r="M698" s="7" t="s">
        <v>9254</v>
      </c>
      <c r="N698" s="45" t="str">
        <f t="shared" ref="N698:N699" si="517">HYPERLINK("twitter.com/keuka_softball","@keuka_softball")</f>
        <v>@keuka_softball</v>
      </c>
      <c r="O698" s="45" t="str">
        <f t="shared" ref="O698:O699" si="518">HYPERLINK("http://www.keukaathletics.com/recruit_me/general","Questionnaire")</f>
        <v>Questionnaire</v>
      </c>
      <c r="P698" s="48" t="s">
        <v>9262</v>
      </c>
      <c r="Q698" s="48" t="s">
        <v>1304</v>
      </c>
      <c r="R698" s="60" t="s">
        <v>9263</v>
      </c>
      <c r="S698" s="60" t="s">
        <v>205</v>
      </c>
      <c r="T698" s="49" t="s">
        <v>63</v>
      </c>
      <c r="U698" s="48" t="s">
        <v>2619</v>
      </c>
      <c r="V698" s="49"/>
      <c r="W698" s="44">
        <v>3.1</v>
      </c>
      <c r="X698" s="49" t="s">
        <v>3428</v>
      </c>
      <c r="Y698" s="49" t="s">
        <v>253</v>
      </c>
      <c r="Z698" s="49" t="s">
        <v>449</v>
      </c>
      <c r="AA698" s="61">
        <v>0.77</v>
      </c>
      <c r="AB698" s="71">
        <v>45421</v>
      </c>
      <c r="AC698" s="90" t="s">
        <v>9262</v>
      </c>
      <c r="AD698" s="53" t="str">
        <f t="shared" ref="AD698:AD699" si="519">HYPERLINK("https://www.keuka.edu/academics/programs","Link")</f>
        <v>Link</v>
      </c>
      <c r="AE698" s="54">
        <v>1730</v>
      </c>
      <c r="AF698" s="55"/>
      <c r="AG698" s="55"/>
      <c r="AH698" s="56">
        <v>192192</v>
      </c>
      <c r="AI698" s="56"/>
    </row>
    <row r="699" spans="1:37" ht="13" x14ac:dyDescent="0.15">
      <c r="A699" s="47"/>
      <c r="B699" s="105" t="s">
        <v>7303</v>
      </c>
      <c r="C699" s="60" t="s">
        <v>43</v>
      </c>
      <c r="D699" s="44">
        <v>5</v>
      </c>
      <c r="E699" s="7" t="s">
        <v>9274</v>
      </c>
      <c r="F699" s="7"/>
      <c r="G699" s="7"/>
      <c r="H699" s="6" t="s">
        <v>9249</v>
      </c>
      <c r="I699" s="7" t="s">
        <v>991</v>
      </c>
      <c r="J699" s="7" t="s">
        <v>7218</v>
      </c>
      <c r="K699" s="7" t="s">
        <v>55</v>
      </c>
      <c r="L699" s="7"/>
      <c r="M699" s="7"/>
      <c r="N699" s="45" t="str">
        <f t="shared" si="517"/>
        <v>@keuka_softball</v>
      </c>
      <c r="O699" s="45" t="str">
        <f t="shared" si="518"/>
        <v>Questionnaire</v>
      </c>
      <c r="P699" s="48" t="s">
        <v>9262</v>
      </c>
      <c r="Q699" s="48" t="s">
        <v>1304</v>
      </c>
      <c r="R699" s="60" t="s">
        <v>9263</v>
      </c>
      <c r="S699" s="60" t="s">
        <v>205</v>
      </c>
      <c r="T699" s="49" t="s">
        <v>63</v>
      </c>
      <c r="U699" s="48" t="s">
        <v>2619</v>
      </c>
      <c r="V699" s="49"/>
      <c r="W699" s="44">
        <v>3.1</v>
      </c>
      <c r="X699" s="49" t="s">
        <v>3428</v>
      </c>
      <c r="Y699" s="49" t="s">
        <v>253</v>
      </c>
      <c r="Z699" s="49" t="s">
        <v>449</v>
      </c>
      <c r="AA699" s="61">
        <v>0.77</v>
      </c>
      <c r="AB699" s="71">
        <v>45421</v>
      </c>
      <c r="AC699" s="90" t="s">
        <v>9262</v>
      </c>
      <c r="AD699" s="53" t="str">
        <f t="shared" si="519"/>
        <v>Link</v>
      </c>
      <c r="AE699" s="54">
        <v>1730</v>
      </c>
      <c r="AF699" s="55"/>
      <c r="AG699" s="55"/>
      <c r="AH699" s="56">
        <v>192192</v>
      </c>
      <c r="AI699" s="56"/>
    </row>
    <row r="700" spans="1:37" ht="13" x14ac:dyDescent="0.15">
      <c r="A700" s="47"/>
      <c r="B700" s="105" t="s">
        <v>7303</v>
      </c>
      <c r="C700" s="60" t="s">
        <v>43</v>
      </c>
      <c r="D700" s="44">
        <v>5</v>
      </c>
      <c r="E700" s="7" t="s">
        <v>9284</v>
      </c>
      <c r="F700" s="7"/>
      <c r="G700" s="7"/>
      <c r="H700" s="6" t="s">
        <v>9285</v>
      </c>
      <c r="I700" s="7" t="s">
        <v>9286</v>
      </c>
      <c r="J700" s="7" t="s">
        <v>1611</v>
      </c>
      <c r="K700" s="7" t="s">
        <v>48</v>
      </c>
      <c r="L700" s="7" t="s">
        <v>9287</v>
      </c>
      <c r="M700" s="7" t="s">
        <v>9288</v>
      </c>
      <c r="N700" s="45" t="str">
        <f t="shared" ref="N700:N703" si="520">HYPERLINK("twitter.com/valiantsoftball","@valiantsoftball")</f>
        <v>@valiantsoftball</v>
      </c>
      <c r="O700" s="45" t="str">
        <f t="shared" ref="O700:O703" si="521">HYPERLINK("https://questionnaires.armssoftware.com/39f693533b9b","Questionnaire")</f>
        <v>Questionnaire</v>
      </c>
      <c r="P700" s="48" t="s">
        <v>9296</v>
      </c>
      <c r="Q700" s="60" t="s">
        <v>1304</v>
      </c>
      <c r="R700" s="48" t="s">
        <v>9299</v>
      </c>
      <c r="S700" s="60" t="s">
        <v>205</v>
      </c>
      <c r="T700" s="49" t="s">
        <v>63</v>
      </c>
      <c r="U700" s="48" t="s">
        <v>75</v>
      </c>
      <c r="V700" s="49"/>
      <c r="W700" s="44">
        <v>3.16</v>
      </c>
      <c r="X700" s="49" t="s">
        <v>2341</v>
      </c>
      <c r="Y700" s="49" t="s">
        <v>895</v>
      </c>
      <c r="Z700" s="49" t="s">
        <v>545</v>
      </c>
      <c r="AA700" s="61">
        <v>0.77</v>
      </c>
      <c r="AB700" s="71">
        <v>53790</v>
      </c>
      <c r="AC700" s="62" t="s">
        <v>9296</v>
      </c>
      <c r="AD700" s="53" t="str">
        <f t="shared" ref="AD700:AD703" si="522">HYPERLINK("https://www.mville.edu/programs#/search","Link")</f>
        <v>Link</v>
      </c>
      <c r="AE700" s="54">
        <v>1794</v>
      </c>
      <c r="AF700" s="55"/>
      <c r="AG700" s="55"/>
      <c r="AH700" s="56">
        <v>192749</v>
      </c>
      <c r="AI700" s="56"/>
    </row>
    <row r="701" spans="1:37" ht="13" x14ac:dyDescent="0.15">
      <c r="A701" s="47"/>
      <c r="B701" s="105" t="s">
        <v>7303</v>
      </c>
      <c r="C701" s="60" t="s">
        <v>43</v>
      </c>
      <c r="D701" s="44">
        <v>5</v>
      </c>
      <c r="E701" s="7" t="s">
        <v>9309</v>
      </c>
      <c r="F701" s="7"/>
      <c r="G701" s="7"/>
      <c r="H701" s="6" t="s">
        <v>9285</v>
      </c>
      <c r="I701" s="7" t="s">
        <v>9311</v>
      </c>
      <c r="J701" s="7" t="s">
        <v>9312</v>
      </c>
      <c r="K701" s="7" t="s">
        <v>55</v>
      </c>
      <c r="L701" s="7" t="s">
        <v>9314</v>
      </c>
      <c r="M701" s="7"/>
      <c r="N701" s="45" t="str">
        <f t="shared" si="520"/>
        <v>@valiantsoftball</v>
      </c>
      <c r="O701" s="45" t="str">
        <f t="shared" si="521"/>
        <v>Questionnaire</v>
      </c>
      <c r="P701" s="48" t="s">
        <v>9296</v>
      </c>
      <c r="Q701" s="60" t="s">
        <v>1304</v>
      </c>
      <c r="R701" s="48" t="s">
        <v>9299</v>
      </c>
      <c r="S701" s="60" t="s">
        <v>205</v>
      </c>
      <c r="T701" s="49" t="s">
        <v>63</v>
      </c>
      <c r="U701" s="48" t="s">
        <v>75</v>
      </c>
      <c r="V701" s="49"/>
      <c r="W701" s="44">
        <v>3.16</v>
      </c>
      <c r="X701" s="49" t="s">
        <v>2341</v>
      </c>
      <c r="Y701" s="49" t="s">
        <v>895</v>
      </c>
      <c r="Z701" s="49" t="s">
        <v>545</v>
      </c>
      <c r="AA701" s="61">
        <v>0.77</v>
      </c>
      <c r="AB701" s="71">
        <v>53790</v>
      </c>
      <c r="AC701" s="62" t="s">
        <v>9296</v>
      </c>
      <c r="AD701" s="53" t="str">
        <f t="shared" si="522"/>
        <v>Link</v>
      </c>
      <c r="AE701" s="54">
        <v>1794</v>
      </c>
      <c r="AF701" s="55"/>
      <c r="AG701" s="55"/>
      <c r="AH701" s="56">
        <v>192749</v>
      </c>
      <c r="AI701" s="56"/>
    </row>
    <row r="702" spans="1:37" ht="13" x14ac:dyDescent="0.15">
      <c r="A702" s="47"/>
      <c r="B702" s="105" t="s">
        <v>7303</v>
      </c>
      <c r="C702" s="60" t="s">
        <v>43</v>
      </c>
      <c r="D702" s="44">
        <v>5</v>
      </c>
      <c r="E702" s="7" t="s">
        <v>9321</v>
      </c>
      <c r="F702" s="7"/>
      <c r="G702" s="7"/>
      <c r="H702" s="6" t="s">
        <v>9285</v>
      </c>
      <c r="I702" s="7" t="s">
        <v>1052</v>
      </c>
      <c r="J702" s="7" t="s">
        <v>9324</v>
      </c>
      <c r="K702" s="7" t="s">
        <v>55</v>
      </c>
      <c r="L702" s="7"/>
      <c r="M702" s="7"/>
      <c r="N702" s="45" t="str">
        <f t="shared" si="520"/>
        <v>@valiantsoftball</v>
      </c>
      <c r="O702" s="45" t="str">
        <f t="shared" si="521"/>
        <v>Questionnaire</v>
      </c>
      <c r="P702" s="48" t="s">
        <v>9296</v>
      </c>
      <c r="Q702" s="60" t="s">
        <v>1304</v>
      </c>
      <c r="R702" s="48" t="s">
        <v>9299</v>
      </c>
      <c r="S702" s="60" t="s">
        <v>205</v>
      </c>
      <c r="T702" s="49" t="s">
        <v>63</v>
      </c>
      <c r="U702" s="48" t="s">
        <v>75</v>
      </c>
      <c r="V702" s="49"/>
      <c r="W702" s="44">
        <v>3.16</v>
      </c>
      <c r="X702" s="49" t="s">
        <v>2341</v>
      </c>
      <c r="Y702" s="49" t="s">
        <v>895</v>
      </c>
      <c r="Z702" s="49" t="s">
        <v>545</v>
      </c>
      <c r="AA702" s="61">
        <v>0.77</v>
      </c>
      <c r="AB702" s="71">
        <v>53790</v>
      </c>
      <c r="AC702" s="62" t="s">
        <v>9296</v>
      </c>
      <c r="AD702" s="53" t="str">
        <f t="shared" si="522"/>
        <v>Link</v>
      </c>
      <c r="AE702" s="54">
        <v>1794</v>
      </c>
      <c r="AF702" s="55"/>
      <c r="AG702" s="55"/>
      <c r="AH702" s="56">
        <v>192749</v>
      </c>
      <c r="AI702" s="56"/>
    </row>
    <row r="703" spans="1:37" ht="13" x14ac:dyDescent="0.15">
      <c r="A703" s="47"/>
      <c r="B703" s="105" t="s">
        <v>7303</v>
      </c>
      <c r="C703" s="60" t="s">
        <v>43</v>
      </c>
      <c r="D703" s="44">
        <v>5</v>
      </c>
      <c r="E703" s="7" t="s">
        <v>9333</v>
      </c>
      <c r="F703" s="7"/>
      <c r="G703" s="7"/>
      <c r="H703" s="6" t="s">
        <v>9285</v>
      </c>
      <c r="I703" s="7" t="s">
        <v>9334</v>
      </c>
      <c r="J703" s="7" t="s">
        <v>9335</v>
      </c>
      <c r="K703" s="7" t="s">
        <v>55</v>
      </c>
      <c r="L703" s="7"/>
      <c r="M703" s="7"/>
      <c r="N703" s="45" t="str">
        <f t="shared" si="520"/>
        <v>@valiantsoftball</v>
      </c>
      <c r="O703" s="45" t="str">
        <f t="shared" si="521"/>
        <v>Questionnaire</v>
      </c>
      <c r="P703" s="48" t="s">
        <v>9296</v>
      </c>
      <c r="Q703" s="60" t="s">
        <v>1304</v>
      </c>
      <c r="R703" s="48" t="s">
        <v>9299</v>
      </c>
      <c r="S703" s="60" t="s">
        <v>205</v>
      </c>
      <c r="T703" s="49" t="s">
        <v>63</v>
      </c>
      <c r="U703" s="48" t="s">
        <v>75</v>
      </c>
      <c r="V703" s="49"/>
      <c r="W703" s="44">
        <v>3.16</v>
      </c>
      <c r="X703" s="49" t="s">
        <v>2341</v>
      </c>
      <c r="Y703" s="49" t="s">
        <v>895</v>
      </c>
      <c r="Z703" s="49" t="s">
        <v>545</v>
      </c>
      <c r="AA703" s="61">
        <v>0.77</v>
      </c>
      <c r="AB703" s="71">
        <v>53790</v>
      </c>
      <c r="AC703" s="62" t="s">
        <v>9296</v>
      </c>
      <c r="AD703" s="53" t="str">
        <f t="shared" si="522"/>
        <v>Link</v>
      </c>
      <c r="AE703" s="54">
        <v>1794</v>
      </c>
      <c r="AF703" s="55"/>
      <c r="AG703" s="55"/>
      <c r="AH703" s="56">
        <v>192749</v>
      </c>
      <c r="AI703" s="56"/>
    </row>
    <row r="704" spans="1:37" ht="13" x14ac:dyDescent="0.15">
      <c r="A704" s="47"/>
      <c r="B704" s="105" t="s">
        <v>7303</v>
      </c>
      <c r="C704" s="60" t="s">
        <v>43</v>
      </c>
      <c r="D704" s="44">
        <v>5</v>
      </c>
      <c r="E704" s="7" t="s">
        <v>9342</v>
      </c>
      <c r="F704" s="7"/>
      <c r="G704" s="7"/>
      <c r="H704" s="6" t="s">
        <v>9344</v>
      </c>
      <c r="I704" s="7" t="s">
        <v>2465</v>
      </c>
      <c r="J704" s="7" t="s">
        <v>9345</v>
      </c>
      <c r="K704" s="7" t="s">
        <v>48</v>
      </c>
      <c r="L704" s="7" t="s">
        <v>9346</v>
      </c>
      <c r="M704" s="7" t="s">
        <v>9347</v>
      </c>
      <c r="N704" s="48"/>
      <c r="O704" s="45" t="str">
        <f t="shared" ref="O704:O707" si="523">HYPERLINK("https://medaillesports.com/sports/2018/10/2/medaille-college-athletics-recruit-questionnaires.aspx","Questionnaire")</f>
        <v>Questionnaire</v>
      </c>
      <c r="P704" s="48" t="s">
        <v>9349</v>
      </c>
      <c r="Q704" s="60" t="s">
        <v>1304</v>
      </c>
      <c r="R704" s="48" t="s">
        <v>7539</v>
      </c>
      <c r="S704" s="48" t="s">
        <v>62</v>
      </c>
      <c r="T704" s="49" t="s">
        <v>63</v>
      </c>
      <c r="U704" s="48" t="s">
        <v>75</v>
      </c>
      <c r="V704" s="49"/>
      <c r="W704" s="71">
        <v>3.06</v>
      </c>
      <c r="X704" s="49" t="s">
        <v>3892</v>
      </c>
      <c r="Y704" s="49" t="s">
        <v>5178</v>
      </c>
      <c r="Z704" s="49" t="s">
        <v>3842</v>
      </c>
      <c r="AA704" s="61">
        <v>0.69</v>
      </c>
      <c r="AB704" s="71">
        <v>42556</v>
      </c>
      <c r="AC704" s="90" t="s">
        <v>9349</v>
      </c>
      <c r="AD704" s="53" t="str">
        <f t="shared" ref="AD704:AD707" si="524">HYPERLINK("http://www.medaille.edu/academics/undergraduate","Link")</f>
        <v>Link</v>
      </c>
      <c r="AE704" s="54">
        <v>1394</v>
      </c>
      <c r="AF704" s="55"/>
      <c r="AG704" s="55"/>
      <c r="AH704" s="56">
        <v>192925</v>
      </c>
      <c r="AI704" s="56"/>
      <c r="AJ704" s="137"/>
      <c r="AK704" s="137"/>
    </row>
    <row r="705" spans="1:37" ht="13" x14ac:dyDescent="0.15">
      <c r="A705" s="47"/>
      <c r="B705" s="105" t="s">
        <v>7303</v>
      </c>
      <c r="C705" s="60" t="s">
        <v>43</v>
      </c>
      <c r="D705" s="44">
        <v>5</v>
      </c>
      <c r="E705" s="7" t="s">
        <v>9358</v>
      </c>
      <c r="F705" s="7"/>
      <c r="G705" s="7"/>
      <c r="H705" s="6" t="s">
        <v>9344</v>
      </c>
      <c r="I705" s="7" t="s">
        <v>1266</v>
      </c>
      <c r="J705" s="7" t="s">
        <v>9359</v>
      </c>
      <c r="K705" s="7" t="s">
        <v>55</v>
      </c>
      <c r="L705" s="7" t="s">
        <v>9360</v>
      </c>
      <c r="M705" s="7" t="s">
        <v>9361</v>
      </c>
      <c r="N705" s="48"/>
      <c r="O705" s="45" t="str">
        <f t="shared" si="523"/>
        <v>Questionnaire</v>
      </c>
      <c r="P705" s="48" t="s">
        <v>9349</v>
      </c>
      <c r="Q705" s="60" t="s">
        <v>1304</v>
      </c>
      <c r="R705" s="48" t="s">
        <v>7539</v>
      </c>
      <c r="S705" s="48" t="s">
        <v>62</v>
      </c>
      <c r="T705" s="49" t="s">
        <v>63</v>
      </c>
      <c r="U705" s="48" t="s">
        <v>75</v>
      </c>
      <c r="V705" s="49"/>
      <c r="W705" s="71">
        <v>3.06</v>
      </c>
      <c r="X705" s="49" t="s">
        <v>3892</v>
      </c>
      <c r="Y705" s="49" t="s">
        <v>5178</v>
      </c>
      <c r="Z705" s="49" t="s">
        <v>3842</v>
      </c>
      <c r="AA705" s="61">
        <v>0.69</v>
      </c>
      <c r="AB705" s="71">
        <v>42556</v>
      </c>
      <c r="AC705" s="90" t="s">
        <v>9349</v>
      </c>
      <c r="AD705" s="53" t="str">
        <f t="shared" si="524"/>
        <v>Link</v>
      </c>
      <c r="AE705" s="54">
        <v>1394</v>
      </c>
      <c r="AF705" s="55"/>
      <c r="AG705" s="55"/>
      <c r="AH705" s="56">
        <v>192925</v>
      </c>
      <c r="AI705" s="56"/>
      <c r="AJ705" s="137"/>
      <c r="AK705" s="137"/>
    </row>
    <row r="706" spans="1:37" ht="13" x14ac:dyDescent="0.15">
      <c r="A706" s="47"/>
      <c r="B706" s="105" t="s">
        <v>7303</v>
      </c>
      <c r="C706" s="60" t="s">
        <v>43</v>
      </c>
      <c r="D706" s="44">
        <v>5</v>
      </c>
      <c r="E706" s="7" t="s">
        <v>9366</v>
      </c>
      <c r="F706" s="7"/>
      <c r="G706" s="7"/>
      <c r="H706" s="6" t="s">
        <v>9344</v>
      </c>
      <c r="I706" s="7" t="s">
        <v>234</v>
      </c>
      <c r="J706" s="7" t="s">
        <v>4793</v>
      </c>
      <c r="K706" s="7" t="s">
        <v>55</v>
      </c>
      <c r="L706" s="7"/>
      <c r="M706" s="7"/>
      <c r="N706" s="48"/>
      <c r="O706" s="45" t="str">
        <f t="shared" si="523"/>
        <v>Questionnaire</v>
      </c>
      <c r="P706" s="48" t="s">
        <v>9349</v>
      </c>
      <c r="Q706" s="60" t="s">
        <v>1304</v>
      </c>
      <c r="R706" s="48" t="s">
        <v>7539</v>
      </c>
      <c r="S706" s="48" t="s">
        <v>62</v>
      </c>
      <c r="T706" s="49" t="s">
        <v>63</v>
      </c>
      <c r="U706" s="48" t="s">
        <v>75</v>
      </c>
      <c r="V706" s="49"/>
      <c r="W706" s="71">
        <v>3.06</v>
      </c>
      <c r="X706" s="49" t="s">
        <v>3892</v>
      </c>
      <c r="Y706" s="49" t="s">
        <v>5178</v>
      </c>
      <c r="Z706" s="49" t="s">
        <v>3842</v>
      </c>
      <c r="AA706" s="61">
        <v>0.69</v>
      </c>
      <c r="AB706" s="71">
        <v>42556</v>
      </c>
      <c r="AC706" s="90" t="s">
        <v>9349</v>
      </c>
      <c r="AD706" s="53" t="str">
        <f t="shared" si="524"/>
        <v>Link</v>
      </c>
      <c r="AE706" s="54">
        <v>1394</v>
      </c>
      <c r="AF706" s="55"/>
      <c r="AG706" s="55"/>
      <c r="AH706" s="56">
        <v>192925</v>
      </c>
      <c r="AI706" s="56"/>
      <c r="AJ706" s="137"/>
      <c r="AK706" s="137"/>
    </row>
    <row r="707" spans="1:37" ht="13" x14ac:dyDescent="0.15">
      <c r="A707" s="47"/>
      <c r="B707" s="105" t="s">
        <v>7303</v>
      </c>
      <c r="C707" s="60" t="s">
        <v>43</v>
      </c>
      <c r="D707" s="44">
        <v>5</v>
      </c>
      <c r="E707" s="7" t="s">
        <v>9373</v>
      </c>
      <c r="F707" s="7"/>
      <c r="G707" s="7"/>
      <c r="H707" s="6" t="s">
        <v>9344</v>
      </c>
      <c r="I707" s="7" t="s">
        <v>3315</v>
      </c>
      <c r="J707" s="7" t="s">
        <v>9303</v>
      </c>
      <c r="K707" s="7" t="s">
        <v>55</v>
      </c>
      <c r="L707" s="7"/>
      <c r="M707" s="7"/>
      <c r="N707" s="48"/>
      <c r="O707" s="45" t="str">
        <f t="shared" si="523"/>
        <v>Questionnaire</v>
      </c>
      <c r="P707" s="48" t="s">
        <v>9349</v>
      </c>
      <c r="Q707" s="60" t="s">
        <v>1304</v>
      </c>
      <c r="R707" s="48" t="s">
        <v>7539</v>
      </c>
      <c r="S707" s="48" t="s">
        <v>62</v>
      </c>
      <c r="T707" s="49" t="s">
        <v>63</v>
      </c>
      <c r="U707" s="48" t="s">
        <v>75</v>
      </c>
      <c r="V707" s="49"/>
      <c r="W707" s="71">
        <v>3.06</v>
      </c>
      <c r="X707" s="49" t="s">
        <v>3892</v>
      </c>
      <c r="Y707" s="49" t="s">
        <v>5178</v>
      </c>
      <c r="Z707" s="49" t="s">
        <v>3842</v>
      </c>
      <c r="AA707" s="61">
        <v>0.69</v>
      </c>
      <c r="AB707" s="71">
        <v>42556</v>
      </c>
      <c r="AC707" s="90" t="s">
        <v>9349</v>
      </c>
      <c r="AD707" s="53" t="str">
        <f t="shared" si="524"/>
        <v>Link</v>
      </c>
      <c r="AE707" s="54">
        <v>1394</v>
      </c>
      <c r="AF707" s="55"/>
      <c r="AG707" s="55"/>
      <c r="AH707" s="56">
        <v>192925</v>
      </c>
      <c r="AI707" s="56"/>
      <c r="AJ707" s="137"/>
      <c r="AK707" s="137"/>
    </row>
    <row r="708" spans="1:37" ht="13" x14ac:dyDescent="0.15">
      <c r="A708" s="47"/>
      <c r="B708" s="105" t="s">
        <v>7303</v>
      </c>
      <c r="C708" s="60" t="s">
        <v>43</v>
      </c>
      <c r="D708" s="44">
        <v>5</v>
      </c>
      <c r="E708" s="7" t="s">
        <v>9385</v>
      </c>
      <c r="F708" s="7"/>
      <c r="G708" s="7"/>
      <c r="H708" s="6" t="s">
        <v>9386</v>
      </c>
      <c r="I708" s="7" t="s">
        <v>2289</v>
      </c>
      <c r="J708" s="7" t="s">
        <v>9387</v>
      </c>
      <c r="K708" s="7" t="s">
        <v>48</v>
      </c>
      <c r="L708" s="7" t="s">
        <v>9388</v>
      </c>
      <c r="M708" s="7" t="s">
        <v>9389</v>
      </c>
      <c r="N708" s="45" t="str">
        <f t="shared" ref="N708:N709" si="525">HYPERLINK("twitter.com/mount_sb","@mount_sb")</f>
        <v>@mount_sb</v>
      </c>
      <c r="O708" s="45" t="str">
        <f t="shared" ref="O708:O709" si="526">HYPERLINK("https://www.mountathletics.com/sports/sball/Recruit_Questionnaire","Questionnaire")</f>
        <v>Questionnaire</v>
      </c>
      <c r="P708" s="48" t="s">
        <v>9399</v>
      </c>
      <c r="Q708" s="60" t="s">
        <v>1304</v>
      </c>
      <c r="R708" s="48" t="s">
        <v>9400</v>
      </c>
      <c r="S708" s="48" t="s">
        <v>468</v>
      </c>
      <c r="T708" s="49" t="s">
        <v>63</v>
      </c>
      <c r="U708" s="48" t="s">
        <v>343</v>
      </c>
      <c r="V708" s="49"/>
      <c r="W708" s="71">
        <v>3.2</v>
      </c>
      <c r="X708" s="49" t="s">
        <v>1688</v>
      </c>
      <c r="Y708" s="49" t="s">
        <v>1145</v>
      </c>
      <c r="Z708" s="49" t="s">
        <v>240</v>
      </c>
      <c r="AA708" s="61">
        <v>0.9</v>
      </c>
      <c r="AB708" s="71">
        <v>45902</v>
      </c>
      <c r="AC708" s="62" t="s">
        <v>9399</v>
      </c>
      <c r="AD708" s="53" t="str">
        <f t="shared" ref="AD708:AD709" si="527">HYPERLINK("https://www.msmc.edu/Academics/Undergraduate","Link")</f>
        <v>Link</v>
      </c>
      <c r="AE708" s="54">
        <v>2128</v>
      </c>
      <c r="AF708" s="55"/>
      <c r="AG708" s="55"/>
      <c r="AH708" s="56">
        <v>193353</v>
      </c>
      <c r="AI708" s="56"/>
      <c r="AJ708" s="137"/>
      <c r="AK708" s="137"/>
    </row>
    <row r="709" spans="1:37" ht="13" x14ac:dyDescent="0.15">
      <c r="A709" s="47"/>
      <c r="B709" s="105" t="s">
        <v>7303</v>
      </c>
      <c r="C709" s="60" t="s">
        <v>43</v>
      </c>
      <c r="D709" s="44">
        <v>5</v>
      </c>
      <c r="E709" s="7" t="s">
        <v>9408</v>
      </c>
      <c r="F709" s="7"/>
      <c r="G709" s="7"/>
      <c r="H709" s="6" t="s">
        <v>9386</v>
      </c>
      <c r="I709" s="7" t="s">
        <v>658</v>
      </c>
      <c r="J709" s="7" t="s">
        <v>9409</v>
      </c>
      <c r="K709" s="7" t="s">
        <v>55</v>
      </c>
      <c r="L709" s="7" t="s">
        <v>9410</v>
      </c>
      <c r="M709" s="7" t="s">
        <v>9411</v>
      </c>
      <c r="N709" s="45" t="str">
        <f t="shared" si="525"/>
        <v>@mount_sb</v>
      </c>
      <c r="O709" s="45" t="str">
        <f t="shared" si="526"/>
        <v>Questionnaire</v>
      </c>
      <c r="P709" s="48" t="s">
        <v>9399</v>
      </c>
      <c r="Q709" s="60" t="s">
        <v>1304</v>
      </c>
      <c r="R709" s="48" t="s">
        <v>9400</v>
      </c>
      <c r="S709" s="48" t="s">
        <v>468</v>
      </c>
      <c r="T709" s="49" t="s">
        <v>63</v>
      </c>
      <c r="U709" s="48" t="s">
        <v>343</v>
      </c>
      <c r="V709" s="49"/>
      <c r="W709" s="71">
        <v>3.2</v>
      </c>
      <c r="X709" s="49" t="s">
        <v>1688</v>
      </c>
      <c r="Y709" s="49" t="s">
        <v>1145</v>
      </c>
      <c r="Z709" s="49" t="s">
        <v>240</v>
      </c>
      <c r="AA709" s="61">
        <v>0.9</v>
      </c>
      <c r="AB709" s="71">
        <v>45902</v>
      </c>
      <c r="AC709" s="62" t="s">
        <v>9399</v>
      </c>
      <c r="AD709" s="53" t="str">
        <f t="shared" si="527"/>
        <v>Link</v>
      </c>
      <c r="AE709" s="54">
        <v>2128</v>
      </c>
      <c r="AF709" s="55"/>
      <c r="AG709" s="55"/>
      <c r="AH709" s="56">
        <v>193353</v>
      </c>
      <c r="AI709" s="56"/>
      <c r="AJ709" s="137"/>
      <c r="AK709" s="137"/>
    </row>
    <row r="710" spans="1:37" ht="13" x14ac:dyDescent="0.15">
      <c r="A710" s="47"/>
      <c r="B710" s="105" t="s">
        <v>7303</v>
      </c>
      <c r="C710" s="60" t="s">
        <v>43</v>
      </c>
      <c r="D710" s="44">
        <v>5</v>
      </c>
      <c r="E710" s="7" t="s">
        <v>9419</v>
      </c>
      <c r="F710" s="7"/>
      <c r="G710" s="7"/>
      <c r="H710" s="6" t="s">
        <v>9420</v>
      </c>
      <c r="I710" s="7" t="s">
        <v>4233</v>
      </c>
      <c r="J710" s="7" t="s">
        <v>9421</v>
      </c>
      <c r="K710" s="7" t="s">
        <v>48</v>
      </c>
      <c r="L710" s="7" t="s">
        <v>9422</v>
      </c>
      <c r="M710" s="7" t="s">
        <v>9423</v>
      </c>
      <c r="N710" s="45" t="str">
        <f t="shared" ref="N710:N711" si="528">HYPERLINK("twitter.com/cmsvsoftball","@cmsvsoftball")</f>
        <v>@cmsvsoftball</v>
      </c>
      <c r="O710" s="45" t="str">
        <f t="shared" ref="O710:O711" si="529">HYPERLINK("https://cmsvathletics.com/sb_output.aspx?form=13","Questionnaire")</f>
        <v>Questionnaire</v>
      </c>
      <c r="P710" s="48" t="s">
        <v>9428</v>
      </c>
      <c r="Q710" s="47" t="s">
        <v>1304</v>
      </c>
      <c r="R710" s="48" t="s">
        <v>1897</v>
      </c>
      <c r="S710" s="48" t="s">
        <v>288</v>
      </c>
      <c r="T710" s="49" t="s">
        <v>63</v>
      </c>
      <c r="U710" s="48" t="s">
        <v>343</v>
      </c>
      <c r="V710" s="49"/>
      <c r="W710" s="71">
        <v>3</v>
      </c>
      <c r="X710" s="49" t="s">
        <v>6814</v>
      </c>
      <c r="Y710" s="49" t="s">
        <v>5178</v>
      </c>
      <c r="Z710" s="49" t="s">
        <v>1948</v>
      </c>
      <c r="AA710" s="61">
        <v>0.93</v>
      </c>
      <c r="AB710" s="71">
        <v>46135</v>
      </c>
      <c r="AC710" s="62" t="s">
        <v>9428</v>
      </c>
      <c r="AD710" s="53" t="str">
        <f t="shared" ref="AD710:AD711" si="530">HYPERLINK("https://mountsaintvincent.edu/academics/undergraduate-college/areas-of-study/","Link")</f>
        <v>Link</v>
      </c>
      <c r="AE710" s="54">
        <v>1702</v>
      </c>
      <c r="AF710" s="55"/>
      <c r="AG710" s="55"/>
      <c r="AH710" s="56">
        <v>193399</v>
      </c>
      <c r="AI710" s="56"/>
      <c r="AJ710" s="137"/>
      <c r="AK710" s="137"/>
    </row>
    <row r="711" spans="1:37" ht="13" x14ac:dyDescent="0.15">
      <c r="A711" s="47"/>
      <c r="B711" s="105" t="s">
        <v>7303</v>
      </c>
      <c r="C711" s="60" t="s">
        <v>43</v>
      </c>
      <c r="D711" s="44">
        <v>5</v>
      </c>
      <c r="E711" s="7" t="s">
        <v>9435</v>
      </c>
      <c r="F711" s="7"/>
      <c r="G711" s="7"/>
      <c r="H711" s="6" t="s">
        <v>9420</v>
      </c>
      <c r="I711" s="7" t="s">
        <v>658</v>
      </c>
      <c r="J711" s="7" t="s">
        <v>9436</v>
      </c>
      <c r="K711" s="7" t="s">
        <v>55</v>
      </c>
      <c r="L711" s="7"/>
      <c r="M711" s="7"/>
      <c r="N711" s="45" t="str">
        <f t="shared" si="528"/>
        <v>@cmsvsoftball</v>
      </c>
      <c r="O711" s="45" t="str">
        <f t="shared" si="529"/>
        <v>Questionnaire</v>
      </c>
      <c r="P711" s="48" t="s">
        <v>9428</v>
      </c>
      <c r="Q711" s="47" t="s">
        <v>1304</v>
      </c>
      <c r="R711" s="48" t="s">
        <v>1897</v>
      </c>
      <c r="S711" s="48" t="s">
        <v>288</v>
      </c>
      <c r="T711" s="49" t="s">
        <v>63</v>
      </c>
      <c r="U711" s="48" t="s">
        <v>343</v>
      </c>
      <c r="V711" s="49"/>
      <c r="W711" s="71">
        <v>3</v>
      </c>
      <c r="X711" s="49" t="s">
        <v>6814</v>
      </c>
      <c r="Y711" s="49" t="s">
        <v>5178</v>
      </c>
      <c r="Z711" s="49" t="s">
        <v>1948</v>
      </c>
      <c r="AA711" s="61">
        <v>0.93</v>
      </c>
      <c r="AB711" s="71">
        <v>46135</v>
      </c>
      <c r="AC711" s="62" t="s">
        <v>9428</v>
      </c>
      <c r="AD711" s="53" t="str">
        <f t="shared" si="530"/>
        <v>Link</v>
      </c>
      <c r="AE711" s="54">
        <v>1702</v>
      </c>
      <c r="AF711" s="55"/>
      <c r="AG711" s="55"/>
      <c r="AH711" s="56">
        <v>193399</v>
      </c>
      <c r="AI711" s="56"/>
      <c r="AJ711" s="137"/>
      <c r="AK711" s="137"/>
    </row>
    <row r="712" spans="1:37" ht="13" x14ac:dyDescent="0.15">
      <c r="A712" s="47"/>
      <c r="B712" s="105" t="s">
        <v>7303</v>
      </c>
      <c r="C712" s="60" t="s">
        <v>43</v>
      </c>
      <c r="D712" s="44">
        <v>5</v>
      </c>
      <c r="E712" s="7" t="s">
        <v>9440</v>
      </c>
      <c r="F712" s="7"/>
      <c r="G712" s="7"/>
      <c r="H712" s="6" t="s">
        <v>9441</v>
      </c>
      <c r="I712" s="7" t="s">
        <v>1524</v>
      </c>
      <c r="J712" s="7" t="s">
        <v>9443</v>
      </c>
      <c r="K712" s="7" t="s">
        <v>48</v>
      </c>
      <c r="L712" s="7" t="s">
        <v>9444</v>
      </c>
      <c r="M712" s="7" t="s">
        <v>9445</v>
      </c>
      <c r="N712" s="48"/>
      <c r="O712" s="45" t="str">
        <f t="shared" ref="O712:O714" si="531">HYPERLINK("https://nazathletics.com/sports/2016/5/5/recruting-questionare.aspx","Questionnaire")</f>
        <v>Questionnaire</v>
      </c>
      <c r="P712" s="48" t="s">
        <v>9448</v>
      </c>
      <c r="Q712" s="60" t="s">
        <v>1304</v>
      </c>
      <c r="R712" s="48" t="s">
        <v>6875</v>
      </c>
      <c r="S712" s="48" t="s">
        <v>62</v>
      </c>
      <c r="T712" s="4" t="s">
        <v>63</v>
      </c>
      <c r="U712" s="48" t="s">
        <v>75</v>
      </c>
      <c r="V712" s="49"/>
      <c r="W712" s="37">
        <v>3.4</v>
      </c>
      <c r="X712" s="49" t="s">
        <v>675</v>
      </c>
      <c r="Y712" s="49" t="s">
        <v>676</v>
      </c>
      <c r="Z712" s="49" t="s">
        <v>3287</v>
      </c>
      <c r="AA712" s="65">
        <v>0.72</v>
      </c>
      <c r="AB712" s="39">
        <v>48299</v>
      </c>
      <c r="AC712" s="62" t="s">
        <v>9448</v>
      </c>
      <c r="AD712" s="53" t="str">
        <f t="shared" ref="AD712:AD714" si="532">HYPERLINK("https://www2.naz.edu/academics","Link")</f>
        <v>Link</v>
      </c>
      <c r="AE712" s="42">
        <v>2159</v>
      </c>
      <c r="AF712" s="55"/>
      <c r="AG712" s="55"/>
      <c r="AH712" s="56">
        <v>193584</v>
      </c>
      <c r="AI712" s="56"/>
      <c r="AJ712" s="137"/>
      <c r="AK712" s="137"/>
    </row>
    <row r="713" spans="1:37" ht="13" x14ac:dyDescent="0.15">
      <c r="A713" s="47"/>
      <c r="B713" s="105" t="s">
        <v>7303</v>
      </c>
      <c r="C713" s="60" t="s">
        <v>43</v>
      </c>
      <c r="D713" s="44">
        <v>5</v>
      </c>
      <c r="E713" s="7" t="s">
        <v>9456</v>
      </c>
      <c r="F713" s="7"/>
      <c r="G713" s="7"/>
      <c r="H713" s="6" t="s">
        <v>9441</v>
      </c>
      <c r="I713" s="7" t="s">
        <v>9457</v>
      </c>
      <c r="J713" s="7" t="s">
        <v>9442</v>
      </c>
      <c r="K713" s="7" t="s">
        <v>55</v>
      </c>
      <c r="L713" s="7" t="s">
        <v>9458</v>
      </c>
      <c r="M713" s="7"/>
      <c r="N713" s="48"/>
      <c r="O713" s="45" t="str">
        <f t="shared" si="531"/>
        <v>Questionnaire</v>
      </c>
      <c r="P713" s="48" t="s">
        <v>9448</v>
      </c>
      <c r="Q713" s="60" t="s">
        <v>1304</v>
      </c>
      <c r="R713" s="48" t="s">
        <v>6875</v>
      </c>
      <c r="S713" s="48" t="s">
        <v>62</v>
      </c>
      <c r="T713" s="4" t="s">
        <v>63</v>
      </c>
      <c r="U713" s="48" t="s">
        <v>75</v>
      </c>
      <c r="V713" s="49"/>
      <c r="W713" s="37">
        <v>3.4</v>
      </c>
      <c r="X713" s="49" t="s">
        <v>675</v>
      </c>
      <c r="Y713" s="49" t="s">
        <v>676</v>
      </c>
      <c r="Z713" s="49" t="s">
        <v>3287</v>
      </c>
      <c r="AA713" s="65">
        <v>0.72</v>
      </c>
      <c r="AB713" s="39">
        <v>48299</v>
      </c>
      <c r="AC713" s="62" t="s">
        <v>9448</v>
      </c>
      <c r="AD713" s="53" t="str">
        <f t="shared" si="532"/>
        <v>Link</v>
      </c>
      <c r="AE713" s="42">
        <v>2159</v>
      </c>
      <c r="AF713" s="55"/>
      <c r="AG713" s="55"/>
      <c r="AH713" s="56">
        <v>193584</v>
      </c>
      <c r="AI713" s="56"/>
      <c r="AJ713" s="137"/>
      <c r="AK713" s="137"/>
    </row>
    <row r="714" spans="1:37" ht="13" x14ac:dyDescent="0.15">
      <c r="A714" s="47"/>
      <c r="B714" s="105" t="s">
        <v>7303</v>
      </c>
      <c r="C714" s="60" t="s">
        <v>43</v>
      </c>
      <c r="D714" s="44">
        <v>5</v>
      </c>
      <c r="E714" s="7" t="s">
        <v>9459</v>
      </c>
      <c r="F714" s="7"/>
      <c r="G714" s="7"/>
      <c r="H714" s="6" t="s">
        <v>9441</v>
      </c>
      <c r="I714" s="7" t="s">
        <v>1052</v>
      </c>
      <c r="J714" s="7" t="s">
        <v>3206</v>
      </c>
      <c r="K714" s="7" t="s">
        <v>55</v>
      </c>
      <c r="L714" s="7"/>
      <c r="M714" s="7"/>
      <c r="N714" s="48"/>
      <c r="O714" s="45" t="str">
        <f t="shared" si="531"/>
        <v>Questionnaire</v>
      </c>
      <c r="P714" s="48" t="s">
        <v>9448</v>
      </c>
      <c r="Q714" s="60" t="s">
        <v>1304</v>
      </c>
      <c r="R714" s="48" t="s">
        <v>6875</v>
      </c>
      <c r="S714" s="48" t="s">
        <v>62</v>
      </c>
      <c r="T714" s="4" t="s">
        <v>63</v>
      </c>
      <c r="U714" s="48" t="s">
        <v>75</v>
      </c>
      <c r="V714" s="49"/>
      <c r="W714" s="65">
        <v>3.4</v>
      </c>
      <c r="X714" s="49" t="s">
        <v>675</v>
      </c>
      <c r="Y714" s="49" t="s">
        <v>676</v>
      </c>
      <c r="Z714" s="49" t="s">
        <v>3287</v>
      </c>
      <c r="AA714" s="65">
        <v>0.72</v>
      </c>
      <c r="AB714" s="39">
        <v>48299</v>
      </c>
      <c r="AC714" s="62" t="s">
        <v>9448</v>
      </c>
      <c r="AD714" s="53" t="str">
        <f t="shared" si="532"/>
        <v>Link</v>
      </c>
      <c r="AE714" s="42">
        <v>2159</v>
      </c>
      <c r="AF714" s="55"/>
      <c r="AG714" s="55"/>
      <c r="AH714" s="56">
        <v>193584</v>
      </c>
      <c r="AI714" s="56"/>
      <c r="AJ714" s="137"/>
      <c r="AK714" s="137"/>
    </row>
    <row r="715" spans="1:37" ht="15" x14ac:dyDescent="0.2">
      <c r="A715" s="47"/>
      <c r="B715" s="105" t="s">
        <v>7303</v>
      </c>
      <c r="C715" s="60" t="s">
        <v>43</v>
      </c>
      <c r="D715" s="44">
        <v>5</v>
      </c>
      <c r="E715" s="7" t="s">
        <v>9465</v>
      </c>
      <c r="F715" s="7"/>
      <c r="G715" s="7"/>
      <c r="H715" s="60" t="s">
        <v>9466</v>
      </c>
      <c r="I715" s="7" t="s">
        <v>9467</v>
      </c>
      <c r="J715" s="7" t="s">
        <v>2816</v>
      </c>
      <c r="K715" s="7" t="s">
        <v>48</v>
      </c>
      <c r="L715" s="7" t="s">
        <v>9468</v>
      </c>
      <c r="M715" s="7" t="s">
        <v>9469</v>
      </c>
      <c r="N715" s="45" t="str">
        <f t="shared" ref="N715:N717" si="533">HYPERLINK("twitter.com/nyu_softball","@nyu_softball")</f>
        <v>@nyu_softball</v>
      </c>
      <c r="O715" s="45" t="str">
        <f t="shared" ref="O715:O717" si="534">HYPERLINK("https://gonyuathletics.com/sb_output.aspx?form=3","Questionnaire")</f>
        <v>Questionnaire</v>
      </c>
      <c r="P715" s="48" t="s">
        <v>9466</v>
      </c>
      <c r="Q715" s="47" t="s">
        <v>1304</v>
      </c>
      <c r="R715" s="48" t="s">
        <v>1897</v>
      </c>
      <c r="S715" s="48" t="s">
        <v>288</v>
      </c>
      <c r="T715" s="49" t="s">
        <v>63</v>
      </c>
      <c r="U715" s="48" t="s">
        <v>75</v>
      </c>
      <c r="V715" s="49"/>
      <c r="W715" s="61">
        <v>3.7</v>
      </c>
      <c r="X715" s="49" t="s">
        <v>624</v>
      </c>
      <c r="Y715" s="49" t="s">
        <v>9478</v>
      </c>
      <c r="Z715" s="49" t="s">
        <v>1376</v>
      </c>
      <c r="AA715" s="61">
        <v>0.32</v>
      </c>
      <c r="AB715" s="71">
        <v>69710</v>
      </c>
      <c r="AC715" s="52" t="s">
        <v>9466</v>
      </c>
      <c r="AD715" s="53" t="str">
        <f t="shared" ref="AD715:AD717" si="535">HYPERLINK("https://www.nyu.edu/admissions/undergraduate-admissions/majors-and-programs.html","Link")</f>
        <v>Link</v>
      </c>
      <c r="AE715" s="54">
        <v>26135</v>
      </c>
      <c r="AF715" s="54">
        <v>30</v>
      </c>
      <c r="AG715" s="55"/>
      <c r="AH715" s="56">
        <v>193900</v>
      </c>
      <c r="AI715" s="56"/>
      <c r="AJ715" s="137"/>
      <c r="AK715" s="137"/>
    </row>
    <row r="716" spans="1:37" ht="15" x14ac:dyDescent="0.2">
      <c r="A716" s="47"/>
      <c r="B716" s="105" t="s">
        <v>7303</v>
      </c>
      <c r="C716" s="60" t="s">
        <v>43</v>
      </c>
      <c r="D716" s="44">
        <v>5</v>
      </c>
      <c r="E716" s="7" t="s">
        <v>9480</v>
      </c>
      <c r="F716" s="7"/>
      <c r="G716" s="7"/>
      <c r="H716" s="60" t="s">
        <v>9466</v>
      </c>
      <c r="I716" s="7" t="s">
        <v>9483</v>
      </c>
      <c r="J716" s="7" t="s">
        <v>9484</v>
      </c>
      <c r="K716" s="7" t="s">
        <v>55</v>
      </c>
      <c r="L716" s="7" t="s">
        <v>9485</v>
      </c>
      <c r="M716" s="7" t="s">
        <v>9469</v>
      </c>
      <c r="N716" s="45" t="str">
        <f t="shared" si="533"/>
        <v>@nyu_softball</v>
      </c>
      <c r="O716" s="45" t="str">
        <f t="shared" si="534"/>
        <v>Questionnaire</v>
      </c>
      <c r="P716" s="48" t="s">
        <v>9466</v>
      </c>
      <c r="Q716" s="47" t="s">
        <v>1304</v>
      </c>
      <c r="R716" s="48" t="s">
        <v>1897</v>
      </c>
      <c r="S716" s="48" t="s">
        <v>288</v>
      </c>
      <c r="T716" s="49" t="s">
        <v>63</v>
      </c>
      <c r="U716" s="48" t="s">
        <v>75</v>
      </c>
      <c r="V716" s="49"/>
      <c r="W716" s="44">
        <v>3.7</v>
      </c>
      <c r="X716" s="49" t="s">
        <v>624</v>
      </c>
      <c r="Y716" s="49" t="s">
        <v>9478</v>
      </c>
      <c r="Z716" s="49" t="s">
        <v>1376</v>
      </c>
      <c r="AA716" s="61">
        <v>0.32</v>
      </c>
      <c r="AB716" s="71">
        <v>69710</v>
      </c>
      <c r="AC716" s="52" t="s">
        <v>9466</v>
      </c>
      <c r="AD716" s="53" t="str">
        <f t="shared" si="535"/>
        <v>Link</v>
      </c>
      <c r="AE716" s="54">
        <v>26135</v>
      </c>
      <c r="AF716" s="54">
        <v>30</v>
      </c>
      <c r="AG716" s="55"/>
      <c r="AH716" s="56">
        <v>193900</v>
      </c>
      <c r="AI716" s="56"/>
      <c r="AJ716" s="137"/>
      <c r="AK716" s="137"/>
    </row>
    <row r="717" spans="1:37" ht="15" x14ac:dyDescent="0.2">
      <c r="A717" s="47"/>
      <c r="B717" s="105" t="s">
        <v>7303</v>
      </c>
      <c r="C717" s="60" t="s">
        <v>43</v>
      </c>
      <c r="D717" s="44">
        <v>5</v>
      </c>
      <c r="E717" s="7" t="s">
        <v>9489</v>
      </c>
      <c r="F717" s="7"/>
      <c r="G717" s="7"/>
      <c r="H717" s="60" t="s">
        <v>9466</v>
      </c>
      <c r="I717" s="7" t="s">
        <v>588</v>
      </c>
      <c r="J717" s="7" t="s">
        <v>9491</v>
      </c>
      <c r="K717" s="7" t="s">
        <v>55</v>
      </c>
      <c r="L717" s="7" t="s">
        <v>9492</v>
      </c>
      <c r="M717" s="7" t="s">
        <v>9469</v>
      </c>
      <c r="N717" s="45" t="str">
        <f t="shared" si="533"/>
        <v>@nyu_softball</v>
      </c>
      <c r="O717" s="45" t="str">
        <f t="shared" si="534"/>
        <v>Questionnaire</v>
      </c>
      <c r="P717" s="48" t="s">
        <v>9466</v>
      </c>
      <c r="Q717" s="47" t="s">
        <v>1304</v>
      </c>
      <c r="R717" s="48" t="s">
        <v>1897</v>
      </c>
      <c r="S717" s="48" t="s">
        <v>288</v>
      </c>
      <c r="T717" s="49" t="s">
        <v>63</v>
      </c>
      <c r="U717" s="48" t="s">
        <v>75</v>
      </c>
      <c r="V717" s="49"/>
      <c r="W717" s="44">
        <v>3.7</v>
      </c>
      <c r="X717" s="49" t="s">
        <v>624</v>
      </c>
      <c r="Y717" s="49" t="s">
        <v>9478</v>
      </c>
      <c r="Z717" s="49" t="s">
        <v>1376</v>
      </c>
      <c r="AA717" s="61">
        <v>0.32</v>
      </c>
      <c r="AB717" s="71">
        <v>69710</v>
      </c>
      <c r="AC717" s="52" t="s">
        <v>9466</v>
      </c>
      <c r="AD717" s="53" t="str">
        <f t="shared" si="535"/>
        <v>Link</v>
      </c>
      <c r="AE717" s="54">
        <v>26135</v>
      </c>
      <c r="AF717" s="54">
        <v>30</v>
      </c>
      <c r="AG717" s="55"/>
      <c r="AH717" s="56">
        <v>193900</v>
      </c>
      <c r="AI717" s="56"/>
      <c r="AJ717" s="137"/>
      <c r="AK717" s="137"/>
    </row>
    <row r="718" spans="1:37" ht="13" x14ac:dyDescent="0.15">
      <c r="A718" s="47"/>
      <c r="B718" s="105" t="s">
        <v>7303</v>
      </c>
      <c r="C718" s="60" t="s">
        <v>43</v>
      </c>
      <c r="D718" s="44">
        <v>5</v>
      </c>
      <c r="E718" s="7" t="s">
        <v>9502</v>
      </c>
      <c r="F718" s="7"/>
      <c r="G718" s="7"/>
      <c r="H718" s="60" t="s">
        <v>9504</v>
      </c>
      <c r="I718" s="7" t="s">
        <v>4599</v>
      </c>
      <c r="J718" s="7" t="s">
        <v>9505</v>
      </c>
      <c r="K718" s="7" t="s">
        <v>48</v>
      </c>
      <c r="L718" s="7" t="s">
        <v>9506</v>
      </c>
      <c r="M718" s="7" t="s">
        <v>9507</v>
      </c>
      <c r="N718" s="45" t="str">
        <f t="shared" ref="N718:N719" si="536">HYPERLINK("twitter.com/rpi_softball","@rpi_softball")</f>
        <v>@rpi_softball</v>
      </c>
      <c r="O718" s="45" t="str">
        <f t="shared" ref="O718:O719" si="537">HYPERLINK("https://rpiathletics.com/sb_output.aspx?frform=16&amp;path=softball","Questionnaire")</f>
        <v>Questionnaire</v>
      </c>
      <c r="P718" s="48" t="s">
        <v>9512</v>
      </c>
      <c r="Q718" s="60" t="s">
        <v>1304</v>
      </c>
      <c r="R718" s="48" t="s">
        <v>855</v>
      </c>
      <c r="S718" s="48" t="s">
        <v>468</v>
      </c>
      <c r="T718" s="73" t="s">
        <v>63</v>
      </c>
      <c r="U718" s="48" t="s">
        <v>75</v>
      </c>
      <c r="V718" s="49"/>
      <c r="W718" s="44">
        <v>3.88</v>
      </c>
      <c r="X718" s="49" t="s">
        <v>4686</v>
      </c>
      <c r="Y718" s="49" t="s">
        <v>4555</v>
      </c>
      <c r="Z718" s="49" t="s">
        <v>5510</v>
      </c>
      <c r="AA718" s="61">
        <v>0.44</v>
      </c>
      <c r="AB718" s="71">
        <v>68244</v>
      </c>
      <c r="AC718" s="90" t="s">
        <v>9512</v>
      </c>
      <c r="AD718" s="53" t="str">
        <f t="shared" ref="AD718:AD719" si="538">HYPERLINK("https://www.rpi.edu/academics/","Link")</f>
        <v>Link</v>
      </c>
      <c r="AE718" s="54">
        <v>6265</v>
      </c>
      <c r="AF718" s="54">
        <v>42</v>
      </c>
      <c r="AG718" s="55"/>
      <c r="AH718" s="56">
        <v>194824</v>
      </c>
      <c r="AI718" s="56"/>
      <c r="AJ718" s="137"/>
      <c r="AK718" s="137"/>
    </row>
    <row r="719" spans="1:37" ht="13" x14ac:dyDescent="0.15">
      <c r="A719" s="47"/>
      <c r="B719" s="105" t="s">
        <v>7303</v>
      </c>
      <c r="C719" s="60" t="s">
        <v>43</v>
      </c>
      <c r="D719" s="44">
        <v>5</v>
      </c>
      <c r="E719" s="7" t="s">
        <v>9519</v>
      </c>
      <c r="F719" s="7"/>
      <c r="G719" s="7"/>
      <c r="H719" s="60" t="s">
        <v>9504</v>
      </c>
      <c r="I719" s="7" t="s">
        <v>234</v>
      </c>
      <c r="J719" s="7" t="s">
        <v>9520</v>
      </c>
      <c r="K719" s="7" t="s">
        <v>55</v>
      </c>
      <c r="L719" s="7"/>
      <c r="M719" s="7"/>
      <c r="N719" s="45" t="str">
        <f t="shared" si="536"/>
        <v>@rpi_softball</v>
      </c>
      <c r="O719" s="45" t="str">
        <f t="shared" si="537"/>
        <v>Questionnaire</v>
      </c>
      <c r="P719" s="48" t="s">
        <v>9512</v>
      </c>
      <c r="Q719" s="60" t="s">
        <v>1304</v>
      </c>
      <c r="R719" s="48" t="s">
        <v>855</v>
      </c>
      <c r="S719" s="48" t="s">
        <v>468</v>
      </c>
      <c r="T719" s="73" t="s">
        <v>63</v>
      </c>
      <c r="U719" s="48" t="s">
        <v>75</v>
      </c>
      <c r="V719" s="49"/>
      <c r="W719" s="44">
        <v>3.88</v>
      </c>
      <c r="X719" s="49" t="s">
        <v>4686</v>
      </c>
      <c r="Y719" s="49" t="s">
        <v>4555</v>
      </c>
      <c r="Z719" s="49" t="s">
        <v>5510</v>
      </c>
      <c r="AA719" s="61">
        <v>0.44</v>
      </c>
      <c r="AB719" s="71">
        <v>68244</v>
      </c>
      <c r="AC719" s="90" t="s">
        <v>9512</v>
      </c>
      <c r="AD719" s="53" t="str">
        <f t="shared" si="538"/>
        <v>Link</v>
      </c>
      <c r="AE719" s="54">
        <v>6265</v>
      </c>
      <c r="AF719" s="54">
        <v>42</v>
      </c>
      <c r="AG719" s="55"/>
      <c r="AH719" s="56">
        <v>194824</v>
      </c>
      <c r="AI719" s="56"/>
      <c r="AJ719" s="137"/>
      <c r="AK719" s="137"/>
    </row>
    <row r="720" spans="1:37" ht="13" x14ac:dyDescent="0.15">
      <c r="A720" s="47"/>
      <c r="B720" s="105" t="s">
        <v>7303</v>
      </c>
      <c r="C720" s="60" t="s">
        <v>43</v>
      </c>
      <c r="D720" s="44">
        <v>5</v>
      </c>
      <c r="E720" s="7" t="s">
        <v>9527</v>
      </c>
      <c r="F720" s="7"/>
      <c r="G720" s="7"/>
      <c r="H720" s="6" t="s">
        <v>9528</v>
      </c>
      <c r="I720" s="7" t="s">
        <v>9529</v>
      </c>
      <c r="J720" s="7" t="s">
        <v>9530</v>
      </c>
      <c r="K720" s="7" t="s">
        <v>48</v>
      </c>
      <c r="L720" s="7" t="s">
        <v>9531</v>
      </c>
      <c r="M720" s="7" t="s">
        <v>9532</v>
      </c>
      <c r="N720" s="48"/>
      <c r="O720" s="48" t="s">
        <v>22</v>
      </c>
      <c r="P720" s="48" t="s">
        <v>9533</v>
      </c>
      <c r="Q720" s="60" t="s">
        <v>1304</v>
      </c>
      <c r="R720" s="48" t="s">
        <v>6875</v>
      </c>
      <c r="S720" s="48" t="s">
        <v>62</v>
      </c>
      <c r="T720" s="49" t="s">
        <v>63</v>
      </c>
      <c r="U720" s="48" t="s">
        <v>75</v>
      </c>
      <c r="V720" s="49"/>
      <c r="W720" s="44">
        <v>3.8</v>
      </c>
      <c r="X720" s="49" t="s">
        <v>1899</v>
      </c>
      <c r="Y720" s="49" t="s">
        <v>9534</v>
      </c>
      <c r="Z720" s="49" t="s">
        <v>1376</v>
      </c>
      <c r="AA720" s="61">
        <v>0.36</v>
      </c>
      <c r="AB720" s="71">
        <v>67722</v>
      </c>
      <c r="AC720" s="62" t="s">
        <v>9533</v>
      </c>
      <c r="AD720" s="53" t="str">
        <f t="shared" ref="AD720:AD722" si="539">HYPERLINK("https://enrollment.rochester.edu/academics/degrees/","Link")</f>
        <v>Link</v>
      </c>
      <c r="AE720" s="54">
        <v>6386</v>
      </c>
      <c r="AF720" s="54">
        <v>34</v>
      </c>
      <c r="AG720" s="55"/>
      <c r="AH720" s="56">
        <v>170967</v>
      </c>
      <c r="AI720" s="56"/>
      <c r="AJ720" s="137"/>
      <c r="AK720" s="137"/>
    </row>
    <row r="721" spans="1:37" ht="13" x14ac:dyDescent="0.15">
      <c r="A721" s="47"/>
      <c r="B721" s="105" t="s">
        <v>7303</v>
      </c>
      <c r="C721" s="60" t="s">
        <v>43</v>
      </c>
      <c r="D721" s="44">
        <v>5</v>
      </c>
      <c r="E721" s="7" t="s">
        <v>9543</v>
      </c>
      <c r="F721" s="7"/>
      <c r="G721" s="7"/>
      <c r="H721" s="6" t="s">
        <v>9528</v>
      </c>
      <c r="I721" s="7" t="s">
        <v>9544</v>
      </c>
      <c r="J721" s="7" t="s">
        <v>9545</v>
      </c>
      <c r="K721" s="7" t="s">
        <v>55</v>
      </c>
      <c r="L721" s="7" t="s">
        <v>9546</v>
      </c>
      <c r="M721" s="7" t="s">
        <v>9547</v>
      </c>
      <c r="N721" s="48"/>
      <c r="O721" s="48" t="s">
        <v>22</v>
      </c>
      <c r="P721" s="48" t="s">
        <v>9533</v>
      </c>
      <c r="Q721" s="60" t="s">
        <v>1304</v>
      </c>
      <c r="R721" s="48" t="s">
        <v>6875</v>
      </c>
      <c r="S721" s="48" t="s">
        <v>62</v>
      </c>
      <c r="T721" s="49" t="s">
        <v>63</v>
      </c>
      <c r="U721" s="48" t="s">
        <v>75</v>
      </c>
      <c r="V721" s="49"/>
      <c r="W721" s="44">
        <v>3.8</v>
      </c>
      <c r="X721" s="49" t="s">
        <v>1899</v>
      </c>
      <c r="Y721" s="49" t="s">
        <v>9534</v>
      </c>
      <c r="Z721" s="49" t="s">
        <v>1376</v>
      </c>
      <c r="AA721" s="61">
        <v>0.36</v>
      </c>
      <c r="AB721" s="71">
        <v>67722</v>
      </c>
      <c r="AC721" s="62" t="s">
        <v>9533</v>
      </c>
      <c r="AD721" s="53" t="str">
        <f t="shared" si="539"/>
        <v>Link</v>
      </c>
      <c r="AE721" s="54">
        <v>6386</v>
      </c>
      <c r="AF721" s="54">
        <v>34</v>
      </c>
      <c r="AG721" s="55"/>
      <c r="AH721" s="56">
        <v>170967</v>
      </c>
      <c r="AI721" s="56"/>
      <c r="AJ721" s="137"/>
      <c r="AK721" s="137"/>
    </row>
    <row r="722" spans="1:37" ht="13" x14ac:dyDescent="0.15">
      <c r="A722" s="47"/>
      <c r="B722" s="105" t="s">
        <v>7303</v>
      </c>
      <c r="C722" s="60" t="s">
        <v>43</v>
      </c>
      <c r="D722" s="44">
        <v>5</v>
      </c>
      <c r="E722" s="7" t="s">
        <v>9550</v>
      </c>
      <c r="F722" s="7"/>
      <c r="G722" s="7"/>
      <c r="H722" s="6" t="s">
        <v>9528</v>
      </c>
      <c r="I722" s="7" t="s">
        <v>1075</v>
      </c>
      <c r="J722" s="7" t="s">
        <v>9552</v>
      </c>
      <c r="K722" s="7" t="s">
        <v>55</v>
      </c>
      <c r="L722" s="7"/>
      <c r="M722" s="7"/>
      <c r="N722" s="7"/>
      <c r="O722" s="48" t="s">
        <v>22</v>
      </c>
      <c r="P722" s="48" t="s">
        <v>9533</v>
      </c>
      <c r="Q722" s="60" t="s">
        <v>1304</v>
      </c>
      <c r="R722" s="48" t="s">
        <v>6875</v>
      </c>
      <c r="S722" s="48" t="s">
        <v>62</v>
      </c>
      <c r="T722" s="49" t="s">
        <v>63</v>
      </c>
      <c r="U722" s="48" t="s">
        <v>75</v>
      </c>
      <c r="V722" s="49"/>
      <c r="W722" s="44">
        <v>3.8</v>
      </c>
      <c r="X722" s="49" t="s">
        <v>1899</v>
      </c>
      <c r="Y722" s="49" t="s">
        <v>9534</v>
      </c>
      <c r="Z722" s="49" t="s">
        <v>1376</v>
      </c>
      <c r="AA722" s="61">
        <v>0.36</v>
      </c>
      <c r="AB722" s="71">
        <v>67722</v>
      </c>
      <c r="AC722" s="62" t="s">
        <v>9533</v>
      </c>
      <c r="AD722" s="53" t="str">
        <f t="shared" si="539"/>
        <v>Link</v>
      </c>
      <c r="AE722" s="54">
        <v>6386</v>
      </c>
      <c r="AF722" s="54">
        <v>34</v>
      </c>
      <c r="AG722" s="55"/>
      <c r="AH722" s="56">
        <v>170967</v>
      </c>
      <c r="AI722" s="56"/>
      <c r="AJ722" s="137"/>
      <c r="AK722" s="137"/>
    </row>
    <row r="723" spans="1:37" ht="13" x14ac:dyDescent="0.15">
      <c r="A723" s="47"/>
      <c r="B723" s="105" t="s">
        <v>7303</v>
      </c>
      <c r="C723" s="60" t="s">
        <v>43</v>
      </c>
      <c r="D723" s="44">
        <v>5</v>
      </c>
      <c r="E723" s="7" t="s">
        <v>9556</v>
      </c>
      <c r="F723" s="7"/>
      <c r="G723" s="7"/>
      <c r="H723" s="60" t="s">
        <v>9557</v>
      </c>
      <c r="I723" s="7" t="s">
        <v>8467</v>
      </c>
      <c r="J723" s="7" t="s">
        <v>9559</v>
      </c>
      <c r="K723" s="7" t="s">
        <v>48</v>
      </c>
      <c r="L723" s="7" t="s">
        <v>9561</v>
      </c>
      <c r="M723" s="7" t="s">
        <v>9563</v>
      </c>
      <c r="N723" s="48"/>
      <c r="O723" s="45" t="str">
        <f t="shared" ref="O723:O724" si="540">HYPERLINK("http://www.rctcyellowjackets.com/information/prospective-athlete","Questionnaire")</f>
        <v>Questionnaire</v>
      </c>
      <c r="P723" s="48" t="s">
        <v>9567</v>
      </c>
      <c r="Q723" s="60" t="s">
        <v>1304</v>
      </c>
      <c r="R723" s="48" t="s">
        <v>6875</v>
      </c>
      <c r="S723" s="48" t="s">
        <v>62</v>
      </c>
      <c r="T723" s="49" t="s">
        <v>63</v>
      </c>
      <c r="U723" s="48" t="s">
        <v>75</v>
      </c>
      <c r="V723" s="49"/>
      <c r="W723" s="44">
        <v>3.7</v>
      </c>
      <c r="X723" s="49" t="s">
        <v>176</v>
      </c>
      <c r="Y723" s="49" t="s">
        <v>678</v>
      </c>
      <c r="Z723" s="49" t="s">
        <v>179</v>
      </c>
      <c r="AA723" s="61">
        <v>0.55000000000000004</v>
      </c>
      <c r="AB723" s="71">
        <v>53094</v>
      </c>
      <c r="AC723" s="90" t="s">
        <v>9567</v>
      </c>
      <c r="AD723" s="53" t="str">
        <f t="shared" ref="AD723:AD724" si="541">HYPERLINK("http://www.rit.edu/emcs/admissions/academics/majors","Link")</f>
        <v>Link</v>
      </c>
      <c r="AE723" s="54">
        <v>13384</v>
      </c>
      <c r="AF723" s="54">
        <v>97</v>
      </c>
      <c r="AG723" s="55"/>
      <c r="AH723" s="56">
        <v>195003</v>
      </c>
      <c r="AI723" s="56"/>
      <c r="AJ723" s="137"/>
      <c r="AK723" s="137"/>
    </row>
    <row r="724" spans="1:37" ht="13" x14ac:dyDescent="0.15">
      <c r="A724" s="47"/>
      <c r="B724" s="105" t="s">
        <v>7303</v>
      </c>
      <c r="C724" s="60" t="s">
        <v>43</v>
      </c>
      <c r="D724" s="44">
        <v>5</v>
      </c>
      <c r="E724" s="7" t="s">
        <v>9575</v>
      </c>
      <c r="F724" s="7"/>
      <c r="G724" s="7"/>
      <c r="H724" s="60" t="s">
        <v>9557</v>
      </c>
      <c r="I724" s="7" t="s">
        <v>1052</v>
      </c>
      <c r="J724" s="7" t="s">
        <v>1460</v>
      </c>
      <c r="K724" s="7" t="s">
        <v>55</v>
      </c>
      <c r="L724" s="7"/>
      <c r="M724" s="7" t="s">
        <v>9563</v>
      </c>
      <c r="N724" s="48"/>
      <c r="O724" s="45" t="str">
        <f t="shared" si="540"/>
        <v>Questionnaire</v>
      </c>
      <c r="P724" s="48" t="s">
        <v>9567</v>
      </c>
      <c r="Q724" s="60" t="s">
        <v>1304</v>
      </c>
      <c r="R724" s="48" t="s">
        <v>6875</v>
      </c>
      <c r="S724" s="48" t="s">
        <v>62</v>
      </c>
      <c r="T724" s="49" t="s">
        <v>63</v>
      </c>
      <c r="U724" s="48" t="s">
        <v>75</v>
      </c>
      <c r="V724" s="49"/>
      <c r="W724" s="44">
        <v>3.7</v>
      </c>
      <c r="X724" s="49" t="s">
        <v>176</v>
      </c>
      <c r="Y724" s="49" t="s">
        <v>678</v>
      </c>
      <c r="Z724" s="49" t="s">
        <v>179</v>
      </c>
      <c r="AA724" s="61">
        <v>0.55000000000000004</v>
      </c>
      <c r="AB724" s="71">
        <v>53094</v>
      </c>
      <c r="AC724" s="90" t="s">
        <v>9567</v>
      </c>
      <c r="AD724" s="53" t="str">
        <f t="shared" si="541"/>
        <v>Link</v>
      </c>
      <c r="AE724" s="54">
        <v>13384</v>
      </c>
      <c r="AF724" s="54">
        <v>97</v>
      </c>
      <c r="AG724" s="55"/>
      <c r="AH724" s="56">
        <v>195003</v>
      </c>
      <c r="AI724" s="56"/>
      <c r="AJ724" s="137"/>
      <c r="AK724" s="137"/>
    </row>
    <row r="725" spans="1:37" ht="13" x14ac:dyDescent="0.15">
      <c r="A725" s="47"/>
      <c r="B725" s="105" t="s">
        <v>7303</v>
      </c>
      <c r="C725" s="60" t="s">
        <v>43</v>
      </c>
      <c r="D725" s="44">
        <v>5</v>
      </c>
      <c r="E725" s="7" t="s">
        <v>9580</v>
      </c>
      <c r="F725" s="7"/>
      <c r="G725" s="7"/>
      <c r="H725" s="60" t="s">
        <v>9581</v>
      </c>
      <c r="I725" s="7" t="s">
        <v>2348</v>
      </c>
      <c r="J725" s="7" t="s">
        <v>9582</v>
      </c>
      <c r="K725" s="7" t="s">
        <v>48</v>
      </c>
      <c r="L725" s="7" t="s">
        <v>9583</v>
      </c>
      <c r="M725" s="7" t="s">
        <v>9584</v>
      </c>
      <c r="N725" s="45" t="str">
        <f t="shared" ref="N725:N726" si="542">HYPERLINK("twitter.com/sagesball","@sagesball")</f>
        <v>@sagesball</v>
      </c>
      <c r="O725" s="45" t="str">
        <f t="shared" ref="O725:O726" si="543">HYPERLINK("https://sage.secure.force.com/inquiry/targetx_eventsb__formpage?formid=217731","Questionnaire")</f>
        <v>Questionnaire</v>
      </c>
      <c r="P725" s="48" t="s">
        <v>9589</v>
      </c>
      <c r="Q725" s="60" t="s">
        <v>1304</v>
      </c>
      <c r="R725" s="48" t="s">
        <v>855</v>
      </c>
      <c r="S725" s="60" t="s">
        <v>468</v>
      </c>
      <c r="T725" s="4" t="s">
        <v>63</v>
      </c>
      <c r="U725" s="48" t="s">
        <v>75</v>
      </c>
      <c r="V725" s="49" t="s">
        <v>1006</v>
      </c>
      <c r="W725" s="37">
        <v>3.3</v>
      </c>
      <c r="X725" s="49" t="s">
        <v>1338</v>
      </c>
      <c r="Y725" s="49" t="s">
        <v>7200</v>
      </c>
      <c r="Z725" s="49" t="s">
        <v>3995</v>
      </c>
      <c r="AA725" s="65">
        <v>0.57999999999999996</v>
      </c>
      <c r="AB725" s="39">
        <v>45197</v>
      </c>
      <c r="AC725" s="90" t="s">
        <v>9589</v>
      </c>
      <c r="AD725" s="53" t="str">
        <f t="shared" ref="AD725:AD726" si="544">HYPERLINK("https://www.sage.edu/academics/programs-degrees/","Link")</f>
        <v>Link</v>
      </c>
      <c r="AE725" s="42">
        <v>1473</v>
      </c>
      <c r="AF725" s="55"/>
      <c r="AG725" s="55"/>
      <c r="AH725" s="56">
        <v>195137</v>
      </c>
      <c r="AI725" s="56"/>
      <c r="AJ725" s="137"/>
      <c r="AK725" s="137"/>
    </row>
    <row r="726" spans="1:37" ht="13" x14ac:dyDescent="0.15">
      <c r="A726" s="47"/>
      <c r="B726" s="105" t="s">
        <v>7303</v>
      </c>
      <c r="C726" s="60" t="s">
        <v>43</v>
      </c>
      <c r="D726" s="44">
        <v>5</v>
      </c>
      <c r="E726" s="7" t="s">
        <v>9594</v>
      </c>
      <c r="F726" s="7"/>
      <c r="G726" s="7"/>
      <c r="H726" s="60" t="s">
        <v>9581</v>
      </c>
      <c r="I726" s="7" t="s">
        <v>9596</v>
      </c>
      <c r="J726" s="7" t="s">
        <v>9597</v>
      </c>
      <c r="K726" s="7" t="s">
        <v>55</v>
      </c>
      <c r="L726" s="7"/>
      <c r="M726" s="7"/>
      <c r="N726" s="45" t="str">
        <f t="shared" si="542"/>
        <v>@sagesball</v>
      </c>
      <c r="O726" s="45" t="str">
        <f t="shared" si="543"/>
        <v>Questionnaire</v>
      </c>
      <c r="P726" s="48" t="s">
        <v>9589</v>
      </c>
      <c r="Q726" s="60" t="s">
        <v>1304</v>
      </c>
      <c r="R726" s="48" t="s">
        <v>855</v>
      </c>
      <c r="S726" s="60" t="s">
        <v>468</v>
      </c>
      <c r="T726" s="4" t="s">
        <v>63</v>
      </c>
      <c r="U726" s="48" t="s">
        <v>75</v>
      </c>
      <c r="V726" s="49" t="s">
        <v>1006</v>
      </c>
      <c r="W726" s="37">
        <v>3.3</v>
      </c>
      <c r="X726" s="49" t="s">
        <v>1338</v>
      </c>
      <c r="Y726" s="49" t="s">
        <v>7200</v>
      </c>
      <c r="Z726" s="49" t="s">
        <v>3995</v>
      </c>
      <c r="AA726" s="65">
        <v>0.57999999999999996</v>
      </c>
      <c r="AB726" s="39">
        <v>45197</v>
      </c>
      <c r="AC726" s="90" t="s">
        <v>9589</v>
      </c>
      <c r="AD726" s="53" t="str">
        <f t="shared" si="544"/>
        <v>Link</v>
      </c>
      <c r="AE726" s="42">
        <v>1473</v>
      </c>
      <c r="AF726" s="55"/>
      <c r="AG726" s="55"/>
      <c r="AH726" s="56">
        <v>195137</v>
      </c>
      <c r="AI726" s="56"/>
      <c r="AJ726" s="137"/>
      <c r="AK726" s="137"/>
    </row>
    <row r="727" spans="1:37" ht="13" x14ac:dyDescent="0.15">
      <c r="A727" s="47"/>
      <c r="B727" s="105" t="s">
        <v>7303</v>
      </c>
      <c r="C727" s="60" t="s">
        <v>43</v>
      </c>
      <c r="D727" s="44">
        <v>5</v>
      </c>
      <c r="E727" s="7" t="s">
        <v>9604</v>
      </c>
      <c r="F727" s="7"/>
      <c r="G727" s="7"/>
      <c r="H727" s="6" t="s">
        <v>9606</v>
      </c>
      <c r="I727" s="7" t="s">
        <v>3279</v>
      </c>
      <c r="J727" s="7" t="s">
        <v>9608</v>
      </c>
      <c r="K727" s="7" t="s">
        <v>48</v>
      </c>
      <c r="L727" s="7" t="s">
        <v>9611</v>
      </c>
      <c r="M727" s="48"/>
      <c r="N727" s="48"/>
      <c r="O727" s="45" t="str">
        <f>HYPERLINK("https://gogryphons.com/sports/2012/8/8/RecruitingHomepage.aspx","Questionnaire")</f>
        <v>Questionnaire</v>
      </c>
      <c r="P727" s="48" t="s">
        <v>9620</v>
      </c>
      <c r="Q727" s="60" t="s">
        <v>1304</v>
      </c>
      <c r="R727" s="48" t="s">
        <v>7353</v>
      </c>
      <c r="S727" s="60" t="s">
        <v>205</v>
      </c>
      <c r="T727" s="4" t="s">
        <v>63</v>
      </c>
      <c r="U727" s="48" t="s">
        <v>75</v>
      </c>
      <c r="V727" s="49"/>
      <c r="W727" s="65">
        <v>3.62</v>
      </c>
      <c r="X727" s="49" t="s">
        <v>624</v>
      </c>
      <c r="Y727" s="49" t="s">
        <v>6659</v>
      </c>
      <c r="Z727" s="49" t="s">
        <v>1900</v>
      </c>
      <c r="AA727" s="65">
        <v>0.52</v>
      </c>
      <c r="AB727" s="39">
        <v>68390</v>
      </c>
      <c r="AC727" s="62" t="s">
        <v>9620</v>
      </c>
      <c r="AD727" s="53" t="str">
        <f>HYPERLINK("https://www.sarahlawrence.edu/undergraduate/areas-of-study/","Link")</f>
        <v>Link</v>
      </c>
      <c r="AE727" s="42">
        <v>1438</v>
      </c>
      <c r="AF727" s="55"/>
      <c r="AG727" s="55"/>
      <c r="AH727" s="56">
        <v>195304</v>
      </c>
      <c r="AI727" s="56"/>
    </row>
    <row r="728" spans="1:37" ht="13" x14ac:dyDescent="0.15">
      <c r="A728" s="47"/>
      <c r="B728" s="105" t="s">
        <v>7303</v>
      </c>
      <c r="C728" s="60" t="s">
        <v>43</v>
      </c>
      <c r="D728" s="44">
        <v>5</v>
      </c>
      <c r="E728" s="7" t="s">
        <v>9625</v>
      </c>
      <c r="F728" s="7"/>
      <c r="G728" s="7"/>
      <c r="H728" s="6" t="s">
        <v>9626</v>
      </c>
      <c r="I728" s="7" t="s">
        <v>9629</v>
      </c>
      <c r="J728" s="7" t="s">
        <v>6717</v>
      </c>
      <c r="K728" s="7" t="s">
        <v>48</v>
      </c>
      <c r="L728" s="7" t="s">
        <v>9631</v>
      </c>
      <c r="M728" s="48" t="s">
        <v>9634</v>
      </c>
      <c r="N728" s="45" t="str">
        <f t="shared" ref="N728:N730" si="545">HYPERLINK("twitter.com/skidmoresball","@skidmoresball")</f>
        <v>@skidmoresball</v>
      </c>
      <c r="O728" s="45" t="str">
        <f t="shared" ref="O728:O730" si="546">HYPERLINK("http://www.frontrush.com/Templates/FRGeneral/Skidmore/softball/submissionform/submissionform.htm","Questionnaire")</f>
        <v>Questionnaire</v>
      </c>
      <c r="P728" s="48" t="s">
        <v>9642</v>
      </c>
      <c r="Q728" s="60" t="s">
        <v>1304</v>
      </c>
      <c r="R728" s="48" t="s">
        <v>9643</v>
      </c>
      <c r="S728" s="48" t="s">
        <v>468</v>
      </c>
      <c r="T728" s="49" t="s">
        <v>63</v>
      </c>
      <c r="U728" s="48" t="s">
        <v>75</v>
      </c>
      <c r="V728" s="49"/>
      <c r="W728" s="61">
        <v>3.68</v>
      </c>
      <c r="X728" s="49" t="s">
        <v>2804</v>
      </c>
      <c r="Y728" s="49" t="s">
        <v>677</v>
      </c>
      <c r="Z728" s="49" t="s">
        <v>2620</v>
      </c>
      <c r="AA728" s="61">
        <v>0.28999999999999998</v>
      </c>
      <c r="AB728" s="71">
        <v>67000</v>
      </c>
      <c r="AC728" s="90" t="s">
        <v>9642</v>
      </c>
      <c r="AD728" s="53" t="str">
        <f t="shared" ref="AD728:AD730" si="547">HYPERLINK("https://www.skidmore.edu/academics/majors.php","Link")</f>
        <v>Link</v>
      </c>
      <c r="AE728" s="54">
        <v>2680</v>
      </c>
      <c r="AF728" s="55"/>
      <c r="AG728" s="54">
        <v>41</v>
      </c>
      <c r="AH728" s="56">
        <v>195526</v>
      </c>
      <c r="AI728" s="56"/>
    </row>
    <row r="729" spans="1:37" ht="13" x14ac:dyDescent="0.15">
      <c r="A729" s="47"/>
      <c r="B729" s="105" t="s">
        <v>7303</v>
      </c>
      <c r="C729" s="60" t="s">
        <v>43</v>
      </c>
      <c r="D729" s="44">
        <v>5</v>
      </c>
      <c r="E729" s="7" t="s">
        <v>9654</v>
      </c>
      <c r="F729" s="7"/>
      <c r="G729" s="7"/>
      <c r="H729" s="6" t="s">
        <v>9626</v>
      </c>
      <c r="I729" s="7" t="s">
        <v>9655</v>
      </c>
      <c r="J729" s="7" t="s">
        <v>196</v>
      </c>
      <c r="K729" s="7" t="s">
        <v>55</v>
      </c>
      <c r="L729" s="7"/>
      <c r="M729" s="7"/>
      <c r="N729" s="45" t="str">
        <f t="shared" si="545"/>
        <v>@skidmoresball</v>
      </c>
      <c r="O729" s="45" t="str">
        <f t="shared" si="546"/>
        <v>Questionnaire</v>
      </c>
      <c r="P729" s="48" t="s">
        <v>9642</v>
      </c>
      <c r="Q729" s="60" t="s">
        <v>1304</v>
      </c>
      <c r="R729" s="48" t="s">
        <v>9643</v>
      </c>
      <c r="S729" s="48" t="s">
        <v>468</v>
      </c>
      <c r="T729" s="49" t="s">
        <v>63</v>
      </c>
      <c r="U729" s="48" t="s">
        <v>75</v>
      </c>
      <c r="V729" s="49"/>
      <c r="W729" s="44">
        <v>3.68</v>
      </c>
      <c r="X729" s="49" t="s">
        <v>2804</v>
      </c>
      <c r="Y729" s="49" t="s">
        <v>677</v>
      </c>
      <c r="Z729" s="49" t="s">
        <v>2620</v>
      </c>
      <c r="AA729" s="61">
        <v>0.28999999999999998</v>
      </c>
      <c r="AB729" s="71">
        <v>67000</v>
      </c>
      <c r="AC729" s="90" t="s">
        <v>9642</v>
      </c>
      <c r="AD729" s="53" t="str">
        <f t="shared" si="547"/>
        <v>Link</v>
      </c>
      <c r="AE729" s="54">
        <v>2680</v>
      </c>
      <c r="AF729" s="55"/>
      <c r="AG729" s="54">
        <v>41</v>
      </c>
      <c r="AH729" s="56">
        <v>195526</v>
      </c>
      <c r="AI729" s="56"/>
      <c r="AJ729" s="137"/>
      <c r="AK729" s="137"/>
    </row>
    <row r="730" spans="1:37" ht="13" x14ac:dyDescent="0.15">
      <c r="A730" s="47"/>
      <c r="B730" s="105" t="s">
        <v>7303</v>
      </c>
      <c r="C730" s="60" t="s">
        <v>43</v>
      </c>
      <c r="D730" s="44">
        <v>5</v>
      </c>
      <c r="E730" s="7" t="s">
        <v>9662</v>
      </c>
      <c r="F730" s="7"/>
      <c r="G730" s="7"/>
      <c r="H730" s="6" t="s">
        <v>9626</v>
      </c>
      <c r="I730" s="7" t="s">
        <v>1092</v>
      </c>
      <c r="J730" s="7" t="s">
        <v>9664</v>
      </c>
      <c r="K730" s="7" t="s">
        <v>919</v>
      </c>
      <c r="L730" s="7"/>
      <c r="M730" s="7"/>
      <c r="N730" s="45" t="str">
        <f t="shared" si="545"/>
        <v>@skidmoresball</v>
      </c>
      <c r="O730" s="45" t="str">
        <f t="shared" si="546"/>
        <v>Questionnaire</v>
      </c>
      <c r="P730" s="48" t="s">
        <v>9642</v>
      </c>
      <c r="Q730" s="60" t="s">
        <v>1304</v>
      </c>
      <c r="R730" s="48" t="s">
        <v>9643</v>
      </c>
      <c r="S730" s="48" t="s">
        <v>468</v>
      </c>
      <c r="T730" s="49" t="s">
        <v>63</v>
      </c>
      <c r="U730" s="48" t="s">
        <v>75</v>
      </c>
      <c r="V730" s="49"/>
      <c r="W730" s="44">
        <v>3.68</v>
      </c>
      <c r="X730" s="49" t="s">
        <v>2804</v>
      </c>
      <c r="Y730" s="49" t="s">
        <v>677</v>
      </c>
      <c r="Z730" s="49" t="s">
        <v>2620</v>
      </c>
      <c r="AA730" s="61">
        <v>0.28999999999999998</v>
      </c>
      <c r="AB730" s="71">
        <v>67000</v>
      </c>
      <c r="AC730" s="90" t="s">
        <v>9642</v>
      </c>
      <c r="AD730" s="53" t="str">
        <f t="shared" si="547"/>
        <v>Link</v>
      </c>
      <c r="AE730" s="54">
        <v>2680</v>
      </c>
      <c r="AF730" s="55"/>
      <c r="AG730" s="54">
        <v>41</v>
      </c>
      <c r="AH730" s="56">
        <v>195526</v>
      </c>
      <c r="AI730" s="56"/>
      <c r="AJ730" s="137"/>
      <c r="AK730" s="137"/>
    </row>
    <row r="731" spans="1:37" ht="13" x14ac:dyDescent="0.15">
      <c r="A731" s="47"/>
      <c r="B731" s="105" t="s">
        <v>7303</v>
      </c>
      <c r="C731" s="60" t="s">
        <v>43</v>
      </c>
      <c r="D731" s="44">
        <v>5</v>
      </c>
      <c r="E731" s="7" t="s">
        <v>9673</v>
      </c>
      <c r="F731" s="7"/>
      <c r="G731" s="7"/>
      <c r="H731" s="6" t="s">
        <v>9675</v>
      </c>
      <c r="I731" s="7" t="s">
        <v>9676</v>
      </c>
      <c r="J731" s="7" t="s">
        <v>9677</v>
      </c>
      <c r="K731" s="7" t="s">
        <v>48</v>
      </c>
      <c r="L731" s="7" t="s">
        <v>9680</v>
      </c>
      <c r="M731" s="7" t="s">
        <v>9682</v>
      </c>
      <c r="N731" s="48"/>
      <c r="O731" s="45" t="str">
        <f t="shared" ref="O731:O733" si="548">HYPERLINK("https://athletics.sjfc.edu/sports/2009/7/17/BB_0717095926.aspx","Questionnaire")</f>
        <v>Questionnaire</v>
      </c>
      <c r="P731" s="48" t="s">
        <v>9683</v>
      </c>
      <c r="Q731" s="47" t="s">
        <v>1304</v>
      </c>
      <c r="R731" s="48" t="s">
        <v>6875</v>
      </c>
      <c r="S731" s="48" t="s">
        <v>62</v>
      </c>
      <c r="T731" s="49" t="s">
        <v>63</v>
      </c>
      <c r="U731" s="48" t="s">
        <v>343</v>
      </c>
      <c r="V731" s="49"/>
      <c r="W731" s="44">
        <v>3.5</v>
      </c>
      <c r="X731" s="49" t="s">
        <v>9684</v>
      </c>
      <c r="Y731" s="49" t="s">
        <v>675</v>
      </c>
      <c r="Z731" s="49" t="s">
        <v>1510</v>
      </c>
      <c r="AA731" s="81">
        <v>0.65</v>
      </c>
      <c r="AB731" s="71">
        <v>46120</v>
      </c>
      <c r="AC731" s="62" t="s">
        <v>9683</v>
      </c>
      <c r="AD731" s="53" t="str">
        <f t="shared" ref="AD731:AD733" si="549">HYPERLINK("https://www.sjfc.edu/major-minors/","Link")</f>
        <v>Link</v>
      </c>
      <c r="AE731" s="54">
        <v>2770</v>
      </c>
      <c r="AF731" s="54">
        <v>145</v>
      </c>
      <c r="AG731" s="55"/>
      <c r="AH731" s="56">
        <v>195720</v>
      </c>
      <c r="AI731" s="56"/>
      <c r="AJ731" s="137"/>
      <c r="AK731" s="137"/>
    </row>
    <row r="732" spans="1:37" ht="13" x14ac:dyDescent="0.15">
      <c r="A732" s="47"/>
      <c r="B732" s="105" t="s">
        <v>7303</v>
      </c>
      <c r="C732" s="60" t="s">
        <v>43</v>
      </c>
      <c r="D732" s="44">
        <v>5</v>
      </c>
      <c r="E732" s="7" t="s">
        <v>9689</v>
      </c>
      <c r="F732" s="7"/>
      <c r="G732" s="7"/>
      <c r="H732" s="6" t="s">
        <v>9675</v>
      </c>
      <c r="I732" s="7" t="s">
        <v>4393</v>
      </c>
      <c r="J732" s="7" t="s">
        <v>2919</v>
      </c>
      <c r="K732" s="7" t="s">
        <v>55</v>
      </c>
      <c r="L732" s="7"/>
      <c r="M732" s="7"/>
      <c r="N732" s="48"/>
      <c r="O732" s="45" t="str">
        <f t="shared" si="548"/>
        <v>Questionnaire</v>
      </c>
      <c r="P732" s="48" t="s">
        <v>9683</v>
      </c>
      <c r="Q732" s="47" t="s">
        <v>1304</v>
      </c>
      <c r="R732" s="48" t="s">
        <v>6875</v>
      </c>
      <c r="S732" s="48" t="s">
        <v>62</v>
      </c>
      <c r="T732" s="49" t="s">
        <v>63</v>
      </c>
      <c r="U732" s="48" t="s">
        <v>343</v>
      </c>
      <c r="V732" s="49"/>
      <c r="W732" s="44">
        <v>3.5</v>
      </c>
      <c r="X732" s="49" t="s">
        <v>9684</v>
      </c>
      <c r="Y732" s="49" t="s">
        <v>675</v>
      </c>
      <c r="Z732" s="49" t="s">
        <v>1510</v>
      </c>
      <c r="AA732" s="81">
        <v>0.65</v>
      </c>
      <c r="AB732" s="71">
        <v>46120</v>
      </c>
      <c r="AC732" s="62" t="s">
        <v>9683</v>
      </c>
      <c r="AD732" s="53" t="str">
        <f t="shared" si="549"/>
        <v>Link</v>
      </c>
      <c r="AE732" s="54">
        <v>2770</v>
      </c>
      <c r="AF732" s="54">
        <v>145</v>
      </c>
      <c r="AG732" s="55"/>
      <c r="AH732" s="56">
        <v>195720</v>
      </c>
      <c r="AI732" s="56"/>
      <c r="AJ732" s="137"/>
      <c r="AK732" s="137"/>
    </row>
    <row r="733" spans="1:37" ht="13" x14ac:dyDescent="0.15">
      <c r="A733" s="47"/>
      <c r="B733" s="105" t="s">
        <v>7303</v>
      </c>
      <c r="C733" s="60" t="s">
        <v>43</v>
      </c>
      <c r="D733" s="44">
        <v>5</v>
      </c>
      <c r="E733" s="7" t="s">
        <v>9698</v>
      </c>
      <c r="F733" s="7"/>
      <c r="G733" s="7"/>
      <c r="H733" s="6" t="s">
        <v>9675</v>
      </c>
      <c r="I733" s="7" t="s">
        <v>4118</v>
      </c>
      <c r="J733" s="7" t="s">
        <v>9699</v>
      </c>
      <c r="K733" s="7" t="s">
        <v>139</v>
      </c>
      <c r="L733" s="7"/>
      <c r="M733" s="7"/>
      <c r="N733" s="48"/>
      <c r="O733" s="45" t="str">
        <f t="shared" si="548"/>
        <v>Questionnaire</v>
      </c>
      <c r="P733" s="48" t="s">
        <v>9683</v>
      </c>
      <c r="Q733" s="47" t="s">
        <v>1304</v>
      </c>
      <c r="R733" s="48" t="s">
        <v>6875</v>
      </c>
      <c r="S733" s="48" t="s">
        <v>62</v>
      </c>
      <c r="T733" s="49" t="s">
        <v>63</v>
      </c>
      <c r="U733" s="48" t="s">
        <v>343</v>
      </c>
      <c r="V733" s="49"/>
      <c r="W733" s="44">
        <v>3.5</v>
      </c>
      <c r="X733" s="49" t="s">
        <v>9684</v>
      </c>
      <c r="Y733" s="49" t="s">
        <v>675</v>
      </c>
      <c r="Z733" s="49" t="s">
        <v>1510</v>
      </c>
      <c r="AA733" s="81">
        <v>0.65</v>
      </c>
      <c r="AB733" s="71">
        <v>46120</v>
      </c>
      <c r="AC733" s="62" t="s">
        <v>9683</v>
      </c>
      <c r="AD733" s="53" t="str">
        <f t="shared" si="549"/>
        <v>Link</v>
      </c>
      <c r="AE733" s="54">
        <v>2770</v>
      </c>
      <c r="AF733" s="54">
        <v>145</v>
      </c>
      <c r="AG733" s="55"/>
      <c r="AH733" s="56">
        <v>195720</v>
      </c>
      <c r="AI733" s="56"/>
      <c r="AJ733" s="137"/>
      <c r="AK733" s="137"/>
    </row>
    <row r="734" spans="1:37" ht="13" x14ac:dyDescent="0.15">
      <c r="A734" s="47"/>
      <c r="B734" s="105" t="s">
        <v>7303</v>
      </c>
      <c r="C734" s="60" t="s">
        <v>43</v>
      </c>
      <c r="D734" s="44">
        <v>5</v>
      </c>
      <c r="E734" s="7" t="s">
        <v>9707</v>
      </c>
      <c r="F734" s="7"/>
      <c r="G734" s="7"/>
      <c r="H734" s="6" t="s">
        <v>9709</v>
      </c>
      <c r="I734" s="7" t="s">
        <v>1726</v>
      </c>
      <c r="J734" s="7" t="s">
        <v>9710</v>
      </c>
      <c r="K734" s="7" t="s">
        <v>48</v>
      </c>
      <c r="L734" s="7" t="s">
        <v>9711</v>
      </c>
      <c r="M734" s="7" t="s">
        <v>9712</v>
      </c>
      <c r="N734" s="45" t="str">
        <f t="shared" ref="N734:N737" si="550">HYPERLINK("twitter.com/sjcbearssball","@sjcbearssball")</f>
        <v>@sjcbearssball</v>
      </c>
      <c r="O734" s="45" t="str">
        <f t="shared" ref="O734:O737" si="551">HYPERLINK("http://www.sjcbears.com/recruit-me/prospective-athlete-form-old-2","Questionnaire")</f>
        <v>Questionnaire</v>
      </c>
      <c r="P734" s="48" t="s">
        <v>9718</v>
      </c>
      <c r="Q734" s="60" t="s">
        <v>1304</v>
      </c>
      <c r="R734" s="6" t="s">
        <v>1897</v>
      </c>
      <c r="S734" s="49" t="s">
        <v>288</v>
      </c>
      <c r="T734" s="49" t="s">
        <v>63</v>
      </c>
      <c r="U734" s="6" t="s">
        <v>343</v>
      </c>
      <c r="V734" s="49"/>
      <c r="W734" s="37">
        <v>3.3</v>
      </c>
      <c r="X734" s="49" t="s">
        <v>9723</v>
      </c>
      <c r="Y734" s="49" t="s">
        <v>253</v>
      </c>
      <c r="Z734" s="49" t="s">
        <v>9724</v>
      </c>
      <c r="AA734" s="81">
        <v>0.77</v>
      </c>
      <c r="AB734" s="39">
        <v>41880</v>
      </c>
      <c r="AC734" s="84" t="s">
        <v>9718</v>
      </c>
      <c r="AD734" s="67" t="str">
        <f t="shared" ref="AD734:AD741" si="552">HYPERLINK("https://www.sjcny.edu/brooklyn/academics/programs-departments","Link")</f>
        <v>Link</v>
      </c>
      <c r="AE734" s="42">
        <v>950</v>
      </c>
      <c r="AF734" s="55"/>
      <c r="AG734" s="55"/>
      <c r="AH734" s="56">
        <v>195544</v>
      </c>
      <c r="AI734" s="56"/>
      <c r="AJ734" s="137"/>
      <c r="AK734" s="137"/>
    </row>
    <row r="735" spans="1:37" ht="13" x14ac:dyDescent="0.15">
      <c r="A735" s="47"/>
      <c r="B735" s="105" t="s">
        <v>7303</v>
      </c>
      <c r="C735" s="60" t="s">
        <v>43</v>
      </c>
      <c r="D735" s="44">
        <v>5</v>
      </c>
      <c r="E735" s="7" t="s">
        <v>9729</v>
      </c>
      <c r="F735" s="7"/>
      <c r="G735" s="7"/>
      <c r="H735" s="6" t="s">
        <v>9709</v>
      </c>
      <c r="I735" s="7" t="s">
        <v>2739</v>
      </c>
      <c r="J735" s="7" t="s">
        <v>9730</v>
      </c>
      <c r="K735" s="7" t="s">
        <v>55</v>
      </c>
      <c r="L735" s="7" t="s">
        <v>9732</v>
      </c>
      <c r="M735" s="7" t="s">
        <v>9712</v>
      </c>
      <c r="N735" s="45" t="str">
        <f t="shared" si="550"/>
        <v>@sjcbearssball</v>
      </c>
      <c r="O735" s="45" t="str">
        <f t="shared" si="551"/>
        <v>Questionnaire</v>
      </c>
      <c r="P735" s="48" t="s">
        <v>9718</v>
      </c>
      <c r="Q735" s="60" t="s">
        <v>1304</v>
      </c>
      <c r="R735" s="6" t="s">
        <v>1897</v>
      </c>
      <c r="S735" s="49" t="s">
        <v>288</v>
      </c>
      <c r="T735" s="49" t="s">
        <v>63</v>
      </c>
      <c r="U735" s="6" t="s">
        <v>343</v>
      </c>
      <c r="V735" s="49"/>
      <c r="W735" s="37">
        <v>3.3</v>
      </c>
      <c r="X735" s="49" t="s">
        <v>9723</v>
      </c>
      <c r="Y735" s="49" t="s">
        <v>253</v>
      </c>
      <c r="Z735" s="49" t="s">
        <v>9724</v>
      </c>
      <c r="AA735" s="81">
        <v>0.77</v>
      </c>
      <c r="AB735" s="39">
        <v>41880</v>
      </c>
      <c r="AC735" s="84" t="s">
        <v>9718</v>
      </c>
      <c r="AD735" s="67" t="str">
        <f t="shared" si="552"/>
        <v>Link</v>
      </c>
      <c r="AE735" s="42">
        <v>950</v>
      </c>
      <c r="AF735" s="55"/>
      <c r="AG735" s="55"/>
      <c r="AH735" s="56">
        <v>195544</v>
      </c>
      <c r="AI735" s="56"/>
      <c r="AJ735" s="137"/>
      <c r="AK735" s="137"/>
    </row>
    <row r="736" spans="1:37" ht="13" x14ac:dyDescent="0.15">
      <c r="A736" s="47"/>
      <c r="B736" s="105" t="s">
        <v>7303</v>
      </c>
      <c r="C736" s="60" t="s">
        <v>43</v>
      </c>
      <c r="D736" s="44">
        <v>5</v>
      </c>
      <c r="E736" s="7" t="s">
        <v>9741</v>
      </c>
      <c r="F736" s="7"/>
      <c r="G736" s="7"/>
      <c r="H736" s="6" t="s">
        <v>9709</v>
      </c>
      <c r="I736" s="7" t="s">
        <v>2816</v>
      </c>
      <c r="J736" s="7" t="s">
        <v>9742</v>
      </c>
      <c r="K736" s="7" t="s">
        <v>55</v>
      </c>
      <c r="L736" s="7" t="s">
        <v>9744</v>
      </c>
      <c r="M736" s="7" t="s">
        <v>9712</v>
      </c>
      <c r="N736" s="45" t="str">
        <f t="shared" si="550"/>
        <v>@sjcbearssball</v>
      </c>
      <c r="O736" s="45" t="str">
        <f t="shared" si="551"/>
        <v>Questionnaire</v>
      </c>
      <c r="P736" s="48" t="s">
        <v>9718</v>
      </c>
      <c r="Q736" s="60" t="s">
        <v>1304</v>
      </c>
      <c r="R736" s="6" t="s">
        <v>1897</v>
      </c>
      <c r="S736" s="49" t="s">
        <v>288</v>
      </c>
      <c r="T736" s="49" t="s">
        <v>63</v>
      </c>
      <c r="U736" s="6" t="s">
        <v>343</v>
      </c>
      <c r="V736" s="49"/>
      <c r="W736" s="37">
        <v>3.3</v>
      </c>
      <c r="X736" s="49" t="s">
        <v>9723</v>
      </c>
      <c r="Y736" s="49" t="s">
        <v>253</v>
      </c>
      <c r="Z736" s="49" t="s">
        <v>9724</v>
      </c>
      <c r="AA736" s="81">
        <v>0.77</v>
      </c>
      <c r="AB736" s="39">
        <v>41880</v>
      </c>
      <c r="AC736" s="84" t="s">
        <v>9718</v>
      </c>
      <c r="AD736" s="67" t="str">
        <f t="shared" si="552"/>
        <v>Link</v>
      </c>
      <c r="AE736" s="42">
        <v>950</v>
      </c>
      <c r="AF736" s="55"/>
      <c r="AG736" s="55"/>
      <c r="AH736" s="56">
        <v>195544</v>
      </c>
      <c r="AI736" s="56"/>
      <c r="AJ736" s="137"/>
      <c r="AK736" s="137"/>
    </row>
    <row r="737" spans="1:37" ht="13" x14ac:dyDescent="0.15">
      <c r="A737" s="47"/>
      <c r="B737" s="105" t="s">
        <v>7303</v>
      </c>
      <c r="C737" s="60" t="s">
        <v>43</v>
      </c>
      <c r="D737" s="44">
        <v>5</v>
      </c>
      <c r="E737" s="7" t="s">
        <v>9749</v>
      </c>
      <c r="F737" s="7"/>
      <c r="G737" s="7"/>
      <c r="H737" s="6" t="s">
        <v>9709</v>
      </c>
      <c r="I737" s="7" t="s">
        <v>5947</v>
      </c>
      <c r="J737" s="7" t="s">
        <v>9750</v>
      </c>
      <c r="K737" s="7" t="s">
        <v>139</v>
      </c>
      <c r="L737" s="7"/>
      <c r="M737" s="7" t="s">
        <v>9712</v>
      </c>
      <c r="N737" s="45" t="str">
        <f t="shared" si="550"/>
        <v>@sjcbearssball</v>
      </c>
      <c r="O737" s="45" t="str">
        <f t="shared" si="551"/>
        <v>Questionnaire</v>
      </c>
      <c r="P737" s="48" t="s">
        <v>9718</v>
      </c>
      <c r="Q737" s="60" t="s">
        <v>1304</v>
      </c>
      <c r="R737" s="6" t="s">
        <v>1897</v>
      </c>
      <c r="S737" s="49" t="s">
        <v>288</v>
      </c>
      <c r="T737" s="49" t="s">
        <v>63</v>
      </c>
      <c r="U737" s="6" t="s">
        <v>343</v>
      </c>
      <c r="V737" s="49"/>
      <c r="W737" s="37">
        <v>3.3</v>
      </c>
      <c r="X737" s="49" t="s">
        <v>9723</v>
      </c>
      <c r="Y737" s="49" t="s">
        <v>253</v>
      </c>
      <c r="Z737" s="49" t="s">
        <v>9724</v>
      </c>
      <c r="AA737" s="81">
        <v>0.77</v>
      </c>
      <c r="AB737" s="39">
        <v>41880</v>
      </c>
      <c r="AC737" s="84" t="s">
        <v>9718</v>
      </c>
      <c r="AD737" s="67" t="str">
        <f t="shared" si="552"/>
        <v>Link</v>
      </c>
      <c r="AE737" s="42">
        <v>950</v>
      </c>
      <c r="AF737" s="55"/>
      <c r="AG737" s="55"/>
      <c r="AH737" s="56">
        <v>195544</v>
      </c>
      <c r="AI737" s="56"/>
      <c r="AJ737" s="137"/>
      <c r="AK737" s="137"/>
    </row>
    <row r="738" spans="1:37" ht="15" x14ac:dyDescent="0.2">
      <c r="A738" s="47"/>
      <c r="B738" s="105" t="s">
        <v>7303</v>
      </c>
      <c r="C738" s="60" t="s">
        <v>43</v>
      </c>
      <c r="D738" s="44">
        <v>5</v>
      </c>
      <c r="E738" s="7" t="s">
        <v>9756</v>
      </c>
      <c r="F738" s="7"/>
      <c r="G738" s="7"/>
      <c r="H738" s="6" t="s">
        <v>9757</v>
      </c>
      <c r="I738" s="7" t="s">
        <v>1822</v>
      </c>
      <c r="J738" s="7" t="s">
        <v>9758</v>
      </c>
      <c r="K738" s="7" t="s">
        <v>48</v>
      </c>
      <c r="L738" s="7" t="s">
        <v>9759</v>
      </c>
      <c r="M738" s="7" t="s">
        <v>9760</v>
      </c>
      <c r="N738" s="48"/>
      <c r="O738" s="45" t="str">
        <f t="shared" ref="O738:O741" si="553">HYPERLINK("https://www.sjcgoldeneagles.com/inside_athletics/Recruit_Me","Questionnaire")</f>
        <v>Questionnaire</v>
      </c>
      <c r="P738" s="48" t="s">
        <v>9767</v>
      </c>
      <c r="Q738" s="47" t="s">
        <v>1304</v>
      </c>
      <c r="R738" s="48" t="s">
        <v>1897</v>
      </c>
      <c r="S738" s="48" t="s">
        <v>288</v>
      </c>
      <c r="T738" s="49" t="s">
        <v>63</v>
      </c>
      <c r="U738" s="48" t="s">
        <v>343</v>
      </c>
      <c r="V738" s="49"/>
      <c r="W738" s="44">
        <v>3.6</v>
      </c>
      <c r="X738" s="49" t="s">
        <v>9723</v>
      </c>
      <c r="Y738" s="49" t="s">
        <v>253</v>
      </c>
      <c r="Z738" s="49" t="s">
        <v>9724</v>
      </c>
      <c r="AA738" s="80">
        <v>0.77</v>
      </c>
      <c r="AB738" s="71">
        <v>41880</v>
      </c>
      <c r="AC738" s="62" t="s">
        <v>9767</v>
      </c>
      <c r="AD738" s="53" t="str">
        <f t="shared" si="552"/>
        <v>Link</v>
      </c>
      <c r="AE738" s="54">
        <v>950</v>
      </c>
      <c r="AF738" s="55"/>
      <c r="AG738" s="55"/>
      <c r="AH738" s="56">
        <v>195562</v>
      </c>
      <c r="AI738" s="56"/>
      <c r="AJ738" s="137"/>
      <c r="AK738" s="137"/>
    </row>
    <row r="739" spans="1:37" ht="15" x14ac:dyDescent="0.2">
      <c r="A739" s="47"/>
      <c r="B739" s="105" t="s">
        <v>7303</v>
      </c>
      <c r="C739" s="60" t="s">
        <v>43</v>
      </c>
      <c r="D739" s="44">
        <v>5</v>
      </c>
      <c r="E739" s="7" t="s">
        <v>9769</v>
      </c>
      <c r="F739" s="7"/>
      <c r="G739" s="7"/>
      <c r="H739" s="6" t="s">
        <v>9757</v>
      </c>
      <c r="I739" s="7" t="s">
        <v>9771</v>
      </c>
      <c r="J739" s="7" t="s">
        <v>9773</v>
      </c>
      <c r="K739" s="7" t="s">
        <v>55</v>
      </c>
      <c r="L739" s="7" t="s">
        <v>9774</v>
      </c>
      <c r="M739" s="7" t="s">
        <v>9760</v>
      </c>
      <c r="N739" s="48"/>
      <c r="O739" s="45" t="str">
        <f t="shared" si="553"/>
        <v>Questionnaire</v>
      </c>
      <c r="P739" s="48" t="s">
        <v>9767</v>
      </c>
      <c r="Q739" s="47" t="s">
        <v>1304</v>
      </c>
      <c r="R739" s="48" t="s">
        <v>1897</v>
      </c>
      <c r="S739" s="48" t="s">
        <v>288</v>
      </c>
      <c r="T739" s="49" t="s">
        <v>63</v>
      </c>
      <c r="U739" s="48" t="s">
        <v>343</v>
      </c>
      <c r="V739" s="49"/>
      <c r="W739" s="44">
        <v>3.6</v>
      </c>
      <c r="X739" s="49" t="s">
        <v>9723</v>
      </c>
      <c r="Y739" s="49" t="s">
        <v>253</v>
      </c>
      <c r="Z739" s="49" t="s">
        <v>9724</v>
      </c>
      <c r="AA739" s="80">
        <v>0.77</v>
      </c>
      <c r="AB739" s="71">
        <v>41880</v>
      </c>
      <c r="AC739" s="62" t="s">
        <v>9767</v>
      </c>
      <c r="AD739" s="53" t="str">
        <f t="shared" si="552"/>
        <v>Link</v>
      </c>
      <c r="AE739" s="54">
        <v>950</v>
      </c>
      <c r="AF739" s="55"/>
      <c r="AG739" s="55"/>
      <c r="AH739" s="56">
        <v>195562</v>
      </c>
      <c r="AI739" s="56"/>
      <c r="AJ739" s="137"/>
      <c r="AK739" s="137"/>
    </row>
    <row r="740" spans="1:37" ht="15" x14ac:dyDescent="0.2">
      <c r="A740" s="47"/>
      <c r="B740" s="105" t="s">
        <v>7303</v>
      </c>
      <c r="C740" s="60" t="s">
        <v>43</v>
      </c>
      <c r="D740" s="44">
        <v>5</v>
      </c>
      <c r="E740" s="7" t="s">
        <v>9778</v>
      </c>
      <c r="F740" s="7"/>
      <c r="G740" s="7"/>
      <c r="H740" s="6" t="s">
        <v>9757</v>
      </c>
      <c r="I740" s="7" t="s">
        <v>9780</v>
      </c>
      <c r="J740" s="7" t="s">
        <v>9781</v>
      </c>
      <c r="K740" s="7" t="s">
        <v>55</v>
      </c>
      <c r="L740" s="7" t="s">
        <v>9782</v>
      </c>
      <c r="M740" s="7" t="s">
        <v>9760</v>
      </c>
      <c r="N740" s="48"/>
      <c r="O740" s="45" t="str">
        <f t="shared" si="553"/>
        <v>Questionnaire</v>
      </c>
      <c r="P740" s="48" t="s">
        <v>9767</v>
      </c>
      <c r="Q740" s="47" t="s">
        <v>1304</v>
      </c>
      <c r="R740" s="48" t="s">
        <v>1897</v>
      </c>
      <c r="S740" s="48" t="s">
        <v>288</v>
      </c>
      <c r="T740" s="49" t="s">
        <v>63</v>
      </c>
      <c r="U740" s="48" t="s">
        <v>343</v>
      </c>
      <c r="V740" s="49"/>
      <c r="W740" s="44">
        <v>3.6</v>
      </c>
      <c r="X740" s="49" t="s">
        <v>9723</v>
      </c>
      <c r="Y740" s="49" t="s">
        <v>253</v>
      </c>
      <c r="Z740" s="49" t="s">
        <v>9724</v>
      </c>
      <c r="AA740" s="80">
        <v>0.77</v>
      </c>
      <c r="AB740" s="71">
        <v>41880</v>
      </c>
      <c r="AC740" s="62" t="s">
        <v>9767</v>
      </c>
      <c r="AD740" s="53" t="str">
        <f t="shared" si="552"/>
        <v>Link</v>
      </c>
      <c r="AE740" s="54">
        <v>950</v>
      </c>
      <c r="AF740" s="55"/>
      <c r="AG740" s="55"/>
      <c r="AH740" s="56">
        <v>195562</v>
      </c>
      <c r="AI740" s="56"/>
      <c r="AJ740" s="137"/>
      <c r="AK740" s="137"/>
    </row>
    <row r="741" spans="1:37" ht="15" x14ac:dyDescent="0.2">
      <c r="A741" s="47"/>
      <c r="B741" s="105" t="s">
        <v>7303</v>
      </c>
      <c r="C741" s="60" t="s">
        <v>43</v>
      </c>
      <c r="D741" s="44">
        <v>5</v>
      </c>
      <c r="E741" s="7" t="s">
        <v>9788</v>
      </c>
      <c r="F741" s="7"/>
      <c r="G741" s="7"/>
      <c r="H741" s="6" t="s">
        <v>9757</v>
      </c>
      <c r="I741" s="7" t="s">
        <v>9792</v>
      </c>
      <c r="J741" s="7" t="s">
        <v>9793</v>
      </c>
      <c r="K741" s="7" t="s">
        <v>139</v>
      </c>
      <c r="L741" s="7"/>
      <c r="M741" s="7" t="s">
        <v>9760</v>
      </c>
      <c r="N741" s="48"/>
      <c r="O741" s="45" t="str">
        <f t="shared" si="553"/>
        <v>Questionnaire</v>
      </c>
      <c r="P741" s="48" t="s">
        <v>9767</v>
      </c>
      <c r="Q741" s="47" t="s">
        <v>1304</v>
      </c>
      <c r="R741" s="48" t="s">
        <v>1897</v>
      </c>
      <c r="S741" s="48" t="s">
        <v>288</v>
      </c>
      <c r="T741" s="49" t="s">
        <v>63</v>
      </c>
      <c r="U741" s="48" t="s">
        <v>343</v>
      </c>
      <c r="V741" s="49"/>
      <c r="W741" s="44">
        <v>3.6</v>
      </c>
      <c r="X741" s="49" t="s">
        <v>9723</v>
      </c>
      <c r="Y741" s="49" t="s">
        <v>253</v>
      </c>
      <c r="Z741" s="49" t="s">
        <v>9724</v>
      </c>
      <c r="AA741" s="80">
        <v>0.77</v>
      </c>
      <c r="AB741" s="71">
        <v>41880</v>
      </c>
      <c r="AC741" s="62" t="s">
        <v>9767</v>
      </c>
      <c r="AD741" s="53" t="str">
        <f t="shared" si="552"/>
        <v>Link</v>
      </c>
      <c r="AE741" s="54">
        <v>950</v>
      </c>
      <c r="AF741" s="55"/>
      <c r="AG741" s="55"/>
      <c r="AH741" s="56">
        <v>195562</v>
      </c>
      <c r="AI741" s="56"/>
      <c r="AJ741" s="137"/>
      <c r="AK741" s="137"/>
    </row>
    <row r="742" spans="1:37" ht="15" x14ac:dyDescent="0.2">
      <c r="A742" s="47"/>
      <c r="B742" s="105" t="s">
        <v>7303</v>
      </c>
      <c r="C742" s="60" t="s">
        <v>43</v>
      </c>
      <c r="D742" s="44">
        <v>5</v>
      </c>
      <c r="E742" s="7" t="s">
        <v>9794</v>
      </c>
      <c r="F742" s="7"/>
      <c r="G742" s="7"/>
      <c r="H742" s="6" t="s">
        <v>9796</v>
      </c>
      <c r="I742" s="7" t="s">
        <v>9797</v>
      </c>
      <c r="J742" s="7" t="s">
        <v>9798</v>
      </c>
      <c r="K742" s="7" t="s">
        <v>48</v>
      </c>
      <c r="L742" s="7" t="s">
        <v>9800</v>
      </c>
      <c r="M742" s="7" t="s">
        <v>9802</v>
      </c>
      <c r="N742" s="48"/>
      <c r="O742" s="45" t="str">
        <f t="shared" ref="O742:O743" si="554">HYPERLINK("https://saintsathletics.com/sb_output.aspx?form=3","Questionnaire")</f>
        <v>Questionnaire</v>
      </c>
      <c r="P742" s="48" t="s">
        <v>9808</v>
      </c>
      <c r="Q742" s="60" t="s">
        <v>1304</v>
      </c>
      <c r="R742" s="48" t="s">
        <v>8508</v>
      </c>
      <c r="S742" s="60" t="s">
        <v>205</v>
      </c>
      <c r="T742" s="49" t="s">
        <v>63</v>
      </c>
      <c r="U742" s="48" t="s">
        <v>75</v>
      </c>
      <c r="V742" s="49"/>
      <c r="W742" s="44">
        <v>3.56</v>
      </c>
      <c r="X742" s="49" t="s">
        <v>176</v>
      </c>
      <c r="Y742" s="49" t="s">
        <v>1777</v>
      </c>
      <c r="Z742" s="49" t="s">
        <v>2620</v>
      </c>
      <c r="AA742" s="80">
        <v>0.43</v>
      </c>
      <c r="AB742" s="71">
        <v>66040</v>
      </c>
      <c r="AC742" s="62" t="s">
        <v>9808</v>
      </c>
      <c r="AD742" s="53" t="str">
        <f t="shared" ref="AD742:AD743" si="555">HYPERLINK("http://www.stlawu.edu/academics","Link")</f>
        <v>Link</v>
      </c>
      <c r="AE742" s="54">
        <v>2377</v>
      </c>
      <c r="AF742" s="55"/>
      <c r="AG742" s="54">
        <v>58</v>
      </c>
      <c r="AH742" s="56">
        <v>195216</v>
      </c>
      <c r="AI742" s="56"/>
      <c r="AJ742" s="137"/>
      <c r="AK742" s="137"/>
    </row>
    <row r="743" spans="1:37" ht="15" x14ac:dyDescent="0.2">
      <c r="A743" s="47"/>
      <c r="B743" s="105" t="s">
        <v>7303</v>
      </c>
      <c r="C743" s="60" t="s">
        <v>43</v>
      </c>
      <c r="D743" s="44">
        <v>5</v>
      </c>
      <c r="E743" s="7" t="s">
        <v>9814</v>
      </c>
      <c r="F743" s="7"/>
      <c r="G743" s="7"/>
      <c r="H743" s="6" t="s">
        <v>9796</v>
      </c>
      <c r="I743" s="7" t="s">
        <v>270</v>
      </c>
      <c r="J743" s="7" t="s">
        <v>9815</v>
      </c>
      <c r="K743" s="7" t="s">
        <v>55</v>
      </c>
      <c r="L743" s="7" t="s">
        <v>9816</v>
      </c>
      <c r="M743" s="7" t="s">
        <v>9817</v>
      </c>
      <c r="N743" s="48"/>
      <c r="O743" s="45" t="str">
        <f t="shared" si="554"/>
        <v>Questionnaire</v>
      </c>
      <c r="P743" s="48" t="s">
        <v>9808</v>
      </c>
      <c r="Q743" s="60" t="s">
        <v>1304</v>
      </c>
      <c r="R743" s="48" t="s">
        <v>8508</v>
      </c>
      <c r="S743" s="60" t="s">
        <v>205</v>
      </c>
      <c r="T743" s="49" t="s">
        <v>63</v>
      </c>
      <c r="U743" s="48" t="s">
        <v>75</v>
      </c>
      <c r="V743" s="49"/>
      <c r="W743" s="44">
        <v>3.56</v>
      </c>
      <c r="X743" s="49" t="s">
        <v>176</v>
      </c>
      <c r="Y743" s="49" t="s">
        <v>1777</v>
      </c>
      <c r="Z743" s="49" t="s">
        <v>2620</v>
      </c>
      <c r="AA743" s="80">
        <v>0.43</v>
      </c>
      <c r="AB743" s="71">
        <v>66040</v>
      </c>
      <c r="AC743" s="62" t="s">
        <v>9808</v>
      </c>
      <c r="AD743" s="53" t="str">
        <f t="shared" si="555"/>
        <v>Link</v>
      </c>
      <c r="AE743" s="54">
        <v>2377</v>
      </c>
      <c r="AF743" s="55"/>
      <c r="AG743" s="54">
        <v>58</v>
      </c>
      <c r="AH743" s="56">
        <v>195216</v>
      </c>
      <c r="AI743" s="56"/>
      <c r="AJ743" s="137"/>
      <c r="AK743" s="137"/>
    </row>
    <row r="744" spans="1:37" ht="15" x14ac:dyDescent="0.2">
      <c r="A744" s="47"/>
      <c r="B744" s="105" t="s">
        <v>7303</v>
      </c>
      <c r="C744" s="60" t="s">
        <v>43</v>
      </c>
      <c r="D744" s="44">
        <v>5</v>
      </c>
      <c r="E744" s="7" t="s">
        <v>9826</v>
      </c>
      <c r="F744" s="7"/>
      <c r="G744" s="7"/>
      <c r="H744" s="6" t="s">
        <v>9827</v>
      </c>
      <c r="I744" s="7" t="s">
        <v>658</v>
      </c>
      <c r="J744" s="7" t="s">
        <v>9828</v>
      </c>
      <c r="K744" s="7" t="s">
        <v>48</v>
      </c>
      <c r="L744" s="7" t="s">
        <v>9829</v>
      </c>
      <c r="M744" s="7" t="s">
        <v>9830</v>
      </c>
      <c r="N744" s="45" t="str">
        <f t="shared" ref="N744:N746" si="556">HYPERLINK("twitter.com/BrockportSoftb1","@BrockportSoftb1")</f>
        <v>@BrockportSoftb1</v>
      </c>
      <c r="O744" s="45" t="str">
        <f t="shared" ref="O744:O746" si="557">HYPERLINK("https://gobrockport.com/sb_output.aspx?frform=23&amp;path=softball","Questionnaire")</f>
        <v>Questionnaire</v>
      </c>
      <c r="P744" s="48" t="s">
        <v>9837</v>
      </c>
      <c r="Q744" s="47" t="s">
        <v>1304</v>
      </c>
      <c r="R744" s="48" t="s">
        <v>9839</v>
      </c>
      <c r="S744" s="60" t="s">
        <v>205</v>
      </c>
      <c r="T744" s="49" t="s">
        <v>74</v>
      </c>
      <c r="U744" s="48" t="s">
        <v>75</v>
      </c>
      <c r="V744" s="49"/>
      <c r="W744" s="44">
        <v>2.93</v>
      </c>
      <c r="X744" s="49" t="s">
        <v>397</v>
      </c>
      <c r="Y744" s="49" t="s">
        <v>522</v>
      </c>
      <c r="Z744" s="49" t="s">
        <v>1994</v>
      </c>
      <c r="AA744" s="61">
        <v>0.55000000000000004</v>
      </c>
      <c r="AB744" s="48" t="s">
        <v>9842</v>
      </c>
      <c r="AC744" s="52" t="s">
        <v>9837</v>
      </c>
      <c r="AD744" s="53" t="str">
        <f t="shared" ref="AD744:AD746" si="558">HYPERLINK("https://www.brockport.edu/academics/programs.html","Link")</f>
        <v>Link</v>
      </c>
      <c r="AE744" s="54">
        <v>7128</v>
      </c>
      <c r="AF744" s="55"/>
      <c r="AG744" s="55"/>
      <c r="AH744" s="56">
        <v>196121</v>
      </c>
      <c r="AI744" s="56"/>
      <c r="AJ744" s="137"/>
      <c r="AK744" s="137"/>
    </row>
    <row r="745" spans="1:37" ht="15" x14ac:dyDescent="0.2">
      <c r="A745" s="47"/>
      <c r="B745" s="105" t="s">
        <v>7303</v>
      </c>
      <c r="C745" s="60" t="s">
        <v>43</v>
      </c>
      <c r="D745" s="44">
        <v>5</v>
      </c>
      <c r="E745" s="7" t="s">
        <v>9847</v>
      </c>
      <c r="F745" s="7"/>
      <c r="G745" s="7"/>
      <c r="H745" s="6" t="s">
        <v>9827</v>
      </c>
      <c r="I745" s="7" t="s">
        <v>439</v>
      </c>
      <c r="J745" s="7" t="s">
        <v>9850</v>
      </c>
      <c r="K745" s="7" t="s">
        <v>55</v>
      </c>
      <c r="L745" s="7" t="s">
        <v>9853</v>
      </c>
      <c r="M745" s="7" t="s">
        <v>9830</v>
      </c>
      <c r="N745" s="45" t="str">
        <f t="shared" si="556"/>
        <v>@BrockportSoftb1</v>
      </c>
      <c r="O745" s="45" t="str">
        <f t="shared" si="557"/>
        <v>Questionnaire</v>
      </c>
      <c r="P745" s="48" t="s">
        <v>9837</v>
      </c>
      <c r="Q745" s="47" t="s">
        <v>1304</v>
      </c>
      <c r="R745" s="48" t="s">
        <v>9839</v>
      </c>
      <c r="S745" s="60" t="s">
        <v>205</v>
      </c>
      <c r="T745" s="49" t="s">
        <v>74</v>
      </c>
      <c r="U745" s="48" t="s">
        <v>75</v>
      </c>
      <c r="V745" s="49"/>
      <c r="W745" s="44">
        <v>2.93</v>
      </c>
      <c r="X745" s="49" t="s">
        <v>397</v>
      </c>
      <c r="Y745" s="49" t="s">
        <v>522</v>
      </c>
      <c r="Z745" s="49" t="s">
        <v>1994</v>
      </c>
      <c r="AA745" s="61">
        <v>0.55000000000000004</v>
      </c>
      <c r="AB745" s="48" t="s">
        <v>9842</v>
      </c>
      <c r="AC745" s="52" t="s">
        <v>9837</v>
      </c>
      <c r="AD745" s="53" t="str">
        <f t="shared" si="558"/>
        <v>Link</v>
      </c>
      <c r="AE745" s="54">
        <v>7128</v>
      </c>
      <c r="AF745" s="55"/>
      <c r="AG745" s="55"/>
      <c r="AH745" s="56">
        <v>196121</v>
      </c>
      <c r="AI745" s="56"/>
      <c r="AJ745" s="137"/>
      <c r="AK745" s="137"/>
    </row>
    <row r="746" spans="1:37" ht="15" x14ac:dyDescent="0.2">
      <c r="A746" s="47"/>
      <c r="B746" s="105" t="s">
        <v>7303</v>
      </c>
      <c r="C746" s="60" t="s">
        <v>43</v>
      </c>
      <c r="D746" s="44">
        <v>5</v>
      </c>
      <c r="E746" s="7" t="s">
        <v>9857</v>
      </c>
      <c r="F746" s="7"/>
      <c r="G746" s="7"/>
      <c r="H746" s="6" t="s">
        <v>9827</v>
      </c>
      <c r="I746" s="7" t="s">
        <v>442</v>
      </c>
      <c r="J746" s="7" t="s">
        <v>9858</v>
      </c>
      <c r="K746" s="7" t="s">
        <v>55</v>
      </c>
      <c r="L746" s="7" t="s">
        <v>9860</v>
      </c>
      <c r="M746" s="7"/>
      <c r="N746" s="45" t="str">
        <f t="shared" si="556"/>
        <v>@BrockportSoftb1</v>
      </c>
      <c r="O746" s="45" t="str">
        <f t="shared" si="557"/>
        <v>Questionnaire</v>
      </c>
      <c r="P746" s="48" t="s">
        <v>9837</v>
      </c>
      <c r="Q746" s="47" t="s">
        <v>1304</v>
      </c>
      <c r="R746" s="48" t="s">
        <v>9839</v>
      </c>
      <c r="S746" s="60" t="s">
        <v>205</v>
      </c>
      <c r="T746" s="49" t="s">
        <v>74</v>
      </c>
      <c r="U746" s="48" t="s">
        <v>75</v>
      </c>
      <c r="V746" s="49"/>
      <c r="W746" s="44">
        <v>2.93</v>
      </c>
      <c r="X746" s="49" t="s">
        <v>397</v>
      </c>
      <c r="Y746" s="49" t="s">
        <v>522</v>
      </c>
      <c r="Z746" s="49" t="s">
        <v>1994</v>
      </c>
      <c r="AA746" s="61">
        <v>0.55000000000000004</v>
      </c>
      <c r="AB746" s="48" t="s">
        <v>9842</v>
      </c>
      <c r="AC746" s="52" t="s">
        <v>9837</v>
      </c>
      <c r="AD746" s="53" t="str">
        <f t="shared" si="558"/>
        <v>Link</v>
      </c>
      <c r="AE746" s="54">
        <v>7128</v>
      </c>
      <c r="AF746" s="55"/>
      <c r="AG746" s="55"/>
      <c r="AH746" s="56">
        <v>196121</v>
      </c>
      <c r="AI746" s="56"/>
      <c r="AJ746" s="137"/>
      <c r="AK746" s="137"/>
    </row>
    <row r="747" spans="1:37" ht="13" x14ac:dyDescent="0.15">
      <c r="A747" s="47"/>
      <c r="B747" s="105" t="s">
        <v>7303</v>
      </c>
      <c r="C747" s="60" t="s">
        <v>43</v>
      </c>
      <c r="D747" s="44">
        <v>5</v>
      </c>
      <c r="E747" s="7" t="s">
        <v>9864</v>
      </c>
      <c r="F747" s="7"/>
      <c r="G747" s="7"/>
      <c r="H747" s="6" t="s">
        <v>9865</v>
      </c>
      <c r="I747" s="7" t="s">
        <v>6985</v>
      </c>
      <c r="J747" s="7" t="s">
        <v>8236</v>
      </c>
      <c r="K747" s="7" t="s">
        <v>55</v>
      </c>
      <c r="L747" s="7"/>
      <c r="M747" s="7"/>
      <c r="N747" s="48"/>
      <c r="O747" s="48"/>
      <c r="P747" s="48" t="s">
        <v>9866</v>
      </c>
      <c r="Q747" s="60" t="s">
        <v>1304</v>
      </c>
      <c r="R747" s="6" t="s">
        <v>7539</v>
      </c>
      <c r="S747" s="4" t="s">
        <v>62</v>
      </c>
      <c r="T747" s="4" t="s">
        <v>74</v>
      </c>
      <c r="U747" s="49" t="s">
        <v>75</v>
      </c>
      <c r="V747" s="49"/>
      <c r="W747" s="37">
        <v>3.15</v>
      </c>
      <c r="X747" s="49" t="s">
        <v>1399</v>
      </c>
      <c r="Y747" s="49" t="s">
        <v>9869</v>
      </c>
      <c r="Z747" s="4" t="s">
        <v>1948</v>
      </c>
      <c r="AA747" s="38">
        <v>0.64059999999999995</v>
      </c>
      <c r="AB747" s="48" t="s">
        <v>9871</v>
      </c>
      <c r="AC747" s="66" t="s">
        <v>9866</v>
      </c>
      <c r="AD747" s="67" t="str">
        <f t="shared" ref="AD747:AD750" si="559">HYPERLINK("http://suny.buffalostate.edu/programs","Link")</f>
        <v>Link</v>
      </c>
      <c r="AE747" s="42">
        <v>8482</v>
      </c>
      <c r="AF747" s="55"/>
      <c r="AG747" s="55"/>
      <c r="AH747" s="56">
        <v>196130</v>
      </c>
      <c r="AI747" s="56"/>
      <c r="AJ747" s="137"/>
      <c r="AK747" s="137"/>
    </row>
    <row r="748" spans="1:37" ht="13" x14ac:dyDescent="0.15">
      <c r="A748" s="47"/>
      <c r="B748" s="105" t="s">
        <v>7303</v>
      </c>
      <c r="C748" s="60" t="s">
        <v>43</v>
      </c>
      <c r="D748" s="44">
        <v>5</v>
      </c>
      <c r="E748" s="7" t="s">
        <v>9874</v>
      </c>
      <c r="F748" s="7"/>
      <c r="G748" s="7"/>
      <c r="H748" s="6" t="s">
        <v>9865</v>
      </c>
      <c r="I748" s="7" t="s">
        <v>1217</v>
      </c>
      <c r="J748" s="7" t="s">
        <v>196</v>
      </c>
      <c r="K748" s="7" t="s">
        <v>48</v>
      </c>
      <c r="L748" s="7" t="s">
        <v>9875</v>
      </c>
      <c r="M748" s="7" t="s">
        <v>9876</v>
      </c>
      <c r="N748" s="45" t="str">
        <f t="shared" ref="N748:N750" si="560">HYPERLINK("twitter.com/SoftballState","@SoftballState")</f>
        <v>@SoftballState</v>
      </c>
      <c r="O748" s="45" t="str">
        <f t="shared" ref="O748:O750" si="561">HYPERLINK("https://www.frontrush.com/FR_Web_App/Player/PlayerSubmit.aspx?sid=MTcyNzY=-6XbFhy087JU=&amp;ptype=recruit","Questionnaire")</f>
        <v>Questionnaire</v>
      </c>
      <c r="P748" s="48" t="s">
        <v>9866</v>
      </c>
      <c r="Q748" s="60" t="s">
        <v>1304</v>
      </c>
      <c r="R748" s="6" t="s">
        <v>7539</v>
      </c>
      <c r="S748" s="4" t="s">
        <v>62</v>
      </c>
      <c r="T748" s="4" t="s">
        <v>74</v>
      </c>
      <c r="U748" s="49" t="s">
        <v>75</v>
      </c>
      <c r="V748" s="49"/>
      <c r="W748" s="37">
        <v>3.15</v>
      </c>
      <c r="X748" s="49" t="s">
        <v>1399</v>
      </c>
      <c r="Y748" s="49" t="s">
        <v>9869</v>
      </c>
      <c r="Z748" s="4" t="s">
        <v>1948</v>
      </c>
      <c r="AA748" s="38">
        <v>0.64059999999999995</v>
      </c>
      <c r="AB748" s="48" t="s">
        <v>9871</v>
      </c>
      <c r="AC748" s="66" t="s">
        <v>9866</v>
      </c>
      <c r="AD748" s="67" t="str">
        <f t="shared" si="559"/>
        <v>Link</v>
      </c>
      <c r="AE748" s="42">
        <v>8482</v>
      </c>
      <c r="AF748" s="55"/>
      <c r="AG748" s="55"/>
      <c r="AH748" s="56">
        <v>196130</v>
      </c>
      <c r="AI748" s="56"/>
      <c r="AJ748" s="137"/>
      <c r="AK748" s="137"/>
    </row>
    <row r="749" spans="1:37" ht="13" x14ac:dyDescent="0.15">
      <c r="A749" s="47"/>
      <c r="B749" s="105" t="s">
        <v>7303</v>
      </c>
      <c r="C749" s="60" t="s">
        <v>43</v>
      </c>
      <c r="D749" s="44">
        <v>5</v>
      </c>
      <c r="E749" s="7" t="s">
        <v>9887</v>
      </c>
      <c r="F749" s="7"/>
      <c r="G749" s="7"/>
      <c r="H749" s="6" t="s">
        <v>9865</v>
      </c>
      <c r="I749" s="7" t="s">
        <v>222</v>
      </c>
      <c r="J749" s="7" t="s">
        <v>2919</v>
      </c>
      <c r="K749" s="7" t="s">
        <v>55</v>
      </c>
      <c r="L749" s="7" t="s">
        <v>9891</v>
      </c>
      <c r="M749" s="7"/>
      <c r="N749" s="45" t="str">
        <f t="shared" si="560"/>
        <v>@SoftballState</v>
      </c>
      <c r="O749" s="45" t="str">
        <f t="shared" si="561"/>
        <v>Questionnaire</v>
      </c>
      <c r="P749" s="48" t="s">
        <v>9866</v>
      </c>
      <c r="Q749" s="60" t="s">
        <v>1304</v>
      </c>
      <c r="R749" s="6" t="s">
        <v>7539</v>
      </c>
      <c r="S749" s="4" t="s">
        <v>62</v>
      </c>
      <c r="T749" s="4" t="s">
        <v>74</v>
      </c>
      <c r="U749" s="49" t="s">
        <v>75</v>
      </c>
      <c r="V749" s="49"/>
      <c r="W749" s="37">
        <v>3.15</v>
      </c>
      <c r="X749" s="49" t="s">
        <v>1399</v>
      </c>
      <c r="Y749" s="49" t="s">
        <v>9869</v>
      </c>
      <c r="Z749" s="4" t="s">
        <v>1948</v>
      </c>
      <c r="AA749" s="38">
        <v>0.64059999999999995</v>
      </c>
      <c r="AB749" s="48" t="s">
        <v>9871</v>
      </c>
      <c r="AC749" s="66" t="s">
        <v>9866</v>
      </c>
      <c r="AD749" s="67" t="str">
        <f t="shared" si="559"/>
        <v>Link</v>
      </c>
      <c r="AE749" s="42">
        <v>8482</v>
      </c>
      <c r="AF749" s="55"/>
      <c r="AG749" s="55"/>
      <c r="AH749" s="56">
        <v>196130</v>
      </c>
      <c r="AI749" s="56"/>
      <c r="AJ749" s="137"/>
      <c r="AK749" s="137"/>
    </row>
    <row r="750" spans="1:37" ht="13" x14ac:dyDescent="0.15">
      <c r="A750" s="47"/>
      <c r="B750" s="105" t="s">
        <v>7303</v>
      </c>
      <c r="C750" s="60" t="s">
        <v>43</v>
      </c>
      <c r="D750" s="44">
        <v>5</v>
      </c>
      <c r="E750" s="7" t="s">
        <v>9896</v>
      </c>
      <c r="F750" s="7"/>
      <c r="G750" s="7"/>
      <c r="H750" s="6" t="s">
        <v>9865</v>
      </c>
      <c r="I750" s="7" t="s">
        <v>439</v>
      </c>
      <c r="J750" s="7" t="s">
        <v>9898</v>
      </c>
      <c r="K750" s="7" t="s">
        <v>55</v>
      </c>
      <c r="L750" s="7"/>
      <c r="M750" s="7" t="s">
        <v>9876</v>
      </c>
      <c r="N750" s="45" t="str">
        <f t="shared" si="560"/>
        <v>@SoftballState</v>
      </c>
      <c r="O750" s="45" t="str">
        <f t="shared" si="561"/>
        <v>Questionnaire</v>
      </c>
      <c r="P750" s="48" t="s">
        <v>9866</v>
      </c>
      <c r="Q750" s="60" t="s">
        <v>1304</v>
      </c>
      <c r="R750" s="6" t="s">
        <v>7539</v>
      </c>
      <c r="S750" s="4" t="s">
        <v>62</v>
      </c>
      <c r="T750" s="4" t="s">
        <v>74</v>
      </c>
      <c r="U750" s="49" t="s">
        <v>75</v>
      </c>
      <c r="V750" s="49"/>
      <c r="W750" s="37">
        <v>3.15</v>
      </c>
      <c r="X750" s="49" t="s">
        <v>1399</v>
      </c>
      <c r="Y750" s="49" t="s">
        <v>9869</v>
      </c>
      <c r="Z750" s="4" t="s">
        <v>1948</v>
      </c>
      <c r="AA750" s="38">
        <v>0.64059999999999995</v>
      </c>
      <c r="AB750" s="48" t="s">
        <v>9871</v>
      </c>
      <c r="AC750" s="66" t="s">
        <v>9866</v>
      </c>
      <c r="AD750" s="67" t="str">
        <f t="shared" si="559"/>
        <v>Link</v>
      </c>
      <c r="AE750" s="42">
        <v>8482</v>
      </c>
      <c r="AF750" s="55"/>
      <c r="AG750" s="55"/>
      <c r="AH750" s="56">
        <v>196130</v>
      </c>
      <c r="AI750" s="56"/>
      <c r="AJ750" s="137"/>
      <c r="AK750" s="137"/>
    </row>
    <row r="751" spans="1:37" ht="15" x14ac:dyDescent="0.2">
      <c r="A751" s="47"/>
      <c r="B751" s="105" t="s">
        <v>7303</v>
      </c>
      <c r="C751" s="60" t="s">
        <v>43</v>
      </c>
      <c r="D751" s="44">
        <v>5</v>
      </c>
      <c r="E751" s="7" t="s">
        <v>9907</v>
      </c>
      <c r="F751" s="7"/>
      <c r="G751" s="7" t="s">
        <v>126</v>
      </c>
      <c r="H751" s="6" t="s">
        <v>9908</v>
      </c>
      <c r="I751" s="7" t="s">
        <v>9909</v>
      </c>
      <c r="J751" s="7"/>
      <c r="K751" s="7"/>
      <c r="L751" s="7"/>
      <c r="M751" s="7"/>
      <c r="N751" s="45" t="str">
        <f t="shared" ref="N751:N752" si="562">HYPERLINK("twitter.com/@q_lewis07","@q_lewis07")</f>
        <v>@q_lewis07</v>
      </c>
      <c r="O751" s="45" t="str">
        <f t="shared" ref="O751:O758" si="563">HYPERLINK("https://rooathletics.com/sb_output.aspx?form=3","Questionnaire")</f>
        <v>Questionnaire</v>
      </c>
      <c r="P751" s="48" t="s">
        <v>9916</v>
      </c>
      <c r="Q751" s="47" t="s">
        <v>1304</v>
      </c>
      <c r="R751" s="48" t="s">
        <v>8508</v>
      </c>
      <c r="S751" s="60" t="s">
        <v>205</v>
      </c>
      <c r="T751" s="49" t="s">
        <v>74</v>
      </c>
      <c r="U751" s="48" t="s">
        <v>75</v>
      </c>
      <c r="V751" s="49"/>
      <c r="W751" s="7" t="s">
        <v>524</v>
      </c>
      <c r="X751" s="49" t="s">
        <v>1947</v>
      </c>
      <c r="Y751" s="49" t="s">
        <v>5268</v>
      </c>
      <c r="Z751" s="49" t="s">
        <v>1948</v>
      </c>
      <c r="AA751" s="61">
        <v>0.83</v>
      </c>
      <c r="AB751" s="48" t="s">
        <v>9917</v>
      </c>
      <c r="AC751" s="52" t="s">
        <v>9916</v>
      </c>
      <c r="AD751" s="53" t="str">
        <f t="shared" ref="AD751:AD758" si="564">HYPERLINK("http://www.canton.edu/academics/bachelors.html","Link")</f>
        <v>Link</v>
      </c>
      <c r="AE751" s="54">
        <v>3205</v>
      </c>
      <c r="AF751" s="55"/>
      <c r="AG751" s="55"/>
      <c r="AH751" s="56">
        <v>196015</v>
      </c>
      <c r="AI751" s="56"/>
      <c r="AJ751" s="137"/>
      <c r="AK751" s="137"/>
    </row>
    <row r="752" spans="1:37" ht="15" x14ac:dyDescent="0.2">
      <c r="A752" s="47"/>
      <c r="B752" s="105" t="s">
        <v>7303</v>
      </c>
      <c r="C752" s="60" t="s">
        <v>43</v>
      </c>
      <c r="D752" s="44">
        <v>5</v>
      </c>
      <c r="E752" s="7" t="s">
        <v>9907</v>
      </c>
      <c r="F752" s="7" t="s">
        <v>116</v>
      </c>
      <c r="G752" s="7"/>
      <c r="H752" s="6" t="s">
        <v>9908</v>
      </c>
      <c r="I752" s="7" t="s">
        <v>421</v>
      </c>
      <c r="J752" s="7"/>
      <c r="K752" s="7" t="s">
        <v>48</v>
      </c>
      <c r="L752" s="7"/>
      <c r="M752" s="7"/>
      <c r="N752" s="45" t="str">
        <f t="shared" si="562"/>
        <v>@q_lewis07</v>
      </c>
      <c r="O752" s="45" t="str">
        <f t="shared" si="563"/>
        <v>Questionnaire</v>
      </c>
      <c r="P752" s="48" t="s">
        <v>9916</v>
      </c>
      <c r="Q752" s="47" t="s">
        <v>1304</v>
      </c>
      <c r="R752" s="48" t="s">
        <v>8508</v>
      </c>
      <c r="S752" s="60" t="s">
        <v>205</v>
      </c>
      <c r="T752" s="49" t="s">
        <v>74</v>
      </c>
      <c r="U752" s="48" t="s">
        <v>75</v>
      </c>
      <c r="V752" s="49"/>
      <c r="W752" s="7" t="s">
        <v>524</v>
      </c>
      <c r="X752" s="49" t="s">
        <v>1947</v>
      </c>
      <c r="Y752" s="49" t="s">
        <v>5268</v>
      </c>
      <c r="Z752" s="49" t="s">
        <v>1948</v>
      </c>
      <c r="AA752" s="61">
        <v>0.83</v>
      </c>
      <c r="AB752" s="48" t="s">
        <v>9917</v>
      </c>
      <c r="AC752" s="52" t="s">
        <v>9916</v>
      </c>
      <c r="AD752" s="53" t="str">
        <f t="shared" si="564"/>
        <v>Link</v>
      </c>
      <c r="AE752" s="54">
        <v>3205</v>
      </c>
      <c r="AF752" s="55"/>
      <c r="AG752" s="55"/>
      <c r="AH752" s="56">
        <v>196015</v>
      </c>
      <c r="AI752" s="56"/>
      <c r="AJ752" s="137"/>
      <c r="AK752" s="137"/>
    </row>
    <row r="753" spans="1:37" ht="15" x14ac:dyDescent="0.2">
      <c r="A753" s="47"/>
      <c r="B753" s="105" t="s">
        <v>7303</v>
      </c>
      <c r="C753" s="60" t="s">
        <v>43</v>
      </c>
      <c r="D753" s="44">
        <v>5</v>
      </c>
      <c r="E753" s="7" t="s">
        <v>9933</v>
      </c>
      <c r="F753" s="7"/>
      <c r="G753" s="7" t="s">
        <v>126</v>
      </c>
      <c r="H753" s="6" t="s">
        <v>9908</v>
      </c>
      <c r="I753" s="7" t="s">
        <v>9934</v>
      </c>
      <c r="J753" s="7"/>
      <c r="K753" s="7"/>
      <c r="L753" s="7"/>
      <c r="M753" s="7"/>
      <c r="N753" s="45" t="str">
        <f t="shared" ref="N753:N758" si="565">HYPERLINK("twitter.com/sunycantonsb","@sunycantonsb")</f>
        <v>@sunycantonsb</v>
      </c>
      <c r="O753" s="45" t="str">
        <f t="shared" si="563"/>
        <v>Questionnaire</v>
      </c>
      <c r="P753" s="48" t="s">
        <v>9916</v>
      </c>
      <c r="Q753" s="47" t="s">
        <v>1304</v>
      </c>
      <c r="R753" s="48" t="s">
        <v>8508</v>
      </c>
      <c r="S753" s="60" t="s">
        <v>205</v>
      </c>
      <c r="T753" s="49" t="s">
        <v>74</v>
      </c>
      <c r="U753" s="48" t="s">
        <v>75</v>
      </c>
      <c r="V753" s="49"/>
      <c r="W753" s="7" t="s">
        <v>524</v>
      </c>
      <c r="X753" s="49" t="s">
        <v>1947</v>
      </c>
      <c r="Y753" s="49" t="s">
        <v>5268</v>
      </c>
      <c r="Z753" s="49" t="s">
        <v>1948</v>
      </c>
      <c r="AA753" s="61">
        <v>0.83</v>
      </c>
      <c r="AB753" s="48" t="s">
        <v>9917</v>
      </c>
      <c r="AC753" s="52" t="s">
        <v>9916</v>
      </c>
      <c r="AD753" s="53" t="str">
        <f t="shared" si="564"/>
        <v>Link</v>
      </c>
      <c r="AE753" s="54">
        <v>3205</v>
      </c>
      <c r="AF753" s="55"/>
      <c r="AG753" s="55"/>
      <c r="AH753" s="56">
        <v>196015</v>
      </c>
      <c r="AI753" s="56"/>
      <c r="AJ753" s="137"/>
      <c r="AK753" s="137"/>
    </row>
    <row r="754" spans="1:37" ht="15" x14ac:dyDescent="0.2">
      <c r="A754" s="47"/>
      <c r="B754" s="105" t="s">
        <v>7303</v>
      </c>
      <c r="C754" s="60" t="s">
        <v>43</v>
      </c>
      <c r="D754" s="44">
        <v>5</v>
      </c>
      <c r="E754" s="7" t="s">
        <v>9944</v>
      </c>
      <c r="F754" s="7"/>
      <c r="G754" s="7"/>
      <c r="H754" s="6" t="s">
        <v>9908</v>
      </c>
      <c r="I754" s="7" t="s">
        <v>683</v>
      </c>
      <c r="J754" s="7" t="s">
        <v>9945</v>
      </c>
      <c r="K754" s="7" t="s">
        <v>55</v>
      </c>
      <c r="L754" s="7"/>
      <c r="M754" s="7" t="s">
        <v>9946</v>
      </c>
      <c r="N754" s="45" t="str">
        <f t="shared" si="565"/>
        <v>@sunycantonsb</v>
      </c>
      <c r="O754" s="45" t="str">
        <f t="shared" si="563"/>
        <v>Questionnaire</v>
      </c>
      <c r="P754" s="48" t="s">
        <v>9916</v>
      </c>
      <c r="Q754" s="47" t="s">
        <v>1304</v>
      </c>
      <c r="R754" s="48" t="s">
        <v>8508</v>
      </c>
      <c r="S754" s="60" t="s">
        <v>205</v>
      </c>
      <c r="T754" s="49" t="s">
        <v>74</v>
      </c>
      <c r="U754" s="48" t="s">
        <v>75</v>
      </c>
      <c r="V754" s="49"/>
      <c r="W754" s="7" t="s">
        <v>524</v>
      </c>
      <c r="X754" s="49" t="s">
        <v>1947</v>
      </c>
      <c r="Y754" s="49" t="s">
        <v>5268</v>
      </c>
      <c r="Z754" s="49" t="s">
        <v>1948</v>
      </c>
      <c r="AA754" s="61">
        <v>0.83</v>
      </c>
      <c r="AB754" s="48" t="s">
        <v>9917</v>
      </c>
      <c r="AC754" s="52" t="s">
        <v>9916</v>
      </c>
      <c r="AD754" s="53" t="str">
        <f t="shared" si="564"/>
        <v>Link</v>
      </c>
      <c r="AE754" s="54">
        <v>3205</v>
      </c>
      <c r="AF754" s="55"/>
      <c r="AG754" s="55"/>
      <c r="AH754" s="56">
        <v>196015</v>
      </c>
      <c r="AI754" s="56"/>
      <c r="AJ754" s="137"/>
      <c r="AK754" s="137"/>
    </row>
    <row r="755" spans="1:37" ht="15" x14ac:dyDescent="0.2">
      <c r="A755" s="47"/>
      <c r="B755" s="105" t="s">
        <v>7303</v>
      </c>
      <c r="C755" s="60" t="s">
        <v>43</v>
      </c>
      <c r="D755" s="44">
        <v>5</v>
      </c>
      <c r="E755" s="7" t="s">
        <v>9949</v>
      </c>
      <c r="F755" s="7"/>
      <c r="G755" s="7" t="s">
        <v>126</v>
      </c>
      <c r="H755" s="6" t="s">
        <v>9908</v>
      </c>
      <c r="I755" s="7" t="s">
        <v>9951</v>
      </c>
      <c r="J755" s="7"/>
      <c r="K755" s="7"/>
      <c r="L755" s="7"/>
      <c r="M755" s="7"/>
      <c r="N755" s="45" t="str">
        <f t="shared" si="565"/>
        <v>@sunycantonsb</v>
      </c>
      <c r="O755" s="45" t="str">
        <f t="shared" si="563"/>
        <v>Questionnaire</v>
      </c>
      <c r="P755" s="48" t="s">
        <v>9916</v>
      </c>
      <c r="Q755" s="47" t="s">
        <v>1304</v>
      </c>
      <c r="R755" s="48" t="s">
        <v>8508</v>
      </c>
      <c r="S755" s="60" t="s">
        <v>205</v>
      </c>
      <c r="T755" s="49" t="s">
        <v>74</v>
      </c>
      <c r="U755" s="48" t="s">
        <v>75</v>
      </c>
      <c r="V755" s="49"/>
      <c r="W755" s="7" t="s">
        <v>524</v>
      </c>
      <c r="X755" s="49" t="s">
        <v>1947</v>
      </c>
      <c r="Y755" s="49" t="s">
        <v>5268</v>
      </c>
      <c r="Z755" s="49" t="s">
        <v>1948</v>
      </c>
      <c r="AA755" s="61">
        <v>0.83</v>
      </c>
      <c r="AB755" s="48" t="s">
        <v>9917</v>
      </c>
      <c r="AC755" s="52" t="s">
        <v>9916</v>
      </c>
      <c r="AD755" s="53" t="str">
        <f t="shared" si="564"/>
        <v>Link</v>
      </c>
      <c r="AE755" s="54">
        <v>3205</v>
      </c>
      <c r="AF755" s="55"/>
      <c r="AG755" s="55"/>
      <c r="AH755" s="56">
        <v>196015</v>
      </c>
      <c r="AI755" s="56"/>
      <c r="AJ755" s="137"/>
      <c r="AK755" s="137"/>
    </row>
    <row r="756" spans="1:37" ht="15" x14ac:dyDescent="0.2">
      <c r="A756" s="47"/>
      <c r="B756" s="105" t="s">
        <v>7303</v>
      </c>
      <c r="C756" s="60" t="s">
        <v>43</v>
      </c>
      <c r="D756" s="44">
        <v>5</v>
      </c>
      <c r="E756" s="7" t="s">
        <v>5962</v>
      </c>
      <c r="F756" s="7" t="s">
        <v>116</v>
      </c>
      <c r="G756" s="7"/>
      <c r="H756" s="6" t="s">
        <v>9908</v>
      </c>
      <c r="I756" s="7" t="s">
        <v>539</v>
      </c>
      <c r="J756" s="7" t="s">
        <v>9958</v>
      </c>
      <c r="K756" s="7" t="s">
        <v>139</v>
      </c>
      <c r="L756" s="7"/>
      <c r="M756" s="7" t="s">
        <v>9946</v>
      </c>
      <c r="N756" s="45" t="str">
        <f t="shared" si="565"/>
        <v>@sunycantonsb</v>
      </c>
      <c r="O756" s="45" t="str">
        <f t="shared" si="563"/>
        <v>Questionnaire</v>
      </c>
      <c r="P756" s="48" t="s">
        <v>9916</v>
      </c>
      <c r="Q756" s="47" t="s">
        <v>1304</v>
      </c>
      <c r="R756" s="48" t="s">
        <v>8508</v>
      </c>
      <c r="S756" s="60" t="s">
        <v>205</v>
      </c>
      <c r="T756" s="49" t="s">
        <v>74</v>
      </c>
      <c r="U756" s="48" t="s">
        <v>75</v>
      </c>
      <c r="V756" s="49"/>
      <c r="W756" s="7" t="s">
        <v>524</v>
      </c>
      <c r="X756" s="49" t="s">
        <v>1947</v>
      </c>
      <c r="Y756" s="49" t="s">
        <v>5268</v>
      </c>
      <c r="Z756" s="49" t="s">
        <v>1948</v>
      </c>
      <c r="AA756" s="61">
        <v>0.83</v>
      </c>
      <c r="AB756" s="48" t="s">
        <v>9917</v>
      </c>
      <c r="AC756" s="52" t="s">
        <v>9916</v>
      </c>
      <c r="AD756" s="53" t="str">
        <f t="shared" si="564"/>
        <v>Link</v>
      </c>
      <c r="AE756" s="54">
        <v>3205</v>
      </c>
      <c r="AF756" s="55"/>
      <c r="AG756" s="55"/>
      <c r="AH756" s="56">
        <v>196015</v>
      </c>
      <c r="AI756" s="59"/>
      <c r="AJ756" s="137"/>
      <c r="AK756" s="137"/>
    </row>
    <row r="757" spans="1:37" ht="15" x14ac:dyDescent="0.2">
      <c r="A757" s="47"/>
      <c r="B757" s="105" t="s">
        <v>7303</v>
      </c>
      <c r="C757" s="60" t="s">
        <v>43</v>
      </c>
      <c r="D757" s="44">
        <v>5</v>
      </c>
      <c r="E757" s="7" t="s">
        <v>9965</v>
      </c>
      <c r="F757" s="7" t="s">
        <v>116</v>
      </c>
      <c r="G757" s="7"/>
      <c r="H757" s="6" t="s">
        <v>9908</v>
      </c>
      <c r="I757" s="7" t="s">
        <v>1447</v>
      </c>
      <c r="J757" s="7" t="s">
        <v>9966</v>
      </c>
      <c r="K757" s="7" t="s">
        <v>48</v>
      </c>
      <c r="L757" s="7" t="s">
        <v>9967</v>
      </c>
      <c r="M757" s="7" t="s">
        <v>9946</v>
      </c>
      <c r="N757" s="45" t="str">
        <f t="shared" si="565"/>
        <v>@sunycantonsb</v>
      </c>
      <c r="O757" s="45" t="str">
        <f t="shared" si="563"/>
        <v>Questionnaire</v>
      </c>
      <c r="P757" s="48" t="s">
        <v>9916</v>
      </c>
      <c r="Q757" s="47" t="s">
        <v>1304</v>
      </c>
      <c r="R757" s="48" t="s">
        <v>8508</v>
      </c>
      <c r="S757" s="60" t="s">
        <v>205</v>
      </c>
      <c r="T757" s="49" t="s">
        <v>74</v>
      </c>
      <c r="U757" s="48" t="s">
        <v>75</v>
      </c>
      <c r="V757" s="49"/>
      <c r="W757" s="7" t="s">
        <v>524</v>
      </c>
      <c r="X757" s="49" t="s">
        <v>1947</v>
      </c>
      <c r="Y757" s="49" t="s">
        <v>5268</v>
      </c>
      <c r="Z757" s="49" t="s">
        <v>1948</v>
      </c>
      <c r="AA757" s="61">
        <v>0.83</v>
      </c>
      <c r="AB757" s="48" t="s">
        <v>9917</v>
      </c>
      <c r="AC757" s="52" t="s">
        <v>9916</v>
      </c>
      <c r="AD757" s="53" t="str">
        <f t="shared" si="564"/>
        <v>Link</v>
      </c>
      <c r="AE757" s="54">
        <v>3205</v>
      </c>
      <c r="AF757" s="55"/>
      <c r="AG757" s="55"/>
      <c r="AH757" s="56">
        <v>196015</v>
      </c>
      <c r="AI757" s="59"/>
      <c r="AJ757" s="137"/>
      <c r="AK757" s="137"/>
    </row>
    <row r="758" spans="1:37" ht="15" x14ac:dyDescent="0.2">
      <c r="A758" s="47"/>
      <c r="B758" s="105" t="s">
        <v>7303</v>
      </c>
      <c r="C758" s="60" t="s">
        <v>43</v>
      </c>
      <c r="D758" s="44">
        <v>5</v>
      </c>
      <c r="E758" s="7" t="s">
        <v>9977</v>
      </c>
      <c r="F758" s="7" t="s">
        <v>116</v>
      </c>
      <c r="G758" s="7"/>
      <c r="H758" s="6" t="s">
        <v>9908</v>
      </c>
      <c r="I758" s="7" t="s">
        <v>3497</v>
      </c>
      <c r="J758" s="7" t="s">
        <v>9966</v>
      </c>
      <c r="K758" s="7" t="s">
        <v>55</v>
      </c>
      <c r="L758" s="7"/>
      <c r="M758" s="7" t="s">
        <v>9946</v>
      </c>
      <c r="N758" s="45" t="str">
        <f t="shared" si="565"/>
        <v>@sunycantonsb</v>
      </c>
      <c r="O758" s="45" t="str">
        <f t="shared" si="563"/>
        <v>Questionnaire</v>
      </c>
      <c r="P758" s="48" t="s">
        <v>9916</v>
      </c>
      <c r="Q758" s="47" t="s">
        <v>1304</v>
      </c>
      <c r="R758" s="48" t="s">
        <v>8508</v>
      </c>
      <c r="S758" s="60" t="s">
        <v>205</v>
      </c>
      <c r="T758" s="49" t="s">
        <v>74</v>
      </c>
      <c r="U758" s="48" t="s">
        <v>75</v>
      </c>
      <c r="V758" s="49"/>
      <c r="W758" s="7" t="s">
        <v>524</v>
      </c>
      <c r="X758" s="49" t="s">
        <v>1947</v>
      </c>
      <c r="Y758" s="49" t="s">
        <v>5268</v>
      </c>
      <c r="Z758" s="49" t="s">
        <v>1948</v>
      </c>
      <c r="AA758" s="61">
        <v>0.83</v>
      </c>
      <c r="AB758" s="48" t="s">
        <v>9917</v>
      </c>
      <c r="AC758" s="52" t="s">
        <v>9916</v>
      </c>
      <c r="AD758" s="53" t="str">
        <f t="shared" si="564"/>
        <v>Link</v>
      </c>
      <c r="AE758" s="54">
        <v>3205</v>
      </c>
      <c r="AF758" s="55"/>
      <c r="AG758" s="55"/>
      <c r="AH758" s="56">
        <v>196015</v>
      </c>
      <c r="AI758" s="59"/>
      <c r="AJ758" s="137"/>
      <c r="AK758" s="137"/>
    </row>
    <row r="759" spans="1:37" ht="15" x14ac:dyDescent="0.2">
      <c r="A759" s="47"/>
      <c r="B759" s="105" t="s">
        <v>7303</v>
      </c>
      <c r="C759" s="60" t="s">
        <v>43</v>
      </c>
      <c r="D759" s="44">
        <v>5</v>
      </c>
      <c r="E759" s="7" t="s">
        <v>9982</v>
      </c>
      <c r="F759" s="7"/>
      <c r="G759" s="7"/>
      <c r="H759" s="6" t="s">
        <v>9983</v>
      </c>
      <c r="I759" s="7" t="s">
        <v>5963</v>
      </c>
      <c r="J759" s="7" t="s">
        <v>9985</v>
      </c>
      <c r="K759" s="7" t="s">
        <v>48</v>
      </c>
      <c r="L759" s="7" t="s">
        <v>9986</v>
      </c>
      <c r="M759" s="7" t="s">
        <v>9987</v>
      </c>
      <c r="N759" s="45" t="str">
        <f t="shared" ref="N759:N760" si="566">HYPERLINK("twitter.com/cobleskillsb","@cobleskillsb")</f>
        <v>@cobleskillsb</v>
      </c>
      <c r="O759" s="45" t="str">
        <f t="shared" ref="O759:O760" si="567">HYPERLINK("https://fightingtigers.cobleskill.edu/sb_output.aspx?form=3","Questionnaire")</f>
        <v>Questionnaire</v>
      </c>
      <c r="P759" s="48" t="s">
        <v>9993</v>
      </c>
      <c r="Q759" s="47" t="s">
        <v>1304</v>
      </c>
      <c r="R759" s="48" t="s">
        <v>9994</v>
      </c>
      <c r="S759" s="60" t="s">
        <v>205</v>
      </c>
      <c r="T759" s="49" t="s">
        <v>74</v>
      </c>
      <c r="U759" s="48" t="s">
        <v>75</v>
      </c>
      <c r="V759" s="49"/>
      <c r="W759" s="44">
        <v>2.75</v>
      </c>
      <c r="X759" s="49" t="s">
        <v>8175</v>
      </c>
      <c r="Y759" s="49" t="s">
        <v>397</v>
      </c>
      <c r="Z759" s="49" t="s">
        <v>240</v>
      </c>
      <c r="AA759" s="61">
        <v>0.78</v>
      </c>
      <c r="AB759" s="48" t="s">
        <v>9997</v>
      </c>
      <c r="AC759" s="52" t="s">
        <v>9993</v>
      </c>
      <c r="AD759" s="53" t="str">
        <f t="shared" ref="AD759:AD760" si="568">HYPERLINK("http://www.cobleskill.edu/academics/programs-of-study.asp","Link")</f>
        <v>Link</v>
      </c>
      <c r="AE759" s="54">
        <v>2287</v>
      </c>
      <c r="AF759" s="55"/>
      <c r="AG759" s="55"/>
      <c r="AH759" s="56">
        <v>196033</v>
      </c>
      <c r="AI759" s="56"/>
      <c r="AJ759" s="137"/>
      <c r="AK759" s="137"/>
    </row>
    <row r="760" spans="1:37" ht="15" x14ac:dyDescent="0.2">
      <c r="A760" s="47"/>
      <c r="B760" s="105" t="s">
        <v>7303</v>
      </c>
      <c r="C760" s="60" t="s">
        <v>43</v>
      </c>
      <c r="D760" s="44">
        <v>5</v>
      </c>
      <c r="E760" s="7" t="s">
        <v>10003</v>
      </c>
      <c r="F760" s="7" t="s">
        <v>116</v>
      </c>
      <c r="G760" s="7"/>
      <c r="H760" s="6" t="s">
        <v>9983</v>
      </c>
      <c r="I760" s="7" t="s">
        <v>644</v>
      </c>
      <c r="J760" s="7" t="s">
        <v>10008</v>
      </c>
      <c r="K760" s="7" t="s">
        <v>55</v>
      </c>
      <c r="L760" s="7" t="s">
        <v>10011</v>
      </c>
      <c r="M760" s="7" t="s">
        <v>10012</v>
      </c>
      <c r="N760" s="45" t="str">
        <f t="shared" si="566"/>
        <v>@cobleskillsb</v>
      </c>
      <c r="O760" s="45" t="str">
        <f t="shared" si="567"/>
        <v>Questionnaire</v>
      </c>
      <c r="P760" s="48" t="s">
        <v>9993</v>
      </c>
      <c r="Q760" s="47" t="s">
        <v>1304</v>
      </c>
      <c r="R760" s="48" t="s">
        <v>9994</v>
      </c>
      <c r="S760" s="60" t="s">
        <v>205</v>
      </c>
      <c r="T760" s="49" t="s">
        <v>74</v>
      </c>
      <c r="U760" s="48" t="s">
        <v>75</v>
      </c>
      <c r="V760" s="49"/>
      <c r="W760" s="44">
        <v>2.75</v>
      </c>
      <c r="X760" s="49" t="s">
        <v>8175</v>
      </c>
      <c r="Y760" s="49" t="s">
        <v>397</v>
      </c>
      <c r="Z760" s="49" t="s">
        <v>240</v>
      </c>
      <c r="AA760" s="61">
        <v>0.78</v>
      </c>
      <c r="AB760" s="48" t="s">
        <v>9997</v>
      </c>
      <c r="AC760" s="52" t="s">
        <v>9993</v>
      </c>
      <c r="AD760" s="53" t="str">
        <f t="shared" si="568"/>
        <v>Link</v>
      </c>
      <c r="AE760" s="54">
        <v>2287</v>
      </c>
      <c r="AF760" s="55"/>
      <c r="AG760" s="55"/>
      <c r="AH760" s="56">
        <v>196033</v>
      </c>
      <c r="AI760" s="59"/>
      <c r="AJ760" s="137"/>
      <c r="AK760" s="137"/>
    </row>
    <row r="761" spans="1:37" ht="13" x14ac:dyDescent="0.15">
      <c r="A761" s="47"/>
      <c r="B761" s="105" t="s">
        <v>7303</v>
      </c>
      <c r="C761" s="60" t="s">
        <v>43</v>
      </c>
      <c r="D761" s="44">
        <v>5</v>
      </c>
      <c r="E761" s="7" t="s">
        <v>10018</v>
      </c>
      <c r="F761" s="7"/>
      <c r="G761" s="7"/>
      <c r="H761" s="6" t="s">
        <v>10020</v>
      </c>
      <c r="I761" s="7" t="s">
        <v>1056</v>
      </c>
      <c r="J761" s="7" t="s">
        <v>3813</v>
      </c>
      <c r="K761" s="7" t="s">
        <v>48</v>
      </c>
      <c r="L761" s="7" t="s">
        <v>10021</v>
      </c>
      <c r="M761" s="7" t="s">
        <v>10022</v>
      </c>
      <c r="N761" s="45" t="str">
        <f t="shared" ref="N761:N763" si="569">HYPERLINK("twitter.com/@cortlandsb","@cortlandsb")</f>
        <v>@cortlandsb</v>
      </c>
      <c r="O761" s="45" t="str">
        <f t="shared" ref="O761:O763" si="570">HYPERLINK("https://www.cortlandreddragons.com/index.aspx?tab=softball&amp;path=softball","Questionnaire")</f>
        <v>Questionnaire</v>
      </c>
      <c r="P761" s="48" t="s">
        <v>10028</v>
      </c>
      <c r="Q761" s="60" t="s">
        <v>1304</v>
      </c>
      <c r="R761" s="6" t="s">
        <v>10029</v>
      </c>
      <c r="S761" s="4" t="s">
        <v>172</v>
      </c>
      <c r="T761" s="49" t="s">
        <v>74</v>
      </c>
      <c r="U761" s="49" t="s">
        <v>75</v>
      </c>
      <c r="V761" s="49"/>
      <c r="W761" s="37">
        <v>3.33</v>
      </c>
      <c r="X761" s="49" t="s">
        <v>239</v>
      </c>
      <c r="Y761" s="49" t="s">
        <v>5062</v>
      </c>
      <c r="Z761" s="4" t="s">
        <v>10030</v>
      </c>
      <c r="AA761" s="65">
        <v>0.52</v>
      </c>
      <c r="AB761" s="6" t="s">
        <v>10031</v>
      </c>
      <c r="AC761" s="66" t="s">
        <v>10028</v>
      </c>
      <c r="AD761" s="67" t="str">
        <f t="shared" ref="AD761:AD763" si="571">HYPERLINK("https://www2.cortland.edu/academics/undergraduate/majors.dot","Link")</f>
        <v>Link</v>
      </c>
      <c r="AE761" s="42">
        <v>6304</v>
      </c>
      <c r="AF761" s="55"/>
      <c r="AG761" s="55"/>
      <c r="AH761" s="56">
        <v>196149</v>
      </c>
      <c r="AI761" s="56"/>
      <c r="AJ761" s="137"/>
      <c r="AK761" s="137"/>
    </row>
    <row r="762" spans="1:37" ht="13" x14ac:dyDescent="0.15">
      <c r="A762" s="47"/>
      <c r="B762" s="105" t="s">
        <v>7303</v>
      </c>
      <c r="C762" s="60" t="s">
        <v>43</v>
      </c>
      <c r="D762" s="44">
        <v>5</v>
      </c>
      <c r="E762" s="7" t="s">
        <v>10038</v>
      </c>
      <c r="F762" s="7"/>
      <c r="G762" s="7"/>
      <c r="H762" s="6" t="s">
        <v>10020</v>
      </c>
      <c r="I762" s="7" t="s">
        <v>1217</v>
      </c>
      <c r="J762" s="7" t="s">
        <v>10039</v>
      </c>
      <c r="K762" s="7" t="s">
        <v>919</v>
      </c>
      <c r="L762" s="7" t="s">
        <v>10040</v>
      </c>
      <c r="M762" s="48"/>
      <c r="N762" s="45" t="str">
        <f t="shared" si="569"/>
        <v>@cortlandsb</v>
      </c>
      <c r="O762" s="45" t="str">
        <f t="shared" si="570"/>
        <v>Questionnaire</v>
      </c>
      <c r="P762" s="48" t="s">
        <v>10028</v>
      </c>
      <c r="Q762" s="60" t="s">
        <v>1304</v>
      </c>
      <c r="R762" s="6" t="s">
        <v>10029</v>
      </c>
      <c r="S762" s="4" t="s">
        <v>172</v>
      </c>
      <c r="T762" s="49" t="s">
        <v>74</v>
      </c>
      <c r="U762" s="49" t="s">
        <v>75</v>
      </c>
      <c r="V762" s="49"/>
      <c r="W762" s="65">
        <v>3.33</v>
      </c>
      <c r="X762" s="49" t="s">
        <v>239</v>
      </c>
      <c r="Y762" s="49" t="s">
        <v>5062</v>
      </c>
      <c r="Z762" s="4" t="s">
        <v>10030</v>
      </c>
      <c r="AA762" s="65">
        <v>0.52</v>
      </c>
      <c r="AB762" s="6" t="s">
        <v>10031</v>
      </c>
      <c r="AC762" s="66" t="s">
        <v>10028</v>
      </c>
      <c r="AD762" s="67" t="str">
        <f t="shared" si="571"/>
        <v>Link</v>
      </c>
      <c r="AE762" s="42">
        <v>6304</v>
      </c>
      <c r="AF762" s="55"/>
      <c r="AG762" s="55"/>
      <c r="AH762" s="56">
        <v>196149</v>
      </c>
      <c r="AI762" s="56"/>
    </row>
    <row r="763" spans="1:37" ht="13" x14ac:dyDescent="0.15">
      <c r="A763" s="47"/>
      <c r="B763" s="105" t="s">
        <v>7303</v>
      </c>
      <c r="C763" s="60" t="s">
        <v>43</v>
      </c>
      <c r="D763" s="44">
        <v>5</v>
      </c>
      <c r="E763" s="7" t="s">
        <v>10050</v>
      </c>
      <c r="F763" s="7"/>
      <c r="G763" s="7"/>
      <c r="H763" s="6" t="s">
        <v>10020</v>
      </c>
      <c r="I763" s="7" t="s">
        <v>10052</v>
      </c>
      <c r="J763" s="7" t="s">
        <v>10054</v>
      </c>
      <c r="K763" s="7" t="s">
        <v>120</v>
      </c>
      <c r="L763" s="7" t="s">
        <v>10056</v>
      </c>
      <c r="M763" s="48"/>
      <c r="N763" s="45" t="str">
        <f t="shared" si="569"/>
        <v>@cortlandsb</v>
      </c>
      <c r="O763" s="45" t="str">
        <f t="shared" si="570"/>
        <v>Questionnaire</v>
      </c>
      <c r="P763" s="48" t="s">
        <v>10028</v>
      </c>
      <c r="Q763" s="60" t="s">
        <v>1304</v>
      </c>
      <c r="R763" s="6" t="s">
        <v>10029</v>
      </c>
      <c r="S763" s="4" t="s">
        <v>172</v>
      </c>
      <c r="T763" s="49" t="s">
        <v>74</v>
      </c>
      <c r="U763" s="49" t="s">
        <v>75</v>
      </c>
      <c r="V763" s="49"/>
      <c r="W763" s="65">
        <v>3.33</v>
      </c>
      <c r="X763" s="49" t="s">
        <v>239</v>
      </c>
      <c r="Y763" s="49" t="s">
        <v>5062</v>
      </c>
      <c r="Z763" s="4" t="s">
        <v>10030</v>
      </c>
      <c r="AA763" s="65">
        <v>0.52</v>
      </c>
      <c r="AB763" s="6" t="s">
        <v>10031</v>
      </c>
      <c r="AC763" s="66" t="s">
        <v>10028</v>
      </c>
      <c r="AD763" s="67" t="str">
        <f t="shared" si="571"/>
        <v>Link</v>
      </c>
      <c r="AE763" s="42">
        <v>6304</v>
      </c>
      <c r="AF763" s="55"/>
      <c r="AG763" s="55"/>
      <c r="AH763" s="56">
        <v>196149</v>
      </c>
      <c r="AI763" s="56"/>
    </row>
    <row r="764" spans="1:37" ht="13" x14ac:dyDescent="0.15">
      <c r="A764" s="47"/>
      <c r="B764" s="105" t="s">
        <v>7303</v>
      </c>
      <c r="C764" s="60" t="s">
        <v>43</v>
      </c>
      <c r="D764" s="44">
        <v>5</v>
      </c>
      <c r="E764" s="7" t="s">
        <v>10061</v>
      </c>
      <c r="F764" s="7"/>
      <c r="G764" s="7"/>
      <c r="H764" s="6" t="s">
        <v>10062</v>
      </c>
      <c r="I764" s="7" t="s">
        <v>962</v>
      </c>
      <c r="J764" s="7" t="s">
        <v>10063</v>
      </c>
      <c r="K764" s="7" t="s">
        <v>48</v>
      </c>
      <c r="L764" s="7" t="s">
        <v>10064</v>
      </c>
      <c r="M764" s="48" t="s">
        <v>10065</v>
      </c>
      <c r="N764" s="48"/>
      <c r="O764" s="45" t="str">
        <f t="shared" ref="O764:O765" si="572">HYPERLINK("https://delhibroncos.com/information/Recruiting_Questionnaires","Questionnaire")</f>
        <v>Questionnaire</v>
      </c>
      <c r="P764" s="6" t="s">
        <v>10072</v>
      </c>
      <c r="Q764" s="60" t="s">
        <v>1304</v>
      </c>
      <c r="R764" s="48" t="s">
        <v>10073</v>
      </c>
      <c r="S764" s="60" t="s">
        <v>205</v>
      </c>
      <c r="T764" s="4" t="s">
        <v>74</v>
      </c>
      <c r="U764" s="48" t="s">
        <v>75</v>
      </c>
      <c r="V764" s="49" t="s">
        <v>3678</v>
      </c>
      <c r="W764" s="49" t="s">
        <v>214</v>
      </c>
      <c r="X764" s="49" t="s">
        <v>214</v>
      </c>
      <c r="Y764" s="49" t="s">
        <v>214</v>
      </c>
      <c r="Z764" s="49" t="s">
        <v>214</v>
      </c>
      <c r="AA764" s="65">
        <v>0.51</v>
      </c>
      <c r="AB764" s="48" t="s">
        <v>10074</v>
      </c>
      <c r="AC764" s="62" t="s">
        <v>10072</v>
      </c>
      <c r="AD764" s="53" t="str">
        <f t="shared" ref="AD764:AD765" si="573">HYPERLINK("http://www.delhi.edu/academics/majors-programs/","Link")</f>
        <v>Link</v>
      </c>
      <c r="AE764" s="42">
        <v>3474</v>
      </c>
      <c r="AF764" s="55"/>
      <c r="AG764" s="55"/>
      <c r="AH764" s="56">
        <v>196024</v>
      </c>
      <c r="AI764" s="56"/>
    </row>
    <row r="765" spans="1:37" ht="13" x14ac:dyDescent="0.15">
      <c r="A765" s="47"/>
      <c r="B765" s="105" t="s">
        <v>7303</v>
      </c>
      <c r="C765" s="60" t="s">
        <v>43</v>
      </c>
      <c r="D765" s="44">
        <v>5</v>
      </c>
      <c r="E765" s="7" t="s">
        <v>10078</v>
      </c>
      <c r="F765" s="7"/>
      <c r="G765" s="7"/>
      <c r="H765" s="6" t="s">
        <v>10062</v>
      </c>
      <c r="I765" s="7" t="s">
        <v>2999</v>
      </c>
      <c r="J765" s="7" t="s">
        <v>10081</v>
      </c>
      <c r="K765" s="7" t="s">
        <v>55</v>
      </c>
      <c r="L765" s="7" t="s">
        <v>10082</v>
      </c>
      <c r="M765" s="48"/>
      <c r="N765" s="48"/>
      <c r="O765" s="45" t="str">
        <f t="shared" si="572"/>
        <v>Questionnaire</v>
      </c>
      <c r="P765" s="6" t="s">
        <v>10072</v>
      </c>
      <c r="Q765" s="60" t="s">
        <v>1304</v>
      </c>
      <c r="R765" s="48" t="s">
        <v>10073</v>
      </c>
      <c r="S765" s="60" t="s">
        <v>205</v>
      </c>
      <c r="T765" s="4" t="s">
        <v>74</v>
      </c>
      <c r="U765" s="48" t="s">
        <v>75</v>
      </c>
      <c r="V765" s="49" t="s">
        <v>3678</v>
      </c>
      <c r="W765" s="49" t="s">
        <v>214</v>
      </c>
      <c r="X765" s="49" t="s">
        <v>214</v>
      </c>
      <c r="Y765" s="49" t="s">
        <v>214</v>
      </c>
      <c r="Z765" s="49" t="s">
        <v>214</v>
      </c>
      <c r="AA765" s="65">
        <v>0.51</v>
      </c>
      <c r="AB765" s="48" t="s">
        <v>10074</v>
      </c>
      <c r="AC765" s="62" t="s">
        <v>10072</v>
      </c>
      <c r="AD765" s="53" t="str">
        <f t="shared" si="573"/>
        <v>Link</v>
      </c>
      <c r="AE765" s="42">
        <v>3474</v>
      </c>
      <c r="AF765" s="55"/>
      <c r="AG765" s="55"/>
      <c r="AH765" s="56">
        <v>196024</v>
      </c>
      <c r="AI765" s="56"/>
      <c r="AJ765" s="137"/>
    </row>
    <row r="766" spans="1:37" ht="13" x14ac:dyDescent="0.15">
      <c r="A766" s="47"/>
      <c r="B766" s="105" t="s">
        <v>7303</v>
      </c>
      <c r="C766" s="60" t="s">
        <v>43</v>
      </c>
      <c r="D766" s="44">
        <v>5</v>
      </c>
      <c r="E766" s="7" t="s">
        <v>10089</v>
      </c>
      <c r="F766" s="7"/>
      <c r="G766" s="7"/>
      <c r="H766" s="6" t="s">
        <v>10090</v>
      </c>
      <c r="I766" s="7" t="s">
        <v>2622</v>
      </c>
      <c r="J766" s="7" t="s">
        <v>10091</v>
      </c>
      <c r="K766" s="7" t="s">
        <v>48</v>
      </c>
      <c r="L766" s="7" t="s">
        <v>10093</v>
      </c>
      <c r="M766" s="7" t="s">
        <v>10094</v>
      </c>
      <c r="N766" s="45" t="str">
        <f t="shared" ref="N766:N768" si="574">HYPERLINK("twitter.com/FredoniaSB","@FredoniaSB")</f>
        <v>@FredoniaSB</v>
      </c>
      <c r="O766" s="45" t="str">
        <f t="shared" ref="O766:O768" si="575">HYPERLINK("https://fredoniabluedevils.com/sports/2017/7/20/recruiting.aspx","Questionnaire")</f>
        <v>Questionnaire</v>
      </c>
      <c r="P766" s="48" t="s">
        <v>10103</v>
      </c>
      <c r="Q766" s="47" t="s">
        <v>1304</v>
      </c>
      <c r="R766" s="48" t="s">
        <v>10105</v>
      </c>
      <c r="S766" s="48" t="s">
        <v>172</v>
      </c>
      <c r="T766" s="49" t="s">
        <v>74</v>
      </c>
      <c r="U766" s="48" t="s">
        <v>75</v>
      </c>
      <c r="V766" s="49"/>
      <c r="W766" s="44">
        <v>3.27</v>
      </c>
      <c r="X766" s="49" t="s">
        <v>1029</v>
      </c>
      <c r="Y766" s="49" t="s">
        <v>397</v>
      </c>
      <c r="Z766" s="49" t="s">
        <v>320</v>
      </c>
      <c r="AA766" s="61">
        <v>0.62</v>
      </c>
      <c r="AB766" s="48" t="s">
        <v>10110</v>
      </c>
      <c r="AC766" s="92" t="s">
        <v>10103</v>
      </c>
      <c r="AD766" s="53" t="str">
        <f t="shared" ref="AD766:AD768" si="576">HYPERLINK("http://home.fredonia.edu/academicaffairs/sites","Link")</f>
        <v>Link</v>
      </c>
      <c r="AE766" s="54">
        <v>4380</v>
      </c>
      <c r="AF766" s="55"/>
      <c r="AG766" s="55"/>
      <c r="AH766" s="56">
        <v>196158</v>
      </c>
      <c r="AI766" s="56"/>
      <c r="AJ766" s="137"/>
      <c r="AK766" s="137"/>
    </row>
    <row r="767" spans="1:37" ht="13" x14ac:dyDescent="0.15">
      <c r="A767" s="47"/>
      <c r="B767" s="105" t="s">
        <v>7303</v>
      </c>
      <c r="C767" s="60" t="s">
        <v>43</v>
      </c>
      <c r="D767" s="44">
        <v>5</v>
      </c>
      <c r="E767" s="7" t="s">
        <v>10115</v>
      </c>
      <c r="F767" s="7"/>
      <c r="G767" s="7"/>
      <c r="H767" s="6" t="s">
        <v>10090</v>
      </c>
      <c r="I767" s="7" t="s">
        <v>4695</v>
      </c>
      <c r="J767" s="7" t="s">
        <v>694</v>
      </c>
      <c r="K767" s="7" t="s">
        <v>919</v>
      </c>
      <c r="L767" s="7"/>
      <c r="M767" s="7"/>
      <c r="N767" s="45" t="str">
        <f t="shared" si="574"/>
        <v>@FredoniaSB</v>
      </c>
      <c r="O767" s="45" t="str">
        <f t="shared" si="575"/>
        <v>Questionnaire</v>
      </c>
      <c r="P767" s="48" t="s">
        <v>10103</v>
      </c>
      <c r="Q767" s="47" t="s">
        <v>1304</v>
      </c>
      <c r="R767" s="48" t="s">
        <v>10105</v>
      </c>
      <c r="S767" s="48" t="s">
        <v>172</v>
      </c>
      <c r="T767" s="49" t="s">
        <v>74</v>
      </c>
      <c r="U767" s="48" t="s">
        <v>75</v>
      </c>
      <c r="V767" s="49"/>
      <c r="W767" s="44">
        <v>3.27</v>
      </c>
      <c r="X767" s="49" t="s">
        <v>1029</v>
      </c>
      <c r="Y767" s="49" t="s">
        <v>397</v>
      </c>
      <c r="Z767" s="49" t="s">
        <v>320</v>
      </c>
      <c r="AA767" s="61">
        <v>0.62</v>
      </c>
      <c r="AB767" s="48" t="s">
        <v>10110</v>
      </c>
      <c r="AC767" s="92" t="s">
        <v>10103</v>
      </c>
      <c r="AD767" s="53" t="str">
        <f t="shared" si="576"/>
        <v>Link</v>
      </c>
      <c r="AE767" s="54">
        <v>4380</v>
      </c>
      <c r="AF767" s="55"/>
      <c r="AG767" s="55"/>
      <c r="AH767" s="56">
        <v>196158</v>
      </c>
      <c r="AI767" s="56"/>
      <c r="AJ767" s="137"/>
      <c r="AK767" s="137"/>
    </row>
    <row r="768" spans="1:37" ht="13" x14ac:dyDescent="0.15">
      <c r="A768" s="47"/>
      <c r="B768" s="105" t="s">
        <v>7303</v>
      </c>
      <c r="C768" s="60" t="s">
        <v>43</v>
      </c>
      <c r="D768" s="44">
        <v>5</v>
      </c>
      <c r="E768" s="7" t="s">
        <v>10122</v>
      </c>
      <c r="F768" s="7"/>
      <c r="G768" s="7"/>
      <c r="H768" s="6" t="s">
        <v>10090</v>
      </c>
      <c r="I768" s="7" t="s">
        <v>2867</v>
      </c>
      <c r="J768" s="7" t="s">
        <v>6068</v>
      </c>
      <c r="K768" s="7" t="s">
        <v>55</v>
      </c>
      <c r="L768" s="7"/>
      <c r="M768" s="7"/>
      <c r="N768" s="45" t="str">
        <f t="shared" si="574"/>
        <v>@FredoniaSB</v>
      </c>
      <c r="O768" s="45" t="str">
        <f t="shared" si="575"/>
        <v>Questionnaire</v>
      </c>
      <c r="P768" s="48" t="s">
        <v>10103</v>
      </c>
      <c r="Q768" s="47" t="s">
        <v>1304</v>
      </c>
      <c r="R768" s="48" t="s">
        <v>10105</v>
      </c>
      <c r="S768" s="48" t="s">
        <v>172</v>
      </c>
      <c r="T768" s="49" t="s">
        <v>74</v>
      </c>
      <c r="U768" s="48" t="s">
        <v>75</v>
      </c>
      <c r="V768" s="49"/>
      <c r="W768" s="44">
        <v>3.27</v>
      </c>
      <c r="X768" s="49" t="s">
        <v>1029</v>
      </c>
      <c r="Y768" s="49" t="s">
        <v>397</v>
      </c>
      <c r="Z768" s="49" t="s">
        <v>320</v>
      </c>
      <c r="AA768" s="61">
        <v>0.62</v>
      </c>
      <c r="AB768" s="48" t="s">
        <v>10110</v>
      </c>
      <c r="AC768" s="92" t="s">
        <v>10103</v>
      </c>
      <c r="AD768" s="53" t="str">
        <f t="shared" si="576"/>
        <v>Link</v>
      </c>
      <c r="AE768" s="54">
        <v>4380</v>
      </c>
      <c r="AF768" s="55"/>
      <c r="AG768" s="55"/>
      <c r="AH768" s="56">
        <v>196158</v>
      </c>
      <c r="AI768" s="56"/>
      <c r="AJ768" s="137"/>
      <c r="AK768" s="137"/>
    </row>
    <row r="769" spans="1:37" ht="13" x14ac:dyDescent="0.15">
      <c r="A769" s="47"/>
      <c r="B769" s="105" t="s">
        <v>7303</v>
      </c>
      <c r="C769" s="60" t="s">
        <v>43</v>
      </c>
      <c r="D769" s="44">
        <v>5</v>
      </c>
      <c r="E769" s="7" t="s">
        <v>10130</v>
      </c>
      <c r="F769" s="7"/>
      <c r="G769" s="7"/>
      <c r="H769" s="6" t="s">
        <v>10131</v>
      </c>
      <c r="I769" s="7" t="s">
        <v>1080</v>
      </c>
      <c r="J769" s="7" t="s">
        <v>2428</v>
      </c>
      <c r="K769" s="7" t="s">
        <v>10133</v>
      </c>
      <c r="L769" s="7" t="s">
        <v>10134</v>
      </c>
      <c r="M769" s="7"/>
      <c r="N769" s="48"/>
      <c r="O769" s="7"/>
      <c r="P769" s="48" t="s">
        <v>10138</v>
      </c>
      <c r="Q769" s="60" t="s">
        <v>1304</v>
      </c>
      <c r="R769" s="6" t="s">
        <v>10141</v>
      </c>
      <c r="S769" s="94" t="s">
        <v>205</v>
      </c>
      <c r="T769" s="4" t="s">
        <v>74</v>
      </c>
      <c r="U769" s="49" t="s">
        <v>75</v>
      </c>
      <c r="V769" s="49"/>
      <c r="W769" s="37">
        <v>2.6</v>
      </c>
      <c r="X769" s="49" t="s">
        <v>5178</v>
      </c>
      <c r="Y769" s="49" t="s">
        <v>5178</v>
      </c>
      <c r="Z769" s="4" t="s">
        <v>1948</v>
      </c>
      <c r="AA769" s="65">
        <v>0.77</v>
      </c>
      <c r="AB769" s="6" t="s">
        <v>10148</v>
      </c>
      <c r="AC769" s="76" t="s">
        <v>10138</v>
      </c>
      <c r="AD769" s="67" t="str">
        <f t="shared" ref="AD769:AD770" si="577">HYPERLINK("http://www.morrisville.edu/academics/#all","Link")</f>
        <v>Link</v>
      </c>
      <c r="AE769" s="42">
        <v>3003</v>
      </c>
      <c r="AF769" s="55"/>
      <c r="AG769" s="55"/>
      <c r="AH769" s="56">
        <v>196051</v>
      </c>
      <c r="AI769" s="56"/>
      <c r="AJ769" s="137"/>
      <c r="AK769" s="137"/>
    </row>
    <row r="770" spans="1:37" ht="13" x14ac:dyDescent="0.15">
      <c r="A770" s="47"/>
      <c r="B770" s="105" t="s">
        <v>7303</v>
      </c>
      <c r="C770" s="60" t="s">
        <v>43</v>
      </c>
      <c r="D770" s="44">
        <v>5</v>
      </c>
      <c r="E770" s="7" t="s">
        <v>10130</v>
      </c>
      <c r="F770" s="7"/>
      <c r="G770" s="7"/>
      <c r="H770" s="6" t="s">
        <v>10131</v>
      </c>
      <c r="I770" s="7" t="s">
        <v>1075</v>
      </c>
      <c r="J770" s="7" t="s">
        <v>10158</v>
      </c>
      <c r="K770" s="7" t="s">
        <v>10161</v>
      </c>
      <c r="L770" s="7" t="s">
        <v>10162</v>
      </c>
      <c r="M770" s="7" t="s">
        <v>10163</v>
      </c>
      <c r="N770" s="48"/>
      <c r="O770" s="7"/>
      <c r="P770" s="48" t="s">
        <v>10138</v>
      </c>
      <c r="Q770" s="60" t="s">
        <v>1304</v>
      </c>
      <c r="R770" s="6" t="s">
        <v>10141</v>
      </c>
      <c r="S770" s="94" t="s">
        <v>205</v>
      </c>
      <c r="T770" s="4" t="s">
        <v>74</v>
      </c>
      <c r="U770" s="49" t="s">
        <v>75</v>
      </c>
      <c r="V770" s="49"/>
      <c r="W770" s="37">
        <v>2.6</v>
      </c>
      <c r="X770" s="49" t="s">
        <v>5178</v>
      </c>
      <c r="Y770" s="49" t="s">
        <v>5178</v>
      </c>
      <c r="Z770" s="4" t="s">
        <v>1948</v>
      </c>
      <c r="AA770" s="65">
        <v>0.77</v>
      </c>
      <c r="AB770" s="6" t="s">
        <v>10148</v>
      </c>
      <c r="AC770" s="76" t="s">
        <v>10138</v>
      </c>
      <c r="AD770" s="67" t="str">
        <f t="shared" si="577"/>
        <v>Link</v>
      </c>
      <c r="AE770" s="42">
        <v>3003</v>
      </c>
      <c r="AF770" s="55"/>
      <c r="AG770" s="55"/>
      <c r="AH770" s="56">
        <v>196051</v>
      </c>
      <c r="AI770" s="56"/>
      <c r="AJ770" s="137"/>
      <c r="AK770" s="137"/>
    </row>
    <row r="771" spans="1:37" ht="13" x14ac:dyDescent="0.15">
      <c r="A771" s="47"/>
      <c r="B771" s="105" t="s">
        <v>7303</v>
      </c>
      <c r="C771" s="60" t="s">
        <v>43</v>
      </c>
      <c r="D771" s="44">
        <v>5</v>
      </c>
      <c r="E771" s="7" t="s">
        <v>10170</v>
      </c>
      <c r="F771" s="7"/>
      <c r="G771" s="7"/>
      <c r="H771" s="6" t="s">
        <v>10171</v>
      </c>
      <c r="I771" s="7" t="s">
        <v>10172</v>
      </c>
      <c r="J771" s="7" t="s">
        <v>10173</v>
      </c>
      <c r="K771" s="7" t="s">
        <v>48</v>
      </c>
      <c r="L771" s="7" t="s">
        <v>10174</v>
      </c>
      <c r="M771" s="7" t="s">
        <v>10176</v>
      </c>
      <c r="N771" s="45" t="str">
        <f t="shared" ref="N771:N773" si="578">HYPERLINK("twitter.com/npsbhawks","@npsbhawks")</f>
        <v>@npsbhawks</v>
      </c>
      <c r="O771" s="45" t="str">
        <f t="shared" ref="O771:O773" si="579">HYPERLINK("https://nphawks.com/sports/2019/7/8/sb-recruit-hq.aspx","Questionnaire")</f>
        <v>Questionnaire</v>
      </c>
      <c r="P771" s="48" t="s">
        <v>10184</v>
      </c>
      <c r="Q771" s="60" t="s">
        <v>1304</v>
      </c>
      <c r="R771" s="48" t="s">
        <v>10186</v>
      </c>
      <c r="S771" s="48" t="s">
        <v>172</v>
      </c>
      <c r="T771" s="5" t="s">
        <v>74</v>
      </c>
      <c r="U771" s="48" t="s">
        <v>75</v>
      </c>
      <c r="V771" s="49"/>
      <c r="W771" s="37">
        <v>3.6</v>
      </c>
      <c r="X771" s="49" t="s">
        <v>344</v>
      </c>
      <c r="Y771" s="49" t="s">
        <v>5022</v>
      </c>
      <c r="Z771" s="49" t="s">
        <v>3287</v>
      </c>
      <c r="AA771" s="65">
        <v>0.43</v>
      </c>
      <c r="AB771" s="48" t="s">
        <v>10187</v>
      </c>
      <c r="AC771" s="62" t="s">
        <v>10184</v>
      </c>
      <c r="AD771" s="53" t="str">
        <f t="shared" ref="AD771:AD773" si="580">HYPERLINK("http://www.newpaltz.edu/admissions/majors.html","Link")</f>
        <v>Link</v>
      </c>
      <c r="AE771" s="42">
        <v>6717</v>
      </c>
      <c r="AF771" s="55"/>
      <c r="AG771" s="55"/>
      <c r="AH771" s="56">
        <v>196176</v>
      </c>
      <c r="AI771" s="56"/>
      <c r="AJ771" s="137"/>
      <c r="AK771" s="137"/>
    </row>
    <row r="772" spans="1:37" ht="13" x14ac:dyDescent="0.15">
      <c r="A772" s="47"/>
      <c r="B772" s="105" t="s">
        <v>7303</v>
      </c>
      <c r="C772" s="60" t="s">
        <v>43</v>
      </c>
      <c r="D772" s="44">
        <v>5</v>
      </c>
      <c r="E772" s="7" t="s">
        <v>10194</v>
      </c>
      <c r="F772" s="7"/>
      <c r="G772" s="7"/>
      <c r="H772" s="6" t="s">
        <v>10171</v>
      </c>
      <c r="I772" s="7" t="s">
        <v>10197</v>
      </c>
      <c r="J772" s="7" t="s">
        <v>7417</v>
      </c>
      <c r="K772" s="7" t="s">
        <v>55</v>
      </c>
      <c r="L772" s="7" t="s">
        <v>10198</v>
      </c>
      <c r="M772" s="7" t="s">
        <v>10199</v>
      </c>
      <c r="N772" s="45" t="str">
        <f t="shared" si="578"/>
        <v>@npsbhawks</v>
      </c>
      <c r="O772" s="45" t="str">
        <f t="shared" si="579"/>
        <v>Questionnaire</v>
      </c>
      <c r="P772" s="48" t="s">
        <v>10184</v>
      </c>
      <c r="Q772" s="60" t="s">
        <v>1304</v>
      </c>
      <c r="R772" s="48" t="s">
        <v>10186</v>
      </c>
      <c r="S772" s="48" t="s">
        <v>172</v>
      </c>
      <c r="T772" s="5" t="s">
        <v>74</v>
      </c>
      <c r="U772" s="48" t="s">
        <v>75</v>
      </c>
      <c r="V772" s="49"/>
      <c r="W772" s="37">
        <v>3.6</v>
      </c>
      <c r="X772" s="49" t="s">
        <v>344</v>
      </c>
      <c r="Y772" s="49" t="s">
        <v>5022</v>
      </c>
      <c r="Z772" s="49" t="s">
        <v>3287</v>
      </c>
      <c r="AA772" s="65">
        <v>0.43</v>
      </c>
      <c r="AB772" s="48" t="s">
        <v>10187</v>
      </c>
      <c r="AC772" s="62" t="s">
        <v>10184</v>
      </c>
      <c r="AD772" s="53" t="str">
        <f t="shared" si="580"/>
        <v>Link</v>
      </c>
      <c r="AE772" s="42">
        <v>6717</v>
      </c>
      <c r="AF772" s="55"/>
      <c r="AG772" s="55"/>
      <c r="AH772" s="56">
        <v>196176</v>
      </c>
      <c r="AI772" s="56"/>
      <c r="AJ772" s="137"/>
      <c r="AK772" s="137"/>
    </row>
    <row r="773" spans="1:37" ht="13" x14ac:dyDescent="0.15">
      <c r="A773" s="47"/>
      <c r="B773" s="105" t="s">
        <v>7303</v>
      </c>
      <c r="C773" s="60" t="s">
        <v>43</v>
      </c>
      <c r="D773" s="44">
        <v>5</v>
      </c>
      <c r="E773" s="7" t="s">
        <v>10207</v>
      </c>
      <c r="F773" s="7"/>
      <c r="G773" s="7"/>
      <c r="H773" s="6" t="s">
        <v>10171</v>
      </c>
      <c r="I773" s="7" t="s">
        <v>981</v>
      </c>
      <c r="J773" s="7" t="s">
        <v>10208</v>
      </c>
      <c r="K773" s="7" t="s">
        <v>55</v>
      </c>
      <c r="L773" s="7" t="s">
        <v>10209</v>
      </c>
      <c r="M773" s="7"/>
      <c r="N773" s="45" t="str">
        <f t="shared" si="578"/>
        <v>@npsbhawks</v>
      </c>
      <c r="O773" s="45" t="str">
        <f t="shared" si="579"/>
        <v>Questionnaire</v>
      </c>
      <c r="P773" s="48" t="s">
        <v>10184</v>
      </c>
      <c r="Q773" s="60" t="s">
        <v>1304</v>
      </c>
      <c r="R773" s="48" t="s">
        <v>10186</v>
      </c>
      <c r="S773" s="48" t="s">
        <v>172</v>
      </c>
      <c r="T773" s="5" t="s">
        <v>74</v>
      </c>
      <c r="U773" s="48" t="s">
        <v>75</v>
      </c>
      <c r="V773" s="49"/>
      <c r="W773" s="37">
        <v>3.6</v>
      </c>
      <c r="X773" s="49" t="s">
        <v>344</v>
      </c>
      <c r="Y773" s="49" t="s">
        <v>5022</v>
      </c>
      <c r="Z773" s="49" t="s">
        <v>3287</v>
      </c>
      <c r="AA773" s="65">
        <v>0.43</v>
      </c>
      <c r="AB773" s="48" t="s">
        <v>10187</v>
      </c>
      <c r="AC773" s="62" t="s">
        <v>10184</v>
      </c>
      <c r="AD773" s="53" t="str">
        <f t="shared" si="580"/>
        <v>Link</v>
      </c>
      <c r="AE773" s="42">
        <v>6717</v>
      </c>
      <c r="AF773" s="55"/>
      <c r="AG773" s="55"/>
      <c r="AH773" s="56">
        <v>196176</v>
      </c>
      <c r="AI773" s="56"/>
      <c r="AJ773" s="137"/>
      <c r="AK773" s="137"/>
    </row>
    <row r="774" spans="1:37" ht="13" x14ac:dyDescent="0.15">
      <c r="A774" s="47"/>
      <c r="B774" s="105" t="s">
        <v>7303</v>
      </c>
      <c r="C774" s="60" t="s">
        <v>43</v>
      </c>
      <c r="D774" s="44">
        <v>5</v>
      </c>
      <c r="E774" s="7" t="s">
        <v>10219</v>
      </c>
      <c r="F774" s="7"/>
      <c r="G774" s="7"/>
      <c r="H774" s="6" t="s">
        <v>10220</v>
      </c>
      <c r="I774" s="7" t="s">
        <v>930</v>
      </c>
      <c r="J774" s="7" t="s">
        <v>9020</v>
      </c>
      <c r="K774" s="7" t="s">
        <v>48</v>
      </c>
      <c r="L774" s="7" t="s">
        <v>10221</v>
      </c>
      <c r="M774" s="7" t="s">
        <v>10223</v>
      </c>
      <c r="N774" s="48"/>
      <c r="O774" s="45" t="str">
        <f t="shared" ref="O774:O775" si="581">HYPERLINK("https://www.oldwestburypanthers.com/sb_output.aspx?form=3","Questionnaire")</f>
        <v>Questionnaire</v>
      </c>
      <c r="P774" s="48" t="s">
        <v>10229</v>
      </c>
      <c r="Q774" s="47" t="s">
        <v>1304</v>
      </c>
      <c r="R774" s="48" t="s">
        <v>10230</v>
      </c>
      <c r="S774" s="60" t="s">
        <v>205</v>
      </c>
      <c r="T774" s="49" t="s">
        <v>74</v>
      </c>
      <c r="U774" s="48" t="s">
        <v>75</v>
      </c>
      <c r="V774" s="49"/>
      <c r="W774" s="44">
        <v>3.1</v>
      </c>
      <c r="X774" s="49" t="s">
        <v>1145</v>
      </c>
      <c r="Y774" s="49" t="s">
        <v>447</v>
      </c>
      <c r="Z774" s="49" t="s">
        <v>125</v>
      </c>
      <c r="AA774" s="61">
        <v>0.69</v>
      </c>
      <c r="AB774" s="48" t="s">
        <v>10233</v>
      </c>
      <c r="AC774" s="62" t="s">
        <v>10229</v>
      </c>
      <c r="AD774" s="53" t="str">
        <f t="shared" ref="AD774:AD775" si="582">HYPERLINK("https://www.oldwestbury.edu/academics/offerings","Link")</f>
        <v>Link</v>
      </c>
      <c r="AE774" s="54">
        <v>4244</v>
      </c>
      <c r="AF774" s="55"/>
      <c r="AG774" s="55"/>
      <c r="AH774" s="56">
        <v>196237</v>
      </c>
      <c r="AI774" s="56"/>
      <c r="AJ774" s="137"/>
      <c r="AK774" s="137"/>
    </row>
    <row r="775" spans="1:37" ht="13" x14ac:dyDescent="0.15">
      <c r="A775" s="47"/>
      <c r="B775" s="105" t="s">
        <v>7303</v>
      </c>
      <c r="C775" s="60" t="s">
        <v>43</v>
      </c>
      <c r="D775" s="44">
        <v>5</v>
      </c>
      <c r="E775" s="7" t="s">
        <v>10242</v>
      </c>
      <c r="F775" s="7"/>
      <c r="G775" s="7"/>
      <c r="H775" s="6" t="s">
        <v>10220</v>
      </c>
      <c r="I775" s="7" t="s">
        <v>421</v>
      </c>
      <c r="J775" s="7"/>
      <c r="K775" s="7" t="s">
        <v>55</v>
      </c>
      <c r="L775" s="7"/>
      <c r="M775" s="7" t="s">
        <v>10223</v>
      </c>
      <c r="N775" s="48"/>
      <c r="O775" s="45" t="str">
        <f t="shared" si="581"/>
        <v>Questionnaire</v>
      </c>
      <c r="P775" s="48" t="s">
        <v>10229</v>
      </c>
      <c r="Q775" s="47" t="s">
        <v>1304</v>
      </c>
      <c r="R775" s="48" t="s">
        <v>10230</v>
      </c>
      <c r="S775" s="60" t="s">
        <v>205</v>
      </c>
      <c r="T775" s="49" t="s">
        <v>74</v>
      </c>
      <c r="U775" s="48" t="s">
        <v>75</v>
      </c>
      <c r="V775" s="49"/>
      <c r="W775" s="44">
        <v>3.1</v>
      </c>
      <c r="X775" s="49" t="s">
        <v>1145</v>
      </c>
      <c r="Y775" s="49" t="s">
        <v>447</v>
      </c>
      <c r="Z775" s="49" t="s">
        <v>125</v>
      </c>
      <c r="AA775" s="61">
        <v>0.69</v>
      </c>
      <c r="AB775" s="48" t="s">
        <v>10233</v>
      </c>
      <c r="AC775" s="62" t="s">
        <v>10229</v>
      </c>
      <c r="AD775" s="53" t="str">
        <f t="shared" si="582"/>
        <v>Link</v>
      </c>
      <c r="AE775" s="54">
        <v>4244</v>
      </c>
      <c r="AF775" s="55"/>
      <c r="AG775" s="55"/>
      <c r="AH775" s="56">
        <v>196237</v>
      </c>
      <c r="AI775" s="56"/>
      <c r="AJ775" s="137"/>
      <c r="AK775" s="137"/>
    </row>
    <row r="776" spans="1:37" ht="13" x14ac:dyDescent="0.15">
      <c r="A776" s="47"/>
      <c r="B776" s="105" t="s">
        <v>7303</v>
      </c>
      <c r="C776" s="60" t="s">
        <v>43</v>
      </c>
      <c r="D776" s="44">
        <v>5</v>
      </c>
      <c r="E776" s="7" t="s">
        <v>10250</v>
      </c>
      <c r="F776" s="7"/>
      <c r="G776" s="7"/>
      <c r="H776" s="6" t="s">
        <v>10251</v>
      </c>
      <c r="I776" s="7" t="s">
        <v>2037</v>
      </c>
      <c r="J776" s="7" t="s">
        <v>10253</v>
      </c>
      <c r="K776" s="7" t="s">
        <v>48</v>
      </c>
      <c r="L776" s="7" t="s">
        <v>10255</v>
      </c>
      <c r="M776" s="7" t="s">
        <v>10256</v>
      </c>
      <c r="N776" s="45" t="str">
        <f t="shared" ref="N776:N779" si="583">HYPERLINK("twitter.com/oneontasoftball","@oneontasoftball")</f>
        <v>@oneontasoftball</v>
      </c>
      <c r="O776" s="45" t="str">
        <f t="shared" ref="O776:O779" si="584">HYPERLINK("https://oneontaathletics.com/sports/2010/6/23/SID_0623105339.aspx","Questionnaire")</f>
        <v>Questionnaire</v>
      </c>
      <c r="P776" s="48" t="s">
        <v>10264</v>
      </c>
      <c r="Q776" s="47" t="s">
        <v>1304</v>
      </c>
      <c r="R776" s="48" t="s">
        <v>10266</v>
      </c>
      <c r="S776" s="48" t="s">
        <v>172</v>
      </c>
      <c r="T776" s="73" t="s">
        <v>74</v>
      </c>
      <c r="U776" s="48" t="s">
        <v>75</v>
      </c>
      <c r="V776" s="49"/>
      <c r="W776" s="44">
        <v>3.6</v>
      </c>
      <c r="X776" s="49" t="s">
        <v>1509</v>
      </c>
      <c r="Y776" s="49" t="s">
        <v>1509</v>
      </c>
      <c r="Z776" s="49" t="s">
        <v>1510</v>
      </c>
      <c r="AA776" s="61">
        <v>0.53</v>
      </c>
      <c r="AB776" s="48" t="s">
        <v>10269</v>
      </c>
      <c r="AC776" s="62" t="s">
        <v>10264</v>
      </c>
      <c r="AD776" s="53" t="str">
        <f t="shared" ref="AD776:AD779" si="585">HYPERLINK("https://suny.oneonta.edu/academics/majors-programs","Link")</f>
        <v>Link</v>
      </c>
      <c r="AE776" s="54">
        <v>5729</v>
      </c>
      <c r="AF776" s="55"/>
      <c r="AG776" s="55"/>
      <c r="AH776" s="56">
        <v>196185</v>
      </c>
      <c r="AI776" s="56"/>
      <c r="AJ776" s="137"/>
      <c r="AK776" s="137"/>
    </row>
    <row r="777" spans="1:37" ht="13" x14ac:dyDescent="0.15">
      <c r="A777" s="47"/>
      <c r="B777" s="105" t="s">
        <v>7303</v>
      </c>
      <c r="C777" s="60" t="s">
        <v>43</v>
      </c>
      <c r="D777" s="44">
        <v>5</v>
      </c>
      <c r="E777" s="7" t="s">
        <v>10270</v>
      </c>
      <c r="F777" s="7"/>
      <c r="G777" s="7"/>
      <c r="H777" s="6" t="s">
        <v>10251</v>
      </c>
      <c r="I777" s="7" t="s">
        <v>658</v>
      </c>
      <c r="J777" s="7" t="s">
        <v>10271</v>
      </c>
      <c r="K777" s="7" t="s">
        <v>55</v>
      </c>
      <c r="L777" s="7" t="s">
        <v>10272</v>
      </c>
      <c r="M777" s="7" t="s">
        <v>10256</v>
      </c>
      <c r="N777" s="45" t="str">
        <f t="shared" si="583"/>
        <v>@oneontasoftball</v>
      </c>
      <c r="O777" s="45" t="str">
        <f t="shared" si="584"/>
        <v>Questionnaire</v>
      </c>
      <c r="P777" s="48" t="s">
        <v>10264</v>
      </c>
      <c r="Q777" s="47" t="s">
        <v>1304</v>
      </c>
      <c r="R777" s="48" t="s">
        <v>10266</v>
      </c>
      <c r="S777" s="48" t="s">
        <v>172</v>
      </c>
      <c r="T777" s="73" t="s">
        <v>74</v>
      </c>
      <c r="U777" s="48" t="s">
        <v>75</v>
      </c>
      <c r="V777" s="49"/>
      <c r="W777" s="44">
        <v>3.6</v>
      </c>
      <c r="X777" s="49" t="s">
        <v>1509</v>
      </c>
      <c r="Y777" s="49" t="s">
        <v>1509</v>
      </c>
      <c r="Z777" s="49" t="s">
        <v>1510</v>
      </c>
      <c r="AA777" s="61">
        <v>0.53</v>
      </c>
      <c r="AB777" s="48" t="s">
        <v>10269</v>
      </c>
      <c r="AC777" s="62" t="s">
        <v>10264</v>
      </c>
      <c r="AD777" s="53" t="str">
        <f t="shared" si="585"/>
        <v>Link</v>
      </c>
      <c r="AE777" s="54">
        <v>5729</v>
      </c>
      <c r="AF777" s="55"/>
      <c r="AG777" s="55"/>
      <c r="AH777" s="56">
        <v>196185</v>
      </c>
      <c r="AI777" s="56"/>
      <c r="AJ777" s="137"/>
      <c r="AK777" s="137"/>
    </row>
    <row r="778" spans="1:37" ht="13" x14ac:dyDescent="0.15">
      <c r="A778" s="47"/>
      <c r="B778" s="105" t="s">
        <v>7303</v>
      </c>
      <c r="C778" s="60" t="s">
        <v>43</v>
      </c>
      <c r="D778" s="44">
        <v>5</v>
      </c>
      <c r="E778" s="7" t="s">
        <v>10279</v>
      </c>
      <c r="F778" s="7"/>
      <c r="G778" s="7"/>
      <c r="H778" s="6" t="s">
        <v>10251</v>
      </c>
      <c r="I778" s="7" t="s">
        <v>234</v>
      </c>
      <c r="J778" s="7" t="s">
        <v>10280</v>
      </c>
      <c r="K778" s="7" t="s">
        <v>919</v>
      </c>
      <c r="L778" s="7" t="s">
        <v>10281</v>
      </c>
      <c r="M778" s="7" t="s">
        <v>10256</v>
      </c>
      <c r="N778" s="45" t="str">
        <f t="shared" si="583"/>
        <v>@oneontasoftball</v>
      </c>
      <c r="O778" s="45" t="str">
        <f t="shared" si="584"/>
        <v>Questionnaire</v>
      </c>
      <c r="P778" s="48" t="s">
        <v>10264</v>
      </c>
      <c r="Q778" s="47" t="s">
        <v>1304</v>
      </c>
      <c r="R778" s="48" t="s">
        <v>10266</v>
      </c>
      <c r="S778" s="48" t="s">
        <v>172</v>
      </c>
      <c r="T778" s="73" t="s">
        <v>74</v>
      </c>
      <c r="U778" s="48" t="s">
        <v>75</v>
      </c>
      <c r="V778" s="49"/>
      <c r="W778" s="44">
        <v>3.6</v>
      </c>
      <c r="X778" s="49" t="s">
        <v>1509</v>
      </c>
      <c r="Y778" s="49" t="s">
        <v>1509</v>
      </c>
      <c r="Z778" s="49" t="s">
        <v>1510</v>
      </c>
      <c r="AA778" s="61">
        <v>0.53</v>
      </c>
      <c r="AB778" s="48" t="s">
        <v>10269</v>
      </c>
      <c r="AC778" s="62" t="s">
        <v>10264</v>
      </c>
      <c r="AD778" s="53" t="str">
        <f t="shared" si="585"/>
        <v>Link</v>
      </c>
      <c r="AE778" s="54">
        <v>5729</v>
      </c>
      <c r="AF778" s="55"/>
      <c r="AG778" s="55"/>
      <c r="AH778" s="56">
        <v>196185</v>
      </c>
      <c r="AI778" s="56"/>
      <c r="AJ778" s="137"/>
      <c r="AK778" s="137"/>
    </row>
    <row r="779" spans="1:37" ht="13" x14ac:dyDescent="0.15">
      <c r="A779" s="47"/>
      <c r="B779" s="105" t="s">
        <v>7303</v>
      </c>
      <c r="C779" s="60" t="s">
        <v>43</v>
      </c>
      <c r="D779" s="44">
        <v>5</v>
      </c>
      <c r="E779" s="7" t="s">
        <v>10290</v>
      </c>
      <c r="F779" s="7" t="s">
        <v>116</v>
      </c>
      <c r="G779" s="7"/>
      <c r="H779" s="6" t="s">
        <v>10251</v>
      </c>
      <c r="I779" s="7" t="s">
        <v>1266</v>
      </c>
      <c r="J779" s="7" t="s">
        <v>10291</v>
      </c>
      <c r="K779" s="7" t="s">
        <v>55</v>
      </c>
      <c r="L779" s="7"/>
      <c r="M779" s="7"/>
      <c r="N779" s="45" t="str">
        <f t="shared" si="583"/>
        <v>@oneontasoftball</v>
      </c>
      <c r="O779" s="45" t="str">
        <f t="shared" si="584"/>
        <v>Questionnaire</v>
      </c>
      <c r="P779" s="48" t="s">
        <v>10264</v>
      </c>
      <c r="Q779" s="47" t="s">
        <v>1304</v>
      </c>
      <c r="R779" s="48" t="s">
        <v>10266</v>
      </c>
      <c r="S779" s="48" t="s">
        <v>172</v>
      </c>
      <c r="T779" s="73" t="s">
        <v>74</v>
      </c>
      <c r="U779" s="48" t="s">
        <v>75</v>
      </c>
      <c r="V779" s="49"/>
      <c r="W779" s="44">
        <v>3.6</v>
      </c>
      <c r="X779" s="49" t="s">
        <v>1509</v>
      </c>
      <c r="Y779" s="49" t="s">
        <v>1509</v>
      </c>
      <c r="Z779" s="49" t="s">
        <v>1510</v>
      </c>
      <c r="AA779" s="61">
        <v>0.53</v>
      </c>
      <c r="AB779" s="48" t="s">
        <v>10269</v>
      </c>
      <c r="AC779" s="62" t="s">
        <v>10264</v>
      </c>
      <c r="AD779" s="53" t="str">
        <f t="shared" si="585"/>
        <v>Link</v>
      </c>
      <c r="AE779" s="54">
        <v>5729</v>
      </c>
      <c r="AF779" s="55"/>
      <c r="AG779" s="55"/>
      <c r="AH779" s="56">
        <v>196185</v>
      </c>
      <c r="AI779" s="59"/>
      <c r="AJ779" s="137"/>
      <c r="AK779" s="137"/>
    </row>
    <row r="780" spans="1:37" ht="13" x14ac:dyDescent="0.15">
      <c r="A780" s="47"/>
      <c r="B780" s="105" t="s">
        <v>7303</v>
      </c>
      <c r="C780" s="60" t="s">
        <v>43</v>
      </c>
      <c r="D780" s="44">
        <v>5</v>
      </c>
      <c r="E780" s="7" t="s">
        <v>10303</v>
      </c>
      <c r="F780" s="7"/>
      <c r="G780" s="7"/>
      <c r="H780" s="6" t="s">
        <v>10304</v>
      </c>
      <c r="I780" s="7" t="s">
        <v>10305</v>
      </c>
      <c r="J780" s="7" t="s">
        <v>10306</v>
      </c>
      <c r="K780" s="7" t="s">
        <v>48</v>
      </c>
      <c r="L780" s="7" t="s">
        <v>10307</v>
      </c>
      <c r="M780" s="7" t="s">
        <v>10308</v>
      </c>
      <c r="N780" s="45" t="str">
        <f t="shared" ref="N780:N783" si="586">HYPERLINK("twitter.com/oswegostatesb","@oswegostatesb")</f>
        <v>@oswegostatesb</v>
      </c>
      <c r="O780" s="45" t="str">
        <f t="shared" ref="O780:O783" si="587">HYPERLINK("https://questionnaire.acsathletics.com/Questionnaire/Questionnaire.aspx?q=1017&amp;s=9026&amp;o=193","Questionnaire")</f>
        <v>Questionnaire</v>
      </c>
      <c r="P780" s="48" t="s">
        <v>10316</v>
      </c>
      <c r="Q780" s="47" t="s">
        <v>1304</v>
      </c>
      <c r="R780" s="48" t="s">
        <v>10317</v>
      </c>
      <c r="S780" s="48" t="s">
        <v>172</v>
      </c>
      <c r="T780" s="49" t="s">
        <v>74</v>
      </c>
      <c r="U780" s="48" t="s">
        <v>75</v>
      </c>
      <c r="V780" s="49"/>
      <c r="W780" s="44">
        <v>3.5</v>
      </c>
      <c r="X780" s="49" t="s">
        <v>345</v>
      </c>
      <c r="Y780" s="49" t="s">
        <v>6298</v>
      </c>
      <c r="Z780" s="49" t="s">
        <v>320</v>
      </c>
      <c r="AA780" s="61">
        <v>0.55000000000000004</v>
      </c>
      <c r="AB780" s="48" t="s">
        <v>10320</v>
      </c>
      <c r="AC780" s="62" t="s">
        <v>10316</v>
      </c>
      <c r="AD780" s="53" t="str">
        <f t="shared" ref="AD780:AD783" si="588">HYPERLINK("https://www.oswego.edu/programs/","Link")</f>
        <v>Link</v>
      </c>
      <c r="AE780" s="54">
        <v>7150</v>
      </c>
      <c r="AF780" s="55"/>
      <c r="AG780" s="55"/>
      <c r="AH780" s="56">
        <v>196194</v>
      </c>
      <c r="AI780" s="56"/>
      <c r="AJ780" s="137"/>
      <c r="AK780" s="137"/>
    </row>
    <row r="781" spans="1:37" ht="13" x14ac:dyDescent="0.15">
      <c r="A781" s="47"/>
      <c r="B781" s="105" t="s">
        <v>7303</v>
      </c>
      <c r="C781" s="60" t="s">
        <v>43</v>
      </c>
      <c r="D781" s="44">
        <v>5</v>
      </c>
      <c r="E781" s="7" t="s">
        <v>10325</v>
      </c>
      <c r="F781" s="7"/>
      <c r="G781" s="7"/>
      <c r="H781" s="6" t="s">
        <v>10304</v>
      </c>
      <c r="I781" s="7" t="s">
        <v>3053</v>
      </c>
      <c r="J781" s="7" t="s">
        <v>10326</v>
      </c>
      <c r="K781" s="7" t="s">
        <v>55</v>
      </c>
      <c r="L781" s="7" t="s">
        <v>10327</v>
      </c>
      <c r="M781" s="7"/>
      <c r="N781" s="45" t="str">
        <f t="shared" si="586"/>
        <v>@oswegostatesb</v>
      </c>
      <c r="O781" s="45" t="str">
        <f t="shared" si="587"/>
        <v>Questionnaire</v>
      </c>
      <c r="P781" s="48" t="s">
        <v>10316</v>
      </c>
      <c r="Q781" s="47" t="s">
        <v>1304</v>
      </c>
      <c r="R781" s="48" t="s">
        <v>10317</v>
      </c>
      <c r="S781" s="48" t="s">
        <v>172</v>
      </c>
      <c r="T781" s="49" t="s">
        <v>74</v>
      </c>
      <c r="U781" s="48" t="s">
        <v>75</v>
      </c>
      <c r="V781" s="49"/>
      <c r="W781" s="44">
        <v>3.5</v>
      </c>
      <c r="X781" s="49" t="s">
        <v>345</v>
      </c>
      <c r="Y781" s="49" t="s">
        <v>6298</v>
      </c>
      <c r="Z781" s="49" t="s">
        <v>320</v>
      </c>
      <c r="AA781" s="61">
        <v>0.55000000000000004</v>
      </c>
      <c r="AB781" s="48" t="s">
        <v>10320</v>
      </c>
      <c r="AC781" s="62" t="s">
        <v>10316</v>
      </c>
      <c r="AD781" s="53" t="str">
        <f t="shared" si="588"/>
        <v>Link</v>
      </c>
      <c r="AE781" s="54">
        <v>7150</v>
      </c>
      <c r="AF781" s="55"/>
      <c r="AG781" s="55"/>
      <c r="AH781" s="56">
        <v>196194</v>
      </c>
      <c r="AI781" s="56"/>
      <c r="AJ781" s="137"/>
      <c r="AK781" s="137"/>
    </row>
    <row r="782" spans="1:37" ht="13" x14ac:dyDescent="0.15">
      <c r="A782" s="47"/>
      <c r="B782" s="105" t="s">
        <v>7303</v>
      </c>
      <c r="C782" s="60" t="s">
        <v>43</v>
      </c>
      <c r="D782" s="44">
        <v>5</v>
      </c>
      <c r="E782" s="7" t="s">
        <v>10336</v>
      </c>
      <c r="F782" s="7"/>
      <c r="G782" s="7"/>
      <c r="H782" s="6" t="s">
        <v>10304</v>
      </c>
      <c r="I782" s="7" t="s">
        <v>1717</v>
      </c>
      <c r="J782" s="7" t="s">
        <v>10337</v>
      </c>
      <c r="K782" s="7" t="s">
        <v>55</v>
      </c>
      <c r="L782" s="7" t="s">
        <v>10338</v>
      </c>
      <c r="M782" s="7"/>
      <c r="N782" s="45" t="str">
        <f t="shared" si="586"/>
        <v>@oswegostatesb</v>
      </c>
      <c r="O782" s="45" t="str">
        <f t="shared" si="587"/>
        <v>Questionnaire</v>
      </c>
      <c r="P782" s="48" t="s">
        <v>10316</v>
      </c>
      <c r="Q782" s="47" t="s">
        <v>1304</v>
      </c>
      <c r="R782" s="48" t="s">
        <v>10317</v>
      </c>
      <c r="S782" s="48" t="s">
        <v>172</v>
      </c>
      <c r="T782" s="49" t="s">
        <v>74</v>
      </c>
      <c r="U782" s="48" t="s">
        <v>75</v>
      </c>
      <c r="V782" s="49"/>
      <c r="W782" s="44">
        <v>3.5</v>
      </c>
      <c r="X782" s="49" t="s">
        <v>345</v>
      </c>
      <c r="Y782" s="49" t="s">
        <v>6298</v>
      </c>
      <c r="Z782" s="49" t="s">
        <v>320</v>
      </c>
      <c r="AA782" s="61">
        <v>0.55000000000000004</v>
      </c>
      <c r="AB782" s="48" t="s">
        <v>10320</v>
      </c>
      <c r="AC782" s="62" t="s">
        <v>10316</v>
      </c>
      <c r="AD782" s="53" t="str">
        <f t="shared" si="588"/>
        <v>Link</v>
      </c>
      <c r="AE782" s="54">
        <v>7150</v>
      </c>
      <c r="AF782" s="55"/>
      <c r="AG782" s="55"/>
      <c r="AH782" s="56">
        <v>196194</v>
      </c>
      <c r="AI782" s="56"/>
      <c r="AJ782" s="137"/>
      <c r="AK782" s="137"/>
    </row>
    <row r="783" spans="1:37" ht="13" x14ac:dyDescent="0.15">
      <c r="A783" s="47"/>
      <c r="B783" s="105" t="s">
        <v>7303</v>
      </c>
      <c r="C783" s="60" t="s">
        <v>43</v>
      </c>
      <c r="D783" s="44">
        <v>5</v>
      </c>
      <c r="E783" s="7" t="s">
        <v>10346</v>
      </c>
      <c r="F783" s="7"/>
      <c r="G783" s="7"/>
      <c r="H783" s="6" t="s">
        <v>10304</v>
      </c>
      <c r="I783" s="7" t="s">
        <v>5749</v>
      </c>
      <c r="J783" s="7" t="s">
        <v>10348</v>
      </c>
      <c r="K783" s="7" t="s">
        <v>55</v>
      </c>
      <c r="L783" s="7"/>
      <c r="M783" s="7"/>
      <c r="N783" s="45" t="str">
        <f t="shared" si="586"/>
        <v>@oswegostatesb</v>
      </c>
      <c r="O783" s="45" t="str">
        <f t="shared" si="587"/>
        <v>Questionnaire</v>
      </c>
      <c r="P783" s="48" t="s">
        <v>10316</v>
      </c>
      <c r="Q783" s="47" t="s">
        <v>1304</v>
      </c>
      <c r="R783" s="48" t="s">
        <v>10317</v>
      </c>
      <c r="S783" s="48" t="s">
        <v>172</v>
      </c>
      <c r="T783" s="49" t="s">
        <v>74</v>
      </c>
      <c r="U783" s="48" t="s">
        <v>75</v>
      </c>
      <c r="V783" s="49"/>
      <c r="W783" s="44">
        <v>3.5</v>
      </c>
      <c r="X783" s="49" t="s">
        <v>345</v>
      </c>
      <c r="Y783" s="49" t="s">
        <v>6298</v>
      </c>
      <c r="Z783" s="49" t="s">
        <v>320</v>
      </c>
      <c r="AA783" s="61">
        <v>0.55000000000000004</v>
      </c>
      <c r="AB783" s="48" t="s">
        <v>10320</v>
      </c>
      <c r="AC783" s="62" t="s">
        <v>10316</v>
      </c>
      <c r="AD783" s="53" t="str">
        <f t="shared" si="588"/>
        <v>Link</v>
      </c>
      <c r="AE783" s="54">
        <v>7150</v>
      </c>
      <c r="AF783" s="55"/>
      <c r="AG783" s="55"/>
      <c r="AH783" s="56">
        <v>196194</v>
      </c>
      <c r="AI783" s="56"/>
      <c r="AJ783" s="137"/>
      <c r="AK783" s="137"/>
    </row>
    <row r="784" spans="1:37" ht="13" x14ac:dyDescent="0.15">
      <c r="A784" s="47"/>
      <c r="B784" s="105" t="s">
        <v>7303</v>
      </c>
      <c r="C784" s="60" t="s">
        <v>43</v>
      </c>
      <c r="D784" s="44">
        <v>5</v>
      </c>
      <c r="E784" s="7" t="s">
        <v>10354</v>
      </c>
      <c r="F784" s="7"/>
      <c r="G784" s="7"/>
      <c r="H784" s="6" t="s">
        <v>10355</v>
      </c>
      <c r="I784" s="7" t="s">
        <v>3722</v>
      </c>
      <c r="J784" s="7" t="s">
        <v>10356</v>
      </c>
      <c r="K784" s="7" t="s">
        <v>48</v>
      </c>
      <c r="L784" s="7" t="s">
        <v>10357</v>
      </c>
      <c r="M784" s="7" t="s">
        <v>10358</v>
      </c>
      <c r="N784" s="45" t="str">
        <f t="shared" ref="N784:N790" si="589">HYPERLINK("twitter.com/cardinals_sb","@cardinals_sb")</f>
        <v>@cardinals_sb</v>
      </c>
      <c r="O784" s="45" t="str">
        <f t="shared" ref="O784:O790" si="590">HYPERLINK("https://gocardinalsports.com/sports/2018/11/14/recruiting.aspx","Questionnaire")</f>
        <v>Questionnaire</v>
      </c>
      <c r="P784" s="48" t="s">
        <v>10366</v>
      </c>
      <c r="Q784" s="47" t="s">
        <v>1304</v>
      </c>
      <c r="R784" s="48" t="s">
        <v>10367</v>
      </c>
      <c r="S784" s="48" t="s">
        <v>172</v>
      </c>
      <c r="T784" s="49" t="s">
        <v>74</v>
      </c>
      <c r="U784" s="48" t="s">
        <v>75</v>
      </c>
      <c r="V784" s="49"/>
      <c r="W784" s="44">
        <v>3.29</v>
      </c>
      <c r="X784" s="49" t="s">
        <v>688</v>
      </c>
      <c r="Y784" s="49" t="s">
        <v>5022</v>
      </c>
      <c r="Z784" s="49" t="s">
        <v>1715</v>
      </c>
      <c r="AA784" s="61">
        <v>0.51</v>
      </c>
      <c r="AB784" s="48" t="s">
        <v>10368</v>
      </c>
      <c r="AC784" s="62" t="s">
        <v>10366</v>
      </c>
      <c r="AD784" s="53" t="str">
        <f t="shared" ref="AD784:AD790" si="591">HYPERLINK("https://web.plattsburgh.edu/academics/programs.php","Link")</f>
        <v>Link</v>
      </c>
      <c r="AE784" s="54">
        <v>5215</v>
      </c>
      <c r="AF784" s="55"/>
      <c r="AG784" s="55"/>
      <c r="AH784" s="56">
        <v>196246</v>
      </c>
      <c r="AI784" s="56"/>
      <c r="AJ784" s="137"/>
      <c r="AK784" s="137"/>
    </row>
    <row r="785" spans="1:37" ht="13" x14ac:dyDescent="0.15">
      <c r="A785" s="47"/>
      <c r="B785" s="105" t="s">
        <v>7303</v>
      </c>
      <c r="C785" s="60" t="s">
        <v>43</v>
      </c>
      <c r="D785" s="44">
        <v>5</v>
      </c>
      <c r="E785" s="7" t="s">
        <v>10380</v>
      </c>
      <c r="F785" s="7"/>
      <c r="G785" s="7"/>
      <c r="H785" s="6" t="s">
        <v>10355</v>
      </c>
      <c r="I785" s="7" t="s">
        <v>658</v>
      </c>
      <c r="J785" s="7" t="s">
        <v>10381</v>
      </c>
      <c r="K785" s="7" t="s">
        <v>55</v>
      </c>
      <c r="L785" s="7" t="s">
        <v>10382</v>
      </c>
      <c r="M785" s="7" t="s">
        <v>10383</v>
      </c>
      <c r="N785" s="45" t="str">
        <f t="shared" si="589"/>
        <v>@cardinals_sb</v>
      </c>
      <c r="O785" s="45" t="str">
        <f t="shared" si="590"/>
        <v>Questionnaire</v>
      </c>
      <c r="P785" s="48" t="s">
        <v>10366</v>
      </c>
      <c r="Q785" s="47" t="s">
        <v>1304</v>
      </c>
      <c r="R785" s="48" t="s">
        <v>10367</v>
      </c>
      <c r="S785" s="48" t="s">
        <v>172</v>
      </c>
      <c r="T785" s="49" t="s">
        <v>74</v>
      </c>
      <c r="U785" s="48" t="s">
        <v>75</v>
      </c>
      <c r="V785" s="49"/>
      <c r="W785" s="44">
        <v>3.29</v>
      </c>
      <c r="X785" s="49" t="s">
        <v>688</v>
      </c>
      <c r="Y785" s="49" t="s">
        <v>5022</v>
      </c>
      <c r="Z785" s="49" t="s">
        <v>1715</v>
      </c>
      <c r="AA785" s="61">
        <v>0.51</v>
      </c>
      <c r="AB785" s="48" t="s">
        <v>10368</v>
      </c>
      <c r="AC785" s="62" t="s">
        <v>10366</v>
      </c>
      <c r="AD785" s="53" t="str">
        <f t="shared" si="591"/>
        <v>Link</v>
      </c>
      <c r="AE785" s="54">
        <v>5215</v>
      </c>
      <c r="AF785" s="55"/>
      <c r="AG785" s="55"/>
      <c r="AH785" s="56">
        <v>196246</v>
      </c>
      <c r="AI785" s="56"/>
      <c r="AJ785" s="137"/>
      <c r="AK785" s="137"/>
    </row>
    <row r="786" spans="1:37" ht="13" x14ac:dyDescent="0.15">
      <c r="A786" s="47"/>
      <c r="B786" s="105" t="s">
        <v>7303</v>
      </c>
      <c r="C786" s="60" t="s">
        <v>43</v>
      </c>
      <c r="D786" s="44">
        <v>5</v>
      </c>
      <c r="E786" s="7" t="s">
        <v>10392</v>
      </c>
      <c r="F786" s="7"/>
      <c r="G786" s="7"/>
      <c r="H786" s="6" t="s">
        <v>10355</v>
      </c>
      <c r="I786" s="7" t="s">
        <v>930</v>
      </c>
      <c r="J786" s="7" t="s">
        <v>10394</v>
      </c>
      <c r="K786" s="7" t="s">
        <v>139</v>
      </c>
      <c r="L786" s="7"/>
      <c r="M786" s="7"/>
      <c r="N786" s="45" t="str">
        <f t="shared" si="589"/>
        <v>@cardinals_sb</v>
      </c>
      <c r="O786" s="45" t="str">
        <f t="shared" si="590"/>
        <v>Questionnaire</v>
      </c>
      <c r="P786" s="48" t="s">
        <v>10366</v>
      </c>
      <c r="Q786" s="47" t="s">
        <v>1304</v>
      </c>
      <c r="R786" s="48" t="s">
        <v>10367</v>
      </c>
      <c r="S786" s="48" t="s">
        <v>172</v>
      </c>
      <c r="T786" s="49" t="s">
        <v>74</v>
      </c>
      <c r="U786" s="48" t="s">
        <v>75</v>
      </c>
      <c r="V786" s="49"/>
      <c r="W786" s="44">
        <v>3.29</v>
      </c>
      <c r="X786" s="49" t="s">
        <v>688</v>
      </c>
      <c r="Y786" s="49" t="s">
        <v>5022</v>
      </c>
      <c r="Z786" s="49" t="s">
        <v>1715</v>
      </c>
      <c r="AA786" s="61">
        <v>0.51</v>
      </c>
      <c r="AB786" s="48" t="s">
        <v>10368</v>
      </c>
      <c r="AC786" s="62" t="s">
        <v>10366</v>
      </c>
      <c r="AD786" s="53" t="str">
        <f t="shared" si="591"/>
        <v>Link</v>
      </c>
      <c r="AE786" s="54">
        <v>5215</v>
      </c>
      <c r="AF786" s="55"/>
      <c r="AG786" s="55"/>
      <c r="AH786" s="56">
        <v>196246</v>
      </c>
      <c r="AI786" s="56"/>
      <c r="AJ786" s="137"/>
      <c r="AK786" s="137"/>
    </row>
    <row r="787" spans="1:37" ht="13" x14ac:dyDescent="0.15">
      <c r="A787" s="47"/>
      <c r="B787" s="105" t="s">
        <v>7303</v>
      </c>
      <c r="C787" s="60" t="s">
        <v>43</v>
      </c>
      <c r="D787" s="44">
        <v>5</v>
      </c>
      <c r="E787" s="7" t="s">
        <v>10403</v>
      </c>
      <c r="F787" s="7" t="s">
        <v>116</v>
      </c>
      <c r="G787" s="7"/>
      <c r="H787" s="6" t="s">
        <v>10355</v>
      </c>
      <c r="I787" s="7" t="s">
        <v>8707</v>
      </c>
      <c r="J787" s="7" t="s">
        <v>4077</v>
      </c>
      <c r="K787" s="7" t="s">
        <v>139</v>
      </c>
      <c r="L787" s="7"/>
      <c r="M787" s="7"/>
      <c r="N787" s="45" t="str">
        <f t="shared" si="589"/>
        <v>@cardinals_sb</v>
      </c>
      <c r="O787" s="45" t="str">
        <f t="shared" si="590"/>
        <v>Questionnaire</v>
      </c>
      <c r="P787" s="48" t="s">
        <v>10366</v>
      </c>
      <c r="Q787" s="47" t="s">
        <v>1304</v>
      </c>
      <c r="R787" s="48" t="s">
        <v>10367</v>
      </c>
      <c r="S787" s="48" t="s">
        <v>172</v>
      </c>
      <c r="T787" s="49" t="s">
        <v>74</v>
      </c>
      <c r="U787" s="48" t="s">
        <v>75</v>
      </c>
      <c r="V787" s="49"/>
      <c r="W787" s="44">
        <v>3.29</v>
      </c>
      <c r="X787" s="49" t="s">
        <v>688</v>
      </c>
      <c r="Y787" s="49" t="s">
        <v>5022</v>
      </c>
      <c r="Z787" s="49" t="s">
        <v>1715</v>
      </c>
      <c r="AA787" s="61">
        <v>0.51</v>
      </c>
      <c r="AB787" s="48" t="s">
        <v>10368</v>
      </c>
      <c r="AC787" s="62" t="s">
        <v>10366</v>
      </c>
      <c r="AD787" s="53" t="str">
        <f t="shared" si="591"/>
        <v>Link</v>
      </c>
      <c r="AE787" s="54">
        <v>5215</v>
      </c>
      <c r="AF787" s="55"/>
      <c r="AG787" s="55"/>
      <c r="AH787" s="56">
        <v>196246</v>
      </c>
      <c r="AI787" s="59"/>
      <c r="AJ787" s="137"/>
      <c r="AK787" s="137"/>
    </row>
    <row r="788" spans="1:37" ht="13" x14ac:dyDescent="0.15">
      <c r="A788" s="47"/>
      <c r="B788" s="105" t="s">
        <v>7303</v>
      </c>
      <c r="C788" s="60" t="s">
        <v>43</v>
      </c>
      <c r="D788" s="44">
        <v>5</v>
      </c>
      <c r="E788" s="7" t="s">
        <v>10411</v>
      </c>
      <c r="F788" s="7" t="s">
        <v>116</v>
      </c>
      <c r="G788" s="7"/>
      <c r="H788" s="6" t="s">
        <v>10355</v>
      </c>
      <c r="I788" s="7" t="s">
        <v>206</v>
      </c>
      <c r="J788" s="7" t="s">
        <v>10412</v>
      </c>
      <c r="K788" s="7" t="s">
        <v>139</v>
      </c>
      <c r="L788" s="7"/>
      <c r="M788" s="7"/>
      <c r="N788" s="45" t="str">
        <f t="shared" si="589"/>
        <v>@cardinals_sb</v>
      </c>
      <c r="O788" s="45" t="str">
        <f t="shared" si="590"/>
        <v>Questionnaire</v>
      </c>
      <c r="P788" s="48" t="s">
        <v>10366</v>
      </c>
      <c r="Q788" s="47" t="s">
        <v>1304</v>
      </c>
      <c r="R788" s="48" t="s">
        <v>10367</v>
      </c>
      <c r="S788" s="48" t="s">
        <v>172</v>
      </c>
      <c r="T788" s="49" t="s">
        <v>74</v>
      </c>
      <c r="U788" s="48" t="s">
        <v>75</v>
      </c>
      <c r="V788" s="49"/>
      <c r="W788" s="44">
        <v>3.29</v>
      </c>
      <c r="X788" s="49" t="s">
        <v>688</v>
      </c>
      <c r="Y788" s="49" t="s">
        <v>5022</v>
      </c>
      <c r="Z788" s="49" t="s">
        <v>1715</v>
      </c>
      <c r="AA788" s="61">
        <v>0.51</v>
      </c>
      <c r="AB788" s="48" t="s">
        <v>10368</v>
      </c>
      <c r="AC788" s="62" t="s">
        <v>10366</v>
      </c>
      <c r="AD788" s="53" t="str">
        <f t="shared" si="591"/>
        <v>Link</v>
      </c>
      <c r="AE788" s="54">
        <v>5215</v>
      </c>
      <c r="AF788" s="55"/>
      <c r="AG788" s="55"/>
      <c r="AH788" s="56">
        <v>196246</v>
      </c>
      <c r="AI788" s="59"/>
      <c r="AJ788" s="137"/>
      <c r="AK788" s="137"/>
    </row>
    <row r="789" spans="1:37" ht="13" x14ac:dyDescent="0.15">
      <c r="A789" s="47"/>
      <c r="B789" s="105" t="s">
        <v>7303</v>
      </c>
      <c r="C789" s="60" t="s">
        <v>43</v>
      </c>
      <c r="D789" s="44">
        <v>5</v>
      </c>
      <c r="E789" s="7" t="s">
        <v>10425</v>
      </c>
      <c r="F789" s="7" t="s">
        <v>116</v>
      </c>
      <c r="G789" s="7"/>
      <c r="H789" s="6" t="s">
        <v>10355</v>
      </c>
      <c r="I789" s="7" t="s">
        <v>4123</v>
      </c>
      <c r="J789" s="7" t="s">
        <v>10426</v>
      </c>
      <c r="K789" s="7" t="s">
        <v>139</v>
      </c>
      <c r="L789" s="7"/>
      <c r="M789" s="7"/>
      <c r="N789" s="45" t="str">
        <f t="shared" si="589"/>
        <v>@cardinals_sb</v>
      </c>
      <c r="O789" s="45" t="str">
        <f t="shared" si="590"/>
        <v>Questionnaire</v>
      </c>
      <c r="P789" s="48" t="s">
        <v>10366</v>
      </c>
      <c r="Q789" s="47" t="s">
        <v>1304</v>
      </c>
      <c r="R789" s="48" t="s">
        <v>10367</v>
      </c>
      <c r="S789" s="48" t="s">
        <v>172</v>
      </c>
      <c r="T789" s="49" t="s">
        <v>74</v>
      </c>
      <c r="U789" s="48" t="s">
        <v>75</v>
      </c>
      <c r="V789" s="49"/>
      <c r="W789" s="44">
        <v>3.29</v>
      </c>
      <c r="X789" s="49" t="s">
        <v>688</v>
      </c>
      <c r="Y789" s="49" t="s">
        <v>5022</v>
      </c>
      <c r="Z789" s="49" t="s">
        <v>1715</v>
      </c>
      <c r="AA789" s="61">
        <v>0.51</v>
      </c>
      <c r="AB789" s="48" t="s">
        <v>10368</v>
      </c>
      <c r="AC789" s="62" t="s">
        <v>10366</v>
      </c>
      <c r="AD789" s="53" t="str">
        <f t="shared" si="591"/>
        <v>Link</v>
      </c>
      <c r="AE789" s="54">
        <v>5215</v>
      </c>
      <c r="AF789" s="55"/>
      <c r="AG789" s="55"/>
      <c r="AH789" s="56">
        <v>196246</v>
      </c>
      <c r="AI789" s="59"/>
      <c r="AJ789" s="137"/>
      <c r="AK789" s="137"/>
    </row>
    <row r="790" spans="1:37" ht="13" x14ac:dyDescent="0.15">
      <c r="A790" s="47"/>
      <c r="B790" s="105" t="s">
        <v>7303</v>
      </c>
      <c r="C790" s="60" t="s">
        <v>43</v>
      </c>
      <c r="D790" s="44">
        <v>5</v>
      </c>
      <c r="E790" s="7" t="s">
        <v>10432</v>
      </c>
      <c r="F790" s="7" t="s">
        <v>116</v>
      </c>
      <c r="G790" s="7"/>
      <c r="H790" s="6" t="s">
        <v>10355</v>
      </c>
      <c r="I790" s="7" t="s">
        <v>1286</v>
      </c>
      <c r="J790" s="7" t="s">
        <v>10435</v>
      </c>
      <c r="K790" s="7" t="s">
        <v>55</v>
      </c>
      <c r="L790" s="7" t="s">
        <v>10436</v>
      </c>
      <c r="M790" s="7" t="s">
        <v>10383</v>
      </c>
      <c r="N790" s="45" t="str">
        <f t="shared" si="589"/>
        <v>@cardinals_sb</v>
      </c>
      <c r="O790" s="45" t="str">
        <f t="shared" si="590"/>
        <v>Questionnaire</v>
      </c>
      <c r="P790" s="48" t="s">
        <v>10366</v>
      </c>
      <c r="Q790" s="47" t="s">
        <v>1304</v>
      </c>
      <c r="R790" s="48" t="s">
        <v>10367</v>
      </c>
      <c r="S790" s="48" t="s">
        <v>172</v>
      </c>
      <c r="T790" s="49" t="s">
        <v>74</v>
      </c>
      <c r="U790" s="48" t="s">
        <v>75</v>
      </c>
      <c r="V790" s="49"/>
      <c r="W790" s="44">
        <v>3.29</v>
      </c>
      <c r="X790" s="49" t="s">
        <v>688</v>
      </c>
      <c r="Y790" s="49" t="s">
        <v>5022</v>
      </c>
      <c r="Z790" s="49" t="s">
        <v>1715</v>
      </c>
      <c r="AA790" s="61">
        <v>0.51</v>
      </c>
      <c r="AB790" s="48" t="s">
        <v>10368</v>
      </c>
      <c r="AC790" s="62" t="s">
        <v>10366</v>
      </c>
      <c r="AD790" s="53" t="str">
        <f t="shared" si="591"/>
        <v>Link</v>
      </c>
      <c r="AE790" s="54">
        <v>5215</v>
      </c>
      <c r="AF790" s="55"/>
      <c r="AG790" s="55"/>
      <c r="AH790" s="56">
        <v>196246</v>
      </c>
      <c r="AI790" s="59"/>
      <c r="AJ790" s="137"/>
      <c r="AK790" s="137"/>
    </row>
    <row r="791" spans="1:37" ht="13" x14ac:dyDescent="0.15">
      <c r="A791" s="47"/>
      <c r="B791" s="105" t="s">
        <v>7303</v>
      </c>
      <c r="C791" s="60" t="s">
        <v>43</v>
      </c>
      <c r="D791" s="44">
        <v>5</v>
      </c>
      <c r="E791" s="7" t="s">
        <v>10447</v>
      </c>
      <c r="F791" s="7"/>
      <c r="G791" s="7"/>
      <c r="H791" s="6" t="s">
        <v>10448</v>
      </c>
      <c r="I791" s="7" t="s">
        <v>10449</v>
      </c>
      <c r="J791" s="7" t="s">
        <v>10450</v>
      </c>
      <c r="K791" s="7" t="s">
        <v>48</v>
      </c>
      <c r="L791" s="7" t="s">
        <v>10451</v>
      </c>
      <c r="M791" s="7" t="s">
        <v>10452</v>
      </c>
      <c r="N791" s="7"/>
      <c r="O791" s="45" t="str">
        <f t="shared" ref="O791:O793" si="592">HYPERLINK("https://webapp.sunypoly.edu/forms/undergraduate-admissions-request-information/","Questionnaire")</f>
        <v>Questionnaire</v>
      </c>
      <c r="P791" s="48" t="s">
        <v>10463</v>
      </c>
      <c r="Q791" s="47" t="s">
        <v>1304</v>
      </c>
      <c r="R791" s="48" t="s">
        <v>10464</v>
      </c>
      <c r="S791" s="48" t="s">
        <v>186</v>
      </c>
      <c r="T791" s="49" t="s">
        <v>74</v>
      </c>
      <c r="U791" s="48" t="s">
        <v>75</v>
      </c>
      <c r="V791" s="49"/>
      <c r="W791" s="44">
        <v>4</v>
      </c>
      <c r="X791" s="49" t="s">
        <v>10466</v>
      </c>
      <c r="Y791" s="49" t="s">
        <v>10468</v>
      </c>
      <c r="Z791" s="49" t="s">
        <v>1408</v>
      </c>
      <c r="AA791" s="61">
        <v>0.64</v>
      </c>
      <c r="AB791" s="48" t="s">
        <v>10471</v>
      </c>
      <c r="AC791" s="62" t="s">
        <v>10463</v>
      </c>
      <c r="AD791" s="53" t="str">
        <f t="shared" ref="AD791:AD793" si="593">HYPERLINK("https://sunypoly.edu/academics/majors-and-programs","Link")</f>
        <v>Link</v>
      </c>
      <c r="AE791" s="54">
        <v>2004</v>
      </c>
      <c r="AF791" s="55"/>
      <c r="AG791" s="55"/>
      <c r="AH791" s="56">
        <v>196112</v>
      </c>
      <c r="AI791" s="56"/>
      <c r="AJ791" s="137"/>
      <c r="AK791" s="137"/>
    </row>
    <row r="792" spans="1:37" ht="13" x14ac:dyDescent="0.15">
      <c r="A792" s="47"/>
      <c r="B792" s="105" t="s">
        <v>7303</v>
      </c>
      <c r="C792" s="60" t="s">
        <v>43</v>
      </c>
      <c r="D792" s="44">
        <v>5</v>
      </c>
      <c r="E792" s="7" t="s">
        <v>10475</v>
      </c>
      <c r="F792" s="7"/>
      <c r="G792" s="7"/>
      <c r="H792" s="6" t="s">
        <v>10448</v>
      </c>
      <c r="I792" s="7" t="s">
        <v>8620</v>
      </c>
      <c r="J792" s="7" t="s">
        <v>10478</v>
      </c>
      <c r="K792" s="7" t="s">
        <v>55</v>
      </c>
      <c r="L792" s="7" t="s">
        <v>10479</v>
      </c>
      <c r="M792" s="7" t="s">
        <v>10480</v>
      </c>
      <c r="N792" s="48"/>
      <c r="O792" s="45" t="str">
        <f t="shared" si="592"/>
        <v>Questionnaire</v>
      </c>
      <c r="P792" s="48" t="s">
        <v>10463</v>
      </c>
      <c r="Q792" s="47" t="s">
        <v>1304</v>
      </c>
      <c r="R792" s="48" t="s">
        <v>10464</v>
      </c>
      <c r="S792" s="48" t="s">
        <v>186</v>
      </c>
      <c r="T792" s="49" t="s">
        <v>74</v>
      </c>
      <c r="U792" s="48" t="s">
        <v>75</v>
      </c>
      <c r="V792" s="49"/>
      <c r="W792" s="44">
        <v>4</v>
      </c>
      <c r="X792" s="49" t="s">
        <v>10466</v>
      </c>
      <c r="Y792" s="49" t="s">
        <v>10468</v>
      </c>
      <c r="Z792" s="49" t="s">
        <v>1408</v>
      </c>
      <c r="AA792" s="61">
        <v>0.64</v>
      </c>
      <c r="AB792" s="48" t="s">
        <v>10471</v>
      </c>
      <c r="AC792" s="62" t="s">
        <v>10463</v>
      </c>
      <c r="AD792" s="53" t="str">
        <f t="shared" si="593"/>
        <v>Link</v>
      </c>
      <c r="AE792" s="54">
        <v>2004</v>
      </c>
      <c r="AF792" s="55"/>
      <c r="AG792" s="55"/>
      <c r="AH792" s="56">
        <v>196112</v>
      </c>
      <c r="AI792" s="56"/>
      <c r="AJ792" s="137"/>
      <c r="AK792" s="137"/>
    </row>
    <row r="793" spans="1:37" ht="13" x14ac:dyDescent="0.15">
      <c r="A793" s="47"/>
      <c r="B793" s="105" t="s">
        <v>7303</v>
      </c>
      <c r="C793" s="60" t="s">
        <v>43</v>
      </c>
      <c r="D793" s="44">
        <v>5</v>
      </c>
      <c r="E793" s="7" t="s">
        <v>10484</v>
      </c>
      <c r="F793" s="7"/>
      <c r="G793" s="7" t="s">
        <v>126</v>
      </c>
      <c r="H793" s="6" t="s">
        <v>10448</v>
      </c>
      <c r="I793" s="7" t="s">
        <v>10486</v>
      </c>
      <c r="J793" s="7"/>
      <c r="K793" s="7"/>
      <c r="L793" s="7"/>
      <c r="M793" s="7"/>
      <c r="N793" s="48"/>
      <c r="O793" s="45" t="str">
        <f t="shared" si="592"/>
        <v>Questionnaire</v>
      </c>
      <c r="P793" s="48" t="s">
        <v>10463</v>
      </c>
      <c r="Q793" s="47" t="s">
        <v>1304</v>
      </c>
      <c r="R793" s="48" t="s">
        <v>10464</v>
      </c>
      <c r="S793" s="48" t="s">
        <v>186</v>
      </c>
      <c r="T793" s="49" t="s">
        <v>74</v>
      </c>
      <c r="U793" s="48" t="s">
        <v>75</v>
      </c>
      <c r="V793" s="49"/>
      <c r="W793" s="44">
        <v>4</v>
      </c>
      <c r="X793" s="49" t="s">
        <v>10466</v>
      </c>
      <c r="Y793" s="49" t="s">
        <v>10468</v>
      </c>
      <c r="Z793" s="49" t="s">
        <v>1408</v>
      </c>
      <c r="AA793" s="61">
        <v>0.64</v>
      </c>
      <c r="AB793" s="48" t="s">
        <v>10471</v>
      </c>
      <c r="AC793" s="62" t="s">
        <v>10463</v>
      </c>
      <c r="AD793" s="53" t="str">
        <f t="shared" si="593"/>
        <v>Link</v>
      </c>
      <c r="AE793" s="54">
        <v>2004</v>
      </c>
      <c r="AF793" s="55"/>
      <c r="AG793" s="55"/>
      <c r="AH793" s="56">
        <v>196112</v>
      </c>
      <c r="AI793" s="56"/>
      <c r="AJ793" s="137"/>
      <c r="AK793" s="137"/>
    </row>
    <row r="794" spans="1:37" ht="13" x14ac:dyDescent="0.15">
      <c r="A794" s="47"/>
      <c r="B794" s="105" t="s">
        <v>7303</v>
      </c>
      <c r="C794" s="60" t="s">
        <v>43</v>
      </c>
      <c r="D794" s="44">
        <v>5</v>
      </c>
      <c r="E794" s="7" t="s">
        <v>10491</v>
      </c>
      <c r="F794" s="7"/>
      <c r="G794" s="7"/>
      <c r="H794" s="6" t="s">
        <v>10494</v>
      </c>
      <c r="I794" s="7" t="s">
        <v>93</v>
      </c>
      <c r="J794" s="7" t="s">
        <v>10496</v>
      </c>
      <c r="K794" s="7" t="s">
        <v>48</v>
      </c>
      <c r="L794" s="7" t="s">
        <v>10497</v>
      </c>
      <c r="M794" s="7" t="s">
        <v>10498</v>
      </c>
      <c r="N794" s="48"/>
      <c r="O794" s="45" t="str">
        <f t="shared" ref="O794:O795" si="594">HYPERLINK("https://potsdambears.com/sports/2011/8/5/recruits.aspx","Questionnaire")</f>
        <v>Questionnaire</v>
      </c>
      <c r="P794" s="48" t="s">
        <v>10502</v>
      </c>
      <c r="Q794" s="60" t="s">
        <v>1304</v>
      </c>
      <c r="R794" s="48" t="s">
        <v>8803</v>
      </c>
      <c r="S794" s="48" t="s">
        <v>172</v>
      </c>
      <c r="T794" s="4" t="s">
        <v>74</v>
      </c>
      <c r="U794" s="48" t="s">
        <v>75</v>
      </c>
      <c r="V794" s="49"/>
      <c r="W794" s="37">
        <v>3.29</v>
      </c>
      <c r="X794" s="49" t="s">
        <v>214</v>
      </c>
      <c r="Y794" s="49" t="s">
        <v>214</v>
      </c>
      <c r="Z794" s="49" t="s">
        <v>214</v>
      </c>
      <c r="AA794" s="65">
        <v>0.72</v>
      </c>
      <c r="AB794" s="48" t="s">
        <v>10503</v>
      </c>
      <c r="AC794" s="62" t="s">
        <v>10502</v>
      </c>
      <c r="AD794" s="53" t="str">
        <f t="shared" ref="AD794:AD795" si="595">HYPERLINK("https://www.potsdam.edu/academics/majors","Link")</f>
        <v>Link</v>
      </c>
      <c r="AE794" s="42">
        <v>3416</v>
      </c>
      <c r="AF794" s="55"/>
      <c r="AG794" s="55"/>
      <c r="AH794" s="56">
        <v>196200</v>
      </c>
      <c r="AI794" s="56"/>
      <c r="AJ794" s="137"/>
      <c r="AK794" s="137"/>
    </row>
    <row r="795" spans="1:37" ht="13" x14ac:dyDescent="0.15">
      <c r="A795" s="47"/>
      <c r="B795" s="105" t="s">
        <v>7303</v>
      </c>
      <c r="C795" s="60" t="s">
        <v>43</v>
      </c>
      <c r="D795" s="44">
        <v>5</v>
      </c>
      <c r="E795" s="7" t="s">
        <v>10511</v>
      </c>
      <c r="F795" s="7"/>
      <c r="G795" s="7"/>
      <c r="H795" s="6" t="s">
        <v>10494</v>
      </c>
      <c r="I795" s="7" t="s">
        <v>2705</v>
      </c>
      <c r="J795" s="7" t="s">
        <v>2428</v>
      </c>
      <c r="K795" s="7" t="s">
        <v>55</v>
      </c>
      <c r="L795" s="7"/>
      <c r="M795" s="7"/>
      <c r="N795" s="48"/>
      <c r="O795" s="45" t="str">
        <f t="shared" si="594"/>
        <v>Questionnaire</v>
      </c>
      <c r="P795" s="48" t="s">
        <v>10502</v>
      </c>
      <c r="Q795" s="60" t="s">
        <v>1304</v>
      </c>
      <c r="R795" s="48" t="s">
        <v>8803</v>
      </c>
      <c r="S795" s="48" t="s">
        <v>172</v>
      </c>
      <c r="T795" s="4" t="s">
        <v>74</v>
      </c>
      <c r="U795" s="48" t="s">
        <v>75</v>
      </c>
      <c r="V795" s="49"/>
      <c r="W795" s="37">
        <v>3.29</v>
      </c>
      <c r="X795" s="49" t="s">
        <v>214</v>
      </c>
      <c r="Y795" s="49" t="s">
        <v>214</v>
      </c>
      <c r="Z795" s="49" t="s">
        <v>214</v>
      </c>
      <c r="AA795" s="65">
        <v>0.72</v>
      </c>
      <c r="AB795" s="48" t="s">
        <v>10503</v>
      </c>
      <c r="AC795" s="62" t="s">
        <v>10502</v>
      </c>
      <c r="AD795" s="53" t="str">
        <f t="shared" si="595"/>
        <v>Link</v>
      </c>
      <c r="AE795" s="42">
        <v>3416</v>
      </c>
      <c r="AF795" s="55"/>
      <c r="AG795" s="55"/>
      <c r="AH795" s="56">
        <v>196200</v>
      </c>
      <c r="AI795" s="56"/>
      <c r="AJ795" s="137"/>
      <c r="AK795" s="137"/>
    </row>
    <row r="796" spans="1:37" ht="13" x14ac:dyDescent="0.15">
      <c r="A796" s="47"/>
      <c r="B796" s="105" t="s">
        <v>7303</v>
      </c>
      <c r="C796" s="60" t="s">
        <v>43</v>
      </c>
      <c r="D796" s="44">
        <v>5</v>
      </c>
      <c r="E796" s="7" t="s">
        <v>10520</v>
      </c>
      <c r="F796" s="7"/>
      <c r="G796" s="7"/>
      <c r="H796" s="6" t="s">
        <v>10521</v>
      </c>
      <c r="I796" s="7" t="s">
        <v>904</v>
      </c>
      <c r="J796" s="7" t="s">
        <v>8421</v>
      </c>
      <c r="K796" s="7" t="s">
        <v>48</v>
      </c>
      <c r="L796" s="7" t="s">
        <v>10522</v>
      </c>
      <c r="M796" s="7" t="s">
        <v>10523</v>
      </c>
      <c r="N796" s="48"/>
      <c r="O796" s="45" t="str">
        <f t="shared" ref="O796:O797" si="596">HYPERLINK("https://www.purchasecollegeathletics.com/sb_output.aspx?form=3","Questionnaire")</f>
        <v>Questionnaire</v>
      </c>
      <c r="P796" s="48" t="s">
        <v>10529</v>
      </c>
      <c r="Q796" s="47" t="s">
        <v>1304</v>
      </c>
      <c r="R796" s="48" t="s">
        <v>9299</v>
      </c>
      <c r="S796" s="60" t="s">
        <v>205</v>
      </c>
      <c r="T796" s="49" t="s">
        <v>74</v>
      </c>
      <c r="U796" s="48" t="s">
        <v>75</v>
      </c>
      <c r="V796" s="49"/>
      <c r="W796" s="44">
        <v>3.24</v>
      </c>
      <c r="X796" s="49" t="s">
        <v>76</v>
      </c>
      <c r="Y796" s="49" t="s">
        <v>522</v>
      </c>
      <c r="Z796" s="49" t="s">
        <v>2190</v>
      </c>
      <c r="AA796" s="61">
        <v>0.44</v>
      </c>
      <c r="AB796" s="48" t="s">
        <v>10531</v>
      </c>
      <c r="AC796" s="62" t="s">
        <v>10529</v>
      </c>
      <c r="AD796" s="53" t="str">
        <f t="shared" ref="AD796:AD797" si="597">HYPERLINK("https://www.purchase.edu/academics/list-of-majors-and-minors/","Link")</f>
        <v>Link</v>
      </c>
      <c r="AE796" s="54">
        <v>4053</v>
      </c>
      <c r="AF796" s="55"/>
      <c r="AG796" s="55"/>
      <c r="AH796" s="56">
        <v>196219</v>
      </c>
      <c r="AI796" s="56"/>
      <c r="AJ796" s="137"/>
      <c r="AK796" s="137"/>
    </row>
    <row r="797" spans="1:37" ht="13" x14ac:dyDescent="0.15">
      <c r="A797" s="47"/>
      <c r="B797" s="105" t="s">
        <v>7303</v>
      </c>
      <c r="C797" s="60" t="s">
        <v>43</v>
      </c>
      <c r="D797" s="44">
        <v>5</v>
      </c>
      <c r="E797" s="7" t="s">
        <v>10536</v>
      </c>
      <c r="F797" s="7"/>
      <c r="G797" s="7"/>
      <c r="H797" s="6" t="s">
        <v>10521</v>
      </c>
      <c r="I797" s="7" t="s">
        <v>1052</v>
      </c>
      <c r="J797" s="7" t="s">
        <v>10537</v>
      </c>
      <c r="K797" s="7" t="s">
        <v>55</v>
      </c>
      <c r="L797" s="7"/>
      <c r="M797" s="7"/>
      <c r="N797" s="48"/>
      <c r="O797" s="45" t="str">
        <f t="shared" si="596"/>
        <v>Questionnaire</v>
      </c>
      <c r="P797" s="48" t="s">
        <v>10529</v>
      </c>
      <c r="Q797" s="47" t="s">
        <v>1304</v>
      </c>
      <c r="R797" s="48" t="s">
        <v>9299</v>
      </c>
      <c r="S797" s="60" t="s">
        <v>205</v>
      </c>
      <c r="T797" s="49" t="s">
        <v>74</v>
      </c>
      <c r="U797" s="48" t="s">
        <v>75</v>
      </c>
      <c r="V797" s="49"/>
      <c r="W797" s="44">
        <v>3.24</v>
      </c>
      <c r="X797" s="49" t="s">
        <v>76</v>
      </c>
      <c r="Y797" s="49" t="s">
        <v>522</v>
      </c>
      <c r="Z797" s="49" t="s">
        <v>2190</v>
      </c>
      <c r="AA797" s="61">
        <v>0.44</v>
      </c>
      <c r="AB797" s="48" t="s">
        <v>10531</v>
      </c>
      <c r="AC797" s="62" t="s">
        <v>10529</v>
      </c>
      <c r="AD797" s="53" t="str">
        <f t="shared" si="597"/>
        <v>Link</v>
      </c>
      <c r="AE797" s="54">
        <v>4053</v>
      </c>
      <c r="AF797" s="55"/>
      <c r="AG797" s="55"/>
      <c r="AH797" s="56">
        <v>196219</v>
      </c>
      <c r="AI797" s="56"/>
      <c r="AJ797" s="137"/>
      <c r="AK797" s="137"/>
    </row>
    <row r="798" spans="1:37" ht="13" x14ac:dyDescent="0.15">
      <c r="A798" s="47"/>
      <c r="B798" s="105" t="s">
        <v>7303</v>
      </c>
      <c r="C798" s="60" t="s">
        <v>43</v>
      </c>
      <c r="D798" s="44">
        <v>5</v>
      </c>
      <c r="E798" s="7" t="s">
        <v>10546</v>
      </c>
      <c r="F798" s="7"/>
      <c r="G798" s="7"/>
      <c r="H798" s="6" t="s">
        <v>10547</v>
      </c>
      <c r="I798" s="7" t="s">
        <v>1280</v>
      </c>
      <c r="J798" s="7" t="s">
        <v>6424</v>
      </c>
      <c r="K798" s="7" t="s">
        <v>48</v>
      </c>
      <c r="L798" s="7" t="s">
        <v>10548</v>
      </c>
      <c r="M798" s="7" t="s">
        <v>10549</v>
      </c>
      <c r="N798" s="45" t="str">
        <f t="shared" ref="N798:N799" si="598">HYPERLINK("twitter.com/unioncollegesb","@unioncollegesb")</f>
        <v>@unioncollegesb</v>
      </c>
      <c r="O798" s="45" t="str">
        <f t="shared" ref="O798:O799" si="599">HYPERLINK("https://unionathletics.com/sports/2009/5/5/Recruit.aspx?tab=recruiting","Questionnaire")</f>
        <v>Questionnaire</v>
      </c>
      <c r="P798" s="48" t="s">
        <v>10556</v>
      </c>
      <c r="Q798" s="60" t="s">
        <v>1304</v>
      </c>
      <c r="R798" s="48" t="s">
        <v>10557</v>
      </c>
      <c r="S798" s="48" t="s">
        <v>186</v>
      </c>
      <c r="T798" s="49" t="s">
        <v>63</v>
      </c>
      <c r="U798" s="48" t="s">
        <v>75</v>
      </c>
      <c r="V798" s="49"/>
      <c r="W798" s="61">
        <v>3.42</v>
      </c>
      <c r="X798" s="49" t="s">
        <v>678</v>
      </c>
      <c r="Y798" s="49" t="s">
        <v>4686</v>
      </c>
      <c r="Z798" s="49" t="s">
        <v>580</v>
      </c>
      <c r="AA798" s="61">
        <v>0.37</v>
      </c>
      <c r="AB798" s="71">
        <v>66360</v>
      </c>
      <c r="AC798" s="62" t="s">
        <v>10556</v>
      </c>
      <c r="AD798" s="53" t="str">
        <f t="shared" ref="AD798:AD799" si="600">HYPERLINK("https://www.union.edu/academic/majors-minors/","Link")</f>
        <v>Link</v>
      </c>
      <c r="AE798" s="54">
        <v>2203</v>
      </c>
      <c r="AF798" s="55"/>
      <c r="AG798" s="54">
        <v>36</v>
      </c>
      <c r="AH798" s="56">
        <v>196866</v>
      </c>
      <c r="AI798" s="56"/>
      <c r="AJ798" s="137"/>
      <c r="AK798" s="137"/>
    </row>
    <row r="799" spans="1:37" ht="13" x14ac:dyDescent="0.15">
      <c r="A799" s="47"/>
      <c r="B799" s="105" t="s">
        <v>7303</v>
      </c>
      <c r="C799" s="60" t="s">
        <v>43</v>
      </c>
      <c r="D799" s="44">
        <v>5</v>
      </c>
      <c r="E799" s="7" t="s">
        <v>10564</v>
      </c>
      <c r="F799" s="7"/>
      <c r="G799" s="7"/>
      <c r="H799" s="6" t="s">
        <v>10547</v>
      </c>
      <c r="I799" s="7" t="s">
        <v>2223</v>
      </c>
      <c r="J799" s="7" t="s">
        <v>10566</v>
      </c>
      <c r="K799" s="7" t="s">
        <v>55</v>
      </c>
      <c r="L799" s="7" t="s">
        <v>10569</v>
      </c>
      <c r="M799" s="7"/>
      <c r="N799" s="45" t="str">
        <f t="shared" si="598"/>
        <v>@unioncollegesb</v>
      </c>
      <c r="O799" s="45" t="str">
        <f t="shared" si="599"/>
        <v>Questionnaire</v>
      </c>
      <c r="P799" s="48" t="s">
        <v>10556</v>
      </c>
      <c r="Q799" s="60" t="s">
        <v>1304</v>
      </c>
      <c r="R799" s="48" t="s">
        <v>10557</v>
      </c>
      <c r="S799" s="48" t="s">
        <v>186</v>
      </c>
      <c r="T799" s="49" t="s">
        <v>63</v>
      </c>
      <c r="U799" s="48" t="s">
        <v>75</v>
      </c>
      <c r="V799" s="49"/>
      <c r="W799" s="61">
        <v>3.42</v>
      </c>
      <c r="X799" s="49" t="s">
        <v>678</v>
      </c>
      <c r="Y799" s="49" t="s">
        <v>4686</v>
      </c>
      <c r="Z799" s="49" t="s">
        <v>580</v>
      </c>
      <c r="AA799" s="61">
        <v>0.37</v>
      </c>
      <c r="AB799" s="71">
        <v>66360</v>
      </c>
      <c r="AC799" s="62" t="s">
        <v>10556</v>
      </c>
      <c r="AD799" s="53" t="str">
        <f t="shared" si="600"/>
        <v>Link</v>
      </c>
      <c r="AE799" s="54">
        <v>2203</v>
      </c>
      <c r="AF799" s="55"/>
      <c r="AG799" s="54">
        <v>36</v>
      </c>
      <c r="AH799" s="56">
        <v>196866</v>
      </c>
      <c r="AI799" s="56"/>
      <c r="AJ799" s="137"/>
      <c r="AK799" s="137"/>
    </row>
    <row r="800" spans="1:37" ht="13" x14ac:dyDescent="0.15">
      <c r="A800" s="47"/>
      <c r="B800" s="105" t="s">
        <v>7303</v>
      </c>
      <c r="C800" s="60" t="s">
        <v>43</v>
      </c>
      <c r="D800" s="44">
        <v>5</v>
      </c>
      <c r="E800" s="7" t="s">
        <v>10576</v>
      </c>
      <c r="F800" s="7"/>
      <c r="G800" s="7"/>
      <c r="H800" s="6" t="s">
        <v>10577</v>
      </c>
      <c r="I800" s="7" t="s">
        <v>2608</v>
      </c>
      <c r="J800" s="7" t="s">
        <v>10578</v>
      </c>
      <c r="K800" s="7" t="s">
        <v>48</v>
      </c>
      <c r="L800" s="7" t="s">
        <v>10580</v>
      </c>
      <c r="M800" s="7" t="s">
        <v>10581</v>
      </c>
      <c r="N800" s="45" t="str">
        <f t="shared" ref="N800:N802" si="601">HYPERLINK("twitter.com/uticacollegesb","@uticacollegesb")</f>
        <v>@uticacollegesb</v>
      </c>
      <c r="O800" s="45" t="str">
        <f t="shared" ref="O800:O801" si="602">HYPERLINK("https://ucpioneers.com/sports/2014/9/27/GEN_0927144921.aspx","Questionnaire")</f>
        <v>Questionnaire</v>
      </c>
      <c r="P800" s="48" t="s">
        <v>10588</v>
      </c>
      <c r="Q800" s="60" t="s">
        <v>1304</v>
      </c>
      <c r="R800" s="6" t="s">
        <v>10464</v>
      </c>
      <c r="S800" s="4" t="s">
        <v>186</v>
      </c>
      <c r="T800" s="49" t="s">
        <v>63</v>
      </c>
      <c r="U800" s="49" t="s">
        <v>75</v>
      </c>
      <c r="V800" s="49"/>
      <c r="W800" s="65">
        <v>3.1</v>
      </c>
      <c r="X800" s="49" t="s">
        <v>397</v>
      </c>
      <c r="Y800" s="49" t="s">
        <v>720</v>
      </c>
      <c r="Z800" s="4" t="s">
        <v>214</v>
      </c>
      <c r="AA800" s="65">
        <v>0.82</v>
      </c>
      <c r="AB800" s="39">
        <v>33510</v>
      </c>
      <c r="AC800" s="76" t="s">
        <v>10588</v>
      </c>
      <c r="AD800" s="67" t="str">
        <f t="shared" ref="AD800:AD802" si="603">HYPERLINK("http://www.utica.edu/academics/programs/","Link")</f>
        <v>Link</v>
      </c>
      <c r="AE800" s="42">
        <v>3549</v>
      </c>
      <c r="AF800" s="55"/>
      <c r="AG800" s="55"/>
      <c r="AH800" s="56">
        <v>197045</v>
      </c>
      <c r="AI800" s="56"/>
      <c r="AJ800" s="137"/>
      <c r="AK800" s="137"/>
    </row>
    <row r="801" spans="1:37" ht="13" x14ac:dyDescent="0.15">
      <c r="A801" s="47"/>
      <c r="B801" s="105" t="s">
        <v>7303</v>
      </c>
      <c r="C801" s="60" t="s">
        <v>43</v>
      </c>
      <c r="D801" s="44">
        <v>5</v>
      </c>
      <c r="E801" s="7" t="s">
        <v>10598</v>
      </c>
      <c r="F801" s="7"/>
      <c r="G801" s="7"/>
      <c r="H801" s="6" t="s">
        <v>10577</v>
      </c>
      <c r="I801" s="7" t="s">
        <v>3511</v>
      </c>
      <c r="J801" s="7" t="s">
        <v>10603</v>
      </c>
      <c r="K801" s="7" t="s">
        <v>55</v>
      </c>
      <c r="L801" s="7" t="s">
        <v>10606</v>
      </c>
      <c r="M801" s="7" t="s">
        <v>10581</v>
      </c>
      <c r="N801" s="45" t="str">
        <f t="shared" si="601"/>
        <v>@uticacollegesb</v>
      </c>
      <c r="O801" s="45" t="str">
        <f t="shared" si="602"/>
        <v>Questionnaire</v>
      </c>
      <c r="P801" s="48" t="s">
        <v>10588</v>
      </c>
      <c r="Q801" s="60" t="s">
        <v>1304</v>
      </c>
      <c r="R801" s="6" t="s">
        <v>10464</v>
      </c>
      <c r="S801" s="4" t="s">
        <v>186</v>
      </c>
      <c r="T801" s="49" t="s">
        <v>63</v>
      </c>
      <c r="U801" s="49" t="s">
        <v>75</v>
      </c>
      <c r="V801" s="49"/>
      <c r="W801" s="65">
        <v>3.1</v>
      </c>
      <c r="X801" s="49" t="s">
        <v>397</v>
      </c>
      <c r="Y801" s="49" t="s">
        <v>720</v>
      </c>
      <c r="Z801" s="4" t="s">
        <v>214</v>
      </c>
      <c r="AA801" s="65">
        <v>0.82</v>
      </c>
      <c r="AB801" s="39">
        <v>33510</v>
      </c>
      <c r="AC801" s="76" t="s">
        <v>10588</v>
      </c>
      <c r="AD801" s="67" t="str">
        <f t="shared" si="603"/>
        <v>Link</v>
      </c>
      <c r="AE801" s="42">
        <v>3549</v>
      </c>
      <c r="AF801" s="55"/>
      <c r="AG801" s="55"/>
      <c r="AH801" s="56">
        <v>197045</v>
      </c>
      <c r="AI801" s="56"/>
      <c r="AJ801" s="137"/>
      <c r="AK801" s="137"/>
    </row>
    <row r="802" spans="1:37" ht="13" x14ac:dyDescent="0.15">
      <c r="A802" s="47"/>
      <c r="B802" s="105" t="s">
        <v>7303</v>
      </c>
      <c r="C802" s="60" t="s">
        <v>43</v>
      </c>
      <c r="D802" s="44">
        <v>5</v>
      </c>
      <c r="E802" s="7" t="s">
        <v>10611</v>
      </c>
      <c r="F802" s="7"/>
      <c r="G802" s="7"/>
      <c r="H802" s="6" t="s">
        <v>10577</v>
      </c>
      <c r="I802" s="7" t="s">
        <v>10612</v>
      </c>
      <c r="J802" s="7" t="s">
        <v>10613</v>
      </c>
      <c r="K802" s="7" t="s">
        <v>919</v>
      </c>
      <c r="L802" s="7" t="s">
        <v>10614</v>
      </c>
      <c r="M802" s="7" t="s">
        <v>10615</v>
      </c>
      <c r="N802" s="45" t="str">
        <f t="shared" si="601"/>
        <v>@uticacollegesb</v>
      </c>
      <c r="O802" s="45" t="str">
        <f>HYPERLINK("https://www.wells-express.com/athletics/prospective","Questionnaire")</f>
        <v>Questionnaire</v>
      </c>
      <c r="P802" s="48" t="s">
        <v>10588</v>
      </c>
      <c r="Q802" s="60" t="s">
        <v>1304</v>
      </c>
      <c r="R802" s="6" t="s">
        <v>10464</v>
      </c>
      <c r="S802" s="4" t="s">
        <v>186</v>
      </c>
      <c r="T802" s="49" t="s">
        <v>63</v>
      </c>
      <c r="U802" s="49" t="s">
        <v>75</v>
      </c>
      <c r="V802" s="49"/>
      <c r="W802" s="37">
        <v>3.1</v>
      </c>
      <c r="X802" s="49" t="s">
        <v>397</v>
      </c>
      <c r="Y802" s="49" t="s">
        <v>720</v>
      </c>
      <c r="Z802" s="4" t="s">
        <v>214</v>
      </c>
      <c r="AA802" s="65">
        <v>0.82</v>
      </c>
      <c r="AB802" s="39">
        <v>33510</v>
      </c>
      <c r="AC802" s="76" t="s">
        <v>10588</v>
      </c>
      <c r="AD802" s="67" t="str">
        <f t="shared" si="603"/>
        <v>Link</v>
      </c>
      <c r="AE802" s="42">
        <v>3549</v>
      </c>
      <c r="AF802" s="55"/>
      <c r="AG802" s="55"/>
      <c r="AH802" s="56">
        <v>197045</v>
      </c>
      <c r="AI802" s="56"/>
      <c r="AJ802" s="137"/>
      <c r="AK802" s="137"/>
    </row>
    <row r="803" spans="1:37" ht="13" x14ac:dyDescent="0.15">
      <c r="A803" s="47"/>
      <c r="B803" s="105" t="s">
        <v>7303</v>
      </c>
      <c r="C803" s="60" t="s">
        <v>43</v>
      </c>
      <c r="D803" s="44">
        <v>5</v>
      </c>
      <c r="E803" s="7" t="s">
        <v>10623</v>
      </c>
      <c r="F803" s="7"/>
      <c r="G803" s="7"/>
      <c r="H803" s="6" t="s">
        <v>10626</v>
      </c>
      <c r="I803" s="7" t="s">
        <v>1124</v>
      </c>
      <c r="J803" s="7" t="s">
        <v>10628</v>
      </c>
      <c r="K803" s="7" t="s">
        <v>48</v>
      </c>
      <c r="L803" s="7" t="s">
        <v>10630</v>
      </c>
      <c r="M803" s="7"/>
      <c r="N803" s="48"/>
      <c r="O803" s="48"/>
      <c r="P803" s="48" t="s">
        <v>10632</v>
      </c>
      <c r="Q803" s="60" t="s">
        <v>1304</v>
      </c>
      <c r="R803" s="48" t="s">
        <v>1781</v>
      </c>
      <c r="S803" s="60" t="s">
        <v>205</v>
      </c>
      <c r="T803" s="73" t="s">
        <v>63</v>
      </c>
      <c r="U803" s="48" t="s">
        <v>75</v>
      </c>
      <c r="V803" s="49"/>
      <c r="W803" s="44">
        <v>3.33</v>
      </c>
      <c r="X803" s="49" t="s">
        <v>2375</v>
      </c>
      <c r="Y803" s="49" t="s">
        <v>10638</v>
      </c>
      <c r="Z803" s="49" t="s">
        <v>1689</v>
      </c>
      <c r="AA803" s="61">
        <v>0.92</v>
      </c>
      <c r="AB803" s="71">
        <v>53740</v>
      </c>
      <c r="AC803" s="90" t="s">
        <v>10632</v>
      </c>
      <c r="AD803" s="53" t="str">
        <f t="shared" ref="AD803:AD804" si="604">HYPERLINK("https://www.wells.edu/programs/majors","Link")</f>
        <v>Link</v>
      </c>
      <c r="AE803" s="54">
        <v>510</v>
      </c>
      <c r="AF803" s="55"/>
      <c r="AG803" s="54">
        <v>168</v>
      </c>
      <c r="AH803" s="56">
        <v>197230</v>
      </c>
      <c r="AI803" s="56"/>
      <c r="AJ803" s="137"/>
      <c r="AK803" s="137"/>
    </row>
    <row r="804" spans="1:37" ht="13" x14ac:dyDescent="0.15">
      <c r="A804" s="47"/>
      <c r="B804" s="105" t="s">
        <v>7303</v>
      </c>
      <c r="C804" s="60" t="s">
        <v>43</v>
      </c>
      <c r="D804" s="44">
        <v>5</v>
      </c>
      <c r="E804" s="7" t="s">
        <v>10643</v>
      </c>
      <c r="F804" s="7"/>
      <c r="G804" s="7"/>
      <c r="H804" s="6" t="s">
        <v>10626</v>
      </c>
      <c r="I804" s="7" t="s">
        <v>421</v>
      </c>
      <c r="J804" s="7"/>
      <c r="K804" s="7" t="s">
        <v>48</v>
      </c>
      <c r="L804" s="7" t="s">
        <v>10644</v>
      </c>
      <c r="M804" s="7" t="s">
        <v>10645</v>
      </c>
      <c r="N804" s="48"/>
      <c r="O804" s="74" t="str">
        <f>HYPERLINK("https://www.wells-express.com/sports/sball/recruitForm","Questionnaire")</f>
        <v>Questionnaire</v>
      </c>
      <c r="P804" s="48" t="s">
        <v>10632</v>
      </c>
      <c r="Q804" s="60" t="s">
        <v>1304</v>
      </c>
      <c r="R804" s="48" t="s">
        <v>1781</v>
      </c>
      <c r="S804" s="60" t="s">
        <v>205</v>
      </c>
      <c r="T804" s="73" t="s">
        <v>63</v>
      </c>
      <c r="U804" s="48" t="s">
        <v>75</v>
      </c>
      <c r="V804" s="49"/>
      <c r="W804" s="44">
        <v>3.33</v>
      </c>
      <c r="X804" s="49" t="s">
        <v>2375</v>
      </c>
      <c r="Y804" s="49" t="s">
        <v>10638</v>
      </c>
      <c r="Z804" s="49" t="s">
        <v>1689</v>
      </c>
      <c r="AA804" s="61">
        <v>0.92</v>
      </c>
      <c r="AB804" s="71">
        <v>53740</v>
      </c>
      <c r="AC804" s="90" t="s">
        <v>10632</v>
      </c>
      <c r="AD804" s="53" t="str">
        <f t="shared" si="604"/>
        <v>Link</v>
      </c>
      <c r="AE804" s="54">
        <v>510</v>
      </c>
      <c r="AF804" s="55"/>
      <c r="AG804" s="54">
        <v>168</v>
      </c>
      <c r="AH804" s="56">
        <v>197230</v>
      </c>
      <c r="AI804" s="56"/>
      <c r="AJ804" s="137"/>
      <c r="AK804" s="137"/>
    </row>
    <row r="805" spans="1:37" ht="13" x14ac:dyDescent="0.15">
      <c r="A805" s="47"/>
      <c r="B805" s="105" t="s">
        <v>7303</v>
      </c>
      <c r="C805" s="60" t="s">
        <v>43</v>
      </c>
      <c r="D805" s="44">
        <v>5</v>
      </c>
      <c r="E805" s="7" t="s">
        <v>10653</v>
      </c>
      <c r="F805" s="7"/>
      <c r="G805" s="7"/>
      <c r="H805" s="6" t="s">
        <v>10655</v>
      </c>
      <c r="I805" s="7" t="s">
        <v>1726</v>
      </c>
      <c r="J805" s="7" t="s">
        <v>10656</v>
      </c>
      <c r="K805" s="7" t="s">
        <v>48</v>
      </c>
      <c r="L805" s="7" t="s">
        <v>10658</v>
      </c>
      <c r="M805" s="7"/>
      <c r="N805" s="48"/>
      <c r="O805" s="45" t="str">
        <f t="shared" ref="O805:O807" si="605">HYPERLINK("https://yumacs.com/sb_output.aspx?form=3","Questionnaire")</f>
        <v>Questionnaire</v>
      </c>
      <c r="P805" s="48" t="s">
        <v>10664</v>
      </c>
      <c r="Q805" s="60" t="s">
        <v>1304</v>
      </c>
      <c r="R805" s="48" t="s">
        <v>1897</v>
      </c>
      <c r="S805" s="48" t="s">
        <v>288</v>
      </c>
      <c r="T805" s="49" t="s">
        <v>63</v>
      </c>
      <c r="U805" s="48" t="s">
        <v>75</v>
      </c>
      <c r="V805" s="49"/>
      <c r="W805" s="44">
        <v>3.49</v>
      </c>
      <c r="X805" s="49" t="s">
        <v>80</v>
      </c>
      <c r="Y805" s="49" t="s">
        <v>6659</v>
      </c>
      <c r="Z805" s="49" t="s">
        <v>10666</v>
      </c>
      <c r="AA805" s="61">
        <v>0.51</v>
      </c>
      <c r="AB805" s="71">
        <v>58845</v>
      </c>
      <c r="AC805" s="62" t="s">
        <v>10664</v>
      </c>
      <c r="AD805" s="53" t="str">
        <f t="shared" ref="AD805:AD807" si="606">HYPERLINK("https://www.yu.edu/yeshiva-college/departments-programs","Link")</f>
        <v>Link</v>
      </c>
      <c r="AE805" s="54">
        <v>2714</v>
      </c>
      <c r="AF805" s="54">
        <v>94</v>
      </c>
      <c r="AG805" s="55"/>
      <c r="AH805" s="56">
        <v>197708</v>
      </c>
      <c r="AI805" s="56"/>
      <c r="AJ805" s="137"/>
      <c r="AK805" s="137"/>
    </row>
    <row r="806" spans="1:37" ht="13" x14ac:dyDescent="0.15">
      <c r="A806" s="47"/>
      <c r="B806" s="105" t="s">
        <v>7303</v>
      </c>
      <c r="C806" s="60" t="s">
        <v>43</v>
      </c>
      <c r="D806" s="44">
        <v>5</v>
      </c>
      <c r="E806" s="7" t="s">
        <v>10674</v>
      </c>
      <c r="F806" s="7"/>
      <c r="G806" s="7"/>
      <c r="H806" s="6" t="s">
        <v>10655</v>
      </c>
      <c r="I806" s="7" t="s">
        <v>1251</v>
      </c>
      <c r="J806" s="7" t="s">
        <v>10675</v>
      </c>
      <c r="K806" s="7" t="s">
        <v>55</v>
      </c>
      <c r="L806" s="7" t="s">
        <v>10676</v>
      </c>
      <c r="M806" s="7"/>
      <c r="N806" s="48"/>
      <c r="O806" s="45" t="str">
        <f t="shared" si="605"/>
        <v>Questionnaire</v>
      </c>
      <c r="P806" s="48" t="s">
        <v>10664</v>
      </c>
      <c r="Q806" s="60" t="s">
        <v>1304</v>
      </c>
      <c r="R806" s="48" t="s">
        <v>1897</v>
      </c>
      <c r="S806" s="48" t="s">
        <v>288</v>
      </c>
      <c r="T806" s="49" t="s">
        <v>63</v>
      </c>
      <c r="U806" s="48" t="s">
        <v>75</v>
      </c>
      <c r="V806" s="49"/>
      <c r="W806" s="44">
        <v>3.49</v>
      </c>
      <c r="X806" s="49" t="s">
        <v>80</v>
      </c>
      <c r="Y806" s="49" t="s">
        <v>6659</v>
      </c>
      <c r="Z806" s="49" t="s">
        <v>10666</v>
      </c>
      <c r="AA806" s="61">
        <v>0.51</v>
      </c>
      <c r="AB806" s="71">
        <v>58845</v>
      </c>
      <c r="AC806" s="62" t="s">
        <v>10664</v>
      </c>
      <c r="AD806" s="53" t="str">
        <f t="shared" si="606"/>
        <v>Link</v>
      </c>
      <c r="AE806" s="54">
        <v>2714</v>
      </c>
      <c r="AF806" s="54">
        <v>94</v>
      </c>
      <c r="AG806" s="55"/>
      <c r="AH806" s="56">
        <v>197708</v>
      </c>
      <c r="AI806" s="56"/>
      <c r="AJ806" s="137"/>
      <c r="AK806" s="137"/>
    </row>
    <row r="807" spans="1:37" ht="13" x14ac:dyDescent="0.15">
      <c r="A807" s="47"/>
      <c r="B807" s="105" t="s">
        <v>7303</v>
      </c>
      <c r="C807" s="60" t="s">
        <v>43</v>
      </c>
      <c r="D807" s="44">
        <v>5</v>
      </c>
      <c r="E807" s="7" t="s">
        <v>10686</v>
      </c>
      <c r="F807" s="7"/>
      <c r="G807" s="7"/>
      <c r="H807" s="6" t="s">
        <v>10655</v>
      </c>
      <c r="I807" s="7" t="s">
        <v>338</v>
      </c>
      <c r="J807" s="7" t="s">
        <v>10687</v>
      </c>
      <c r="K807" s="7" t="s">
        <v>55</v>
      </c>
      <c r="L807" s="7"/>
      <c r="M807" s="7"/>
      <c r="N807" s="48"/>
      <c r="O807" s="45" t="str">
        <f t="shared" si="605"/>
        <v>Questionnaire</v>
      </c>
      <c r="P807" s="48" t="s">
        <v>10664</v>
      </c>
      <c r="Q807" s="60" t="s">
        <v>1304</v>
      </c>
      <c r="R807" s="48" t="s">
        <v>1897</v>
      </c>
      <c r="S807" s="48" t="s">
        <v>288</v>
      </c>
      <c r="T807" s="49" t="s">
        <v>63</v>
      </c>
      <c r="U807" s="48" t="s">
        <v>75</v>
      </c>
      <c r="V807" s="49"/>
      <c r="W807" s="44">
        <v>3.49</v>
      </c>
      <c r="X807" s="49" t="s">
        <v>80</v>
      </c>
      <c r="Y807" s="49" t="s">
        <v>6659</v>
      </c>
      <c r="Z807" s="49" t="s">
        <v>10666</v>
      </c>
      <c r="AA807" s="61">
        <v>0.51</v>
      </c>
      <c r="AB807" s="71">
        <v>58845</v>
      </c>
      <c r="AC807" s="62" t="s">
        <v>10664</v>
      </c>
      <c r="AD807" s="53" t="str">
        <f t="shared" si="606"/>
        <v>Link</v>
      </c>
      <c r="AE807" s="54">
        <v>2714</v>
      </c>
      <c r="AF807" s="54">
        <v>94</v>
      </c>
      <c r="AG807" s="55"/>
      <c r="AH807" s="56">
        <v>197708</v>
      </c>
      <c r="AI807" s="56"/>
      <c r="AJ807" s="137"/>
      <c r="AK807" s="137"/>
    </row>
    <row r="808" spans="1:37" ht="13" x14ac:dyDescent="0.15">
      <c r="A808" s="47"/>
      <c r="B808" s="105" t="s">
        <v>7303</v>
      </c>
      <c r="C808" s="60" t="s">
        <v>43</v>
      </c>
      <c r="D808" s="44">
        <v>5</v>
      </c>
      <c r="E808" s="7" t="s">
        <v>10691</v>
      </c>
      <c r="F808" s="7"/>
      <c r="G808" s="7"/>
      <c r="H808" s="6" t="s">
        <v>10692</v>
      </c>
      <c r="I808" s="7" t="s">
        <v>2684</v>
      </c>
      <c r="J808" s="7" t="s">
        <v>2428</v>
      </c>
      <c r="K808" s="7" t="s">
        <v>48</v>
      </c>
      <c r="L808" s="7" t="s">
        <v>10694</v>
      </c>
      <c r="M808" s="7" t="s">
        <v>10695</v>
      </c>
      <c r="N808" s="48"/>
      <c r="O808" s="45" t="str">
        <f t="shared" ref="O808:O809" si="607">HYPERLINK("https://yorkathletics.com/sb_output.aspx?form=3","Questionnaire")</f>
        <v>Questionnaire</v>
      </c>
      <c r="P808" s="48" t="s">
        <v>10699</v>
      </c>
      <c r="Q808" s="60" t="s">
        <v>1304</v>
      </c>
      <c r="R808" s="48" t="s">
        <v>1897</v>
      </c>
      <c r="S808" s="48" t="s">
        <v>288</v>
      </c>
      <c r="T808" s="4" t="s">
        <v>74</v>
      </c>
      <c r="U808" s="48" t="s">
        <v>75</v>
      </c>
      <c r="V808" s="49"/>
      <c r="W808" s="37">
        <v>2.5</v>
      </c>
      <c r="X808" s="49" t="s">
        <v>3782</v>
      </c>
      <c r="Y808" s="49" t="s">
        <v>3613</v>
      </c>
      <c r="Z808" s="49" t="s">
        <v>214</v>
      </c>
      <c r="AA808" s="65">
        <v>0.41</v>
      </c>
      <c r="AB808" s="48" t="s">
        <v>10700</v>
      </c>
      <c r="AC808" s="62" t="s">
        <v>10699</v>
      </c>
      <c r="AD808" s="53" t="str">
        <f t="shared" ref="AD808:AD809" si="608">HYPERLINK("https://www.york.cuny.edu/academics","Link")</f>
        <v>Link</v>
      </c>
      <c r="AE808" s="42">
        <v>8258</v>
      </c>
      <c r="AF808" s="55"/>
      <c r="AG808" s="55"/>
      <c r="AH808" s="56">
        <v>181853</v>
      </c>
      <c r="AI808" s="56"/>
      <c r="AJ808" s="137"/>
      <c r="AK808" s="137"/>
    </row>
    <row r="809" spans="1:37" ht="13" x14ac:dyDescent="0.15">
      <c r="A809" s="47"/>
      <c r="B809" s="105" t="s">
        <v>7303</v>
      </c>
      <c r="C809" s="60" t="s">
        <v>43</v>
      </c>
      <c r="D809" s="44">
        <v>5</v>
      </c>
      <c r="E809" s="7" t="s">
        <v>10704</v>
      </c>
      <c r="F809" s="7"/>
      <c r="G809" s="7" t="s">
        <v>126</v>
      </c>
      <c r="H809" s="6" t="s">
        <v>10692</v>
      </c>
      <c r="I809" s="7" t="s">
        <v>10706</v>
      </c>
      <c r="J809" s="7"/>
      <c r="K809" s="7"/>
      <c r="L809" s="7"/>
      <c r="M809" s="7"/>
      <c r="N809" s="48"/>
      <c r="O809" s="45" t="str">
        <f t="shared" si="607"/>
        <v>Questionnaire</v>
      </c>
      <c r="P809" s="48" t="s">
        <v>10699</v>
      </c>
      <c r="Q809" s="60" t="s">
        <v>1304</v>
      </c>
      <c r="R809" s="48" t="s">
        <v>1897</v>
      </c>
      <c r="S809" s="48" t="s">
        <v>288</v>
      </c>
      <c r="T809" s="4" t="s">
        <v>74</v>
      </c>
      <c r="U809" s="48" t="s">
        <v>75</v>
      </c>
      <c r="V809" s="49"/>
      <c r="W809" s="37">
        <v>2.5</v>
      </c>
      <c r="X809" s="49" t="s">
        <v>3782</v>
      </c>
      <c r="Y809" s="49" t="s">
        <v>3613</v>
      </c>
      <c r="Z809" s="49" t="s">
        <v>214</v>
      </c>
      <c r="AA809" s="65">
        <v>0.41</v>
      </c>
      <c r="AB809" s="48" t="s">
        <v>10700</v>
      </c>
      <c r="AC809" s="62" t="s">
        <v>10699</v>
      </c>
      <c r="AD809" s="53" t="str">
        <f t="shared" si="608"/>
        <v>Link</v>
      </c>
      <c r="AE809" s="42">
        <v>8258</v>
      </c>
      <c r="AF809" s="55"/>
      <c r="AG809" s="55"/>
      <c r="AH809" s="56">
        <v>181853</v>
      </c>
      <c r="AI809" s="56"/>
      <c r="AJ809" s="137"/>
      <c r="AK809" s="137"/>
    </row>
    <row r="810" spans="1:37" ht="15" x14ac:dyDescent="0.2">
      <c r="A810" s="60"/>
      <c r="B810" s="105" t="s">
        <v>1019</v>
      </c>
      <c r="C810" s="60" t="s">
        <v>43</v>
      </c>
      <c r="D810" s="44">
        <v>5</v>
      </c>
      <c r="E810" s="7" t="s">
        <v>10714</v>
      </c>
      <c r="F810" s="7"/>
      <c r="G810" s="7"/>
      <c r="H810" s="6" t="s">
        <v>10715</v>
      </c>
      <c r="I810" s="7" t="s">
        <v>10716</v>
      </c>
      <c r="J810" s="7" t="s">
        <v>10718</v>
      </c>
      <c r="K810" s="7" t="s">
        <v>48</v>
      </c>
      <c r="L810" s="7" t="s">
        <v>10719</v>
      </c>
      <c r="M810" s="7" t="s">
        <v>10721</v>
      </c>
      <c r="N810" s="48"/>
      <c r="O810" s="45" t="str">
        <f t="shared" ref="O810:O814" si="609">HYPERLINK("https://bctornados.com/information/recruit-central/index","Questionnaire")</f>
        <v>Questionnaire</v>
      </c>
      <c r="P810" s="48" t="s">
        <v>10726</v>
      </c>
      <c r="Q810" s="60" t="s">
        <v>219</v>
      </c>
      <c r="R810" s="48" t="s">
        <v>10726</v>
      </c>
      <c r="S810" s="60" t="s">
        <v>205</v>
      </c>
      <c r="T810" s="4" t="s">
        <v>63</v>
      </c>
      <c r="U810" s="4" t="s">
        <v>65</v>
      </c>
      <c r="V810" s="7"/>
      <c r="W810" s="37">
        <v>3.07</v>
      </c>
      <c r="X810" s="49" t="s">
        <v>1785</v>
      </c>
      <c r="Y810" s="49" t="s">
        <v>1338</v>
      </c>
      <c r="Z810" s="49" t="s">
        <v>1948</v>
      </c>
      <c r="AA810" s="38">
        <v>0.42149999999999999</v>
      </c>
      <c r="AB810" s="39">
        <v>40784</v>
      </c>
      <c r="AC810" s="52" t="s">
        <v>10726</v>
      </c>
      <c r="AD810" s="53" t="str">
        <f t="shared" ref="AD810:AD814" si="610">HYPERLINK("https://brevard.edu/academics/","Link")</f>
        <v>Link</v>
      </c>
      <c r="AE810" s="54">
        <v>704</v>
      </c>
      <c r="AF810" s="55"/>
      <c r="AG810" s="7"/>
      <c r="AH810" s="56">
        <v>198066</v>
      </c>
      <c r="AI810" s="56"/>
      <c r="AJ810" s="137"/>
      <c r="AK810" s="137"/>
    </row>
    <row r="811" spans="1:37" ht="15" x14ac:dyDescent="0.2">
      <c r="A811" s="60"/>
      <c r="B811" s="105" t="s">
        <v>1019</v>
      </c>
      <c r="C811" s="60" t="s">
        <v>43</v>
      </c>
      <c r="D811" s="44">
        <v>5</v>
      </c>
      <c r="E811" s="7" t="s">
        <v>10729</v>
      </c>
      <c r="F811" s="7"/>
      <c r="G811" s="7"/>
      <c r="H811" s="6" t="s">
        <v>10715</v>
      </c>
      <c r="I811" s="7" t="s">
        <v>10730</v>
      </c>
      <c r="J811" s="7" t="s">
        <v>10731</v>
      </c>
      <c r="K811" s="7" t="s">
        <v>6646</v>
      </c>
      <c r="L811" s="7" t="s">
        <v>10734</v>
      </c>
      <c r="M811" s="7" t="s">
        <v>10735</v>
      </c>
      <c r="N811" s="48"/>
      <c r="O811" s="45" t="str">
        <f t="shared" si="609"/>
        <v>Questionnaire</v>
      </c>
      <c r="P811" s="48" t="s">
        <v>10726</v>
      </c>
      <c r="Q811" s="60" t="s">
        <v>219</v>
      </c>
      <c r="R811" s="48" t="s">
        <v>10726</v>
      </c>
      <c r="S811" s="60" t="s">
        <v>205</v>
      </c>
      <c r="T811" s="4" t="s">
        <v>63</v>
      </c>
      <c r="U811" s="4" t="s">
        <v>65</v>
      </c>
      <c r="V811" s="7"/>
      <c r="W811" s="37">
        <v>3.07</v>
      </c>
      <c r="X811" s="49" t="s">
        <v>1785</v>
      </c>
      <c r="Y811" s="49" t="s">
        <v>1338</v>
      </c>
      <c r="Z811" s="49" t="s">
        <v>1948</v>
      </c>
      <c r="AA811" s="38">
        <v>0.42149999999999999</v>
      </c>
      <c r="AB811" s="39">
        <v>40784</v>
      </c>
      <c r="AC811" s="52" t="s">
        <v>10726</v>
      </c>
      <c r="AD811" s="53" t="str">
        <f t="shared" si="610"/>
        <v>Link</v>
      </c>
      <c r="AE811" s="54">
        <v>704</v>
      </c>
      <c r="AF811" s="55"/>
      <c r="AG811" s="7"/>
      <c r="AH811" s="56">
        <v>198066</v>
      </c>
      <c r="AI811" s="56"/>
      <c r="AJ811" s="137"/>
      <c r="AK811" s="137"/>
    </row>
    <row r="812" spans="1:37" ht="15" x14ac:dyDescent="0.2">
      <c r="A812" s="60"/>
      <c r="B812" s="105" t="s">
        <v>1019</v>
      </c>
      <c r="C812" s="60" t="s">
        <v>43</v>
      </c>
      <c r="D812" s="44">
        <v>5</v>
      </c>
      <c r="E812" s="7" t="s">
        <v>10729</v>
      </c>
      <c r="F812" s="7" t="s">
        <v>116</v>
      </c>
      <c r="G812" s="7"/>
      <c r="H812" s="6" t="s">
        <v>10715</v>
      </c>
      <c r="I812" s="7" t="s">
        <v>10730</v>
      </c>
      <c r="J812" s="7" t="s">
        <v>10731</v>
      </c>
      <c r="K812" s="7" t="s">
        <v>55</v>
      </c>
      <c r="L812" s="7" t="s">
        <v>10739</v>
      </c>
      <c r="M812" s="7" t="s">
        <v>10721</v>
      </c>
      <c r="N812" s="48"/>
      <c r="O812" s="45" t="str">
        <f t="shared" si="609"/>
        <v>Questionnaire</v>
      </c>
      <c r="P812" s="48" t="s">
        <v>10726</v>
      </c>
      <c r="Q812" s="60" t="s">
        <v>219</v>
      </c>
      <c r="R812" s="48" t="s">
        <v>10726</v>
      </c>
      <c r="S812" s="60" t="s">
        <v>205</v>
      </c>
      <c r="T812" s="4" t="s">
        <v>63</v>
      </c>
      <c r="U812" s="4" t="s">
        <v>65</v>
      </c>
      <c r="V812" s="7"/>
      <c r="W812" s="37">
        <v>3.07</v>
      </c>
      <c r="X812" s="49" t="s">
        <v>1785</v>
      </c>
      <c r="Y812" s="49" t="s">
        <v>1338</v>
      </c>
      <c r="Z812" s="49" t="s">
        <v>1948</v>
      </c>
      <c r="AA812" s="38">
        <v>0.42149999999999999</v>
      </c>
      <c r="AB812" s="39">
        <v>40784</v>
      </c>
      <c r="AC812" s="52" t="s">
        <v>10726</v>
      </c>
      <c r="AD812" s="53" t="str">
        <f t="shared" si="610"/>
        <v>Link</v>
      </c>
      <c r="AE812" s="54">
        <v>704</v>
      </c>
      <c r="AF812" s="55"/>
      <c r="AG812" s="7"/>
      <c r="AH812" s="56">
        <v>198066</v>
      </c>
      <c r="AI812" s="56"/>
      <c r="AJ812" s="137"/>
      <c r="AK812" s="137"/>
    </row>
    <row r="813" spans="1:37" ht="15" x14ac:dyDescent="0.2">
      <c r="A813" s="47"/>
      <c r="B813" s="105" t="s">
        <v>1019</v>
      </c>
      <c r="C813" s="60" t="s">
        <v>43</v>
      </c>
      <c r="D813" s="44">
        <v>5</v>
      </c>
      <c r="E813" s="7" t="s">
        <v>10746</v>
      </c>
      <c r="F813" s="7" t="s">
        <v>116</v>
      </c>
      <c r="G813" s="7"/>
      <c r="H813" s="6" t="s">
        <v>10715</v>
      </c>
      <c r="I813" s="7" t="s">
        <v>1266</v>
      </c>
      <c r="J813" s="7" t="s">
        <v>2993</v>
      </c>
      <c r="K813" s="7" t="s">
        <v>139</v>
      </c>
      <c r="L813" s="7" t="s">
        <v>10748</v>
      </c>
      <c r="M813" s="7" t="s">
        <v>10721</v>
      </c>
      <c r="N813" s="48"/>
      <c r="O813" s="45" t="str">
        <f t="shared" si="609"/>
        <v>Questionnaire</v>
      </c>
      <c r="P813" s="48" t="s">
        <v>10726</v>
      </c>
      <c r="Q813" s="60" t="s">
        <v>219</v>
      </c>
      <c r="R813" s="48" t="s">
        <v>10726</v>
      </c>
      <c r="S813" s="60" t="s">
        <v>205</v>
      </c>
      <c r="T813" s="4" t="s">
        <v>63</v>
      </c>
      <c r="U813" s="4" t="s">
        <v>65</v>
      </c>
      <c r="V813" s="7"/>
      <c r="W813" s="37">
        <v>3.07</v>
      </c>
      <c r="X813" s="49" t="s">
        <v>1785</v>
      </c>
      <c r="Y813" s="49" t="s">
        <v>1338</v>
      </c>
      <c r="Z813" s="49" t="s">
        <v>1948</v>
      </c>
      <c r="AA813" s="38">
        <v>0.42149999999999999</v>
      </c>
      <c r="AB813" s="39">
        <v>40784</v>
      </c>
      <c r="AC813" s="52" t="s">
        <v>10726</v>
      </c>
      <c r="AD813" s="53" t="str">
        <f t="shared" si="610"/>
        <v>Link</v>
      </c>
      <c r="AE813" s="54">
        <v>704</v>
      </c>
      <c r="AF813" s="55"/>
      <c r="AG813" s="7"/>
      <c r="AH813" s="56">
        <v>198066</v>
      </c>
      <c r="AI813" s="59"/>
      <c r="AJ813" s="137"/>
      <c r="AK813" s="137"/>
    </row>
    <row r="814" spans="1:37" ht="15" x14ac:dyDescent="0.2">
      <c r="A814" s="47"/>
      <c r="B814" s="105" t="s">
        <v>1019</v>
      </c>
      <c r="C814" s="60" t="s">
        <v>43</v>
      </c>
      <c r="D814" s="44">
        <v>5</v>
      </c>
      <c r="E814" s="7" t="s">
        <v>10756</v>
      </c>
      <c r="F814" s="7" t="s">
        <v>116</v>
      </c>
      <c r="G814" s="7"/>
      <c r="H814" s="6" t="s">
        <v>10715</v>
      </c>
      <c r="I814" s="7" t="s">
        <v>10716</v>
      </c>
      <c r="J814" s="7" t="s">
        <v>10718</v>
      </c>
      <c r="K814" s="7" t="s">
        <v>48</v>
      </c>
      <c r="L814" s="7" t="s">
        <v>10719</v>
      </c>
      <c r="M814" s="7" t="s">
        <v>10721</v>
      </c>
      <c r="N814" s="48"/>
      <c r="O814" s="45" t="str">
        <f t="shared" si="609"/>
        <v>Questionnaire</v>
      </c>
      <c r="P814" s="48" t="s">
        <v>10726</v>
      </c>
      <c r="Q814" s="60" t="s">
        <v>219</v>
      </c>
      <c r="R814" s="48" t="s">
        <v>10726</v>
      </c>
      <c r="S814" s="60" t="s">
        <v>205</v>
      </c>
      <c r="T814" s="4" t="s">
        <v>63</v>
      </c>
      <c r="U814" s="4" t="s">
        <v>65</v>
      </c>
      <c r="V814" s="7"/>
      <c r="W814" s="37">
        <v>3.07</v>
      </c>
      <c r="X814" s="49" t="s">
        <v>1785</v>
      </c>
      <c r="Y814" s="49" t="s">
        <v>1338</v>
      </c>
      <c r="Z814" s="49" t="s">
        <v>1948</v>
      </c>
      <c r="AA814" s="38">
        <v>0.42149999999999999</v>
      </c>
      <c r="AB814" s="39">
        <v>40784</v>
      </c>
      <c r="AC814" s="52" t="s">
        <v>10726</v>
      </c>
      <c r="AD814" s="53" t="str">
        <f t="shared" si="610"/>
        <v>Link</v>
      </c>
      <c r="AE814" s="54">
        <v>704</v>
      </c>
      <c r="AF814" s="55"/>
      <c r="AG814" s="7"/>
      <c r="AH814" s="56">
        <v>198066</v>
      </c>
      <c r="AI814" s="59"/>
      <c r="AJ814" s="137"/>
      <c r="AK814" s="137"/>
    </row>
    <row r="815" spans="1:37" ht="13" x14ac:dyDescent="0.15">
      <c r="A815" s="60"/>
      <c r="B815" s="105" t="s">
        <v>1019</v>
      </c>
      <c r="C815" s="60" t="s">
        <v>43</v>
      </c>
      <c r="D815" s="44">
        <v>5</v>
      </c>
      <c r="E815" s="7" t="s">
        <v>10757</v>
      </c>
      <c r="F815" s="7"/>
      <c r="G815" s="7"/>
      <c r="H815" s="6" t="s">
        <v>10758</v>
      </c>
      <c r="I815" s="7" t="s">
        <v>7509</v>
      </c>
      <c r="J815" s="7" t="s">
        <v>10760</v>
      </c>
      <c r="K815" s="7" t="s">
        <v>48</v>
      </c>
      <c r="L815" s="7" t="s">
        <v>10761</v>
      </c>
      <c r="M815" s="7" t="s">
        <v>10763</v>
      </c>
      <c r="N815" s="45" t="str">
        <f t="shared" ref="N815:N817" si="611">HYPERLINK("twitter.com/gcpride_sball","@gcpride_sball")</f>
        <v>@gcpride_sball</v>
      </c>
      <c r="O815" s="45" t="str">
        <f t="shared" ref="O815:O817" si="612">HYPERLINK("https://greensborocollegesports.com/sb_output.aspx?form=3","Questionnaire")</f>
        <v>Questionnaire</v>
      </c>
      <c r="P815" s="48" t="s">
        <v>8854</v>
      </c>
      <c r="Q815" s="47" t="s">
        <v>219</v>
      </c>
      <c r="R815" s="48" t="s">
        <v>8854</v>
      </c>
      <c r="S815" s="48" t="s">
        <v>62</v>
      </c>
      <c r="T815" s="49" t="s">
        <v>63</v>
      </c>
      <c r="U815" s="49" t="s">
        <v>65</v>
      </c>
      <c r="V815" s="7"/>
      <c r="W815" s="44">
        <v>3.27</v>
      </c>
      <c r="X815" s="49" t="s">
        <v>6814</v>
      </c>
      <c r="Y815" s="49" t="s">
        <v>5268</v>
      </c>
      <c r="Z815" s="49" t="s">
        <v>1339</v>
      </c>
      <c r="AA815" s="61">
        <v>0.36</v>
      </c>
      <c r="AB815" s="71">
        <v>41000</v>
      </c>
      <c r="AC815" s="62" t="s">
        <v>8854</v>
      </c>
      <c r="AD815" s="53" t="str">
        <f t="shared" ref="AD815:AD817" si="613">HYPERLINK("https://www.greensboro.edu/list-of-majors/","Link")</f>
        <v>Link</v>
      </c>
      <c r="AE815" s="54">
        <v>946</v>
      </c>
      <c r="AF815" s="55"/>
      <c r="AG815" s="7"/>
      <c r="AH815" s="56">
        <v>198598</v>
      </c>
      <c r="AI815" s="56"/>
      <c r="AJ815" s="137"/>
      <c r="AK815" s="137"/>
    </row>
    <row r="816" spans="1:37" ht="13" x14ac:dyDescent="0.15">
      <c r="A816" s="60"/>
      <c r="B816" s="105" t="s">
        <v>1019</v>
      </c>
      <c r="C816" s="60" t="s">
        <v>43</v>
      </c>
      <c r="D816" s="44">
        <v>5</v>
      </c>
      <c r="E816" s="7" t="s">
        <v>10772</v>
      </c>
      <c r="F816" s="7"/>
      <c r="G816" s="7"/>
      <c r="H816" s="6" t="s">
        <v>10758</v>
      </c>
      <c r="I816" s="7" t="s">
        <v>4611</v>
      </c>
      <c r="J816" s="7" t="s">
        <v>10774</v>
      </c>
      <c r="K816" s="7" t="s">
        <v>55</v>
      </c>
      <c r="L816" s="7" t="s">
        <v>10775</v>
      </c>
      <c r="M816" s="7" t="s">
        <v>10763</v>
      </c>
      <c r="N816" s="45" t="str">
        <f t="shared" si="611"/>
        <v>@gcpride_sball</v>
      </c>
      <c r="O816" s="45" t="str">
        <f t="shared" si="612"/>
        <v>Questionnaire</v>
      </c>
      <c r="P816" s="48" t="s">
        <v>8854</v>
      </c>
      <c r="Q816" s="47" t="s">
        <v>219</v>
      </c>
      <c r="R816" s="48" t="s">
        <v>8854</v>
      </c>
      <c r="S816" s="48" t="s">
        <v>62</v>
      </c>
      <c r="T816" s="49" t="s">
        <v>63</v>
      </c>
      <c r="U816" s="49" t="s">
        <v>65</v>
      </c>
      <c r="V816" s="7"/>
      <c r="W816" s="44">
        <v>3.27</v>
      </c>
      <c r="X816" s="49" t="s">
        <v>6814</v>
      </c>
      <c r="Y816" s="49" t="s">
        <v>5268</v>
      </c>
      <c r="Z816" s="49" t="s">
        <v>1339</v>
      </c>
      <c r="AA816" s="61">
        <v>0.36</v>
      </c>
      <c r="AB816" s="71">
        <v>41000</v>
      </c>
      <c r="AC816" s="62" t="s">
        <v>8854</v>
      </c>
      <c r="AD816" s="53" t="str">
        <f t="shared" si="613"/>
        <v>Link</v>
      </c>
      <c r="AE816" s="54">
        <v>946</v>
      </c>
      <c r="AF816" s="55"/>
      <c r="AG816" s="7"/>
      <c r="AH816" s="56">
        <v>198598</v>
      </c>
      <c r="AI816" s="56"/>
      <c r="AJ816" s="137"/>
      <c r="AK816" s="137"/>
    </row>
    <row r="817" spans="1:37" ht="13" x14ac:dyDescent="0.15">
      <c r="A817" s="60"/>
      <c r="B817" s="105" t="s">
        <v>1019</v>
      </c>
      <c r="C817" s="60" t="s">
        <v>43</v>
      </c>
      <c r="D817" s="44">
        <v>5</v>
      </c>
      <c r="E817" s="7" t="s">
        <v>10782</v>
      </c>
      <c r="F817" s="7"/>
      <c r="G817" s="7"/>
      <c r="H817" s="6" t="s">
        <v>10758</v>
      </c>
      <c r="I817" s="7" t="s">
        <v>2402</v>
      </c>
      <c r="J817" s="7" t="s">
        <v>10784</v>
      </c>
      <c r="K817" s="7" t="s">
        <v>55</v>
      </c>
      <c r="L817" s="7" t="s">
        <v>10786</v>
      </c>
      <c r="M817" s="7" t="s">
        <v>10763</v>
      </c>
      <c r="N817" s="45" t="str">
        <f t="shared" si="611"/>
        <v>@gcpride_sball</v>
      </c>
      <c r="O817" s="45" t="str">
        <f t="shared" si="612"/>
        <v>Questionnaire</v>
      </c>
      <c r="P817" s="48" t="s">
        <v>8854</v>
      </c>
      <c r="Q817" s="47" t="s">
        <v>219</v>
      </c>
      <c r="R817" s="48" t="s">
        <v>8854</v>
      </c>
      <c r="S817" s="48" t="s">
        <v>62</v>
      </c>
      <c r="T817" s="49" t="s">
        <v>63</v>
      </c>
      <c r="U817" s="49" t="s">
        <v>65</v>
      </c>
      <c r="V817" s="7"/>
      <c r="W817" s="44">
        <v>3.27</v>
      </c>
      <c r="X817" s="49" t="s">
        <v>6814</v>
      </c>
      <c r="Y817" s="49" t="s">
        <v>5268</v>
      </c>
      <c r="Z817" s="49" t="s">
        <v>1339</v>
      </c>
      <c r="AA817" s="61">
        <v>0.36</v>
      </c>
      <c r="AB817" s="71">
        <v>41000</v>
      </c>
      <c r="AC817" s="62" t="s">
        <v>8854</v>
      </c>
      <c r="AD817" s="53" t="str">
        <f t="shared" si="613"/>
        <v>Link</v>
      </c>
      <c r="AE817" s="54">
        <v>946</v>
      </c>
      <c r="AF817" s="55"/>
      <c r="AG817" s="7"/>
      <c r="AH817" s="56">
        <v>198598</v>
      </c>
      <c r="AI817" s="56"/>
      <c r="AJ817" s="137"/>
      <c r="AK817" s="137"/>
    </row>
    <row r="818" spans="1:37" ht="13" x14ac:dyDescent="0.15">
      <c r="A818" s="60"/>
      <c r="B818" s="105" t="s">
        <v>1019</v>
      </c>
      <c r="C818" s="60" t="s">
        <v>43</v>
      </c>
      <c r="D818" s="44">
        <v>5</v>
      </c>
      <c r="E818" s="7" t="s">
        <v>10790</v>
      </c>
      <c r="F818" s="7"/>
      <c r="G818" s="7"/>
      <c r="H818" s="6" t="s">
        <v>10793</v>
      </c>
      <c r="I818" s="7" t="s">
        <v>562</v>
      </c>
      <c r="J818" s="7" t="s">
        <v>10795</v>
      </c>
      <c r="K818" s="7" t="s">
        <v>48</v>
      </c>
      <c r="L818" s="7" t="s">
        <v>10798</v>
      </c>
      <c r="M818" s="7" t="s">
        <v>10799</v>
      </c>
      <c r="N818" s="48"/>
      <c r="O818" s="45" t="str">
        <f t="shared" ref="O818:O821" si="614">HYPERLINK("https://www.guilfordquakers.com/information/questionnaires/index","Questionnaire")</f>
        <v>Questionnaire</v>
      </c>
      <c r="P818" s="48" t="s">
        <v>10800</v>
      </c>
      <c r="Q818" s="47" t="s">
        <v>219</v>
      </c>
      <c r="R818" s="48" t="s">
        <v>8854</v>
      </c>
      <c r="S818" s="48" t="s">
        <v>62</v>
      </c>
      <c r="T818" s="49" t="s">
        <v>63</v>
      </c>
      <c r="U818" s="49" t="s">
        <v>2827</v>
      </c>
      <c r="V818" s="7"/>
      <c r="W818" s="44">
        <v>3.19</v>
      </c>
      <c r="X818" s="49" t="s">
        <v>5423</v>
      </c>
      <c r="Y818" s="49" t="s">
        <v>10385</v>
      </c>
      <c r="Z818" s="49" t="s">
        <v>1689</v>
      </c>
      <c r="AA818" s="61">
        <v>0.61</v>
      </c>
      <c r="AB818" s="71">
        <v>48722</v>
      </c>
      <c r="AC818" s="62" t="s">
        <v>10800</v>
      </c>
      <c r="AD818" s="53" t="str">
        <f t="shared" ref="AD818:AD821" si="615">HYPERLINK("https://www.guilford.edu/program-finder","Link")</f>
        <v>Link</v>
      </c>
      <c r="AE818" s="54">
        <v>1809</v>
      </c>
      <c r="AF818" s="55"/>
      <c r="AG818" s="44">
        <v>160</v>
      </c>
      <c r="AH818" s="56">
        <v>198613</v>
      </c>
      <c r="AI818" s="56"/>
      <c r="AJ818" s="137"/>
      <c r="AK818" s="137"/>
    </row>
    <row r="819" spans="1:37" ht="13" x14ac:dyDescent="0.15">
      <c r="A819" s="60"/>
      <c r="B819" s="105" t="s">
        <v>1019</v>
      </c>
      <c r="C819" s="60" t="s">
        <v>43</v>
      </c>
      <c r="D819" s="44">
        <v>5</v>
      </c>
      <c r="E819" s="7" t="s">
        <v>10807</v>
      </c>
      <c r="F819" s="7"/>
      <c r="G819" s="7"/>
      <c r="H819" s="6" t="s">
        <v>10793</v>
      </c>
      <c r="I819" s="7" t="s">
        <v>442</v>
      </c>
      <c r="J819" s="7" t="s">
        <v>10809</v>
      </c>
      <c r="K819" s="7" t="s">
        <v>55</v>
      </c>
      <c r="L819" s="7" t="s">
        <v>10811</v>
      </c>
      <c r="M819" s="7" t="s">
        <v>10812</v>
      </c>
      <c r="N819" s="48"/>
      <c r="O819" s="45" t="str">
        <f t="shared" si="614"/>
        <v>Questionnaire</v>
      </c>
      <c r="P819" s="48" t="s">
        <v>10800</v>
      </c>
      <c r="Q819" s="47" t="s">
        <v>219</v>
      </c>
      <c r="R819" s="48" t="s">
        <v>8854</v>
      </c>
      <c r="S819" s="48" t="s">
        <v>62</v>
      </c>
      <c r="T819" s="49" t="s">
        <v>63</v>
      </c>
      <c r="U819" s="49" t="s">
        <v>2827</v>
      </c>
      <c r="V819" s="7"/>
      <c r="W819" s="44">
        <v>3.19</v>
      </c>
      <c r="X819" s="49" t="s">
        <v>5423</v>
      </c>
      <c r="Y819" s="49" t="s">
        <v>10385</v>
      </c>
      <c r="Z819" s="49" t="s">
        <v>1689</v>
      </c>
      <c r="AA819" s="61">
        <v>0.61</v>
      </c>
      <c r="AB819" s="71">
        <v>48722</v>
      </c>
      <c r="AC819" s="62" t="s">
        <v>10800</v>
      </c>
      <c r="AD819" s="53" t="str">
        <f t="shared" si="615"/>
        <v>Link</v>
      </c>
      <c r="AE819" s="54">
        <v>1809</v>
      </c>
      <c r="AF819" s="55"/>
      <c r="AG819" s="44">
        <v>160</v>
      </c>
      <c r="AH819" s="56">
        <v>198613</v>
      </c>
      <c r="AI819" s="56"/>
      <c r="AJ819" s="137"/>
      <c r="AK819" s="137"/>
    </row>
    <row r="820" spans="1:37" ht="13" x14ac:dyDescent="0.15">
      <c r="A820" s="60"/>
      <c r="B820" s="105" t="s">
        <v>1019</v>
      </c>
      <c r="C820" s="60" t="s">
        <v>43</v>
      </c>
      <c r="D820" s="44">
        <v>5</v>
      </c>
      <c r="E820" s="7" t="s">
        <v>10822</v>
      </c>
      <c r="F820" s="7"/>
      <c r="G820" s="7"/>
      <c r="H820" s="6" t="s">
        <v>10793</v>
      </c>
      <c r="I820" s="7" t="s">
        <v>135</v>
      </c>
      <c r="J820" s="7" t="s">
        <v>3140</v>
      </c>
      <c r="K820" s="7" t="s">
        <v>55</v>
      </c>
      <c r="L820" s="7" t="s">
        <v>10823</v>
      </c>
      <c r="M820" s="7" t="s">
        <v>10824</v>
      </c>
      <c r="N820" s="48"/>
      <c r="O820" s="45" t="str">
        <f t="shared" si="614"/>
        <v>Questionnaire</v>
      </c>
      <c r="P820" s="48" t="s">
        <v>10800</v>
      </c>
      <c r="Q820" s="47" t="s">
        <v>219</v>
      </c>
      <c r="R820" s="48" t="s">
        <v>8854</v>
      </c>
      <c r="S820" s="48" t="s">
        <v>62</v>
      </c>
      <c r="T820" s="49" t="s">
        <v>63</v>
      </c>
      <c r="U820" s="49" t="s">
        <v>2827</v>
      </c>
      <c r="V820" s="7"/>
      <c r="W820" s="44">
        <v>3.19</v>
      </c>
      <c r="X820" s="49" t="s">
        <v>5423</v>
      </c>
      <c r="Y820" s="49" t="s">
        <v>10385</v>
      </c>
      <c r="Z820" s="49" t="s">
        <v>1689</v>
      </c>
      <c r="AA820" s="61">
        <v>0.61</v>
      </c>
      <c r="AB820" s="71">
        <v>48722</v>
      </c>
      <c r="AC820" s="62" t="s">
        <v>10800</v>
      </c>
      <c r="AD820" s="53" t="str">
        <f t="shared" si="615"/>
        <v>Link</v>
      </c>
      <c r="AE820" s="54">
        <v>1809</v>
      </c>
      <c r="AF820" s="55"/>
      <c r="AG820" s="44">
        <v>160</v>
      </c>
      <c r="AH820" s="56">
        <v>198613</v>
      </c>
      <c r="AI820" s="56"/>
      <c r="AJ820" s="137"/>
      <c r="AK820" s="137"/>
    </row>
    <row r="821" spans="1:37" ht="13" x14ac:dyDescent="0.15">
      <c r="A821" s="60"/>
      <c r="B821" s="105" t="s">
        <v>1019</v>
      </c>
      <c r="C821" s="60" t="s">
        <v>43</v>
      </c>
      <c r="D821" s="44">
        <v>5</v>
      </c>
      <c r="E821" s="7" t="s">
        <v>10835</v>
      </c>
      <c r="F821" s="7"/>
      <c r="G821" s="7"/>
      <c r="H821" s="6" t="s">
        <v>10793</v>
      </c>
      <c r="I821" s="7" t="s">
        <v>926</v>
      </c>
      <c r="J821" s="7" t="s">
        <v>10836</v>
      </c>
      <c r="K821" s="7" t="s">
        <v>139</v>
      </c>
      <c r="L821" s="7" t="s">
        <v>10837</v>
      </c>
      <c r="M821" s="7"/>
      <c r="N821" s="48"/>
      <c r="O821" s="45" t="str">
        <f t="shared" si="614"/>
        <v>Questionnaire</v>
      </c>
      <c r="P821" s="48" t="s">
        <v>10800</v>
      </c>
      <c r="Q821" s="47" t="s">
        <v>219</v>
      </c>
      <c r="R821" s="48" t="s">
        <v>8854</v>
      </c>
      <c r="S821" s="48" t="s">
        <v>62</v>
      </c>
      <c r="T821" s="49" t="s">
        <v>63</v>
      </c>
      <c r="U821" s="49" t="s">
        <v>2827</v>
      </c>
      <c r="V821" s="7"/>
      <c r="W821" s="44">
        <v>3.19</v>
      </c>
      <c r="X821" s="49" t="s">
        <v>5423</v>
      </c>
      <c r="Y821" s="49" t="s">
        <v>10385</v>
      </c>
      <c r="Z821" s="49" t="s">
        <v>1689</v>
      </c>
      <c r="AA821" s="61">
        <v>0.61</v>
      </c>
      <c r="AB821" s="71">
        <v>48722</v>
      </c>
      <c r="AC821" s="62" t="s">
        <v>10800</v>
      </c>
      <c r="AD821" s="53" t="str">
        <f t="shared" si="615"/>
        <v>Link</v>
      </c>
      <c r="AE821" s="54">
        <v>1809</v>
      </c>
      <c r="AF821" s="55"/>
      <c r="AG821" s="44">
        <v>160</v>
      </c>
      <c r="AH821" s="56">
        <v>198613</v>
      </c>
      <c r="AI821" s="56"/>
      <c r="AJ821" s="137"/>
      <c r="AK821" s="137"/>
    </row>
    <row r="822" spans="1:37" ht="13" x14ac:dyDescent="0.15">
      <c r="A822" s="60"/>
      <c r="B822" s="105" t="s">
        <v>1019</v>
      </c>
      <c r="C822" s="60" t="s">
        <v>43</v>
      </c>
      <c r="D822" s="44">
        <v>5</v>
      </c>
      <c r="E822" s="7" t="s">
        <v>10840</v>
      </c>
      <c r="F822" s="7"/>
      <c r="G822" s="7"/>
      <c r="H822" s="6" t="s">
        <v>10842</v>
      </c>
      <c r="I822" s="7" t="s">
        <v>1159</v>
      </c>
      <c r="J822" s="7" t="s">
        <v>10844</v>
      </c>
      <c r="K822" s="7" t="s">
        <v>48</v>
      </c>
      <c r="L822" s="7" t="s">
        <v>10846</v>
      </c>
      <c r="M822" s="7" t="s">
        <v>10847</v>
      </c>
      <c r="N822" s="48"/>
      <c r="O822" s="45" t="str">
        <f t="shared" ref="O822:O824" si="616">HYPERLINK("https://www.goavengingangels.com/information/recruits/index","Questionnaire")</f>
        <v>Questionnaire</v>
      </c>
      <c r="P822" s="48" t="s">
        <v>8357</v>
      </c>
      <c r="Q822" s="60" t="s">
        <v>219</v>
      </c>
      <c r="R822" s="48" t="s">
        <v>1090</v>
      </c>
      <c r="S822" s="48" t="s">
        <v>354</v>
      </c>
      <c r="T822" s="49" t="s">
        <v>63</v>
      </c>
      <c r="U822" s="48" t="s">
        <v>75</v>
      </c>
      <c r="V822" s="49" t="s">
        <v>10849</v>
      </c>
      <c r="W822" s="37">
        <v>3.34</v>
      </c>
      <c r="X822" s="49" t="s">
        <v>10850</v>
      </c>
      <c r="Y822" s="49" t="s">
        <v>521</v>
      </c>
      <c r="Z822" s="49" t="s">
        <v>1650</v>
      </c>
      <c r="AA822" s="65">
        <v>0.61</v>
      </c>
      <c r="AB822" s="39">
        <v>47987</v>
      </c>
      <c r="AC822" s="84" t="s">
        <v>8357</v>
      </c>
      <c r="AD822" s="53" t="str">
        <f t="shared" ref="AD822:AD824" si="617">HYPERLINK("https://www.meredith.edu/academics/majors-minors","Link")</f>
        <v>Link</v>
      </c>
      <c r="AE822" s="54">
        <v>1685</v>
      </c>
      <c r="AF822" s="55"/>
      <c r="AG822" s="54">
        <v>163</v>
      </c>
      <c r="AH822" s="56">
        <v>198950</v>
      </c>
      <c r="AI822" s="56"/>
      <c r="AJ822" s="137"/>
      <c r="AK822" s="137"/>
    </row>
    <row r="823" spans="1:37" ht="13" x14ac:dyDescent="0.15">
      <c r="A823" s="60"/>
      <c r="B823" s="105" t="s">
        <v>1019</v>
      </c>
      <c r="C823" s="60" t="s">
        <v>43</v>
      </c>
      <c r="D823" s="44">
        <v>5</v>
      </c>
      <c r="E823" s="7" t="s">
        <v>10856</v>
      </c>
      <c r="F823" s="7"/>
      <c r="G823" s="7"/>
      <c r="H823" s="6" t="s">
        <v>10842</v>
      </c>
      <c r="I823" s="7" t="s">
        <v>539</v>
      </c>
      <c r="J823" s="7" t="s">
        <v>1460</v>
      </c>
      <c r="K823" s="7" t="s">
        <v>55</v>
      </c>
      <c r="L823" s="7" t="s">
        <v>10857</v>
      </c>
      <c r="M823" s="7"/>
      <c r="N823" s="48"/>
      <c r="O823" s="45" t="str">
        <f t="shared" si="616"/>
        <v>Questionnaire</v>
      </c>
      <c r="P823" s="48" t="s">
        <v>8357</v>
      </c>
      <c r="Q823" s="60" t="s">
        <v>219</v>
      </c>
      <c r="R823" s="48" t="s">
        <v>1090</v>
      </c>
      <c r="S823" s="48" t="s">
        <v>354</v>
      </c>
      <c r="T823" s="49" t="s">
        <v>63</v>
      </c>
      <c r="U823" s="48" t="s">
        <v>75</v>
      </c>
      <c r="V823" s="49" t="s">
        <v>10849</v>
      </c>
      <c r="W823" s="37">
        <v>3.34</v>
      </c>
      <c r="X823" s="49" t="s">
        <v>10850</v>
      </c>
      <c r="Y823" s="49" t="s">
        <v>521</v>
      </c>
      <c r="Z823" s="49" t="s">
        <v>1650</v>
      </c>
      <c r="AA823" s="65">
        <v>0.61</v>
      </c>
      <c r="AB823" s="39">
        <v>47987</v>
      </c>
      <c r="AC823" s="84" t="s">
        <v>8357</v>
      </c>
      <c r="AD823" s="53" t="str">
        <f t="shared" si="617"/>
        <v>Link</v>
      </c>
      <c r="AE823" s="54">
        <v>1685</v>
      </c>
      <c r="AF823" s="55"/>
      <c r="AG823" s="54">
        <v>163</v>
      </c>
      <c r="AH823" s="56">
        <v>198950</v>
      </c>
      <c r="AI823" s="56"/>
      <c r="AJ823" s="137"/>
      <c r="AK823" s="137"/>
    </row>
    <row r="824" spans="1:37" ht="13" x14ac:dyDescent="0.15">
      <c r="A824" s="60"/>
      <c r="B824" s="105" t="s">
        <v>1019</v>
      </c>
      <c r="C824" s="60" t="s">
        <v>43</v>
      </c>
      <c r="D824" s="44">
        <v>5</v>
      </c>
      <c r="E824" s="7" t="s">
        <v>10860</v>
      </c>
      <c r="F824" s="7"/>
      <c r="G824" s="7"/>
      <c r="H824" s="6" t="s">
        <v>10842</v>
      </c>
      <c r="I824" s="7" t="s">
        <v>6836</v>
      </c>
      <c r="J824" s="7" t="s">
        <v>10861</v>
      </c>
      <c r="K824" s="7" t="s">
        <v>55</v>
      </c>
      <c r="L824" s="7" t="s">
        <v>10862</v>
      </c>
      <c r="M824" s="7"/>
      <c r="N824" s="48"/>
      <c r="O824" s="45" t="str">
        <f t="shared" si="616"/>
        <v>Questionnaire</v>
      </c>
      <c r="P824" s="48" t="s">
        <v>8357</v>
      </c>
      <c r="Q824" s="60" t="s">
        <v>219</v>
      </c>
      <c r="R824" s="48" t="s">
        <v>1090</v>
      </c>
      <c r="S824" s="48" t="s">
        <v>354</v>
      </c>
      <c r="T824" s="49" t="s">
        <v>63</v>
      </c>
      <c r="U824" s="48" t="s">
        <v>75</v>
      </c>
      <c r="V824" s="49" t="s">
        <v>10849</v>
      </c>
      <c r="W824" s="37">
        <v>3.34</v>
      </c>
      <c r="X824" s="49" t="s">
        <v>10850</v>
      </c>
      <c r="Y824" s="49" t="s">
        <v>521</v>
      </c>
      <c r="Z824" s="49" t="s">
        <v>1650</v>
      </c>
      <c r="AA824" s="65">
        <v>0.61</v>
      </c>
      <c r="AB824" s="39">
        <v>47987</v>
      </c>
      <c r="AC824" s="84" t="s">
        <v>8357</v>
      </c>
      <c r="AD824" s="53" t="str">
        <f t="shared" si="617"/>
        <v>Link</v>
      </c>
      <c r="AE824" s="54">
        <v>1685</v>
      </c>
      <c r="AF824" s="55"/>
      <c r="AG824" s="54">
        <v>163</v>
      </c>
      <c r="AH824" s="56">
        <v>198950</v>
      </c>
      <c r="AI824" s="56"/>
      <c r="AJ824" s="137"/>
      <c r="AK824" s="137"/>
    </row>
    <row r="825" spans="1:37" ht="13" x14ac:dyDescent="0.15">
      <c r="A825" s="60"/>
      <c r="B825" s="105" t="s">
        <v>1019</v>
      </c>
      <c r="C825" s="60" t="s">
        <v>43</v>
      </c>
      <c r="D825" s="44">
        <v>5</v>
      </c>
      <c r="E825" s="7" t="s">
        <v>10869</v>
      </c>
      <c r="F825" s="7"/>
      <c r="G825" s="7"/>
      <c r="H825" s="6" t="s">
        <v>10870</v>
      </c>
      <c r="I825" s="7" t="s">
        <v>3385</v>
      </c>
      <c r="J825" s="7" t="s">
        <v>10871</v>
      </c>
      <c r="K825" s="7" t="s">
        <v>48</v>
      </c>
      <c r="L825" s="7" t="s">
        <v>10872</v>
      </c>
      <c r="M825" s="7" t="s">
        <v>10873</v>
      </c>
      <c r="N825" s="48"/>
      <c r="O825" s="45" t="str">
        <f t="shared" ref="O825:O829" si="618">HYPERLINK("https://mumonarchs.com/sports/2014/10/8/GEN_1008144940.aspx","Questionnaire")</f>
        <v>Questionnaire</v>
      </c>
      <c r="P825" s="48" t="s">
        <v>10882</v>
      </c>
      <c r="Q825" s="60" t="s">
        <v>219</v>
      </c>
      <c r="R825" s="48" t="s">
        <v>7923</v>
      </c>
      <c r="S825" s="48" t="s">
        <v>62</v>
      </c>
      <c r="T825" s="49" t="s">
        <v>63</v>
      </c>
      <c r="U825" s="49" t="s">
        <v>65</v>
      </c>
      <c r="V825" s="7"/>
      <c r="W825" s="44">
        <v>3.28</v>
      </c>
      <c r="X825" s="49" t="s">
        <v>7200</v>
      </c>
      <c r="Y825" s="49" t="s">
        <v>1628</v>
      </c>
      <c r="Z825" s="49" t="s">
        <v>1339</v>
      </c>
      <c r="AA825" s="61">
        <v>0.55000000000000004</v>
      </c>
      <c r="AB825" s="71">
        <v>53183</v>
      </c>
      <c r="AC825" s="62" t="s">
        <v>10882</v>
      </c>
      <c r="AD825" s="53" t="str">
        <f t="shared" ref="AD825:AD829" si="619">HYPERLINK("http://www.methodist.edu/programs","Link")</f>
        <v>Link</v>
      </c>
      <c r="AE825" s="54">
        <v>2170</v>
      </c>
      <c r="AF825" s="55"/>
      <c r="AG825" s="7"/>
      <c r="AH825" s="56">
        <v>198969</v>
      </c>
      <c r="AI825" s="56"/>
      <c r="AJ825" s="137"/>
      <c r="AK825" s="137"/>
    </row>
    <row r="826" spans="1:37" ht="13" x14ac:dyDescent="0.15">
      <c r="A826" s="60"/>
      <c r="B826" s="105" t="s">
        <v>1019</v>
      </c>
      <c r="C826" s="60" t="s">
        <v>43</v>
      </c>
      <c r="D826" s="44">
        <v>5</v>
      </c>
      <c r="E826" s="7" t="s">
        <v>10886</v>
      </c>
      <c r="F826" s="7"/>
      <c r="G826" s="7"/>
      <c r="H826" s="6" t="s">
        <v>10870</v>
      </c>
      <c r="I826" s="7" t="s">
        <v>3966</v>
      </c>
      <c r="J826" s="7" t="s">
        <v>10887</v>
      </c>
      <c r="K826" s="7" t="s">
        <v>55</v>
      </c>
      <c r="L826" s="7" t="s">
        <v>10888</v>
      </c>
      <c r="M826" s="7"/>
      <c r="N826" s="48"/>
      <c r="O826" s="45" t="str">
        <f t="shared" si="618"/>
        <v>Questionnaire</v>
      </c>
      <c r="P826" s="48" t="s">
        <v>10882</v>
      </c>
      <c r="Q826" s="60" t="s">
        <v>219</v>
      </c>
      <c r="R826" s="48" t="s">
        <v>7923</v>
      </c>
      <c r="S826" s="48" t="s">
        <v>62</v>
      </c>
      <c r="T826" s="49" t="s">
        <v>63</v>
      </c>
      <c r="U826" s="49" t="s">
        <v>65</v>
      </c>
      <c r="V826" s="7"/>
      <c r="W826" s="44">
        <v>3.28</v>
      </c>
      <c r="X826" s="49" t="s">
        <v>7200</v>
      </c>
      <c r="Y826" s="49" t="s">
        <v>1628</v>
      </c>
      <c r="Z826" s="49" t="s">
        <v>1339</v>
      </c>
      <c r="AA826" s="61">
        <v>0.55000000000000004</v>
      </c>
      <c r="AB826" s="71">
        <v>53183</v>
      </c>
      <c r="AC826" s="62" t="s">
        <v>10882</v>
      </c>
      <c r="AD826" s="53" t="str">
        <f t="shared" si="619"/>
        <v>Link</v>
      </c>
      <c r="AE826" s="54">
        <v>2170</v>
      </c>
      <c r="AF826" s="55"/>
      <c r="AG826" s="7"/>
      <c r="AH826" s="56">
        <v>198969</v>
      </c>
      <c r="AI826" s="56"/>
      <c r="AJ826" s="137"/>
      <c r="AK826" s="137"/>
    </row>
    <row r="827" spans="1:37" ht="13" x14ac:dyDescent="0.15">
      <c r="A827" s="60"/>
      <c r="B827" s="105" t="s">
        <v>1019</v>
      </c>
      <c r="C827" s="60" t="s">
        <v>43</v>
      </c>
      <c r="D827" s="44">
        <v>5</v>
      </c>
      <c r="E827" s="7" t="s">
        <v>10893</v>
      </c>
      <c r="F827" s="7"/>
      <c r="G827" s="7"/>
      <c r="H827" s="6" t="s">
        <v>10870</v>
      </c>
      <c r="I827" s="7" t="s">
        <v>402</v>
      </c>
      <c r="J827" s="7" t="s">
        <v>3832</v>
      </c>
      <c r="K827" s="7" t="s">
        <v>55</v>
      </c>
      <c r="L827" s="7" t="s">
        <v>10894</v>
      </c>
      <c r="M827" s="7"/>
      <c r="N827" s="48"/>
      <c r="O827" s="45" t="str">
        <f t="shared" si="618"/>
        <v>Questionnaire</v>
      </c>
      <c r="P827" s="48" t="s">
        <v>10882</v>
      </c>
      <c r="Q827" s="60" t="s">
        <v>219</v>
      </c>
      <c r="R827" s="48" t="s">
        <v>7923</v>
      </c>
      <c r="S827" s="48" t="s">
        <v>62</v>
      </c>
      <c r="T827" s="49" t="s">
        <v>63</v>
      </c>
      <c r="U827" s="49" t="s">
        <v>65</v>
      </c>
      <c r="V827" s="7"/>
      <c r="W827" s="44">
        <v>3.28</v>
      </c>
      <c r="X827" s="49" t="s">
        <v>7200</v>
      </c>
      <c r="Y827" s="49" t="s">
        <v>1628</v>
      </c>
      <c r="Z827" s="49" t="s">
        <v>1339</v>
      </c>
      <c r="AA827" s="61">
        <v>0.55000000000000004</v>
      </c>
      <c r="AB827" s="71">
        <v>53183</v>
      </c>
      <c r="AC827" s="62" t="s">
        <v>10882</v>
      </c>
      <c r="AD827" s="53" t="str">
        <f t="shared" si="619"/>
        <v>Link</v>
      </c>
      <c r="AE827" s="54">
        <v>2170</v>
      </c>
      <c r="AF827" s="55"/>
      <c r="AG827" s="7"/>
      <c r="AH827" s="56">
        <v>198969</v>
      </c>
      <c r="AI827" s="56"/>
      <c r="AJ827" s="137"/>
      <c r="AK827" s="137"/>
    </row>
    <row r="828" spans="1:37" ht="13" x14ac:dyDescent="0.15">
      <c r="A828" s="60"/>
      <c r="B828" s="105" t="s">
        <v>1019</v>
      </c>
      <c r="C828" s="60" t="s">
        <v>43</v>
      </c>
      <c r="D828" s="44">
        <v>5</v>
      </c>
      <c r="E828" s="7" t="s">
        <v>10900</v>
      </c>
      <c r="F828" s="7"/>
      <c r="G828" s="7"/>
      <c r="H828" s="6" t="s">
        <v>10870</v>
      </c>
      <c r="I828" s="7" t="s">
        <v>10901</v>
      </c>
      <c r="J828" s="7" t="s">
        <v>10902</v>
      </c>
      <c r="K828" s="7" t="s">
        <v>55</v>
      </c>
      <c r="L828" s="7"/>
      <c r="M828" s="7"/>
      <c r="N828" s="48"/>
      <c r="O828" s="45" t="str">
        <f t="shared" si="618"/>
        <v>Questionnaire</v>
      </c>
      <c r="P828" s="48" t="s">
        <v>10882</v>
      </c>
      <c r="Q828" s="60" t="s">
        <v>219</v>
      </c>
      <c r="R828" s="48" t="s">
        <v>7923</v>
      </c>
      <c r="S828" s="48" t="s">
        <v>62</v>
      </c>
      <c r="T828" s="49" t="s">
        <v>63</v>
      </c>
      <c r="U828" s="7" t="s">
        <v>65</v>
      </c>
      <c r="V828" s="7"/>
      <c r="W828" s="44">
        <v>3.28</v>
      </c>
      <c r="X828" s="49" t="s">
        <v>7200</v>
      </c>
      <c r="Y828" s="49" t="s">
        <v>1628</v>
      </c>
      <c r="Z828" s="49" t="s">
        <v>1339</v>
      </c>
      <c r="AA828" s="61">
        <v>0.55000000000000004</v>
      </c>
      <c r="AB828" s="71">
        <v>53183</v>
      </c>
      <c r="AC828" s="62" t="s">
        <v>10882</v>
      </c>
      <c r="AD828" s="53" t="str">
        <f t="shared" si="619"/>
        <v>Link</v>
      </c>
      <c r="AE828" s="54">
        <v>2170</v>
      </c>
      <c r="AF828" s="55"/>
      <c r="AG828" s="7"/>
      <c r="AH828" s="56">
        <v>198969</v>
      </c>
      <c r="AI828" s="56"/>
      <c r="AJ828" s="137"/>
      <c r="AK828" s="137"/>
    </row>
    <row r="829" spans="1:37" ht="13" x14ac:dyDescent="0.15">
      <c r="A829" s="47"/>
      <c r="B829" s="105" t="s">
        <v>1019</v>
      </c>
      <c r="C829" s="60" t="s">
        <v>43</v>
      </c>
      <c r="D829" s="44">
        <v>5</v>
      </c>
      <c r="E829" s="7" t="s">
        <v>10906</v>
      </c>
      <c r="F829" s="7" t="s">
        <v>116</v>
      </c>
      <c r="G829" s="7"/>
      <c r="H829" s="6" t="s">
        <v>10870</v>
      </c>
      <c r="I829" s="7" t="s">
        <v>206</v>
      </c>
      <c r="J829" s="7" t="s">
        <v>10907</v>
      </c>
      <c r="K829" s="7" t="s">
        <v>55</v>
      </c>
      <c r="L829" s="7"/>
      <c r="M829" s="7"/>
      <c r="N829" s="48"/>
      <c r="O829" s="45" t="str">
        <f t="shared" si="618"/>
        <v>Questionnaire</v>
      </c>
      <c r="P829" s="48" t="s">
        <v>10882</v>
      </c>
      <c r="Q829" s="60" t="s">
        <v>219</v>
      </c>
      <c r="R829" s="48" t="s">
        <v>7923</v>
      </c>
      <c r="S829" s="48" t="s">
        <v>62</v>
      </c>
      <c r="T829" s="49" t="s">
        <v>63</v>
      </c>
      <c r="U829" s="7" t="s">
        <v>65</v>
      </c>
      <c r="V829" s="7"/>
      <c r="W829" s="44">
        <v>3.28</v>
      </c>
      <c r="X829" s="49" t="s">
        <v>7200</v>
      </c>
      <c r="Y829" s="49" t="s">
        <v>1628</v>
      </c>
      <c r="Z829" s="49" t="s">
        <v>1339</v>
      </c>
      <c r="AA829" s="61">
        <v>0.55000000000000004</v>
      </c>
      <c r="AB829" s="71">
        <v>53183</v>
      </c>
      <c r="AC829" s="62" t="s">
        <v>10882</v>
      </c>
      <c r="AD829" s="53" t="str">
        <f t="shared" si="619"/>
        <v>Link</v>
      </c>
      <c r="AE829" s="54">
        <v>2170</v>
      </c>
      <c r="AF829" s="55"/>
      <c r="AG829" s="7"/>
      <c r="AH829" s="56">
        <v>198969</v>
      </c>
      <c r="AI829" s="59"/>
      <c r="AJ829" s="137"/>
      <c r="AK829" s="137"/>
    </row>
    <row r="830" spans="1:37" ht="13" x14ac:dyDescent="0.15">
      <c r="A830" s="60"/>
      <c r="B830" s="105" t="s">
        <v>1019</v>
      </c>
      <c r="C830" s="60" t="s">
        <v>43</v>
      </c>
      <c r="D830" s="44">
        <v>5</v>
      </c>
      <c r="E830" s="7" t="s">
        <v>10910</v>
      </c>
      <c r="F830" s="7"/>
      <c r="G830" s="7"/>
      <c r="H830" s="6" t="s">
        <v>10912</v>
      </c>
      <c r="I830" s="7" t="s">
        <v>658</v>
      </c>
      <c r="J830" s="7" t="s">
        <v>10914</v>
      </c>
      <c r="K830" s="7" t="s">
        <v>48</v>
      </c>
      <c r="L830" s="7" t="s">
        <v>10916</v>
      </c>
      <c r="M830" s="7" t="s">
        <v>10917</v>
      </c>
      <c r="N830" s="48"/>
      <c r="O830" s="45" t="str">
        <f t="shared" ref="O830:O832" si="620">HYPERLINK("http://www.ncwcsports.com/recruiting_central/questionnaires","Questionnaire")</f>
        <v>Questionnaire</v>
      </c>
      <c r="P830" s="48" t="s">
        <v>10918</v>
      </c>
      <c r="Q830" s="47" t="s">
        <v>219</v>
      </c>
      <c r="R830" s="6" t="s">
        <v>10919</v>
      </c>
      <c r="S830" s="4" t="s">
        <v>186</v>
      </c>
      <c r="T830" s="49" t="s">
        <v>63</v>
      </c>
      <c r="U830" s="4" t="s">
        <v>65</v>
      </c>
      <c r="V830" s="7"/>
      <c r="W830" s="37">
        <v>3.25</v>
      </c>
      <c r="X830" s="49" t="s">
        <v>252</v>
      </c>
      <c r="Y830" s="49" t="s">
        <v>10920</v>
      </c>
      <c r="Z830" s="4" t="s">
        <v>5269</v>
      </c>
      <c r="AA830" s="65">
        <v>0.62</v>
      </c>
      <c r="AB830" s="39">
        <v>41500</v>
      </c>
      <c r="AC830" s="76" t="s">
        <v>10918</v>
      </c>
      <c r="AD830" s="67" t="str">
        <f t="shared" ref="AD830:AD832" si="621">HYPERLINK("https://ncwc.edu/academics/majors-minors/","Link")</f>
        <v>Link</v>
      </c>
      <c r="AE830" s="42">
        <v>2086</v>
      </c>
      <c r="AF830" s="55"/>
      <c r="AG830" s="7"/>
      <c r="AH830" s="56">
        <v>199209</v>
      </c>
      <c r="AI830" s="56"/>
      <c r="AJ830" s="137"/>
      <c r="AK830" s="137"/>
    </row>
    <row r="831" spans="1:37" ht="13" x14ac:dyDescent="0.15">
      <c r="A831" s="60"/>
      <c r="B831" s="105" t="s">
        <v>1019</v>
      </c>
      <c r="C831" s="60" t="s">
        <v>43</v>
      </c>
      <c r="D831" s="44">
        <v>5</v>
      </c>
      <c r="E831" s="7" t="s">
        <v>10930</v>
      </c>
      <c r="F831" s="7"/>
      <c r="G831" s="7"/>
      <c r="H831" s="6" t="s">
        <v>10912</v>
      </c>
      <c r="I831" s="7" t="s">
        <v>8357</v>
      </c>
      <c r="J831" s="7" t="s">
        <v>10931</v>
      </c>
      <c r="K831" s="7" t="s">
        <v>55</v>
      </c>
      <c r="L831" s="7" t="s">
        <v>10932</v>
      </c>
      <c r="M831" s="7" t="s">
        <v>10933</v>
      </c>
      <c r="N831" s="48"/>
      <c r="O831" s="45" t="str">
        <f t="shared" si="620"/>
        <v>Questionnaire</v>
      </c>
      <c r="P831" s="7" t="s">
        <v>10918</v>
      </c>
      <c r="Q831" s="57" t="s">
        <v>219</v>
      </c>
      <c r="R831" s="6" t="s">
        <v>10919</v>
      </c>
      <c r="S831" s="4" t="s">
        <v>186</v>
      </c>
      <c r="T831" s="49" t="s">
        <v>63</v>
      </c>
      <c r="U831" s="4" t="s">
        <v>65</v>
      </c>
      <c r="V831" s="7"/>
      <c r="W831" s="37">
        <v>3.25</v>
      </c>
      <c r="X831" s="7" t="s">
        <v>252</v>
      </c>
      <c r="Y831" s="7" t="s">
        <v>10920</v>
      </c>
      <c r="Z831" s="4" t="s">
        <v>5269</v>
      </c>
      <c r="AA831" s="65">
        <v>0.62</v>
      </c>
      <c r="AB831" s="39">
        <v>41500</v>
      </c>
      <c r="AC831" s="76" t="s">
        <v>10918</v>
      </c>
      <c r="AD831" s="67" t="str">
        <f t="shared" si="621"/>
        <v>Link</v>
      </c>
      <c r="AE831" s="42">
        <v>2086</v>
      </c>
      <c r="AF831" s="55"/>
      <c r="AG831" s="7"/>
      <c r="AH831" s="56">
        <v>199209</v>
      </c>
      <c r="AI831" s="56"/>
      <c r="AJ831" s="137"/>
      <c r="AK831" s="137"/>
    </row>
    <row r="832" spans="1:37" ht="13" x14ac:dyDescent="0.15">
      <c r="A832" s="60"/>
      <c r="B832" s="105" t="s">
        <v>1019</v>
      </c>
      <c r="C832" s="60" t="s">
        <v>43</v>
      </c>
      <c r="D832" s="44">
        <v>5</v>
      </c>
      <c r="E832" s="7" t="s">
        <v>10936</v>
      </c>
      <c r="F832" s="7"/>
      <c r="G832" s="7"/>
      <c r="H832" s="6" t="s">
        <v>10912</v>
      </c>
      <c r="I832" s="7" t="s">
        <v>5820</v>
      </c>
      <c r="J832" s="7" t="s">
        <v>10937</v>
      </c>
      <c r="K832" s="7" t="s">
        <v>55</v>
      </c>
      <c r="L832" s="7"/>
      <c r="M832" s="7"/>
      <c r="N832" s="48"/>
      <c r="O832" s="45" t="str">
        <f t="shared" si="620"/>
        <v>Questionnaire</v>
      </c>
      <c r="P832" s="7" t="s">
        <v>10918</v>
      </c>
      <c r="Q832" s="57" t="s">
        <v>219</v>
      </c>
      <c r="R832" s="6" t="s">
        <v>10919</v>
      </c>
      <c r="S832" s="4" t="s">
        <v>186</v>
      </c>
      <c r="T832" s="49" t="s">
        <v>63</v>
      </c>
      <c r="U832" s="4" t="s">
        <v>65</v>
      </c>
      <c r="V832" s="7"/>
      <c r="W832" s="37">
        <v>3.25</v>
      </c>
      <c r="X832" s="7" t="s">
        <v>252</v>
      </c>
      <c r="Y832" s="7" t="s">
        <v>10920</v>
      </c>
      <c r="Z832" s="4" t="s">
        <v>5269</v>
      </c>
      <c r="AA832" s="65">
        <v>0.62</v>
      </c>
      <c r="AB832" s="39">
        <v>41500</v>
      </c>
      <c r="AC832" s="76" t="s">
        <v>10918</v>
      </c>
      <c r="AD832" s="67" t="str">
        <f t="shared" si="621"/>
        <v>Link</v>
      </c>
      <c r="AE832" s="42">
        <v>2086</v>
      </c>
      <c r="AF832" s="55"/>
      <c r="AG832" s="7"/>
      <c r="AH832" s="56">
        <v>199209</v>
      </c>
      <c r="AI832" s="56"/>
      <c r="AJ832" s="137"/>
      <c r="AK832" s="137"/>
    </row>
    <row r="833" spans="1:37" ht="13" x14ac:dyDescent="0.15">
      <c r="A833" s="7"/>
      <c r="B833" s="110" t="s">
        <v>1019</v>
      </c>
      <c r="C833" s="36" t="s">
        <v>43</v>
      </c>
      <c r="D833" s="7"/>
      <c r="E833" s="86">
        <v>5</v>
      </c>
      <c r="F833" s="7"/>
      <c r="G833" s="7"/>
      <c r="H833" s="2" t="s">
        <v>10946</v>
      </c>
      <c r="I833" s="2" t="s">
        <v>10947</v>
      </c>
      <c r="J833" s="2" t="s">
        <v>10948</v>
      </c>
      <c r="K833" s="2" t="s">
        <v>48</v>
      </c>
      <c r="L833" s="95" t="s">
        <v>10950</v>
      </c>
      <c r="M833" s="2" t="s">
        <v>10951</v>
      </c>
      <c r="N833" s="45" t="str">
        <f t="shared" ref="N833:N836" si="622">HYPERLINK("twitter.com/PfeifferSball","@PfeifferSball")</f>
        <v>@PfeifferSball</v>
      </c>
      <c r="O833" s="45" t="str">
        <f t="shared" ref="O833:O836" si="623">HYPERLINK("https://www.gofalconsports.com/prospective_athletes/questionnaire","Questionnaire")</f>
        <v>Questionnaire</v>
      </c>
      <c r="P833" s="48" t="s">
        <v>10955</v>
      </c>
      <c r="Q833" s="60" t="s">
        <v>219</v>
      </c>
      <c r="R833" s="48" t="s">
        <v>10956</v>
      </c>
      <c r="S833" s="60" t="s">
        <v>205</v>
      </c>
      <c r="T833" s="4" t="s">
        <v>63</v>
      </c>
      <c r="U833" s="2" t="s">
        <v>65</v>
      </c>
      <c r="V833" s="7"/>
      <c r="W833" s="37">
        <v>3.2</v>
      </c>
      <c r="X833" s="49" t="s">
        <v>3892</v>
      </c>
      <c r="Y833" s="49" t="s">
        <v>3428</v>
      </c>
      <c r="Z833" s="49" t="s">
        <v>1948</v>
      </c>
      <c r="AA833" s="65">
        <v>0.44</v>
      </c>
      <c r="AB833" s="39">
        <v>43195</v>
      </c>
      <c r="AC833" s="62" t="s">
        <v>10955</v>
      </c>
      <c r="AD833" s="53" t="str">
        <f t="shared" ref="AD833:AD836" si="624">HYPERLINK("http://www.pfeiffer.edu/academics/areas/undergraduate-programs","Link")</f>
        <v>Link</v>
      </c>
      <c r="AE833" s="42">
        <v>848</v>
      </c>
      <c r="AF833" s="55"/>
      <c r="AG833" s="7"/>
      <c r="AH833" s="56">
        <v>199306</v>
      </c>
      <c r="AI833" s="56" t="s">
        <v>2459</v>
      </c>
    </row>
    <row r="834" spans="1:37" ht="13" x14ac:dyDescent="0.15">
      <c r="A834" s="7"/>
      <c r="B834" s="110" t="s">
        <v>1019</v>
      </c>
      <c r="C834" s="36" t="s">
        <v>43</v>
      </c>
      <c r="D834" s="7"/>
      <c r="E834" s="86">
        <v>5</v>
      </c>
      <c r="F834" s="7"/>
      <c r="G834" s="7"/>
      <c r="H834" s="2" t="s">
        <v>10946</v>
      </c>
      <c r="I834" s="2" t="s">
        <v>10966</v>
      </c>
      <c r="J834" s="2" t="s">
        <v>10967</v>
      </c>
      <c r="K834" s="2" t="s">
        <v>55</v>
      </c>
      <c r="L834" s="89" t="s">
        <v>10968</v>
      </c>
      <c r="M834" s="2"/>
      <c r="N834" s="45" t="str">
        <f t="shared" si="622"/>
        <v>@PfeifferSball</v>
      </c>
      <c r="O834" s="45" t="str">
        <f t="shared" si="623"/>
        <v>Questionnaire</v>
      </c>
      <c r="P834" s="48" t="s">
        <v>10955</v>
      </c>
      <c r="Q834" s="60" t="s">
        <v>219</v>
      </c>
      <c r="R834" s="48" t="s">
        <v>10956</v>
      </c>
      <c r="S834" s="60" t="s">
        <v>205</v>
      </c>
      <c r="T834" s="4" t="s">
        <v>63</v>
      </c>
      <c r="U834" s="2" t="s">
        <v>65</v>
      </c>
      <c r="V834" s="7"/>
      <c r="W834" s="37">
        <v>3.2</v>
      </c>
      <c r="X834" s="49" t="s">
        <v>3892</v>
      </c>
      <c r="Y834" s="49" t="s">
        <v>3428</v>
      </c>
      <c r="Z834" s="49" t="s">
        <v>1948</v>
      </c>
      <c r="AA834" s="65">
        <v>0.44</v>
      </c>
      <c r="AB834" s="39">
        <v>43195</v>
      </c>
      <c r="AC834" s="62" t="s">
        <v>10955</v>
      </c>
      <c r="AD834" s="53" t="str">
        <f t="shared" si="624"/>
        <v>Link</v>
      </c>
      <c r="AE834" s="42">
        <v>848</v>
      </c>
      <c r="AF834" s="55"/>
      <c r="AG834" s="7"/>
      <c r="AH834" s="56">
        <v>199306</v>
      </c>
      <c r="AI834" s="56" t="s">
        <v>2459</v>
      </c>
    </row>
    <row r="835" spans="1:37" ht="13" x14ac:dyDescent="0.15">
      <c r="A835" s="7"/>
      <c r="B835" s="110" t="s">
        <v>1019</v>
      </c>
      <c r="C835" s="36" t="s">
        <v>43</v>
      </c>
      <c r="D835" s="7"/>
      <c r="E835" s="86">
        <v>5</v>
      </c>
      <c r="F835" s="7"/>
      <c r="G835" s="7"/>
      <c r="H835" s="2" t="s">
        <v>10946</v>
      </c>
      <c r="I835" s="2" t="s">
        <v>5077</v>
      </c>
      <c r="J835" s="2" t="s">
        <v>10972</v>
      </c>
      <c r="K835" s="2" t="s">
        <v>1558</v>
      </c>
      <c r="L835" s="89" t="s">
        <v>10973</v>
      </c>
      <c r="M835" s="2"/>
      <c r="N835" s="45" t="str">
        <f t="shared" si="622"/>
        <v>@PfeifferSball</v>
      </c>
      <c r="O835" s="45" t="str">
        <f t="shared" si="623"/>
        <v>Questionnaire</v>
      </c>
      <c r="P835" s="48" t="s">
        <v>10955</v>
      </c>
      <c r="Q835" s="60" t="s">
        <v>219</v>
      </c>
      <c r="R835" s="48" t="s">
        <v>10956</v>
      </c>
      <c r="S835" s="60" t="s">
        <v>205</v>
      </c>
      <c r="T835" s="4" t="s">
        <v>63</v>
      </c>
      <c r="U835" s="2" t="s">
        <v>65</v>
      </c>
      <c r="V835" s="7"/>
      <c r="W835" s="37">
        <v>3.2</v>
      </c>
      <c r="X835" s="49" t="s">
        <v>3892</v>
      </c>
      <c r="Y835" s="49" t="s">
        <v>3428</v>
      </c>
      <c r="Z835" s="49" t="s">
        <v>1948</v>
      </c>
      <c r="AA835" s="65">
        <v>0.44</v>
      </c>
      <c r="AB835" s="39">
        <v>43195</v>
      </c>
      <c r="AC835" s="62" t="s">
        <v>10955</v>
      </c>
      <c r="AD835" s="53" t="str">
        <f t="shared" si="624"/>
        <v>Link</v>
      </c>
      <c r="AE835" s="42">
        <v>848</v>
      </c>
      <c r="AF835" s="55"/>
      <c r="AG835" s="7"/>
      <c r="AH835" s="56">
        <v>199306</v>
      </c>
      <c r="AI835" s="56" t="s">
        <v>2459</v>
      </c>
    </row>
    <row r="836" spans="1:37" ht="13" x14ac:dyDescent="0.15">
      <c r="A836" s="7"/>
      <c r="B836" s="110" t="s">
        <v>1019</v>
      </c>
      <c r="C836" s="36" t="s">
        <v>43</v>
      </c>
      <c r="D836" s="7"/>
      <c r="E836" s="86">
        <v>5</v>
      </c>
      <c r="F836" s="7"/>
      <c r="G836" s="7"/>
      <c r="H836" s="2" t="s">
        <v>10946</v>
      </c>
      <c r="I836" s="2" t="s">
        <v>811</v>
      </c>
      <c r="J836" s="2" t="s">
        <v>5388</v>
      </c>
      <c r="K836" s="2" t="s">
        <v>139</v>
      </c>
      <c r="L836" s="2"/>
      <c r="M836" s="2"/>
      <c r="N836" s="45" t="str">
        <f t="shared" si="622"/>
        <v>@PfeifferSball</v>
      </c>
      <c r="O836" s="45" t="str">
        <f t="shared" si="623"/>
        <v>Questionnaire</v>
      </c>
      <c r="P836" s="48" t="s">
        <v>10955</v>
      </c>
      <c r="Q836" s="60" t="s">
        <v>219</v>
      </c>
      <c r="R836" s="48" t="s">
        <v>10956</v>
      </c>
      <c r="S836" s="60" t="s">
        <v>205</v>
      </c>
      <c r="T836" s="4" t="s">
        <v>63</v>
      </c>
      <c r="U836" s="2" t="s">
        <v>65</v>
      </c>
      <c r="V836" s="7"/>
      <c r="W836" s="37">
        <v>3.2</v>
      </c>
      <c r="X836" s="49" t="s">
        <v>3892</v>
      </c>
      <c r="Y836" s="49" t="s">
        <v>3428</v>
      </c>
      <c r="Z836" s="49" t="s">
        <v>1948</v>
      </c>
      <c r="AA836" s="65">
        <v>0.44</v>
      </c>
      <c r="AB836" s="39">
        <v>43195</v>
      </c>
      <c r="AC836" s="62" t="s">
        <v>10955</v>
      </c>
      <c r="AD836" s="53" t="str">
        <f t="shared" si="624"/>
        <v>Link</v>
      </c>
      <c r="AE836" s="42">
        <v>848</v>
      </c>
      <c r="AF836" s="55"/>
      <c r="AG836" s="7"/>
      <c r="AH836" s="56">
        <v>199306</v>
      </c>
      <c r="AI836" s="56" t="s">
        <v>2459</v>
      </c>
    </row>
    <row r="837" spans="1:37" ht="13" x14ac:dyDescent="0.15">
      <c r="A837" s="60"/>
      <c r="B837" s="105" t="s">
        <v>1019</v>
      </c>
      <c r="C837" s="60" t="s">
        <v>43</v>
      </c>
      <c r="D837" s="44">
        <v>5</v>
      </c>
      <c r="E837" s="7" t="s">
        <v>10985</v>
      </c>
      <c r="F837" s="7"/>
      <c r="G837" s="7"/>
      <c r="H837" s="6" t="s">
        <v>10986</v>
      </c>
      <c r="I837" s="7" t="s">
        <v>10987</v>
      </c>
      <c r="J837" s="7" t="s">
        <v>10988</v>
      </c>
      <c r="K837" s="7" t="s">
        <v>48</v>
      </c>
      <c r="L837" s="7" t="s">
        <v>10989</v>
      </c>
      <c r="M837" s="7" t="s">
        <v>10990</v>
      </c>
      <c r="N837" s="45" t="str">
        <f t="shared" ref="N837:N838" si="625">HYPERLINK("twitter.com/spirits_sftball","@spirits_sftball")</f>
        <v>@spirits_sftball</v>
      </c>
      <c r="O837" s="45" t="str">
        <f t="shared" ref="O837:O838" si="626">HYPERLINK("http://www.salemspirits.com/sports/sball/Softball","Questionnaire")</f>
        <v>Questionnaire</v>
      </c>
      <c r="P837" s="48" t="s">
        <v>10998</v>
      </c>
      <c r="Q837" s="60" t="s">
        <v>219</v>
      </c>
      <c r="R837" s="48" t="s">
        <v>8252</v>
      </c>
      <c r="S837" s="48" t="s">
        <v>62</v>
      </c>
      <c r="T837" s="5" t="s">
        <v>63</v>
      </c>
      <c r="U837" s="48" t="s">
        <v>11000</v>
      </c>
      <c r="V837" s="49" t="s">
        <v>1006</v>
      </c>
      <c r="W837" s="37">
        <v>3.8</v>
      </c>
      <c r="X837" s="49" t="s">
        <v>688</v>
      </c>
      <c r="Y837" s="49" t="s">
        <v>1648</v>
      </c>
      <c r="Z837" s="49" t="s">
        <v>320</v>
      </c>
      <c r="AA837" s="65">
        <v>0.56999999999999995</v>
      </c>
      <c r="AB837" s="39">
        <v>44665</v>
      </c>
      <c r="AC837" s="90" t="s">
        <v>10998</v>
      </c>
      <c r="AD837" s="53" t="str">
        <f t="shared" ref="AD837:AD838" si="627">HYPERLINK("https://www.salem.edu/academic-programs#","Link")</f>
        <v>Link</v>
      </c>
      <c r="AE837" s="54">
        <v>931</v>
      </c>
      <c r="AF837" s="55"/>
      <c r="AG837" s="54">
        <v>117</v>
      </c>
      <c r="AH837" s="56">
        <v>199607</v>
      </c>
      <c r="AI837" s="56"/>
      <c r="AJ837" s="137"/>
      <c r="AK837" s="137"/>
    </row>
    <row r="838" spans="1:37" ht="13" x14ac:dyDescent="0.15">
      <c r="A838" s="60"/>
      <c r="B838" s="105" t="s">
        <v>1019</v>
      </c>
      <c r="C838" s="60" t="s">
        <v>43</v>
      </c>
      <c r="D838" s="44">
        <v>5</v>
      </c>
      <c r="E838" s="7" t="s">
        <v>11003</v>
      </c>
      <c r="F838" s="7"/>
      <c r="G838" s="7"/>
      <c r="H838" s="6" t="s">
        <v>10986</v>
      </c>
      <c r="I838" s="7" t="s">
        <v>4123</v>
      </c>
      <c r="J838" s="7" t="s">
        <v>11004</v>
      </c>
      <c r="K838" s="7" t="s">
        <v>120</v>
      </c>
      <c r="L838" s="7" t="s">
        <v>11005</v>
      </c>
      <c r="M838" s="7" t="s">
        <v>10990</v>
      </c>
      <c r="N838" s="45" t="str">
        <f t="shared" si="625"/>
        <v>@spirits_sftball</v>
      </c>
      <c r="O838" s="45" t="str">
        <f t="shared" si="626"/>
        <v>Questionnaire</v>
      </c>
      <c r="P838" s="48" t="s">
        <v>10998</v>
      </c>
      <c r="Q838" s="60" t="s">
        <v>219</v>
      </c>
      <c r="R838" s="48" t="s">
        <v>8252</v>
      </c>
      <c r="S838" s="48" t="s">
        <v>62</v>
      </c>
      <c r="T838" s="5" t="s">
        <v>63</v>
      </c>
      <c r="U838" s="48" t="s">
        <v>11000</v>
      </c>
      <c r="V838" s="49" t="s">
        <v>1006</v>
      </c>
      <c r="W838" s="37">
        <v>3.8</v>
      </c>
      <c r="X838" s="49" t="s">
        <v>688</v>
      </c>
      <c r="Y838" s="49" t="s">
        <v>1648</v>
      </c>
      <c r="Z838" s="49" t="s">
        <v>320</v>
      </c>
      <c r="AA838" s="65">
        <v>0.56999999999999995</v>
      </c>
      <c r="AB838" s="39">
        <v>44665</v>
      </c>
      <c r="AC838" s="90" t="s">
        <v>10998</v>
      </c>
      <c r="AD838" s="53" t="str">
        <f t="shared" si="627"/>
        <v>Link</v>
      </c>
      <c r="AE838" s="54">
        <v>931</v>
      </c>
      <c r="AF838" s="55"/>
      <c r="AG838" s="54">
        <v>117</v>
      </c>
      <c r="AH838" s="56">
        <v>199607</v>
      </c>
      <c r="AI838" s="56"/>
      <c r="AJ838" s="137"/>
      <c r="AK838" s="137"/>
    </row>
    <row r="839" spans="1:37" ht="15" x14ac:dyDescent="0.2">
      <c r="A839" s="60"/>
      <c r="B839" s="105" t="s">
        <v>1019</v>
      </c>
      <c r="C839" s="60" t="s">
        <v>43</v>
      </c>
      <c r="D839" s="44">
        <v>5</v>
      </c>
      <c r="E839" s="7" t="s">
        <v>11014</v>
      </c>
      <c r="F839" s="7"/>
      <c r="G839" s="7"/>
      <c r="H839" s="6" t="s">
        <v>11015</v>
      </c>
      <c r="I839" s="7" t="s">
        <v>10561</v>
      </c>
      <c r="J839" s="7" t="s">
        <v>1070</v>
      </c>
      <c r="K839" s="7" t="s">
        <v>48</v>
      </c>
      <c r="L839" s="7" t="s">
        <v>11016</v>
      </c>
      <c r="M839" s="7" t="s">
        <v>11017</v>
      </c>
      <c r="N839" s="48"/>
      <c r="O839" s="45" t="str">
        <f t="shared" ref="O839:O843" si="628">HYPERLINK("https://gopeacepacers.com/sports/2015/7/16/Recruit%20Me.aspx","Questionnaire")</f>
        <v>Questionnaire</v>
      </c>
      <c r="P839" s="48" t="s">
        <v>11021</v>
      </c>
      <c r="Q839" s="47" t="s">
        <v>219</v>
      </c>
      <c r="R839" s="48" t="s">
        <v>1090</v>
      </c>
      <c r="S839" s="48" t="s">
        <v>354</v>
      </c>
      <c r="T839" s="49" t="s">
        <v>63</v>
      </c>
      <c r="U839" s="49" t="s">
        <v>248</v>
      </c>
      <c r="V839" s="7"/>
      <c r="W839" s="44">
        <v>3.26</v>
      </c>
      <c r="X839" s="49" t="s">
        <v>11024</v>
      </c>
      <c r="Y839" s="49" t="s">
        <v>11026</v>
      </c>
      <c r="Z839" s="49" t="s">
        <v>3952</v>
      </c>
      <c r="AA839" s="61">
        <v>0.63</v>
      </c>
      <c r="AB839" s="71">
        <v>41960</v>
      </c>
      <c r="AC839" s="52" t="s">
        <v>11021</v>
      </c>
      <c r="AD839" s="53" t="str">
        <f t="shared" ref="AD839:AD843" si="629">HYPERLINK("https://www.peace.edu/academics/programs-of-study/","Link")</f>
        <v>Link</v>
      </c>
      <c r="AE839" s="54">
        <v>1034</v>
      </c>
      <c r="AF839" s="55"/>
      <c r="AG839" s="7"/>
      <c r="AH839" s="56">
        <v>187444</v>
      </c>
      <c r="AI839" s="56"/>
      <c r="AJ839" s="137"/>
      <c r="AK839" s="137"/>
    </row>
    <row r="840" spans="1:37" ht="15" x14ac:dyDescent="0.2">
      <c r="A840" s="60"/>
      <c r="B840" s="105" t="s">
        <v>1019</v>
      </c>
      <c r="C840" s="60" t="s">
        <v>43</v>
      </c>
      <c r="D840" s="44">
        <v>5</v>
      </c>
      <c r="E840" s="7" t="s">
        <v>11027</v>
      </c>
      <c r="F840" s="7"/>
      <c r="G840" s="7"/>
      <c r="H840" s="6" t="s">
        <v>11015</v>
      </c>
      <c r="I840" s="7" t="s">
        <v>1629</v>
      </c>
      <c r="J840" s="7" t="s">
        <v>1751</v>
      </c>
      <c r="K840" s="7" t="s">
        <v>55</v>
      </c>
      <c r="L840" s="7" t="s">
        <v>11030</v>
      </c>
      <c r="M840" s="7"/>
      <c r="N840" s="48"/>
      <c r="O840" s="45" t="str">
        <f t="shared" si="628"/>
        <v>Questionnaire</v>
      </c>
      <c r="P840" s="48" t="s">
        <v>11021</v>
      </c>
      <c r="Q840" s="47" t="s">
        <v>219</v>
      </c>
      <c r="R840" s="48" t="s">
        <v>1090</v>
      </c>
      <c r="S840" s="48" t="s">
        <v>354</v>
      </c>
      <c r="T840" s="49" t="s">
        <v>63</v>
      </c>
      <c r="U840" s="49" t="s">
        <v>248</v>
      </c>
      <c r="V840" s="7"/>
      <c r="W840" s="44">
        <v>3.26</v>
      </c>
      <c r="X840" s="49" t="s">
        <v>11024</v>
      </c>
      <c r="Y840" s="49" t="s">
        <v>11026</v>
      </c>
      <c r="Z840" s="49" t="s">
        <v>3952</v>
      </c>
      <c r="AA840" s="61">
        <v>0.63</v>
      </c>
      <c r="AB840" s="71">
        <v>41960</v>
      </c>
      <c r="AC840" s="52" t="s">
        <v>11021</v>
      </c>
      <c r="AD840" s="53" t="str">
        <f t="shared" si="629"/>
        <v>Link</v>
      </c>
      <c r="AE840" s="54">
        <v>1034</v>
      </c>
      <c r="AF840" s="55"/>
      <c r="AG840" s="7"/>
      <c r="AH840" s="56">
        <v>187444</v>
      </c>
      <c r="AI840" s="56"/>
      <c r="AJ840" s="137"/>
      <c r="AK840" s="137"/>
    </row>
    <row r="841" spans="1:37" ht="15" x14ac:dyDescent="0.2">
      <c r="A841" s="60"/>
      <c r="B841" s="105" t="s">
        <v>1019</v>
      </c>
      <c r="C841" s="60" t="s">
        <v>43</v>
      </c>
      <c r="D841" s="44">
        <v>5</v>
      </c>
      <c r="E841" s="7" t="s">
        <v>11036</v>
      </c>
      <c r="F841" s="7"/>
      <c r="G841" s="7"/>
      <c r="H841" s="6" t="s">
        <v>11015</v>
      </c>
      <c r="I841" s="7" t="s">
        <v>2747</v>
      </c>
      <c r="J841" s="7" t="s">
        <v>11037</v>
      </c>
      <c r="K841" s="7" t="s">
        <v>55</v>
      </c>
      <c r="L841" s="7" t="s">
        <v>11038</v>
      </c>
      <c r="M841" s="7"/>
      <c r="N841" s="48"/>
      <c r="O841" s="45" t="str">
        <f t="shared" si="628"/>
        <v>Questionnaire</v>
      </c>
      <c r="P841" s="48" t="s">
        <v>11021</v>
      </c>
      <c r="Q841" s="47" t="s">
        <v>219</v>
      </c>
      <c r="R841" s="48" t="s">
        <v>1090</v>
      </c>
      <c r="S841" s="48" t="s">
        <v>354</v>
      </c>
      <c r="T841" s="49" t="s">
        <v>63</v>
      </c>
      <c r="U841" s="49" t="s">
        <v>248</v>
      </c>
      <c r="V841" s="7"/>
      <c r="W841" s="44">
        <v>3.26</v>
      </c>
      <c r="X841" s="49" t="s">
        <v>11024</v>
      </c>
      <c r="Y841" s="49" t="s">
        <v>11026</v>
      </c>
      <c r="Z841" s="49" t="s">
        <v>3952</v>
      </c>
      <c r="AA841" s="61">
        <v>0.63</v>
      </c>
      <c r="AB841" s="71">
        <v>41960</v>
      </c>
      <c r="AC841" s="52" t="s">
        <v>11021</v>
      </c>
      <c r="AD841" s="53" t="str">
        <f t="shared" si="629"/>
        <v>Link</v>
      </c>
      <c r="AE841" s="54">
        <v>1034</v>
      </c>
      <c r="AF841" s="55"/>
      <c r="AG841" s="7"/>
      <c r="AH841" s="56">
        <v>187444</v>
      </c>
      <c r="AI841" s="56"/>
      <c r="AJ841" s="137"/>
      <c r="AK841" s="137"/>
    </row>
    <row r="842" spans="1:37" ht="15" x14ac:dyDescent="0.2">
      <c r="A842" s="60"/>
      <c r="B842" s="105" t="s">
        <v>1019</v>
      </c>
      <c r="C842" s="60" t="s">
        <v>43</v>
      </c>
      <c r="D842" s="44">
        <v>5</v>
      </c>
      <c r="E842" s="7" t="s">
        <v>11046</v>
      </c>
      <c r="F842" s="7"/>
      <c r="G842" s="7"/>
      <c r="H842" s="6" t="s">
        <v>11015</v>
      </c>
      <c r="I842" s="7" t="s">
        <v>7144</v>
      </c>
      <c r="J842" s="7" t="s">
        <v>11048</v>
      </c>
      <c r="K842" s="7" t="s">
        <v>55</v>
      </c>
      <c r="L842" s="7"/>
      <c r="M842" s="7"/>
      <c r="N842" s="48"/>
      <c r="O842" s="45" t="str">
        <f t="shared" si="628"/>
        <v>Questionnaire</v>
      </c>
      <c r="P842" s="48" t="s">
        <v>11021</v>
      </c>
      <c r="Q842" s="47" t="s">
        <v>219</v>
      </c>
      <c r="R842" s="48" t="s">
        <v>1090</v>
      </c>
      <c r="S842" s="48" t="s">
        <v>354</v>
      </c>
      <c r="T842" s="49" t="s">
        <v>63</v>
      </c>
      <c r="U842" s="49" t="s">
        <v>248</v>
      </c>
      <c r="V842" s="7"/>
      <c r="W842" s="44">
        <v>3.26</v>
      </c>
      <c r="X842" s="49" t="s">
        <v>11024</v>
      </c>
      <c r="Y842" s="49" t="s">
        <v>11026</v>
      </c>
      <c r="Z842" s="49" t="s">
        <v>3952</v>
      </c>
      <c r="AA842" s="61">
        <v>0.63</v>
      </c>
      <c r="AB842" s="71">
        <v>41960</v>
      </c>
      <c r="AC842" s="52" t="s">
        <v>11021</v>
      </c>
      <c r="AD842" s="53" t="str">
        <f t="shared" si="629"/>
        <v>Link</v>
      </c>
      <c r="AE842" s="54">
        <v>1034</v>
      </c>
      <c r="AF842" s="55"/>
      <c r="AG842" s="7"/>
      <c r="AH842" s="56">
        <v>187444</v>
      </c>
      <c r="AI842" s="56"/>
      <c r="AJ842" s="137"/>
      <c r="AK842" s="137"/>
    </row>
    <row r="843" spans="1:37" ht="15" x14ac:dyDescent="0.2">
      <c r="A843" s="60"/>
      <c r="B843" s="105" t="s">
        <v>1019</v>
      </c>
      <c r="C843" s="60" t="s">
        <v>43</v>
      </c>
      <c r="D843" s="44">
        <v>5</v>
      </c>
      <c r="E843" s="7" t="s">
        <v>11056</v>
      </c>
      <c r="F843" s="7"/>
      <c r="G843" s="7"/>
      <c r="H843" s="6" t="s">
        <v>11015</v>
      </c>
      <c r="I843" s="7" t="s">
        <v>8562</v>
      </c>
      <c r="J843" s="7" t="s">
        <v>11060</v>
      </c>
      <c r="K843" s="7" t="s">
        <v>55</v>
      </c>
      <c r="L843" s="7"/>
      <c r="M843" s="7"/>
      <c r="N843" s="48"/>
      <c r="O843" s="45" t="str">
        <f t="shared" si="628"/>
        <v>Questionnaire</v>
      </c>
      <c r="P843" s="48" t="s">
        <v>11021</v>
      </c>
      <c r="Q843" s="47" t="s">
        <v>219</v>
      </c>
      <c r="R843" s="48" t="s">
        <v>1090</v>
      </c>
      <c r="S843" s="48" t="s">
        <v>354</v>
      </c>
      <c r="T843" s="49" t="s">
        <v>63</v>
      </c>
      <c r="U843" s="49" t="s">
        <v>248</v>
      </c>
      <c r="V843" s="7"/>
      <c r="W843" s="44">
        <v>3.26</v>
      </c>
      <c r="X843" s="49" t="s">
        <v>11024</v>
      </c>
      <c r="Y843" s="49" t="s">
        <v>11026</v>
      </c>
      <c r="Z843" s="49" t="s">
        <v>3952</v>
      </c>
      <c r="AA843" s="61">
        <v>0.63</v>
      </c>
      <c r="AB843" s="71">
        <v>41960</v>
      </c>
      <c r="AC843" s="52" t="s">
        <v>11021</v>
      </c>
      <c r="AD843" s="53" t="str">
        <f t="shared" si="629"/>
        <v>Link</v>
      </c>
      <c r="AE843" s="54">
        <v>1034</v>
      </c>
      <c r="AF843" s="55"/>
      <c r="AG843" s="7"/>
      <c r="AH843" s="56">
        <v>187444</v>
      </c>
      <c r="AI843" s="56"/>
      <c r="AJ843" s="137"/>
      <c r="AK843" s="137"/>
    </row>
    <row r="844" spans="1:37" ht="15" x14ac:dyDescent="0.2">
      <c r="A844" s="57"/>
      <c r="B844" s="78" t="s">
        <v>8359</v>
      </c>
      <c r="C844" s="7" t="s">
        <v>43</v>
      </c>
      <c r="D844" s="44">
        <v>5</v>
      </c>
      <c r="E844" s="7" t="s">
        <v>11062</v>
      </c>
      <c r="F844" s="7"/>
      <c r="G844" s="7"/>
      <c r="H844" s="7" t="s">
        <v>11064</v>
      </c>
      <c r="I844" s="7" t="s">
        <v>930</v>
      </c>
      <c r="J844" s="7" t="s">
        <v>10993</v>
      </c>
      <c r="K844" s="7" t="s">
        <v>48</v>
      </c>
      <c r="L844" s="7" t="s">
        <v>11067</v>
      </c>
      <c r="M844" s="7" t="s">
        <v>11068</v>
      </c>
      <c r="N844" s="45" t="str">
        <f t="shared" ref="N844:N846" si="630">HYPERLINK("twitter.com/bwusoftball","@bwusoftball")</f>
        <v>@bwusoftball</v>
      </c>
      <c r="O844" s="45" t="str">
        <f t="shared" ref="O844:O846" si="631">HYPERLINK("https://www.bwyellowjackets.com/athletics/recruiting","Questionnaire")</f>
        <v>Questionnaire</v>
      </c>
      <c r="P844" s="48" t="s">
        <v>11070</v>
      </c>
      <c r="Q844" s="47" t="s">
        <v>1814</v>
      </c>
      <c r="R844" s="48" t="s">
        <v>3427</v>
      </c>
      <c r="S844" s="48" t="s">
        <v>172</v>
      </c>
      <c r="T844" s="49" t="s">
        <v>63</v>
      </c>
      <c r="U844" s="49" t="s">
        <v>65</v>
      </c>
      <c r="V844" s="7"/>
      <c r="W844" s="44">
        <v>3.45</v>
      </c>
      <c r="X844" s="49" t="s">
        <v>79</v>
      </c>
      <c r="Y844" s="49" t="s">
        <v>291</v>
      </c>
      <c r="Z844" s="49" t="s">
        <v>2190</v>
      </c>
      <c r="AA844" s="51">
        <v>0.59730000000000005</v>
      </c>
      <c r="AB844" s="71">
        <v>44646</v>
      </c>
      <c r="AC844" s="52" t="s">
        <v>11070</v>
      </c>
      <c r="AD844" s="53" t="str">
        <f t="shared" ref="AD844:AD848" si="632">HYPERLINK("http://catalog.bw.edu/content.php?catoid=4&amp;navoid=137","Link")</f>
        <v>Link</v>
      </c>
      <c r="AE844" s="54">
        <v>3287</v>
      </c>
      <c r="AF844" s="55"/>
      <c r="AG844" s="7"/>
      <c r="AH844" s="56">
        <v>201195</v>
      </c>
      <c r="AI844" s="59"/>
      <c r="AJ844" s="59"/>
      <c r="AK844" s="137"/>
    </row>
    <row r="845" spans="1:37" ht="15" x14ac:dyDescent="0.2">
      <c r="A845" s="57"/>
      <c r="B845" s="78" t="s">
        <v>8359</v>
      </c>
      <c r="C845" s="7" t="s">
        <v>43</v>
      </c>
      <c r="D845" s="44">
        <v>5</v>
      </c>
      <c r="E845" s="7" t="s">
        <v>11075</v>
      </c>
      <c r="F845" s="7"/>
      <c r="G845" s="7"/>
      <c r="H845" s="7" t="s">
        <v>11064</v>
      </c>
      <c r="I845" s="7" t="s">
        <v>1541</v>
      </c>
      <c r="J845" s="7" t="s">
        <v>11078</v>
      </c>
      <c r="K845" s="7" t="s">
        <v>55</v>
      </c>
      <c r="L845" s="7" t="s">
        <v>11079</v>
      </c>
      <c r="M845" s="7" t="s">
        <v>11068</v>
      </c>
      <c r="N845" s="45" t="str">
        <f t="shared" si="630"/>
        <v>@bwusoftball</v>
      </c>
      <c r="O845" s="45" t="str">
        <f t="shared" si="631"/>
        <v>Questionnaire</v>
      </c>
      <c r="P845" s="48" t="s">
        <v>11070</v>
      </c>
      <c r="Q845" s="47" t="s">
        <v>1814</v>
      </c>
      <c r="R845" s="48" t="s">
        <v>3427</v>
      </c>
      <c r="S845" s="48" t="s">
        <v>172</v>
      </c>
      <c r="T845" s="49" t="s">
        <v>63</v>
      </c>
      <c r="U845" s="49" t="s">
        <v>65</v>
      </c>
      <c r="V845" s="7"/>
      <c r="W845" s="44">
        <v>3.45</v>
      </c>
      <c r="X845" s="49" t="s">
        <v>79</v>
      </c>
      <c r="Y845" s="49" t="s">
        <v>291</v>
      </c>
      <c r="Z845" s="49" t="s">
        <v>2190</v>
      </c>
      <c r="AA845" s="51">
        <v>0.59730000000000005</v>
      </c>
      <c r="AB845" s="71">
        <v>44646</v>
      </c>
      <c r="AC845" s="52" t="s">
        <v>11070</v>
      </c>
      <c r="AD845" s="53" t="str">
        <f t="shared" si="632"/>
        <v>Link</v>
      </c>
      <c r="AE845" s="54">
        <v>3287</v>
      </c>
      <c r="AF845" s="55"/>
      <c r="AG845" s="7"/>
      <c r="AH845" s="56">
        <v>201195</v>
      </c>
      <c r="AI845" s="59"/>
      <c r="AJ845" s="59"/>
      <c r="AK845" s="137"/>
    </row>
    <row r="846" spans="1:37" ht="15" x14ac:dyDescent="0.2">
      <c r="A846" s="57"/>
      <c r="B846" s="78" t="s">
        <v>8359</v>
      </c>
      <c r="C846" s="7" t="s">
        <v>43</v>
      </c>
      <c r="D846" s="44">
        <v>5</v>
      </c>
      <c r="E846" s="7" t="s">
        <v>11085</v>
      </c>
      <c r="F846" s="7"/>
      <c r="G846" s="7"/>
      <c r="H846" s="7" t="s">
        <v>11064</v>
      </c>
      <c r="I846" s="7" t="s">
        <v>3315</v>
      </c>
      <c r="J846" s="7" t="s">
        <v>11086</v>
      </c>
      <c r="K846" s="7" t="s">
        <v>55</v>
      </c>
      <c r="L846" s="7"/>
      <c r="M846" s="7" t="s">
        <v>11068</v>
      </c>
      <c r="N846" s="45" t="str">
        <f t="shared" si="630"/>
        <v>@bwusoftball</v>
      </c>
      <c r="O846" s="45" t="str">
        <f t="shared" si="631"/>
        <v>Questionnaire</v>
      </c>
      <c r="P846" s="48" t="s">
        <v>11070</v>
      </c>
      <c r="Q846" s="47" t="s">
        <v>1814</v>
      </c>
      <c r="R846" s="48" t="s">
        <v>3427</v>
      </c>
      <c r="S846" s="48" t="s">
        <v>172</v>
      </c>
      <c r="T846" s="49" t="s">
        <v>63</v>
      </c>
      <c r="U846" s="49" t="s">
        <v>65</v>
      </c>
      <c r="V846" s="7"/>
      <c r="W846" s="44">
        <v>3.45</v>
      </c>
      <c r="X846" s="49" t="s">
        <v>79</v>
      </c>
      <c r="Y846" s="49" t="s">
        <v>291</v>
      </c>
      <c r="Z846" s="49" t="s">
        <v>2190</v>
      </c>
      <c r="AA846" s="51">
        <v>0.59730000000000005</v>
      </c>
      <c r="AB846" s="71">
        <v>44646</v>
      </c>
      <c r="AC846" s="52" t="s">
        <v>11070</v>
      </c>
      <c r="AD846" s="53" t="str">
        <f t="shared" si="632"/>
        <v>Link</v>
      </c>
      <c r="AE846" s="54">
        <v>3287</v>
      </c>
      <c r="AF846" s="55"/>
      <c r="AG846" s="7"/>
      <c r="AH846" s="56">
        <v>201195</v>
      </c>
      <c r="AI846" s="59"/>
      <c r="AJ846" s="59"/>
      <c r="AK846" s="137"/>
    </row>
    <row r="847" spans="1:37" ht="15" x14ac:dyDescent="0.2">
      <c r="A847" s="57"/>
      <c r="B847" s="78" t="s">
        <v>8359</v>
      </c>
      <c r="C847" s="7" t="s">
        <v>43</v>
      </c>
      <c r="D847" s="44">
        <v>5</v>
      </c>
      <c r="E847" s="7" t="s">
        <v>11093</v>
      </c>
      <c r="F847" s="7" t="s">
        <v>116</v>
      </c>
      <c r="G847" s="7"/>
      <c r="H847" s="48" t="s">
        <v>11064</v>
      </c>
      <c r="I847" s="7" t="s">
        <v>1481</v>
      </c>
      <c r="J847" s="7" t="s">
        <v>11095</v>
      </c>
      <c r="K847" s="7" t="s">
        <v>55</v>
      </c>
      <c r="L847" s="7" t="s">
        <v>11096</v>
      </c>
      <c r="M847" s="7" t="s">
        <v>11068</v>
      </c>
      <c r="N847" s="48"/>
      <c r="O847" s="7"/>
      <c r="P847" s="48" t="s">
        <v>11070</v>
      </c>
      <c r="Q847" s="47" t="s">
        <v>1814</v>
      </c>
      <c r="R847" s="48" t="s">
        <v>3427</v>
      </c>
      <c r="S847" s="48" t="s">
        <v>172</v>
      </c>
      <c r="T847" s="49" t="s">
        <v>63</v>
      </c>
      <c r="U847" s="49" t="s">
        <v>65</v>
      </c>
      <c r="V847" s="7"/>
      <c r="W847" s="44">
        <v>3.45</v>
      </c>
      <c r="X847" s="49" t="s">
        <v>79</v>
      </c>
      <c r="Y847" s="49" t="s">
        <v>291</v>
      </c>
      <c r="Z847" s="49" t="s">
        <v>2190</v>
      </c>
      <c r="AA847" s="51">
        <v>0.59730000000000005</v>
      </c>
      <c r="AB847" s="71">
        <v>44646</v>
      </c>
      <c r="AC847" s="52" t="s">
        <v>11070</v>
      </c>
      <c r="AD847" s="53" t="str">
        <f t="shared" si="632"/>
        <v>Link</v>
      </c>
      <c r="AE847" s="54">
        <v>3287</v>
      </c>
      <c r="AF847" s="55"/>
      <c r="AG847" s="7"/>
      <c r="AH847" s="56">
        <v>201195</v>
      </c>
      <c r="AI847" s="59"/>
      <c r="AJ847" s="59"/>
      <c r="AK847" s="137"/>
    </row>
    <row r="848" spans="1:37" ht="15" x14ac:dyDescent="0.2">
      <c r="A848" s="57"/>
      <c r="B848" s="78" t="s">
        <v>8359</v>
      </c>
      <c r="C848" s="57" t="s">
        <v>43</v>
      </c>
      <c r="D848" s="86">
        <v>5</v>
      </c>
      <c r="E848" s="7" t="s">
        <v>11099</v>
      </c>
      <c r="F848" s="7" t="s">
        <v>116</v>
      </c>
      <c r="G848" s="7"/>
      <c r="H848" s="48" t="s">
        <v>11064</v>
      </c>
      <c r="I848" s="7" t="s">
        <v>94</v>
      </c>
      <c r="J848" s="7" t="s">
        <v>11100</v>
      </c>
      <c r="K848" s="7" t="s">
        <v>55</v>
      </c>
      <c r="L848" s="7" t="s">
        <v>11101</v>
      </c>
      <c r="M848" s="7" t="s">
        <v>11068</v>
      </c>
      <c r="N848" s="48"/>
      <c r="O848" s="7"/>
      <c r="P848" s="48" t="s">
        <v>11070</v>
      </c>
      <c r="Q848" s="47" t="s">
        <v>1814</v>
      </c>
      <c r="R848" s="48" t="s">
        <v>3427</v>
      </c>
      <c r="S848" s="48" t="s">
        <v>172</v>
      </c>
      <c r="T848" s="49" t="s">
        <v>63</v>
      </c>
      <c r="U848" s="49" t="s">
        <v>65</v>
      </c>
      <c r="V848" s="7"/>
      <c r="W848" s="44">
        <v>3.45</v>
      </c>
      <c r="X848" s="49" t="s">
        <v>79</v>
      </c>
      <c r="Y848" s="49" t="s">
        <v>291</v>
      </c>
      <c r="Z848" s="49" t="s">
        <v>2190</v>
      </c>
      <c r="AA848" s="51">
        <v>0.59730000000000005</v>
      </c>
      <c r="AB848" s="71">
        <v>44646</v>
      </c>
      <c r="AC848" s="52" t="s">
        <v>11070</v>
      </c>
      <c r="AD848" s="53" t="str">
        <f t="shared" si="632"/>
        <v>Link</v>
      </c>
      <c r="AE848" s="54">
        <v>3287</v>
      </c>
      <c r="AF848" s="55"/>
      <c r="AG848" s="7"/>
      <c r="AH848" s="56">
        <v>201195</v>
      </c>
      <c r="AI848" s="59"/>
      <c r="AJ848" s="59"/>
      <c r="AK848" s="137"/>
    </row>
    <row r="849" spans="1:37" ht="13" x14ac:dyDescent="0.15">
      <c r="A849" s="57"/>
      <c r="B849" s="78" t="s">
        <v>8359</v>
      </c>
      <c r="C849" s="7" t="s">
        <v>43</v>
      </c>
      <c r="D849" s="44">
        <v>5</v>
      </c>
      <c r="E849" s="7" t="s">
        <v>11107</v>
      </c>
      <c r="F849" s="7"/>
      <c r="G849" s="7"/>
      <c r="H849" s="6" t="s">
        <v>11108</v>
      </c>
      <c r="I849" s="7" t="s">
        <v>1875</v>
      </c>
      <c r="J849" s="7" t="s">
        <v>11109</v>
      </c>
      <c r="K849" s="7" t="s">
        <v>48</v>
      </c>
      <c r="L849" s="7" t="s">
        <v>11110</v>
      </c>
      <c r="M849" s="7" t="s">
        <v>11111</v>
      </c>
      <c r="N849" s="45" t="str">
        <f>HYPERLINK("twitter.com/bwusoftball","@bwusoftball")</f>
        <v>@bwusoftball</v>
      </c>
      <c r="O849" s="45" t="str">
        <f>HYPERLINK("https://www.bwyellowjackets.com/athletics/recruiting","Questionnaire")</f>
        <v>Questionnaire</v>
      </c>
      <c r="P849" s="48" t="s">
        <v>11122</v>
      </c>
      <c r="Q849" s="60" t="s">
        <v>1814</v>
      </c>
      <c r="R849" s="48" t="s">
        <v>11122</v>
      </c>
      <c r="S849" s="60" t="s">
        <v>205</v>
      </c>
      <c r="T849" s="49" t="s">
        <v>63</v>
      </c>
      <c r="U849" s="49" t="s">
        <v>11123</v>
      </c>
      <c r="V849" s="7"/>
      <c r="W849" s="44">
        <v>3.23</v>
      </c>
      <c r="X849" s="49" t="s">
        <v>214</v>
      </c>
      <c r="Y849" s="49" t="s">
        <v>214</v>
      </c>
      <c r="Z849" s="49" t="s">
        <v>125</v>
      </c>
      <c r="AA849" s="51">
        <v>0.49519999999999997</v>
      </c>
      <c r="AB849" s="71">
        <v>44652</v>
      </c>
      <c r="AC849" s="90" t="s">
        <v>11122</v>
      </c>
      <c r="AD849" s="53" t="str">
        <f>HYPERLINK("https://www.bluffton.edu/admissions/majors/index.html","Link")</f>
        <v>Link</v>
      </c>
      <c r="AE849" s="54">
        <v>865</v>
      </c>
      <c r="AF849" s="55"/>
      <c r="AG849" s="7"/>
      <c r="AH849" s="56">
        <v>201371</v>
      </c>
      <c r="AI849" s="59"/>
      <c r="AJ849" s="59"/>
      <c r="AK849" s="137"/>
    </row>
    <row r="850" spans="1:37" ht="13" x14ac:dyDescent="0.15">
      <c r="A850" s="57"/>
      <c r="B850" s="78" t="s">
        <v>8359</v>
      </c>
      <c r="C850" s="7" t="s">
        <v>43</v>
      </c>
      <c r="D850" s="44">
        <v>5</v>
      </c>
      <c r="E850" s="7" t="s">
        <v>11134</v>
      </c>
      <c r="F850" s="7"/>
      <c r="G850" s="7"/>
      <c r="H850" s="6" t="s">
        <v>11135</v>
      </c>
      <c r="I850" s="7" t="s">
        <v>1327</v>
      </c>
      <c r="J850" s="7" t="s">
        <v>11136</v>
      </c>
      <c r="K850" s="7" t="s">
        <v>48</v>
      </c>
      <c r="L850" s="7" t="s">
        <v>11137</v>
      </c>
      <c r="M850" s="7" t="s">
        <v>11138</v>
      </c>
      <c r="N850" s="45" t="str">
        <f t="shared" ref="N850:N851" si="633">HYPERLINK("twitter.com/capusoftball","@capusoftball")</f>
        <v>@capusoftball</v>
      </c>
      <c r="O850" s="45" t="str">
        <f t="shared" ref="O850:O851" si="634">HYPERLINK("http://athletics.capital.edu/recruiting/sportforms","Questionnaire")</f>
        <v>Questionnaire</v>
      </c>
      <c r="P850" s="48" t="s">
        <v>11148</v>
      </c>
      <c r="Q850" s="60" t="s">
        <v>1814</v>
      </c>
      <c r="R850" s="48" t="s">
        <v>3674</v>
      </c>
      <c r="S850" s="48" t="s">
        <v>354</v>
      </c>
      <c r="T850" s="49" t="s">
        <v>63</v>
      </c>
      <c r="U850" s="48" t="s">
        <v>318</v>
      </c>
      <c r="V850" s="49"/>
      <c r="W850" s="44">
        <v>3.44</v>
      </c>
      <c r="X850" s="49" t="s">
        <v>895</v>
      </c>
      <c r="Y850" s="49" t="s">
        <v>801</v>
      </c>
      <c r="Z850" s="49" t="s">
        <v>689</v>
      </c>
      <c r="AA850" s="51">
        <v>0.69230000000000003</v>
      </c>
      <c r="AB850" s="71">
        <v>47140</v>
      </c>
      <c r="AC850" s="90" t="s">
        <v>11148</v>
      </c>
      <c r="AD850" s="53" t="str">
        <f t="shared" ref="AD850:AD851" si="635">HYPERLINK("http://www.capital.edu/academics/","Link")</f>
        <v>Link</v>
      </c>
      <c r="AE850" s="54">
        <v>2718</v>
      </c>
      <c r="AF850" s="55"/>
      <c r="AG850" s="55"/>
      <c r="AH850" s="56">
        <v>201548</v>
      </c>
      <c r="AI850" s="59"/>
      <c r="AJ850" s="59"/>
      <c r="AK850" s="137"/>
    </row>
    <row r="851" spans="1:37" ht="13" x14ac:dyDescent="0.15">
      <c r="A851" s="57"/>
      <c r="B851" s="78" t="s">
        <v>8359</v>
      </c>
      <c r="C851" s="57" t="s">
        <v>43</v>
      </c>
      <c r="D851" s="86">
        <v>5</v>
      </c>
      <c r="E851" s="7" t="s">
        <v>11151</v>
      </c>
      <c r="F851" s="7" t="s">
        <v>116</v>
      </c>
      <c r="G851" s="7"/>
      <c r="H851" s="6" t="s">
        <v>11135</v>
      </c>
      <c r="I851" s="7" t="s">
        <v>11042</v>
      </c>
      <c r="J851" s="7" t="s">
        <v>11154</v>
      </c>
      <c r="K851" s="7" t="s">
        <v>120</v>
      </c>
      <c r="L851" s="7" t="s">
        <v>11156</v>
      </c>
      <c r="M851" s="7" t="s">
        <v>11157</v>
      </c>
      <c r="N851" s="45" t="str">
        <f t="shared" si="633"/>
        <v>@capusoftball</v>
      </c>
      <c r="O851" s="45" t="str">
        <f t="shared" si="634"/>
        <v>Questionnaire</v>
      </c>
      <c r="P851" s="48" t="s">
        <v>11148</v>
      </c>
      <c r="Q851" s="60" t="s">
        <v>1814</v>
      </c>
      <c r="R851" s="48" t="s">
        <v>3674</v>
      </c>
      <c r="S851" s="48" t="s">
        <v>354</v>
      </c>
      <c r="T851" s="49" t="s">
        <v>63</v>
      </c>
      <c r="U851" s="48" t="s">
        <v>318</v>
      </c>
      <c r="V851" s="49"/>
      <c r="W851" s="44">
        <v>3.44</v>
      </c>
      <c r="X851" s="49" t="s">
        <v>895</v>
      </c>
      <c r="Y851" s="49" t="s">
        <v>801</v>
      </c>
      <c r="Z851" s="49" t="s">
        <v>689</v>
      </c>
      <c r="AA851" s="51">
        <v>0.69230000000000003</v>
      </c>
      <c r="AB851" s="71">
        <v>47140</v>
      </c>
      <c r="AC851" s="90" t="s">
        <v>11148</v>
      </c>
      <c r="AD851" s="53" t="str">
        <f t="shared" si="635"/>
        <v>Link</v>
      </c>
      <c r="AE851" s="54">
        <v>2718</v>
      </c>
      <c r="AF851" s="55"/>
      <c r="AG851" s="55"/>
      <c r="AH851" s="56">
        <v>201548</v>
      </c>
      <c r="AI851" s="59"/>
      <c r="AJ851" s="59"/>
      <c r="AK851" s="137"/>
    </row>
    <row r="852" spans="1:37" ht="15" x14ac:dyDescent="0.2">
      <c r="A852" s="57"/>
      <c r="B852" s="78" t="s">
        <v>8359</v>
      </c>
      <c r="C852" s="7" t="s">
        <v>43</v>
      </c>
      <c r="D852" s="44">
        <v>5</v>
      </c>
      <c r="E852" s="7" t="s">
        <v>11162</v>
      </c>
      <c r="F852" s="7"/>
      <c r="G852" s="7"/>
      <c r="H852" s="6" t="s">
        <v>11163</v>
      </c>
      <c r="I852" s="7" t="s">
        <v>11164</v>
      </c>
      <c r="J852" s="7" t="s">
        <v>571</v>
      </c>
      <c r="K852" s="7" t="s">
        <v>48</v>
      </c>
      <c r="L852" s="7" t="s">
        <v>11165</v>
      </c>
      <c r="M852" s="7" t="s">
        <v>11166</v>
      </c>
      <c r="N852" s="45" t="str">
        <f t="shared" ref="N852:N855" si="636">HYPERLINK("twitter.com/cwru_softball","@cwru_softball")</f>
        <v>@cwru_softball</v>
      </c>
      <c r="O852" s="45" t="str">
        <f t="shared" ref="O852:O855" si="637">HYPERLINK("https://athletics.case.edu/navbar-recruits","Questionnaire")</f>
        <v>Questionnaire</v>
      </c>
      <c r="P852" s="48" t="s">
        <v>11175</v>
      </c>
      <c r="Q852" s="47" t="s">
        <v>1814</v>
      </c>
      <c r="R852" s="48" t="s">
        <v>6150</v>
      </c>
      <c r="S852" s="48" t="s">
        <v>354</v>
      </c>
      <c r="T852" s="49" t="s">
        <v>63</v>
      </c>
      <c r="U852" s="49" t="s">
        <v>75</v>
      </c>
      <c r="V852" s="7"/>
      <c r="W852" s="44">
        <v>4.03</v>
      </c>
      <c r="X852" s="49" t="s">
        <v>579</v>
      </c>
      <c r="Y852" s="49" t="s">
        <v>763</v>
      </c>
      <c r="Z852" s="49" t="s">
        <v>889</v>
      </c>
      <c r="AA852" s="51">
        <v>0.35439999999999999</v>
      </c>
      <c r="AB852" s="71">
        <v>63404</v>
      </c>
      <c r="AC852" s="52" t="s">
        <v>11175</v>
      </c>
      <c r="AD852" s="53" t="str">
        <f t="shared" ref="AD852:AD855" si="638">HYPERLINK("https://case.edu/admission/academics","Link")</f>
        <v>Link</v>
      </c>
      <c r="AE852" s="54">
        <v>5152</v>
      </c>
      <c r="AF852" s="54">
        <v>37</v>
      </c>
      <c r="AG852" s="7"/>
      <c r="AH852" s="56">
        <v>201645</v>
      </c>
      <c r="AI852" s="59"/>
      <c r="AJ852" s="59"/>
      <c r="AK852" s="137"/>
    </row>
    <row r="853" spans="1:37" ht="15" x14ac:dyDescent="0.2">
      <c r="A853" s="57"/>
      <c r="B853" s="78" t="s">
        <v>8359</v>
      </c>
      <c r="C853" s="7" t="s">
        <v>43</v>
      </c>
      <c r="D853" s="44">
        <v>5</v>
      </c>
      <c r="E853" s="7" t="s">
        <v>11182</v>
      </c>
      <c r="F853" s="7"/>
      <c r="G853" s="7"/>
      <c r="H853" s="6" t="s">
        <v>11163</v>
      </c>
      <c r="I853" s="7" t="s">
        <v>3235</v>
      </c>
      <c r="J853" s="7" t="s">
        <v>11183</v>
      </c>
      <c r="K853" s="7" t="s">
        <v>55</v>
      </c>
      <c r="L853" s="7" t="s">
        <v>11184</v>
      </c>
      <c r="M853" s="7" t="s">
        <v>11166</v>
      </c>
      <c r="N853" s="45" t="str">
        <f t="shared" si="636"/>
        <v>@cwru_softball</v>
      </c>
      <c r="O853" s="45" t="str">
        <f t="shared" si="637"/>
        <v>Questionnaire</v>
      </c>
      <c r="P853" s="48" t="s">
        <v>11175</v>
      </c>
      <c r="Q853" s="47" t="s">
        <v>1814</v>
      </c>
      <c r="R853" s="48" t="s">
        <v>6150</v>
      </c>
      <c r="S853" s="48" t="s">
        <v>354</v>
      </c>
      <c r="T853" s="49" t="s">
        <v>63</v>
      </c>
      <c r="U853" s="49" t="s">
        <v>75</v>
      </c>
      <c r="V853" s="7"/>
      <c r="W853" s="44">
        <v>4.03</v>
      </c>
      <c r="X853" s="49" t="s">
        <v>579</v>
      </c>
      <c r="Y853" s="49" t="s">
        <v>763</v>
      </c>
      <c r="Z853" s="49" t="s">
        <v>889</v>
      </c>
      <c r="AA853" s="51">
        <v>0.35439999999999999</v>
      </c>
      <c r="AB853" s="71">
        <v>63404</v>
      </c>
      <c r="AC853" s="52" t="s">
        <v>11175</v>
      </c>
      <c r="AD853" s="53" t="str">
        <f t="shared" si="638"/>
        <v>Link</v>
      </c>
      <c r="AE853" s="54">
        <v>5152</v>
      </c>
      <c r="AF853" s="54">
        <v>37</v>
      </c>
      <c r="AG853" s="7"/>
      <c r="AH853" s="56">
        <v>201645</v>
      </c>
      <c r="AI853" s="59"/>
      <c r="AJ853" s="59"/>
      <c r="AK853" s="137"/>
    </row>
    <row r="854" spans="1:37" ht="15" x14ac:dyDescent="0.2">
      <c r="A854" s="57"/>
      <c r="B854" s="78" t="s">
        <v>8359</v>
      </c>
      <c r="C854" s="7" t="s">
        <v>43</v>
      </c>
      <c r="D854" s="44">
        <v>5</v>
      </c>
      <c r="E854" s="7" t="s">
        <v>11192</v>
      </c>
      <c r="F854" s="7"/>
      <c r="G854" s="7"/>
      <c r="H854" s="6" t="s">
        <v>11163</v>
      </c>
      <c r="I854" s="7" t="s">
        <v>981</v>
      </c>
      <c r="J854" s="7" t="s">
        <v>11195</v>
      </c>
      <c r="K854" s="7" t="s">
        <v>55</v>
      </c>
      <c r="L854" s="7" t="s">
        <v>11196</v>
      </c>
      <c r="M854" s="7"/>
      <c r="N854" s="45" t="str">
        <f t="shared" si="636"/>
        <v>@cwru_softball</v>
      </c>
      <c r="O854" s="45" t="str">
        <f t="shared" si="637"/>
        <v>Questionnaire</v>
      </c>
      <c r="P854" s="48" t="s">
        <v>11175</v>
      </c>
      <c r="Q854" s="47" t="s">
        <v>1814</v>
      </c>
      <c r="R854" s="48" t="s">
        <v>6150</v>
      </c>
      <c r="S854" s="48" t="s">
        <v>354</v>
      </c>
      <c r="T854" s="49" t="s">
        <v>63</v>
      </c>
      <c r="U854" s="49" t="s">
        <v>75</v>
      </c>
      <c r="V854" s="7"/>
      <c r="W854" s="44">
        <v>4.03</v>
      </c>
      <c r="X854" s="49" t="s">
        <v>579</v>
      </c>
      <c r="Y854" s="49" t="s">
        <v>763</v>
      </c>
      <c r="Z854" s="49" t="s">
        <v>889</v>
      </c>
      <c r="AA854" s="51">
        <v>0.35439999999999999</v>
      </c>
      <c r="AB854" s="71">
        <v>63404</v>
      </c>
      <c r="AC854" s="52" t="s">
        <v>11175</v>
      </c>
      <c r="AD854" s="53" t="str">
        <f t="shared" si="638"/>
        <v>Link</v>
      </c>
      <c r="AE854" s="54">
        <v>5152</v>
      </c>
      <c r="AF854" s="54">
        <v>37</v>
      </c>
      <c r="AG854" s="7"/>
      <c r="AH854" s="56">
        <v>201645</v>
      </c>
      <c r="AI854" s="59"/>
      <c r="AJ854" s="59"/>
      <c r="AK854" s="137"/>
    </row>
    <row r="855" spans="1:37" ht="15" x14ac:dyDescent="0.2">
      <c r="A855" s="57"/>
      <c r="B855" s="78" t="s">
        <v>8359</v>
      </c>
      <c r="C855" s="7" t="s">
        <v>43</v>
      </c>
      <c r="D855" s="44">
        <v>5</v>
      </c>
      <c r="E855" s="7" t="s">
        <v>11202</v>
      </c>
      <c r="F855" s="7"/>
      <c r="G855" s="7"/>
      <c r="H855" s="6" t="s">
        <v>11163</v>
      </c>
      <c r="I855" s="7" t="s">
        <v>1629</v>
      </c>
      <c r="J855" s="7" t="s">
        <v>11204</v>
      </c>
      <c r="K855" s="7" t="s">
        <v>55</v>
      </c>
      <c r="L855" s="7"/>
      <c r="M855" s="7"/>
      <c r="N855" s="45" t="str">
        <f t="shared" si="636"/>
        <v>@cwru_softball</v>
      </c>
      <c r="O855" s="45" t="str">
        <f t="shared" si="637"/>
        <v>Questionnaire</v>
      </c>
      <c r="P855" s="48" t="s">
        <v>11175</v>
      </c>
      <c r="Q855" s="47" t="s">
        <v>1814</v>
      </c>
      <c r="R855" s="48" t="s">
        <v>6150</v>
      </c>
      <c r="S855" s="48" t="s">
        <v>354</v>
      </c>
      <c r="T855" s="49" t="s">
        <v>63</v>
      </c>
      <c r="U855" s="49" t="s">
        <v>75</v>
      </c>
      <c r="V855" s="7"/>
      <c r="W855" s="44">
        <v>4.03</v>
      </c>
      <c r="X855" s="49" t="s">
        <v>579</v>
      </c>
      <c r="Y855" s="49" t="s">
        <v>763</v>
      </c>
      <c r="Z855" s="49" t="s">
        <v>889</v>
      </c>
      <c r="AA855" s="51">
        <v>0.35439999999999999</v>
      </c>
      <c r="AB855" s="71">
        <v>63404</v>
      </c>
      <c r="AC855" s="52" t="s">
        <v>11175</v>
      </c>
      <c r="AD855" s="53" t="str">
        <f t="shared" si="638"/>
        <v>Link</v>
      </c>
      <c r="AE855" s="54">
        <v>5152</v>
      </c>
      <c r="AF855" s="54">
        <v>37</v>
      </c>
      <c r="AG855" s="7"/>
      <c r="AH855" s="56">
        <v>201645</v>
      </c>
      <c r="AI855" s="59"/>
      <c r="AJ855" s="59"/>
      <c r="AK855" s="137"/>
    </row>
    <row r="856" spans="1:37" ht="13" x14ac:dyDescent="0.15">
      <c r="A856" s="7"/>
      <c r="B856" s="31" t="s">
        <v>8359</v>
      </c>
      <c r="C856" s="2" t="s">
        <v>43</v>
      </c>
      <c r="D856" s="7"/>
      <c r="E856" s="44">
        <v>5</v>
      </c>
      <c r="F856" s="7"/>
      <c r="G856" s="7"/>
      <c r="H856" s="2" t="s">
        <v>11209</v>
      </c>
      <c r="I856" s="7" t="s">
        <v>2465</v>
      </c>
      <c r="J856" s="7" t="s">
        <v>11210</v>
      </c>
      <c r="K856" s="7" t="s">
        <v>48</v>
      </c>
      <c r="L856" s="95"/>
      <c r="M856" s="7"/>
      <c r="N856" s="45"/>
      <c r="O856" s="45" t="str">
        <f>HYPERLINK("https://ucclermont.edu/athletics/recruit.html","Questionnaire")</f>
        <v>Questionnaire</v>
      </c>
      <c r="P856" s="60" t="s">
        <v>11219</v>
      </c>
      <c r="Q856" s="47" t="s">
        <v>1814</v>
      </c>
      <c r="R856" s="48" t="s">
        <v>11220</v>
      </c>
      <c r="S856" s="60" t="s">
        <v>205</v>
      </c>
      <c r="T856" s="73" t="s">
        <v>74</v>
      </c>
      <c r="U856" s="7" t="s">
        <v>75</v>
      </c>
      <c r="V856" s="7"/>
      <c r="W856" s="7" t="s">
        <v>214</v>
      </c>
      <c r="X856" s="49" t="s">
        <v>214</v>
      </c>
      <c r="Y856" s="49" t="s">
        <v>214</v>
      </c>
      <c r="Z856" s="49" t="s">
        <v>214</v>
      </c>
      <c r="AA856" s="55" t="s">
        <v>214</v>
      </c>
      <c r="AB856" s="48" t="s">
        <v>11221</v>
      </c>
      <c r="AC856" s="77" t="s">
        <v>11219</v>
      </c>
      <c r="AD856" s="53" t="str">
        <f>HYPERLINK("http://www.ucclermont.edu/academics/majors-programs.html","Link")</f>
        <v>Link</v>
      </c>
      <c r="AE856" s="54">
        <v>2883</v>
      </c>
      <c r="AF856" s="55"/>
      <c r="AG856" s="7"/>
      <c r="AH856" s="56"/>
      <c r="AI856" s="56" t="s">
        <v>2459</v>
      </c>
    </row>
    <row r="857" spans="1:37" ht="13" x14ac:dyDescent="0.15">
      <c r="A857" s="57"/>
      <c r="B857" s="78" t="s">
        <v>8359</v>
      </c>
      <c r="C857" s="7" t="s">
        <v>43</v>
      </c>
      <c r="D857" s="44">
        <v>5</v>
      </c>
      <c r="E857" s="7" t="s">
        <v>11230</v>
      </c>
      <c r="F857" s="7"/>
      <c r="G857" s="7"/>
      <c r="H857" s="6" t="s">
        <v>11232</v>
      </c>
      <c r="I857" s="7" t="s">
        <v>306</v>
      </c>
      <c r="J857" s="7" t="s">
        <v>757</v>
      </c>
      <c r="K857" s="7" t="s">
        <v>48</v>
      </c>
      <c r="L857" s="7" t="s">
        <v>11242</v>
      </c>
      <c r="M857" s="7" t="s">
        <v>11243</v>
      </c>
      <c r="N857" s="45" t="str">
        <f t="shared" ref="N857:N858" si="639">HYPERLINK("twitter.com/dcsbjackets","@dcsbjackets")</f>
        <v>@dcsbjackets</v>
      </c>
      <c r="O857" s="45" t="str">
        <f t="shared" ref="O857:O858" si="640">HYPERLINK("https://www.defianceathletics.com/information/Recruits/Recruit_Forms","Questionnaire")</f>
        <v>Questionnaire</v>
      </c>
      <c r="P857" s="48" t="s">
        <v>11247</v>
      </c>
      <c r="Q857" s="47" t="s">
        <v>1814</v>
      </c>
      <c r="R857" s="48" t="s">
        <v>11247</v>
      </c>
      <c r="S857" s="48" t="s">
        <v>172</v>
      </c>
      <c r="T857" s="49" t="s">
        <v>63</v>
      </c>
      <c r="U857" s="49" t="s">
        <v>1625</v>
      </c>
      <c r="V857" s="7"/>
      <c r="W857" s="44">
        <v>3.12</v>
      </c>
      <c r="X857" s="49" t="s">
        <v>2103</v>
      </c>
      <c r="Y857" s="49" t="s">
        <v>3782</v>
      </c>
      <c r="Z857" s="49" t="s">
        <v>449</v>
      </c>
      <c r="AA857" s="61">
        <v>0.57999999999999996</v>
      </c>
      <c r="AB857" s="71">
        <v>45430</v>
      </c>
      <c r="AC857" s="62" t="s">
        <v>11247</v>
      </c>
      <c r="AD857" s="53" t="str">
        <f t="shared" ref="AD857:AD858" si="641">HYPERLINK("http://www.defiance.edu/academics/majors/index.html","Link")</f>
        <v>Link</v>
      </c>
      <c r="AE857" s="54">
        <v>608</v>
      </c>
      <c r="AF857" s="55"/>
      <c r="AG857" s="7"/>
      <c r="AH857" s="56">
        <v>202514</v>
      </c>
      <c r="AI857" s="59"/>
      <c r="AJ857" s="59"/>
      <c r="AK857" s="137"/>
    </row>
    <row r="858" spans="1:37" ht="13" x14ac:dyDescent="0.15">
      <c r="A858" s="57"/>
      <c r="B858" s="78" t="s">
        <v>8359</v>
      </c>
      <c r="C858" s="57" t="s">
        <v>43</v>
      </c>
      <c r="D858" s="86">
        <v>5</v>
      </c>
      <c r="E858" s="7" t="s">
        <v>11253</v>
      </c>
      <c r="F858" s="7" t="s">
        <v>116</v>
      </c>
      <c r="G858" s="7"/>
      <c r="H858" s="6" t="s">
        <v>11232</v>
      </c>
      <c r="I858" s="7" t="s">
        <v>11255</v>
      </c>
      <c r="J858" s="7" t="s">
        <v>11256</v>
      </c>
      <c r="K858" s="7" t="s">
        <v>55</v>
      </c>
      <c r="L858" s="7" t="s">
        <v>11257</v>
      </c>
      <c r="M858" s="7"/>
      <c r="N858" s="45" t="str">
        <f t="shared" si="639"/>
        <v>@dcsbjackets</v>
      </c>
      <c r="O858" s="45" t="str">
        <f t="shared" si="640"/>
        <v>Questionnaire</v>
      </c>
      <c r="P858" s="48" t="s">
        <v>11247</v>
      </c>
      <c r="Q858" s="47" t="s">
        <v>1814</v>
      </c>
      <c r="R858" s="48" t="s">
        <v>11247</v>
      </c>
      <c r="S858" s="48" t="s">
        <v>172</v>
      </c>
      <c r="T858" s="49" t="s">
        <v>63</v>
      </c>
      <c r="U858" s="49" t="s">
        <v>1625</v>
      </c>
      <c r="V858" s="7"/>
      <c r="W858" s="44">
        <v>3.12</v>
      </c>
      <c r="X858" s="49" t="s">
        <v>2103</v>
      </c>
      <c r="Y858" s="49" t="s">
        <v>3782</v>
      </c>
      <c r="Z858" s="49" t="s">
        <v>449</v>
      </c>
      <c r="AA858" s="61">
        <v>0.57999999999999996</v>
      </c>
      <c r="AB858" s="71">
        <v>45430</v>
      </c>
      <c r="AC858" s="62" t="s">
        <v>11247</v>
      </c>
      <c r="AD858" s="53" t="str">
        <f t="shared" si="641"/>
        <v>Link</v>
      </c>
      <c r="AE858" s="54">
        <v>608</v>
      </c>
      <c r="AF858" s="55"/>
      <c r="AG858" s="7"/>
      <c r="AH858" s="56">
        <v>202514</v>
      </c>
      <c r="AI858" s="59"/>
      <c r="AJ858" s="59"/>
      <c r="AK858" s="137"/>
    </row>
    <row r="859" spans="1:37" ht="13" x14ac:dyDescent="0.15">
      <c r="A859" s="57"/>
      <c r="B859" s="78" t="s">
        <v>8359</v>
      </c>
      <c r="C859" s="7" t="s">
        <v>43</v>
      </c>
      <c r="D859" s="44">
        <v>5</v>
      </c>
      <c r="E859" s="7" t="s">
        <v>11261</v>
      </c>
      <c r="F859" s="7"/>
      <c r="G859" s="7"/>
      <c r="H859" s="6" t="s">
        <v>11262</v>
      </c>
      <c r="I859" s="7" t="s">
        <v>92</v>
      </c>
      <c r="J859" s="7" t="s">
        <v>11263</v>
      </c>
      <c r="K859" s="7" t="s">
        <v>48</v>
      </c>
      <c r="L859" s="7" t="s">
        <v>11264</v>
      </c>
      <c r="M859" s="7" t="s">
        <v>11265</v>
      </c>
      <c r="N859" s="45" t="str">
        <f t="shared" ref="N859:N861" si="642">HYPERLINK("twitter.com/DenisonSoftball","@DenisonSoftball")</f>
        <v>@DenisonSoftball</v>
      </c>
      <c r="O859" s="45" t="str">
        <f t="shared" ref="O859:O861" si="643">HYPERLINK("https://www.denisonbigred.com/sports/sball/recruit_questionnaire","Questionnaire")</f>
        <v>Questionnaire</v>
      </c>
      <c r="P859" s="48" t="s">
        <v>11268</v>
      </c>
      <c r="Q859" s="47" t="s">
        <v>1814</v>
      </c>
      <c r="R859" s="48" t="s">
        <v>11269</v>
      </c>
      <c r="S859" s="60" t="s">
        <v>205</v>
      </c>
      <c r="T859" s="49" t="s">
        <v>63</v>
      </c>
      <c r="U859" s="49" t="s">
        <v>75</v>
      </c>
      <c r="V859" s="7"/>
      <c r="W859" s="44">
        <v>3.7</v>
      </c>
      <c r="X859" s="49" t="s">
        <v>678</v>
      </c>
      <c r="Y859" s="49" t="s">
        <v>576</v>
      </c>
      <c r="Z859" s="49" t="s">
        <v>5510</v>
      </c>
      <c r="AA859" s="61">
        <v>0.44</v>
      </c>
      <c r="AB859" s="71">
        <v>63130</v>
      </c>
      <c r="AC859" s="62" t="s">
        <v>11268</v>
      </c>
      <c r="AD859" s="53" t="str">
        <f t="shared" ref="AD859:AD861" si="644">HYPERLINK("https://denison.edu/academics/curriculum/academic-majors","Link")</f>
        <v>Link</v>
      </c>
      <c r="AE859" s="54">
        <v>2277</v>
      </c>
      <c r="AF859" s="55"/>
      <c r="AG859" s="44">
        <v>46</v>
      </c>
      <c r="AH859" s="56">
        <v>202523</v>
      </c>
      <c r="AI859" s="59"/>
      <c r="AJ859" s="59"/>
      <c r="AK859" s="137"/>
    </row>
    <row r="860" spans="1:37" ht="13" x14ac:dyDescent="0.15">
      <c r="A860" s="57"/>
      <c r="B860" s="78" t="s">
        <v>8359</v>
      </c>
      <c r="C860" s="7" t="s">
        <v>43</v>
      </c>
      <c r="D860" s="44">
        <v>5</v>
      </c>
      <c r="E860" s="7" t="s">
        <v>11273</v>
      </c>
      <c r="F860" s="7"/>
      <c r="G860" s="7"/>
      <c r="H860" s="6" t="s">
        <v>11262</v>
      </c>
      <c r="I860" s="7" t="s">
        <v>1902</v>
      </c>
      <c r="J860" s="7" t="s">
        <v>11275</v>
      </c>
      <c r="K860" s="7" t="s">
        <v>55</v>
      </c>
      <c r="L860" s="7" t="s">
        <v>11277</v>
      </c>
      <c r="M860" s="7"/>
      <c r="N860" s="45" t="str">
        <f t="shared" si="642"/>
        <v>@DenisonSoftball</v>
      </c>
      <c r="O860" s="45" t="str">
        <f t="shared" si="643"/>
        <v>Questionnaire</v>
      </c>
      <c r="P860" s="48" t="s">
        <v>11268</v>
      </c>
      <c r="Q860" s="47" t="s">
        <v>1814</v>
      </c>
      <c r="R860" s="48" t="s">
        <v>11269</v>
      </c>
      <c r="S860" s="60" t="s">
        <v>205</v>
      </c>
      <c r="T860" s="49" t="s">
        <v>63</v>
      </c>
      <c r="U860" s="49" t="s">
        <v>75</v>
      </c>
      <c r="V860" s="7"/>
      <c r="W860" s="44">
        <v>3.7</v>
      </c>
      <c r="X860" s="49" t="s">
        <v>678</v>
      </c>
      <c r="Y860" s="49" t="s">
        <v>576</v>
      </c>
      <c r="Z860" s="49" t="s">
        <v>5510</v>
      </c>
      <c r="AA860" s="61">
        <v>0.44</v>
      </c>
      <c r="AB860" s="71">
        <v>63130</v>
      </c>
      <c r="AC860" s="62" t="s">
        <v>11268</v>
      </c>
      <c r="AD860" s="53" t="str">
        <f t="shared" si="644"/>
        <v>Link</v>
      </c>
      <c r="AE860" s="54">
        <v>2277</v>
      </c>
      <c r="AF860" s="55"/>
      <c r="AG860" s="44">
        <v>46</v>
      </c>
      <c r="AH860" s="56">
        <v>202523</v>
      </c>
      <c r="AI860" s="59"/>
      <c r="AJ860" s="59"/>
      <c r="AK860" s="137"/>
    </row>
    <row r="861" spans="1:37" ht="13" x14ac:dyDescent="0.15">
      <c r="A861" s="57"/>
      <c r="B861" s="78" t="s">
        <v>8359</v>
      </c>
      <c r="C861" s="7" t="s">
        <v>43</v>
      </c>
      <c r="D861" s="44">
        <v>5</v>
      </c>
      <c r="E861" s="7" t="s">
        <v>11282</v>
      </c>
      <c r="F861" s="7"/>
      <c r="G861" s="7"/>
      <c r="H861" s="6" t="s">
        <v>11262</v>
      </c>
      <c r="I861" s="7" t="s">
        <v>2790</v>
      </c>
      <c r="J861" s="7" t="s">
        <v>11283</v>
      </c>
      <c r="K861" s="7" t="s">
        <v>55</v>
      </c>
      <c r="L861" s="7" t="s">
        <v>11284</v>
      </c>
      <c r="M861" s="7"/>
      <c r="N861" s="45" t="str">
        <f t="shared" si="642"/>
        <v>@DenisonSoftball</v>
      </c>
      <c r="O861" s="45" t="str">
        <f t="shared" si="643"/>
        <v>Questionnaire</v>
      </c>
      <c r="P861" s="48" t="s">
        <v>11268</v>
      </c>
      <c r="Q861" s="47" t="s">
        <v>1814</v>
      </c>
      <c r="R861" s="48" t="s">
        <v>11269</v>
      </c>
      <c r="S861" s="60" t="s">
        <v>205</v>
      </c>
      <c r="T861" s="49" t="s">
        <v>63</v>
      </c>
      <c r="U861" s="49" t="s">
        <v>75</v>
      </c>
      <c r="V861" s="7"/>
      <c r="W861" s="44">
        <v>3.7</v>
      </c>
      <c r="X861" s="49" t="s">
        <v>678</v>
      </c>
      <c r="Y861" s="49" t="s">
        <v>576</v>
      </c>
      <c r="Z861" s="49" t="s">
        <v>5510</v>
      </c>
      <c r="AA861" s="61">
        <v>0.44</v>
      </c>
      <c r="AB861" s="71">
        <v>63130</v>
      </c>
      <c r="AC861" s="62" t="s">
        <v>11268</v>
      </c>
      <c r="AD861" s="53" t="str">
        <f t="shared" si="644"/>
        <v>Link</v>
      </c>
      <c r="AE861" s="54">
        <v>2277</v>
      </c>
      <c r="AF861" s="55"/>
      <c r="AG861" s="44">
        <v>46</v>
      </c>
      <c r="AH861" s="56">
        <v>202523</v>
      </c>
      <c r="AI861" s="59"/>
      <c r="AJ861" s="59"/>
      <c r="AK861" s="137"/>
    </row>
    <row r="862" spans="1:37" ht="15" x14ac:dyDescent="0.2">
      <c r="A862" s="57"/>
      <c r="B862" s="78" t="s">
        <v>8359</v>
      </c>
      <c r="C862" s="7" t="s">
        <v>43</v>
      </c>
      <c r="D862" s="44">
        <v>5</v>
      </c>
      <c r="E862" s="7" t="s">
        <v>11293</v>
      </c>
      <c r="F862" s="7"/>
      <c r="G862" s="7"/>
      <c r="H862" s="6" t="s">
        <v>11294</v>
      </c>
      <c r="I862" s="7" t="s">
        <v>2816</v>
      </c>
      <c r="J862" s="7" t="s">
        <v>1955</v>
      </c>
      <c r="K862" s="7" t="s">
        <v>48</v>
      </c>
      <c r="L862" s="7" t="s">
        <v>11295</v>
      </c>
      <c r="M862" s="7" t="s">
        <v>11296</v>
      </c>
      <c r="N862" s="48"/>
      <c r="O862" s="45" t="str">
        <f t="shared" ref="O862:O864" si="645">HYPERLINK("https://franciscan.secure.force.com/form?formid=217775","Questionnaire")</f>
        <v>Questionnaire</v>
      </c>
      <c r="P862" s="48" t="s">
        <v>11297</v>
      </c>
      <c r="Q862" s="60" t="s">
        <v>1814</v>
      </c>
      <c r="R862" s="6" t="s">
        <v>11298</v>
      </c>
      <c r="S862" s="6" t="s">
        <v>172</v>
      </c>
      <c r="T862" s="4" t="s">
        <v>63</v>
      </c>
      <c r="U862" s="4" t="s">
        <v>343</v>
      </c>
      <c r="V862" s="7"/>
      <c r="W862" s="37">
        <v>3.63</v>
      </c>
      <c r="X862" s="4" t="s">
        <v>1066</v>
      </c>
      <c r="Y862" s="4" t="s">
        <v>957</v>
      </c>
      <c r="Z862" s="4" t="s">
        <v>689</v>
      </c>
      <c r="AA862" s="65">
        <v>0.79</v>
      </c>
      <c r="AB862" s="39">
        <v>36940</v>
      </c>
      <c r="AC862" s="52" t="s">
        <v>11297</v>
      </c>
      <c r="AD862" s="53" t="str">
        <f t="shared" ref="AD862:AD864" si="646">HYPERLINK("https://www.franciscan.edu/academics/ug/majors/","Link")</f>
        <v>Link</v>
      </c>
      <c r="AE862" s="42">
        <v>2090</v>
      </c>
      <c r="AF862" s="55"/>
      <c r="AG862" s="7"/>
      <c r="AH862" s="56">
        <v>205957</v>
      </c>
      <c r="AI862" s="59"/>
      <c r="AJ862" s="59"/>
      <c r="AK862" s="137"/>
    </row>
    <row r="863" spans="1:37" ht="15" x14ac:dyDescent="0.2">
      <c r="A863" s="57"/>
      <c r="B863" s="78" t="s">
        <v>8359</v>
      </c>
      <c r="C863" s="7" t="s">
        <v>43</v>
      </c>
      <c r="D863" s="44">
        <v>5</v>
      </c>
      <c r="E863" s="7" t="s">
        <v>11307</v>
      </c>
      <c r="F863" s="7"/>
      <c r="G863" s="7"/>
      <c r="H863" s="6" t="s">
        <v>11294</v>
      </c>
      <c r="I863" s="7" t="s">
        <v>939</v>
      </c>
      <c r="J863" s="7" t="s">
        <v>11308</v>
      </c>
      <c r="K863" s="7" t="s">
        <v>55</v>
      </c>
      <c r="L863" s="7"/>
      <c r="M863" s="7"/>
      <c r="N863" s="48"/>
      <c r="O863" s="45" t="str">
        <f t="shared" si="645"/>
        <v>Questionnaire</v>
      </c>
      <c r="P863" s="48" t="s">
        <v>11297</v>
      </c>
      <c r="Q863" s="60" t="s">
        <v>1814</v>
      </c>
      <c r="R863" s="6" t="s">
        <v>11298</v>
      </c>
      <c r="S863" s="6" t="s">
        <v>172</v>
      </c>
      <c r="T863" s="4" t="s">
        <v>63</v>
      </c>
      <c r="U863" s="4" t="s">
        <v>343</v>
      </c>
      <c r="V863" s="7"/>
      <c r="W863" s="37">
        <v>3.63</v>
      </c>
      <c r="X863" s="4" t="s">
        <v>1066</v>
      </c>
      <c r="Y863" s="4" t="s">
        <v>957</v>
      </c>
      <c r="Z863" s="4" t="s">
        <v>689</v>
      </c>
      <c r="AA863" s="65">
        <v>0.79</v>
      </c>
      <c r="AB863" s="39">
        <v>36940</v>
      </c>
      <c r="AC863" s="52" t="s">
        <v>11297</v>
      </c>
      <c r="AD863" s="53" t="str">
        <f t="shared" si="646"/>
        <v>Link</v>
      </c>
      <c r="AE863" s="42">
        <v>2090</v>
      </c>
      <c r="AF863" s="55"/>
      <c r="AG863" s="7"/>
      <c r="AH863" s="56">
        <v>205957</v>
      </c>
      <c r="AI863" s="59"/>
      <c r="AJ863" s="59"/>
      <c r="AK863" s="137"/>
    </row>
    <row r="864" spans="1:37" ht="15" x14ac:dyDescent="0.2">
      <c r="A864" s="57"/>
      <c r="B864" s="78" t="s">
        <v>8359</v>
      </c>
      <c r="C864" s="7" t="s">
        <v>43</v>
      </c>
      <c r="D864" s="44">
        <v>5</v>
      </c>
      <c r="E864" s="7" t="s">
        <v>11311</v>
      </c>
      <c r="F864" s="7"/>
      <c r="G864" s="7"/>
      <c r="H864" s="6" t="s">
        <v>11294</v>
      </c>
      <c r="I864" s="7" t="s">
        <v>1159</v>
      </c>
      <c r="J864" s="7" t="s">
        <v>11316</v>
      </c>
      <c r="K864" s="7" t="s">
        <v>55</v>
      </c>
      <c r="L864" s="7"/>
      <c r="M864" s="7"/>
      <c r="N864" s="48"/>
      <c r="O864" s="45" t="str">
        <f t="shared" si="645"/>
        <v>Questionnaire</v>
      </c>
      <c r="P864" s="48" t="s">
        <v>11297</v>
      </c>
      <c r="Q864" s="60" t="s">
        <v>1814</v>
      </c>
      <c r="R864" s="6" t="s">
        <v>11298</v>
      </c>
      <c r="S864" s="6" t="s">
        <v>172</v>
      </c>
      <c r="T864" s="4" t="s">
        <v>63</v>
      </c>
      <c r="U864" s="4" t="s">
        <v>343</v>
      </c>
      <c r="V864" s="7"/>
      <c r="W864" s="37">
        <v>3.63</v>
      </c>
      <c r="X864" s="4" t="s">
        <v>1066</v>
      </c>
      <c r="Y864" s="4" t="s">
        <v>957</v>
      </c>
      <c r="Z864" s="4" t="s">
        <v>689</v>
      </c>
      <c r="AA864" s="65">
        <v>0.79</v>
      </c>
      <c r="AB864" s="39">
        <v>36940</v>
      </c>
      <c r="AC864" s="52" t="s">
        <v>11297</v>
      </c>
      <c r="AD864" s="53" t="str">
        <f t="shared" si="646"/>
        <v>Link</v>
      </c>
      <c r="AE864" s="42">
        <v>2090</v>
      </c>
      <c r="AF864" s="55"/>
      <c r="AG864" s="7"/>
      <c r="AH864" s="56">
        <v>205957</v>
      </c>
      <c r="AI864" s="59"/>
      <c r="AJ864" s="59"/>
      <c r="AK864" s="137"/>
    </row>
    <row r="865" spans="1:37" ht="13" x14ac:dyDescent="0.15">
      <c r="A865" s="57"/>
      <c r="B865" s="78" t="s">
        <v>8359</v>
      </c>
      <c r="C865" s="7" t="s">
        <v>43</v>
      </c>
      <c r="D865" s="44">
        <v>5</v>
      </c>
      <c r="E865" s="7" t="s">
        <v>11322</v>
      </c>
      <c r="F865" s="7" t="s">
        <v>116</v>
      </c>
      <c r="G865" s="7"/>
      <c r="H865" s="6" t="s">
        <v>11323</v>
      </c>
      <c r="I865" s="7" t="s">
        <v>1660</v>
      </c>
      <c r="J865" s="7" t="s">
        <v>11324</v>
      </c>
      <c r="K865" s="7" t="s">
        <v>48</v>
      </c>
      <c r="L865" s="7" t="s">
        <v>11326</v>
      </c>
      <c r="M865" s="7" t="s">
        <v>11328</v>
      </c>
      <c r="N865" s="45" t="str">
        <f t="shared" ref="N865:N867" si="647">HYPERLINK("twitter.com/husoftball","@husoftball")</f>
        <v>@husoftball</v>
      </c>
      <c r="O865" s="45" t="str">
        <f t="shared" ref="O865:O867" si="648">HYPERLINK("https://www.bergathletics.com/recruiting/index","Questionnaire")</f>
        <v>Questionnaire</v>
      </c>
      <c r="P865" s="48" t="s">
        <v>11334</v>
      </c>
      <c r="Q865" s="60" t="s">
        <v>1814</v>
      </c>
      <c r="R865" s="6" t="s">
        <v>8607</v>
      </c>
      <c r="S865" s="6" t="s">
        <v>172</v>
      </c>
      <c r="T865" s="4" t="s">
        <v>63</v>
      </c>
      <c r="U865" s="4" t="s">
        <v>1625</v>
      </c>
      <c r="V865" s="7"/>
      <c r="W865" s="37">
        <v>3.28</v>
      </c>
      <c r="X865" s="4" t="s">
        <v>1338</v>
      </c>
      <c r="Y865" s="4" t="s">
        <v>1628</v>
      </c>
      <c r="Z865" s="4" t="s">
        <v>746</v>
      </c>
      <c r="AA865" s="65">
        <v>0.79</v>
      </c>
      <c r="AB865" s="39">
        <v>42200</v>
      </c>
      <c r="AC865" s="84" t="s">
        <v>11334</v>
      </c>
      <c r="AD865" s="53" t="str">
        <f t="shared" ref="AD865:AD867" si="649">HYPERLINK("https://www.heidelberg.edu/academics/programs","Link")</f>
        <v>Link</v>
      </c>
      <c r="AE865" s="42">
        <v>1123</v>
      </c>
      <c r="AF865" s="55"/>
      <c r="AG865" s="7"/>
      <c r="AH865" s="56">
        <v>203085</v>
      </c>
      <c r="AI865" s="59"/>
      <c r="AJ865" s="59"/>
      <c r="AK865" s="137"/>
    </row>
    <row r="866" spans="1:37" ht="13" x14ac:dyDescent="0.15">
      <c r="A866" s="57"/>
      <c r="B866" s="78" t="s">
        <v>8359</v>
      </c>
      <c r="C866" s="7" t="s">
        <v>43</v>
      </c>
      <c r="D866" s="44">
        <v>5</v>
      </c>
      <c r="E866" s="7" t="s">
        <v>11341</v>
      </c>
      <c r="F866" s="7"/>
      <c r="G866" s="7"/>
      <c r="H866" s="6" t="s">
        <v>11323</v>
      </c>
      <c r="I866" s="7" t="s">
        <v>338</v>
      </c>
      <c r="J866" s="7" t="s">
        <v>8407</v>
      </c>
      <c r="K866" s="7" t="s">
        <v>55</v>
      </c>
      <c r="L866" s="7" t="s">
        <v>11342</v>
      </c>
      <c r="M866" s="7" t="s">
        <v>11343</v>
      </c>
      <c r="N866" s="45" t="str">
        <f t="shared" si="647"/>
        <v>@husoftball</v>
      </c>
      <c r="O866" s="45" t="str">
        <f t="shared" si="648"/>
        <v>Questionnaire</v>
      </c>
      <c r="P866" s="48" t="s">
        <v>11334</v>
      </c>
      <c r="Q866" s="60" t="s">
        <v>1814</v>
      </c>
      <c r="R866" s="6" t="s">
        <v>8607</v>
      </c>
      <c r="S866" s="6" t="s">
        <v>172</v>
      </c>
      <c r="T866" s="4" t="s">
        <v>63</v>
      </c>
      <c r="U866" s="4" t="s">
        <v>1625</v>
      </c>
      <c r="V866" s="7"/>
      <c r="W866" s="37">
        <v>3.28</v>
      </c>
      <c r="X866" s="4" t="s">
        <v>1338</v>
      </c>
      <c r="Y866" s="4" t="s">
        <v>1628</v>
      </c>
      <c r="Z866" s="4" t="s">
        <v>746</v>
      </c>
      <c r="AA866" s="65">
        <v>0.79</v>
      </c>
      <c r="AB866" s="39">
        <v>42200</v>
      </c>
      <c r="AC866" s="84" t="s">
        <v>11334</v>
      </c>
      <c r="AD866" s="53" t="str">
        <f t="shared" si="649"/>
        <v>Link</v>
      </c>
      <c r="AE866" s="42">
        <v>1123</v>
      </c>
      <c r="AF866" s="55"/>
      <c r="AG866" s="7"/>
      <c r="AH866" s="56">
        <v>203085</v>
      </c>
      <c r="AI866" s="59"/>
      <c r="AJ866" s="59"/>
      <c r="AK866" s="137"/>
    </row>
    <row r="867" spans="1:37" ht="13" x14ac:dyDescent="0.15">
      <c r="A867" s="57"/>
      <c r="B867" s="78" t="s">
        <v>8359</v>
      </c>
      <c r="C867" s="7" t="s">
        <v>43</v>
      </c>
      <c r="D867" s="44">
        <v>5</v>
      </c>
      <c r="E867" s="7" t="s">
        <v>11351</v>
      </c>
      <c r="F867" s="7"/>
      <c r="G867" s="7"/>
      <c r="H867" s="6" t="s">
        <v>11323</v>
      </c>
      <c r="I867" s="7" t="s">
        <v>8939</v>
      </c>
      <c r="J867" s="7" t="s">
        <v>11352</v>
      </c>
      <c r="K867" s="7" t="s">
        <v>120</v>
      </c>
      <c r="L867" s="7" t="s">
        <v>11353</v>
      </c>
      <c r="M867" s="7" t="s">
        <v>11355</v>
      </c>
      <c r="N867" s="45" t="str">
        <f t="shared" si="647"/>
        <v>@husoftball</v>
      </c>
      <c r="O867" s="45" t="str">
        <f t="shared" si="648"/>
        <v>Questionnaire</v>
      </c>
      <c r="P867" s="48" t="s">
        <v>11334</v>
      </c>
      <c r="Q867" s="60" t="s">
        <v>1814</v>
      </c>
      <c r="R867" s="6" t="s">
        <v>8607</v>
      </c>
      <c r="S867" s="6" t="s">
        <v>172</v>
      </c>
      <c r="T867" s="4" t="s">
        <v>63</v>
      </c>
      <c r="U867" s="4" t="s">
        <v>1625</v>
      </c>
      <c r="V867" s="7"/>
      <c r="W867" s="37">
        <v>3.28</v>
      </c>
      <c r="X867" s="4" t="s">
        <v>1338</v>
      </c>
      <c r="Y867" s="4" t="s">
        <v>1628</v>
      </c>
      <c r="Z867" s="4" t="s">
        <v>746</v>
      </c>
      <c r="AA867" s="65">
        <v>0.79</v>
      </c>
      <c r="AB867" s="39">
        <v>42200</v>
      </c>
      <c r="AC867" s="84" t="s">
        <v>11334</v>
      </c>
      <c r="AD867" s="53" t="str">
        <f t="shared" si="649"/>
        <v>Link</v>
      </c>
      <c r="AE867" s="42">
        <v>1123</v>
      </c>
      <c r="AF867" s="55"/>
      <c r="AG867" s="7"/>
      <c r="AH867" s="56">
        <v>203085</v>
      </c>
      <c r="AI867" s="59"/>
      <c r="AJ867" s="59"/>
      <c r="AK867" s="137"/>
    </row>
    <row r="868" spans="1:37" ht="13" x14ac:dyDescent="0.15">
      <c r="A868" s="57"/>
      <c r="B868" s="78" t="s">
        <v>8359</v>
      </c>
      <c r="C868" s="7" t="s">
        <v>43</v>
      </c>
      <c r="D868" s="44">
        <v>5</v>
      </c>
      <c r="E868" s="7" t="s">
        <v>11359</v>
      </c>
      <c r="F868" s="7"/>
      <c r="G868" s="7"/>
      <c r="H868" s="6" t="s">
        <v>11360</v>
      </c>
      <c r="I868" s="7" t="s">
        <v>2031</v>
      </c>
      <c r="J868" s="7" t="s">
        <v>11362</v>
      </c>
      <c r="K868" s="7" t="s">
        <v>48</v>
      </c>
      <c r="L868" s="7" t="s">
        <v>11363</v>
      </c>
      <c r="M868" s="7" t="s">
        <v>11365</v>
      </c>
      <c r="N868" s="45" t="str">
        <f t="shared" ref="N868:N869" si="650">HYPERLINK("twitter.com/hiram_sb","@hiram_sb")</f>
        <v>@hiram_sb</v>
      </c>
      <c r="O868" s="45" t="str">
        <f t="shared" ref="O868:O869" si="651">HYPERLINK("https://www.hiramterriers.com/slidebar/landing_pages/recruit","Questionnaire")</f>
        <v>Questionnaire</v>
      </c>
      <c r="P868" s="48" t="s">
        <v>11370</v>
      </c>
      <c r="Q868" s="60" t="s">
        <v>1814</v>
      </c>
      <c r="R868" s="6" t="s">
        <v>11370</v>
      </c>
      <c r="S868" s="60" t="s">
        <v>205</v>
      </c>
      <c r="T868" s="4" t="s">
        <v>63</v>
      </c>
      <c r="U868" s="4" t="s">
        <v>75</v>
      </c>
      <c r="V868" s="7"/>
      <c r="W868" s="37">
        <v>3.27</v>
      </c>
      <c r="X868" s="4" t="s">
        <v>1452</v>
      </c>
      <c r="Y868" s="4" t="s">
        <v>11372</v>
      </c>
      <c r="Z868" s="4" t="s">
        <v>746</v>
      </c>
      <c r="AA868" s="65">
        <v>0.54</v>
      </c>
      <c r="AB868" s="39">
        <v>46297</v>
      </c>
      <c r="AC868" s="90" t="s">
        <v>11370</v>
      </c>
      <c r="AD868" s="53" t="str">
        <f t="shared" ref="AD868:AD869" si="652">HYPERLINK("http://www.hiram.edu/academics/majors-minors/","Link")</f>
        <v>Link</v>
      </c>
      <c r="AE868" s="42">
        <v>1090</v>
      </c>
      <c r="AF868" s="55"/>
      <c r="AG868" s="37">
        <v>141</v>
      </c>
      <c r="AH868" s="56">
        <v>203128</v>
      </c>
      <c r="AI868" s="59"/>
      <c r="AJ868" s="59"/>
      <c r="AK868" s="137"/>
    </row>
    <row r="869" spans="1:37" ht="13" x14ac:dyDescent="0.15">
      <c r="A869" s="57"/>
      <c r="B869" s="78" t="s">
        <v>8359</v>
      </c>
      <c r="C869" s="7" t="s">
        <v>43</v>
      </c>
      <c r="D869" s="44">
        <v>5</v>
      </c>
      <c r="E869" s="7" t="s">
        <v>11380</v>
      </c>
      <c r="F869" s="7"/>
      <c r="G869" s="7"/>
      <c r="H869" s="6" t="s">
        <v>11360</v>
      </c>
      <c r="I869" s="7" t="s">
        <v>1258</v>
      </c>
      <c r="J869" s="7" t="s">
        <v>11381</v>
      </c>
      <c r="K869" s="7" t="s">
        <v>55</v>
      </c>
      <c r="L869" s="7" t="s">
        <v>11382</v>
      </c>
      <c r="M869" s="7"/>
      <c r="N869" s="45" t="str">
        <f t="shared" si="650"/>
        <v>@hiram_sb</v>
      </c>
      <c r="O869" s="45" t="str">
        <f t="shared" si="651"/>
        <v>Questionnaire</v>
      </c>
      <c r="P869" s="48" t="s">
        <v>11370</v>
      </c>
      <c r="Q869" s="60" t="s">
        <v>1814</v>
      </c>
      <c r="R869" s="6" t="s">
        <v>11370</v>
      </c>
      <c r="S869" s="60" t="s">
        <v>205</v>
      </c>
      <c r="T869" s="4" t="s">
        <v>63</v>
      </c>
      <c r="U869" s="4" t="s">
        <v>75</v>
      </c>
      <c r="V869" s="7"/>
      <c r="W869" s="37">
        <v>3.27</v>
      </c>
      <c r="X869" s="4" t="s">
        <v>1452</v>
      </c>
      <c r="Y869" s="4" t="s">
        <v>11372</v>
      </c>
      <c r="Z869" s="4" t="s">
        <v>746</v>
      </c>
      <c r="AA869" s="65">
        <v>0.54</v>
      </c>
      <c r="AB869" s="39">
        <v>46297</v>
      </c>
      <c r="AC869" s="90" t="s">
        <v>11370</v>
      </c>
      <c r="AD869" s="53" t="str">
        <f t="shared" si="652"/>
        <v>Link</v>
      </c>
      <c r="AE869" s="42">
        <v>1090</v>
      </c>
      <c r="AF869" s="55"/>
      <c r="AG869" s="37">
        <v>141</v>
      </c>
      <c r="AH869" s="56">
        <v>203128</v>
      </c>
      <c r="AI869" s="59"/>
      <c r="AJ869" s="59"/>
      <c r="AK869" s="137"/>
    </row>
    <row r="870" spans="1:37" ht="15" x14ac:dyDescent="0.2">
      <c r="A870" s="57"/>
      <c r="B870" s="78" t="s">
        <v>8359</v>
      </c>
      <c r="C870" s="7" t="s">
        <v>43</v>
      </c>
      <c r="D870" s="44">
        <v>5</v>
      </c>
      <c r="E870" s="7" t="s">
        <v>11386</v>
      </c>
      <c r="F870" s="7"/>
      <c r="G870" s="7"/>
      <c r="H870" s="6" t="s">
        <v>11387</v>
      </c>
      <c r="I870" s="7" t="s">
        <v>1052</v>
      </c>
      <c r="J870" s="7" t="s">
        <v>11389</v>
      </c>
      <c r="K870" s="7" t="s">
        <v>48</v>
      </c>
      <c r="L870" s="7" t="s">
        <v>11391</v>
      </c>
      <c r="M870" s="7" t="s">
        <v>11392</v>
      </c>
      <c r="N870" s="45" t="str">
        <f t="shared" ref="N870:N871" si="653">HYPERLINK("twitter.com/@jcu_softball","@jcu_softball")</f>
        <v>@jcu_softball</v>
      </c>
      <c r="O870" s="45" t="str">
        <f t="shared" ref="O870:O871" si="654">HYPERLINK("https://jcusports.com/sports/2007/9/11/prospective.aspx","Questionnaire")</f>
        <v>Questionnaire</v>
      </c>
      <c r="P870" s="48" t="s">
        <v>11393</v>
      </c>
      <c r="Q870" s="60" t="s">
        <v>1814</v>
      </c>
      <c r="R870" s="6" t="s">
        <v>11395</v>
      </c>
      <c r="S870" s="6" t="s">
        <v>172</v>
      </c>
      <c r="T870" s="4" t="s">
        <v>63</v>
      </c>
      <c r="U870" s="4" t="s">
        <v>343</v>
      </c>
      <c r="V870" s="7"/>
      <c r="W870" s="37">
        <v>3.55</v>
      </c>
      <c r="X870" s="4" t="s">
        <v>675</v>
      </c>
      <c r="Y870" s="4" t="s">
        <v>76</v>
      </c>
      <c r="Z870" s="4" t="s">
        <v>320</v>
      </c>
      <c r="AA870" s="65">
        <v>0.83</v>
      </c>
      <c r="AB870" s="39">
        <v>53740</v>
      </c>
      <c r="AC870" s="52" t="s">
        <v>11393</v>
      </c>
      <c r="AD870" s="53" t="str">
        <f t="shared" ref="AD870:AD871" si="655">HYPERLINK("http://sites.jcu.edu/academics/pages/departments-and-programs/","Link")</f>
        <v>Link</v>
      </c>
      <c r="AE870" s="42">
        <v>3038</v>
      </c>
      <c r="AF870" s="55"/>
      <c r="AG870" s="7"/>
      <c r="AH870" s="56">
        <v>203368</v>
      </c>
      <c r="AI870" s="59"/>
      <c r="AJ870" s="59"/>
      <c r="AK870" s="137"/>
    </row>
    <row r="871" spans="1:37" ht="15" x14ac:dyDescent="0.2">
      <c r="A871" s="57"/>
      <c r="B871" s="78" t="s">
        <v>8359</v>
      </c>
      <c r="C871" s="7" t="s">
        <v>43</v>
      </c>
      <c r="D871" s="44">
        <v>5</v>
      </c>
      <c r="E871" s="7" t="s">
        <v>11405</v>
      </c>
      <c r="F871" s="7"/>
      <c r="G871" s="7"/>
      <c r="H871" s="6" t="s">
        <v>11387</v>
      </c>
      <c r="I871" s="7" t="s">
        <v>1212</v>
      </c>
      <c r="J871" s="7" t="s">
        <v>894</v>
      </c>
      <c r="K871" s="7" t="s">
        <v>55</v>
      </c>
      <c r="L871" s="7" t="s">
        <v>11406</v>
      </c>
      <c r="M871" s="7"/>
      <c r="N871" s="45" t="str">
        <f t="shared" si="653"/>
        <v>@jcu_softball</v>
      </c>
      <c r="O871" s="45" t="str">
        <f t="shared" si="654"/>
        <v>Questionnaire</v>
      </c>
      <c r="P871" s="48" t="s">
        <v>11393</v>
      </c>
      <c r="Q871" s="60" t="s">
        <v>1814</v>
      </c>
      <c r="R871" s="6" t="s">
        <v>11395</v>
      </c>
      <c r="S871" s="6" t="s">
        <v>172</v>
      </c>
      <c r="T871" s="4" t="s">
        <v>63</v>
      </c>
      <c r="U871" s="4" t="s">
        <v>343</v>
      </c>
      <c r="V871" s="7"/>
      <c r="W871" s="37">
        <v>3.55</v>
      </c>
      <c r="X871" s="4" t="s">
        <v>675</v>
      </c>
      <c r="Y871" s="4" t="s">
        <v>76</v>
      </c>
      <c r="Z871" s="4" t="s">
        <v>320</v>
      </c>
      <c r="AA871" s="65">
        <v>0.83</v>
      </c>
      <c r="AB871" s="39">
        <v>53740</v>
      </c>
      <c r="AC871" s="52" t="s">
        <v>11393</v>
      </c>
      <c r="AD871" s="53" t="str">
        <f t="shared" si="655"/>
        <v>Link</v>
      </c>
      <c r="AE871" s="42">
        <v>3038</v>
      </c>
      <c r="AF871" s="55"/>
      <c r="AG871" s="7"/>
      <c r="AH871" s="56">
        <v>203368</v>
      </c>
      <c r="AI871" s="59"/>
      <c r="AJ871" s="59"/>
      <c r="AK871" s="137"/>
    </row>
    <row r="872" spans="1:37" ht="13" x14ac:dyDescent="0.15">
      <c r="A872" s="57"/>
      <c r="B872" s="78" t="s">
        <v>8359</v>
      </c>
      <c r="C872" s="7" t="s">
        <v>43</v>
      </c>
      <c r="D872" s="44">
        <v>5</v>
      </c>
      <c r="E872" s="7" t="s">
        <v>11415</v>
      </c>
      <c r="F872" s="7"/>
      <c r="G872" s="7"/>
      <c r="H872" s="6" t="s">
        <v>11417</v>
      </c>
      <c r="I872" s="7" t="s">
        <v>338</v>
      </c>
      <c r="J872" s="7" t="s">
        <v>11418</v>
      </c>
      <c r="K872" s="7" t="s">
        <v>48</v>
      </c>
      <c r="L872" s="7" t="s">
        <v>11419</v>
      </c>
      <c r="M872" s="7" t="s">
        <v>11420</v>
      </c>
      <c r="N872" s="48"/>
      <c r="O872" s="45" t="str">
        <f t="shared" ref="O872:O873" si="656">HYPERLINK("https://athletics.kenyon.edu/sports/2019/5/21/recruit-questionnaires.aspx","Questionnaire")</f>
        <v>Questionnaire</v>
      </c>
      <c r="P872" s="48" t="s">
        <v>11421</v>
      </c>
      <c r="Q872" s="60" t="s">
        <v>1814</v>
      </c>
      <c r="R872" s="6" t="s">
        <v>11422</v>
      </c>
      <c r="S872" s="60" t="s">
        <v>205</v>
      </c>
      <c r="T872" s="4" t="s">
        <v>74</v>
      </c>
      <c r="U872" s="4" t="s">
        <v>75</v>
      </c>
      <c r="V872" s="7"/>
      <c r="W872" s="37">
        <v>3.9</v>
      </c>
      <c r="X872" s="4" t="s">
        <v>4483</v>
      </c>
      <c r="Y872" s="4" t="s">
        <v>4686</v>
      </c>
      <c r="Z872" s="4" t="s">
        <v>1376</v>
      </c>
      <c r="AA872" s="65">
        <v>0.27</v>
      </c>
      <c r="AB872" s="39">
        <v>66670</v>
      </c>
      <c r="AC872" s="90" t="s">
        <v>11421</v>
      </c>
      <c r="AD872" s="53" t="str">
        <f t="shared" ref="AD872:AD873" si="657">HYPERLINK("http://www.kenyon.edu/academics/departments-programs/available-majors-minors-and-concentrations/","Link")</f>
        <v>Link</v>
      </c>
      <c r="AE872" s="42">
        <v>1708</v>
      </c>
      <c r="AF872" s="55"/>
      <c r="AG872" s="37">
        <v>26</v>
      </c>
      <c r="AH872" s="56">
        <v>203535</v>
      </c>
      <c r="AI872" s="59"/>
      <c r="AJ872" s="59"/>
      <c r="AK872" s="137"/>
    </row>
    <row r="873" spans="1:37" ht="13" x14ac:dyDescent="0.15">
      <c r="A873" s="57"/>
      <c r="B873" s="78" t="s">
        <v>8359</v>
      </c>
      <c r="C873" s="7" t="s">
        <v>43</v>
      </c>
      <c r="D873" s="44">
        <v>5</v>
      </c>
      <c r="E873" s="7" t="s">
        <v>11427</v>
      </c>
      <c r="F873" s="7"/>
      <c r="G873" s="7"/>
      <c r="H873" s="6" t="s">
        <v>11417</v>
      </c>
      <c r="I873" s="7" t="s">
        <v>143</v>
      </c>
      <c r="J873" s="7" t="s">
        <v>5286</v>
      </c>
      <c r="K873" s="7" t="s">
        <v>55</v>
      </c>
      <c r="L873" s="7" t="s">
        <v>11430</v>
      </c>
      <c r="M873" s="7" t="s">
        <v>11431</v>
      </c>
      <c r="N873" s="48"/>
      <c r="O873" s="45" t="str">
        <f t="shared" si="656"/>
        <v>Questionnaire</v>
      </c>
      <c r="P873" s="48" t="s">
        <v>11421</v>
      </c>
      <c r="Q873" s="60" t="s">
        <v>1814</v>
      </c>
      <c r="R873" s="6" t="s">
        <v>11422</v>
      </c>
      <c r="S873" s="60" t="s">
        <v>205</v>
      </c>
      <c r="T873" s="4" t="s">
        <v>74</v>
      </c>
      <c r="U873" s="4" t="s">
        <v>75</v>
      </c>
      <c r="V873" s="7"/>
      <c r="W873" s="37">
        <v>3.9</v>
      </c>
      <c r="X873" s="4" t="s">
        <v>4483</v>
      </c>
      <c r="Y873" s="4" t="s">
        <v>4686</v>
      </c>
      <c r="Z873" s="4" t="s">
        <v>1376</v>
      </c>
      <c r="AA873" s="65">
        <v>0.27</v>
      </c>
      <c r="AB873" s="39">
        <v>66670</v>
      </c>
      <c r="AC873" s="90" t="s">
        <v>11421</v>
      </c>
      <c r="AD873" s="53" t="str">
        <f t="shared" si="657"/>
        <v>Link</v>
      </c>
      <c r="AE873" s="42">
        <v>1708</v>
      </c>
      <c r="AF873" s="55"/>
      <c r="AG873" s="37">
        <v>26</v>
      </c>
      <c r="AH873" s="56">
        <v>203535</v>
      </c>
      <c r="AI873" s="59"/>
      <c r="AJ873" s="59"/>
      <c r="AK873" s="137"/>
    </row>
    <row r="874" spans="1:37" ht="13" x14ac:dyDescent="0.15">
      <c r="A874" s="57"/>
      <c r="B874" s="78" t="s">
        <v>8359</v>
      </c>
      <c r="C874" s="7" t="s">
        <v>43</v>
      </c>
      <c r="D874" s="44">
        <v>5</v>
      </c>
      <c r="E874" s="7" t="s">
        <v>11435</v>
      </c>
      <c r="F874" s="7"/>
      <c r="G874" s="7"/>
      <c r="H874" s="6" t="s">
        <v>11436</v>
      </c>
      <c r="I874" s="7" t="s">
        <v>3909</v>
      </c>
      <c r="J874" s="7" t="s">
        <v>11437</v>
      </c>
      <c r="K874" s="7" t="s">
        <v>48</v>
      </c>
      <c r="L874" s="7" t="s">
        <v>11440</v>
      </c>
      <c r="M874" s="7" t="s">
        <v>11441</v>
      </c>
      <c r="N874" s="45" t="str">
        <f t="shared" ref="N874:N875" si="658">HYPERLINK("twitter.com/mc_pio_sb","@mc_pio_sb")</f>
        <v>@mc_pio_sb</v>
      </c>
      <c r="O874" s="45" t="str">
        <f t="shared" ref="O874:O875" si="659">HYPERLINK("https://pioneers.marietta.edu/sb_output.aspx?form=3","Questionnaire")</f>
        <v>Questionnaire</v>
      </c>
      <c r="P874" s="48" t="s">
        <v>11448</v>
      </c>
      <c r="Q874" s="60" t="s">
        <v>1814</v>
      </c>
      <c r="R874" s="6" t="s">
        <v>11449</v>
      </c>
      <c r="S874" s="6" t="s">
        <v>172</v>
      </c>
      <c r="T874" s="4" t="s">
        <v>63</v>
      </c>
      <c r="U874" s="4" t="s">
        <v>75</v>
      </c>
      <c r="V874" s="7"/>
      <c r="W874" s="37">
        <v>3.45</v>
      </c>
      <c r="X874" s="4" t="s">
        <v>4408</v>
      </c>
      <c r="Y874" s="4" t="s">
        <v>2455</v>
      </c>
      <c r="Z874" s="4" t="s">
        <v>1650</v>
      </c>
      <c r="AA874" s="65">
        <v>0.61</v>
      </c>
      <c r="AB874" s="39">
        <v>49118</v>
      </c>
      <c r="AC874" s="84" t="s">
        <v>11448</v>
      </c>
      <c r="AD874" s="53" t="str">
        <f t="shared" ref="AD874:AD875" si="660">HYPERLINK("https://www.marietta.edu/areas-of-study","Link")</f>
        <v>Link</v>
      </c>
      <c r="AE874" s="42">
        <v>1144</v>
      </c>
      <c r="AF874" s="55"/>
      <c r="AG874" s="7"/>
      <c r="AH874" s="56">
        <v>203845</v>
      </c>
      <c r="AI874" s="59"/>
      <c r="AJ874" s="59"/>
      <c r="AK874" s="137"/>
    </row>
    <row r="875" spans="1:37" ht="13" x14ac:dyDescent="0.15">
      <c r="A875" s="57"/>
      <c r="B875" s="78" t="s">
        <v>8359</v>
      </c>
      <c r="C875" s="7" t="s">
        <v>43</v>
      </c>
      <c r="D875" s="44">
        <v>5</v>
      </c>
      <c r="E875" s="7" t="s">
        <v>11454</v>
      </c>
      <c r="F875" s="7"/>
      <c r="G875" s="7"/>
      <c r="H875" s="6" t="s">
        <v>11436</v>
      </c>
      <c r="I875" s="7" t="s">
        <v>3722</v>
      </c>
      <c r="J875" s="7" t="s">
        <v>11455</v>
      </c>
      <c r="K875" s="7" t="s">
        <v>55</v>
      </c>
      <c r="L875" s="7" t="s">
        <v>11458</v>
      </c>
      <c r="M875" s="7" t="s">
        <v>11459</v>
      </c>
      <c r="N875" s="45" t="str">
        <f t="shared" si="658"/>
        <v>@mc_pio_sb</v>
      </c>
      <c r="O875" s="45" t="str">
        <f t="shared" si="659"/>
        <v>Questionnaire</v>
      </c>
      <c r="P875" s="48" t="s">
        <v>11448</v>
      </c>
      <c r="Q875" s="60" t="s">
        <v>1814</v>
      </c>
      <c r="R875" s="6" t="s">
        <v>11449</v>
      </c>
      <c r="S875" s="6" t="s">
        <v>172</v>
      </c>
      <c r="T875" s="4" t="s">
        <v>63</v>
      </c>
      <c r="U875" s="2" t="s">
        <v>75</v>
      </c>
      <c r="V875" s="7"/>
      <c r="W875" s="37">
        <v>3.45</v>
      </c>
      <c r="X875" s="4" t="s">
        <v>4408</v>
      </c>
      <c r="Y875" s="4" t="s">
        <v>2455</v>
      </c>
      <c r="Z875" s="4" t="s">
        <v>1650</v>
      </c>
      <c r="AA875" s="65">
        <v>0.61</v>
      </c>
      <c r="AB875" s="39">
        <v>49118</v>
      </c>
      <c r="AC875" s="84" t="s">
        <v>11448</v>
      </c>
      <c r="AD875" s="53" t="str">
        <f t="shared" si="660"/>
        <v>Link</v>
      </c>
      <c r="AE875" s="42">
        <v>1144</v>
      </c>
      <c r="AF875" s="55"/>
      <c r="AG875" s="7"/>
      <c r="AH875" s="56">
        <v>203845</v>
      </c>
      <c r="AI875" s="57"/>
      <c r="AJ875" s="57"/>
    </row>
    <row r="876" spans="1:37" ht="13" x14ac:dyDescent="0.15">
      <c r="A876" s="57"/>
      <c r="B876" s="78" t="s">
        <v>8359</v>
      </c>
      <c r="C876" s="7" t="s">
        <v>43</v>
      </c>
      <c r="D876" s="44">
        <v>5</v>
      </c>
      <c r="E876" s="7" t="s">
        <v>11464</v>
      </c>
      <c r="F876" s="7"/>
      <c r="G876" s="7"/>
      <c r="H876" s="6" t="s">
        <v>11465</v>
      </c>
      <c r="I876" s="7" t="s">
        <v>772</v>
      </c>
      <c r="J876" s="7" t="s">
        <v>11466</v>
      </c>
      <c r="K876" s="7" t="s">
        <v>48</v>
      </c>
      <c r="L876" s="7" t="s">
        <v>11469</v>
      </c>
      <c r="M876" s="7" t="s">
        <v>11470</v>
      </c>
      <c r="N876" s="45" t="str">
        <f t="shared" ref="N876:N879" si="661">HYPERLINK("twitter.com/msjsoftball","@msjsoftball")</f>
        <v>@msjsoftball</v>
      </c>
      <c r="O876" s="48" t="s">
        <v>22</v>
      </c>
      <c r="P876" s="7" t="s">
        <v>11472</v>
      </c>
      <c r="Q876" s="36" t="s">
        <v>1814</v>
      </c>
      <c r="R876" s="6" t="s">
        <v>11474</v>
      </c>
      <c r="S876" s="6" t="s">
        <v>62</v>
      </c>
      <c r="T876" s="4" t="s">
        <v>63</v>
      </c>
      <c r="U876" s="4" t="s">
        <v>343</v>
      </c>
      <c r="V876" s="7"/>
      <c r="W876" s="37">
        <v>3.35</v>
      </c>
      <c r="X876" s="7" t="s">
        <v>396</v>
      </c>
      <c r="Y876" s="7" t="s">
        <v>1622</v>
      </c>
      <c r="Z876" s="4" t="s">
        <v>125</v>
      </c>
      <c r="AA876" s="65">
        <v>0.88</v>
      </c>
      <c r="AB876" s="39">
        <v>39544</v>
      </c>
      <c r="AC876" s="76" t="s">
        <v>11472</v>
      </c>
      <c r="AD876" s="53" t="str">
        <f t="shared" ref="AD876:AD879" si="662">HYPERLINK("http://www.msj.edu/academics/majors-minors-for-undergrads/","Link")</f>
        <v>Link</v>
      </c>
      <c r="AE876" s="42">
        <v>1336</v>
      </c>
      <c r="AF876" s="55"/>
      <c r="AG876" s="7"/>
      <c r="AH876" s="56">
        <v>204200</v>
      </c>
      <c r="AI876" s="57"/>
      <c r="AJ876" s="57"/>
    </row>
    <row r="877" spans="1:37" ht="13" x14ac:dyDescent="0.15">
      <c r="A877" s="57"/>
      <c r="B877" s="78" t="s">
        <v>8359</v>
      </c>
      <c r="C877" s="7" t="s">
        <v>43</v>
      </c>
      <c r="D877" s="44">
        <v>5</v>
      </c>
      <c r="E877" s="7" t="s">
        <v>11479</v>
      </c>
      <c r="F877" s="7"/>
      <c r="G877" s="7"/>
      <c r="H877" s="6" t="s">
        <v>11465</v>
      </c>
      <c r="I877" s="7" t="s">
        <v>11481</v>
      </c>
      <c r="J877" s="7" t="s">
        <v>2470</v>
      </c>
      <c r="K877" s="7" t="s">
        <v>55</v>
      </c>
      <c r="L877" s="7" t="s">
        <v>11485</v>
      </c>
      <c r="M877" s="7" t="s">
        <v>11487</v>
      </c>
      <c r="N877" s="45" t="str">
        <f t="shared" si="661"/>
        <v>@msjsoftball</v>
      </c>
      <c r="O877" s="48" t="s">
        <v>22</v>
      </c>
      <c r="P877" s="7" t="s">
        <v>11472</v>
      </c>
      <c r="Q877" s="36" t="s">
        <v>1814</v>
      </c>
      <c r="R877" s="6" t="s">
        <v>11474</v>
      </c>
      <c r="S877" s="6" t="s">
        <v>62</v>
      </c>
      <c r="T877" s="4" t="s">
        <v>63</v>
      </c>
      <c r="U877" s="4" t="s">
        <v>343</v>
      </c>
      <c r="V877" s="7"/>
      <c r="W877" s="37">
        <v>3.35</v>
      </c>
      <c r="X877" s="7" t="s">
        <v>396</v>
      </c>
      <c r="Y877" s="7" t="s">
        <v>1622</v>
      </c>
      <c r="Z877" s="4" t="s">
        <v>125</v>
      </c>
      <c r="AA877" s="65">
        <v>0.88</v>
      </c>
      <c r="AB877" s="39">
        <v>39544</v>
      </c>
      <c r="AC877" s="76" t="s">
        <v>11472</v>
      </c>
      <c r="AD877" s="53" t="str">
        <f t="shared" si="662"/>
        <v>Link</v>
      </c>
      <c r="AE877" s="42">
        <v>1336</v>
      </c>
      <c r="AF877" s="55"/>
      <c r="AG877" s="7"/>
      <c r="AH877" s="56">
        <v>204200</v>
      </c>
      <c r="AI877" s="57"/>
      <c r="AJ877" s="57"/>
    </row>
    <row r="878" spans="1:37" ht="13" x14ac:dyDescent="0.15">
      <c r="A878" s="57"/>
      <c r="B878" s="78" t="s">
        <v>8359</v>
      </c>
      <c r="C878" s="7" t="s">
        <v>43</v>
      </c>
      <c r="D878" s="44">
        <v>5</v>
      </c>
      <c r="E878" s="7" t="s">
        <v>11494</v>
      </c>
      <c r="F878" s="7"/>
      <c r="G878" s="7"/>
      <c r="H878" s="6" t="s">
        <v>11465</v>
      </c>
      <c r="I878" s="7" t="s">
        <v>338</v>
      </c>
      <c r="J878" s="7" t="s">
        <v>11495</v>
      </c>
      <c r="K878" s="7" t="s">
        <v>55</v>
      </c>
      <c r="L878" s="7"/>
      <c r="M878" s="7"/>
      <c r="N878" s="45" t="str">
        <f t="shared" si="661"/>
        <v>@msjsoftball</v>
      </c>
      <c r="O878" s="48" t="s">
        <v>22</v>
      </c>
      <c r="P878" s="7" t="s">
        <v>11472</v>
      </c>
      <c r="Q878" s="36" t="s">
        <v>1814</v>
      </c>
      <c r="R878" s="6" t="s">
        <v>11474</v>
      </c>
      <c r="S878" s="6" t="s">
        <v>62</v>
      </c>
      <c r="T878" s="4" t="s">
        <v>63</v>
      </c>
      <c r="U878" s="4" t="s">
        <v>343</v>
      </c>
      <c r="V878" s="7"/>
      <c r="W878" s="37">
        <v>3.35</v>
      </c>
      <c r="X878" s="7" t="s">
        <v>396</v>
      </c>
      <c r="Y878" s="7" t="s">
        <v>1622</v>
      </c>
      <c r="Z878" s="4" t="s">
        <v>125</v>
      </c>
      <c r="AA878" s="65">
        <v>0.88</v>
      </c>
      <c r="AB878" s="39">
        <v>39544</v>
      </c>
      <c r="AC878" s="76" t="s">
        <v>11472</v>
      </c>
      <c r="AD878" s="53" t="str">
        <f t="shared" si="662"/>
        <v>Link</v>
      </c>
      <c r="AE878" s="42">
        <v>1336</v>
      </c>
      <c r="AF878" s="55"/>
      <c r="AG878" s="7"/>
      <c r="AH878" s="56">
        <v>204200</v>
      </c>
      <c r="AI878" s="57"/>
      <c r="AJ878" s="57"/>
    </row>
    <row r="879" spans="1:37" ht="13" x14ac:dyDescent="0.15">
      <c r="A879" s="57"/>
      <c r="B879" s="78" t="s">
        <v>8359</v>
      </c>
      <c r="C879" s="7" t="s">
        <v>43</v>
      </c>
      <c r="D879" s="44">
        <v>5</v>
      </c>
      <c r="E879" s="7" t="s">
        <v>11503</v>
      </c>
      <c r="F879" s="7"/>
      <c r="G879" s="7"/>
      <c r="H879" s="6" t="s">
        <v>11465</v>
      </c>
      <c r="I879" s="7" t="s">
        <v>234</v>
      </c>
      <c r="J879" s="7" t="s">
        <v>11504</v>
      </c>
      <c r="K879" s="7" t="s">
        <v>55</v>
      </c>
      <c r="L879" s="7"/>
      <c r="M879" s="7"/>
      <c r="N879" s="45" t="str">
        <f t="shared" si="661"/>
        <v>@msjsoftball</v>
      </c>
      <c r="O879" s="48" t="s">
        <v>22</v>
      </c>
      <c r="P879" s="7" t="s">
        <v>11472</v>
      </c>
      <c r="Q879" s="36" t="s">
        <v>1814</v>
      </c>
      <c r="R879" s="6" t="s">
        <v>11474</v>
      </c>
      <c r="S879" s="6" t="s">
        <v>62</v>
      </c>
      <c r="T879" s="4" t="s">
        <v>63</v>
      </c>
      <c r="U879" s="4" t="s">
        <v>343</v>
      </c>
      <c r="V879" s="7"/>
      <c r="W879" s="37">
        <v>3.35</v>
      </c>
      <c r="X879" s="7" t="s">
        <v>396</v>
      </c>
      <c r="Y879" s="7" t="s">
        <v>1622</v>
      </c>
      <c r="Z879" s="4" t="s">
        <v>125</v>
      </c>
      <c r="AA879" s="65">
        <v>0.88</v>
      </c>
      <c r="AB879" s="39">
        <v>39544</v>
      </c>
      <c r="AC879" s="76" t="s">
        <v>11472</v>
      </c>
      <c r="AD879" s="53" t="str">
        <f t="shared" si="662"/>
        <v>Link</v>
      </c>
      <c r="AE879" s="42">
        <v>1336</v>
      </c>
      <c r="AF879" s="55"/>
      <c r="AG879" s="7"/>
      <c r="AH879" s="56">
        <v>204200</v>
      </c>
      <c r="AI879" s="57"/>
      <c r="AJ879" s="57"/>
    </row>
    <row r="880" spans="1:37" ht="13" x14ac:dyDescent="0.15">
      <c r="A880" s="57"/>
      <c r="B880" s="78" t="s">
        <v>8359</v>
      </c>
      <c r="C880" s="7" t="s">
        <v>43</v>
      </c>
      <c r="D880" s="44">
        <v>5</v>
      </c>
      <c r="E880" s="7" t="s">
        <v>11512</v>
      </c>
      <c r="F880" s="7"/>
      <c r="G880" s="7"/>
      <c r="H880" s="6" t="s">
        <v>11513</v>
      </c>
      <c r="I880" s="7" t="s">
        <v>2135</v>
      </c>
      <c r="J880" s="7" t="s">
        <v>11516</v>
      </c>
      <c r="K880" s="7" t="s">
        <v>48</v>
      </c>
      <c r="L880" s="7" t="s">
        <v>11517</v>
      </c>
      <c r="M880" s="2" t="s">
        <v>11518</v>
      </c>
      <c r="N880" s="45" t="str">
        <f t="shared" ref="N880:N881" si="663">HYPERLINK("twitter.com/umu_softball","@umu_softball")</f>
        <v>@umu_softball</v>
      </c>
      <c r="O880" s="45" t="str">
        <f t="shared" ref="O880:O881" si="664">HYPERLINK("http://athletics.mountunion.edu/recruiting_central/recruiting_forms/index","Questionnaire")</f>
        <v>Questionnaire</v>
      </c>
      <c r="P880" s="48" t="s">
        <v>11523</v>
      </c>
      <c r="Q880" s="60" t="s">
        <v>1814</v>
      </c>
      <c r="R880" s="6" t="s">
        <v>11526</v>
      </c>
      <c r="S880" s="6" t="s">
        <v>172</v>
      </c>
      <c r="T880" s="4" t="s">
        <v>63</v>
      </c>
      <c r="U880" s="2" t="s">
        <v>65</v>
      </c>
      <c r="V880" s="7"/>
      <c r="W880" s="37">
        <v>2.6</v>
      </c>
      <c r="X880" s="4" t="s">
        <v>1453</v>
      </c>
      <c r="Y880" s="4" t="s">
        <v>720</v>
      </c>
      <c r="Z880" s="4" t="s">
        <v>278</v>
      </c>
      <c r="AA880" s="65">
        <v>0.77</v>
      </c>
      <c r="AB880" s="39">
        <v>41705</v>
      </c>
      <c r="AC880" s="84" t="s">
        <v>11523</v>
      </c>
      <c r="AD880" s="53" t="str">
        <f t="shared" ref="AD880:AD881" si="665">HYPERLINK("http://www.mountunion.edu/undergraduate-programs","Link")</f>
        <v>Link</v>
      </c>
      <c r="AE880" s="42">
        <v>2140</v>
      </c>
      <c r="AF880" s="55"/>
      <c r="AG880" s="7"/>
      <c r="AH880" s="56">
        <v>204185</v>
      </c>
      <c r="AI880" s="57"/>
      <c r="AJ880" s="57"/>
    </row>
    <row r="881" spans="1:36" ht="13" x14ac:dyDescent="0.15">
      <c r="A881" s="57"/>
      <c r="B881" s="78" t="s">
        <v>8359</v>
      </c>
      <c r="C881" s="7" t="s">
        <v>43</v>
      </c>
      <c r="D881" s="44">
        <v>5</v>
      </c>
      <c r="E881" s="7" t="s">
        <v>11537</v>
      </c>
      <c r="F881" s="7"/>
      <c r="G881" s="7"/>
      <c r="H881" s="6" t="s">
        <v>11513</v>
      </c>
      <c r="I881" s="7" t="s">
        <v>3315</v>
      </c>
      <c r="J881" s="7" t="s">
        <v>11538</v>
      </c>
      <c r="K881" s="7" t="s">
        <v>55</v>
      </c>
      <c r="L881" s="7" t="s">
        <v>11539</v>
      </c>
      <c r="M881" s="7" t="s">
        <v>11540</v>
      </c>
      <c r="N881" s="45" t="str">
        <f t="shared" si="663"/>
        <v>@umu_softball</v>
      </c>
      <c r="O881" s="45" t="str">
        <f t="shared" si="664"/>
        <v>Questionnaire</v>
      </c>
      <c r="P881" s="48" t="s">
        <v>11523</v>
      </c>
      <c r="Q881" s="60" t="s">
        <v>1814</v>
      </c>
      <c r="R881" s="6" t="s">
        <v>11526</v>
      </c>
      <c r="S881" s="6" t="s">
        <v>172</v>
      </c>
      <c r="T881" s="4" t="s">
        <v>63</v>
      </c>
      <c r="U881" s="2" t="s">
        <v>65</v>
      </c>
      <c r="V881" s="7"/>
      <c r="W881" s="37">
        <v>2.6</v>
      </c>
      <c r="X881" s="4" t="s">
        <v>1453</v>
      </c>
      <c r="Y881" s="4" t="s">
        <v>720</v>
      </c>
      <c r="Z881" s="4" t="s">
        <v>278</v>
      </c>
      <c r="AA881" s="65">
        <v>0.77</v>
      </c>
      <c r="AB881" s="39">
        <v>41705</v>
      </c>
      <c r="AC881" s="84" t="s">
        <v>11523</v>
      </c>
      <c r="AD881" s="53" t="str">
        <f t="shared" si="665"/>
        <v>Link</v>
      </c>
      <c r="AE881" s="42">
        <v>2140</v>
      </c>
      <c r="AF881" s="55"/>
      <c r="AG881" s="7"/>
      <c r="AH881" s="56">
        <v>204185</v>
      </c>
      <c r="AI881" s="57"/>
      <c r="AJ881" s="57"/>
    </row>
    <row r="882" spans="1:36" ht="13" x14ac:dyDescent="0.15">
      <c r="A882" s="57"/>
      <c r="B882" s="78" t="s">
        <v>8359</v>
      </c>
      <c r="C882" s="7" t="s">
        <v>43</v>
      </c>
      <c r="D882" s="44">
        <v>5</v>
      </c>
      <c r="E882" s="7" t="s">
        <v>11546</v>
      </c>
      <c r="F882" s="7"/>
      <c r="G882" s="7"/>
      <c r="H882" s="6" t="s">
        <v>11547</v>
      </c>
      <c r="I882" s="7" t="s">
        <v>10612</v>
      </c>
      <c r="J882" s="7" t="s">
        <v>1638</v>
      </c>
      <c r="K882" s="7" t="s">
        <v>48</v>
      </c>
      <c r="L882" s="7" t="s">
        <v>11548</v>
      </c>
      <c r="M882" s="7" t="s">
        <v>11549</v>
      </c>
      <c r="N882" s="45" t="str">
        <f t="shared" ref="N882:N886" si="666">HYPERLINK("twitter.com/MuskingumUnivSB","@MuskingumUnivSB")</f>
        <v>@MuskingumUnivSB</v>
      </c>
      <c r="O882" s="45" t="str">
        <f t="shared" ref="O882:O886" si="667">HYPERLINK("https://www.fightingmuskies.com/recruiting/studentathletequestionnaire","Questionnaire")</f>
        <v>Questionnaire</v>
      </c>
      <c r="P882" s="48" t="s">
        <v>11558</v>
      </c>
      <c r="Q882" s="60" t="s">
        <v>1814</v>
      </c>
      <c r="R882" s="6" t="s">
        <v>11559</v>
      </c>
      <c r="S882" s="60" t="s">
        <v>205</v>
      </c>
      <c r="T882" s="4" t="s">
        <v>63</v>
      </c>
      <c r="U882" s="2" t="s">
        <v>248</v>
      </c>
      <c r="V882" s="7"/>
      <c r="W882" s="37">
        <v>3.28</v>
      </c>
      <c r="X882" s="4" t="s">
        <v>4456</v>
      </c>
      <c r="Y882" s="4" t="s">
        <v>3013</v>
      </c>
      <c r="Z882" s="4" t="s">
        <v>125</v>
      </c>
      <c r="AA882" s="65">
        <v>0.77</v>
      </c>
      <c r="AB882" s="39">
        <v>40308</v>
      </c>
      <c r="AC882" s="84" t="s">
        <v>11558</v>
      </c>
      <c r="AD882" s="53" t="str">
        <f t="shared" ref="AD882:AD886" si="668">HYPERLINK("https://www.muskingum.edu/academics/majors-minors","Link")</f>
        <v>Link</v>
      </c>
      <c r="AE882" s="42">
        <v>1549</v>
      </c>
      <c r="AF882" s="55"/>
      <c r="AG882" s="7"/>
      <c r="AH882" s="56">
        <v>204264</v>
      </c>
      <c r="AI882" s="57"/>
      <c r="AJ882" s="57"/>
    </row>
    <row r="883" spans="1:36" ht="13" x14ac:dyDescent="0.15">
      <c r="A883" s="57"/>
      <c r="B883" s="78" t="s">
        <v>8359</v>
      </c>
      <c r="C883" s="7" t="s">
        <v>43</v>
      </c>
      <c r="D883" s="44">
        <v>5</v>
      </c>
      <c r="E883" s="7" t="s">
        <v>11563</v>
      </c>
      <c r="F883" s="7"/>
      <c r="G883" s="7"/>
      <c r="H883" s="6" t="s">
        <v>11547</v>
      </c>
      <c r="I883" s="7" t="s">
        <v>8707</v>
      </c>
      <c r="J883" s="7" t="s">
        <v>4954</v>
      </c>
      <c r="K883" s="7" t="s">
        <v>55</v>
      </c>
      <c r="L883" s="7" t="s">
        <v>11564</v>
      </c>
      <c r="M883" s="7" t="s">
        <v>11565</v>
      </c>
      <c r="N883" s="45" t="str">
        <f t="shared" si="666"/>
        <v>@MuskingumUnivSB</v>
      </c>
      <c r="O883" s="45" t="str">
        <f t="shared" si="667"/>
        <v>Questionnaire</v>
      </c>
      <c r="P883" s="48" t="s">
        <v>11558</v>
      </c>
      <c r="Q883" s="60" t="s">
        <v>1814</v>
      </c>
      <c r="R883" s="6" t="s">
        <v>11559</v>
      </c>
      <c r="S883" s="60" t="s">
        <v>205</v>
      </c>
      <c r="T883" s="4" t="s">
        <v>63</v>
      </c>
      <c r="U883" s="2" t="s">
        <v>248</v>
      </c>
      <c r="V883" s="7"/>
      <c r="W883" s="37">
        <v>3.28</v>
      </c>
      <c r="X883" s="4" t="s">
        <v>4456</v>
      </c>
      <c r="Y883" s="4" t="s">
        <v>3013</v>
      </c>
      <c r="Z883" s="4" t="s">
        <v>125</v>
      </c>
      <c r="AA883" s="65">
        <v>0.77</v>
      </c>
      <c r="AB883" s="39">
        <v>40308</v>
      </c>
      <c r="AC883" s="84" t="s">
        <v>11558</v>
      </c>
      <c r="AD883" s="53" t="str">
        <f t="shared" si="668"/>
        <v>Link</v>
      </c>
      <c r="AE883" s="42">
        <v>1549</v>
      </c>
      <c r="AF883" s="55"/>
      <c r="AG883" s="7"/>
      <c r="AH883" s="56">
        <v>204264</v>
      </c>
      <c r="AI883" s="57"/>
      <c r="AJ883" s="57"/>
    </row>
    <row r="884" spans="1:36" ht="13" x14ac:dyDescent="0.15">
      <c r="A884" s="57"/>
      <c r="B884" s="78" t="s">
        <v>8359</v>
      </c>
      <c r="C884" s="7" t="s">
        <v>43</v>
      </c>
      <c r="D884" s="44">
        <v>5</v>
      </c>
      <c r="E884" s="7" t="s">
        <v>11570</v>
      </c>
      <c r="F884" s="7"/>
      <c r="G884" s="7"/>
      <c r="H884" s="6" t="s">
        <v>11547</v>
      </c>
      <c r="I884" s="7" t="s">
        <v>1629</v>
      </c>
      <c r="J884" s="7" t="s">
        <v>117</v>
      </c>
      <c r="K884" s="7" t="s">
        <v>55</v>
      </c>
      <c r="L884" s="7" t="s">
        <v>11573</v>
      </c>
      <c r="M884" s="7" t="s">
        <v>11574</v>
      </c>
      <c r="N884" s="45" t="str">
        <f t="shared" si="666"/>
        <v>@MuskingumUnivSB</v>
      </c>
      <c r="O884" s="45" t="str">
        <f t="shared" si="667"/>
        <v>Questionnaire</v>
      </c>
      <c r="P884" s="48" t="s">
        <v>11558</v>
      </c>
      <c r="Q884" s="60" t="s">
        <v>1814</v>
      </c>
      <c r="R884" s="6" t="s">
        <v>11559</v>
      </c>
      <c r="S884" s="60" t="s">
        <v>205</v>
      </c>
      <c r="T884" s="4" t="s">
        <v>63</v>
      </c>
      <c r="U884" s="2" t="s">
        <v>248</v>
      </c>
      <c r="V884" s="7"/>
      <c r="W884" s="37">
        <v>3.28</v>
      </c>
      <c r="X884" s="4" t="s">
        <v>4456</v>
      </c>
      <c r="Y884" s="4" t="s">
        <v>3013</v>
      </c>
      <c r="Z884" s="4" t="s">
        <v>125</v>
      </c>
      <c r="AA884" s="65">
        <v>0.77</v>
      </c>
      <c r="AB884" s="39">
        <v>40308</v>
      </c>
      <c r="AC884" s="84" t="s">
        <v>11558</v>
      </c>
      <c r="AD884" s="53" t="str">
        <f t="shared" si="668"/>
        <v>Link</v>
      </c>
      <c r="AE884" s="42">
        <v>1549</v>
      </c>
      <c r="AF884" s="55"/>
      <c r="AG884" s="7"/>
      <c r="AH884" s="56">
        <v>204264</v>
      </c>
      <c r="AI884" s="57"/>
      <c r="AJ884" s="57"/>
    </row>
    <row r="885" spans="1:36" ht="13" x14ac:dyDescent="0.15">
      <c r="A885" s="57"/>
      <c r="B885" s="78" t="s">
        <v>8359</v>
      </c>
      <c r="C885" s="7" t="s">
        <v>43</v>
      </c>
      <c r="D885" s="44">
        <v>5</v>
      </c>
      <c r="E885" s="7" t="s">
        <v>11586</v>
      </c>
      <c r="F885" s="7"/>
      <c r="G885" s="7"/>
      <c r="H885" s="6" t="s">
        <v>11547</v>
      </c>
      <c r="I885" s="7" t="s">
        <v>363</v>
      </c>
      <c r="J885" s="7" t="s">
        <v>11587</v>
      </c>
      <c r="K885" s="7" t="s">
        <v>55</v>
      </c>
      <c r="L885" s="7"/>
      <c r="M885" s="7" t="s">
        <v>11549</v>
      </c>
      <c r="N885" s="45" t="str">
        <f t="shared" si="666"/>
        <v>@MuskingumUnivSB</v>
      </c>
      <c r="O885" s="45" t="str">
        <f t="shared" si="667"/>
        <v>Questionnaire</v>
      </c>
      <c r="P885" s="48" t="s">
        <v>11558</v>
      </c>
      <c r="Q885" s="60" t="s">
        <v>1814</v>
      </c>
      <c r="R885" s="6" t="s">
        <v>11559</v>
      </c>
      <c r="S885" s="60" t="s">
        <v>205</v>
      </c>
      <c r="T885" s="4" t="s">
        <v>63</v>
      </c>
      <c r="U885" s="2" t="s">
        <v>248</v>
      </c>
      <c r="V885" s="7"/>
      <c r="W885" s="37">
        <v>3.28</v>
      </c>
      <c r="X885" s="4" t="s">
        <v>4456</v>
      </c>
      <c r="Y885" s="4" t="s">
        <v>3013</v>
      </c>
      <c r="Z885" s="4" t="s">
        <v>125</v>
      </c>
      <c r="AA885" s="65">
        <v>0.77</v>
      </c>
      <c r="AB885" s="39">
        <v>40308</v>
      </c>
      <c r="AC885" s="84" t="s">
        <v>11558</v>
      </c>
      <c r="AD885" s="53" t="str">
        <f t="shared" si="668"/>
        <v>Link</v>
      </c>
      <c r="AE885" s="42">
        <v>1549</v>
      </c>
      <c r="AF885" s="55"/>
      <c r="AG885" s="7"/>
      <c r="AH885" s="56">
        <v>204264</v>
      </c>
      <c r="AI885" s="57"/>
      <c r="AJ885" s="57"/>
    </row>
    <row r="886" spans="1:36" ht="13" x14ac:dyDescent="0.15">
      <c r="A886" s="57"/>
      <c r="B886" s="78" t="s">
        <v>8359</v>
      </c>
      <c r="C886" s="57" t="s">
        <v>43</v>
      </c>
      <c r="D886" s="86">
        <v>5</v>
      </c>
      <c r="E886" s="7" t="s">
        <v>11596</v>
      </c>
      <c r="F886" s="7" t="s">
        <v>116</v>
      </c>
      <c r="G886" s="7"/>
      <c r="H886" s="6" t="s">
        <v>11547</v>
      </c>
      <c r="I886" s="7" t="s">
        <v>10612</v>
      </c>
      <c r="J886" s="7" t="s">
        <v>1638</v>
      </c>
      <c r="K886" s="7" t="s">
        <v>48</v>
      </c>
      <c r="L886" s="7" t="s">
        <v>11548</v>
      </c>
      <c r="M886" s="7" t="s">
        <v>11549</v>
      </c>
      <c r="N886" s="45" t="str">
        <f t="shared" si="666"/>
        <v>@MuskingumUnivSB</v>
      </c>
      <c r="O886" s="45" t="str">
        <f t="shared" si="667"/>
        <v>Questionnaire</v>
      </c>
      <c r="P886" s="48" t="s">
        <v>11558</v>
      </c>
      <c r="Q886" s="60" t="s">
        <v>1814</v>
      </c>
      <c r="R886" s="6" t="s">
        <v>11559</v>
      </c>
      <c r="S886" s="60" t="s">
        <v>205</v>
      </c>
      <c r="T886" s="4" t="s">
        <v>63</v>
      </c>
      <c r="U886" s="4" t="s">
        <v>248</v>
      </c>
      <c r="V886" s="7"/>
      <c r="W886" s="37">
        <v>3.28</v>
      </c>
      <c r="X886" s="4" t="s">
        <v>4456</v>
      </c>
      <c r="Y886" s="4" t="s">
        <v>3013</v>
      </c>
      <c r="Z886" s="4" t="s">
        <v>125</v>
      </c>
      <c r="AA886" s="65">
        <v>0.77</v>
      </c>
      <c r="AB886" s="39">
        <v>40308</v>
      </c>
      <c r="AC886" s="84" t="s">
        <v>11558</v>
      </c>
      <c r="AD886" s="53" t="str">
        <f t="shared" si="668"/>
        <v>Link</v>
      </c>
      <c r="AE886" s="42">
        <v>1549</v>
      </c>
      <c r="AF886" s="55"/>
      <c r="AG886" s="7"/>
      <c r="AH886" s="56">
        <v>204264</v>
      </c>
      <c r="AI886" s="57"/>
      <c r="AJ886" s="57"/>
    </row>
    <row r="887" spans="1:36" ht="13" x14ac:dyDescent="0.15">
      <c r="A887" s="57"/>
      <c r="B887" s="78" t="s">
        <v>8359</v>
      </c>
      <c r="C887" s="7" t="s">
        <v>43</v>
      </c>
      <c r="D887" s="44">
        <v>5</v>
      </c>
      <c r="E887" s="7" t="s">
        <v>11607</v>
      </c>
      <c r="F887" s="7"/>
      <c r="G887" s="7"/>
      <c r="H887" s="6" t="s">
        <v>11608</v>
      </c>
      <c r="I887" s="7" t="s">
        <v>2037</v>
      </c>
      <c r="J887" s="7" t="s">
        <v>11609</v>
      </c>
      <c r="K887" s="7" t="s">
        <v>48</v>
      </c>
      <c r="L887" s="7" t="s">
        <v>11610</v>
      </c>
      <c r="M887" s="7" t="s">
        <v>11611</v>
      </c>
      <c r="N887" s="45" t="str">
        <f t="shared" ref="N887:N888" si="669">HYPERLINK("twitter.com/Yeo_Softball","@Yeo_Softball")</f>
        <v>@Yeo_Softball</v>
      </c>
      <c r="O887" s="45" t="str">
        <f t="shared" ref="O887:O888" si="670">HYPERLINK("https://goyeo.com/sb_output.aspx?frform=7&amp;path=softball","Questionnaire")</f>
        <v>Questionnaire</v>
      </c>
      <c r="P887" s="48" t="s">
        <v>11622</v>
      </c>
      <c r="Q887" s="60" t="s">
        <v>1814</v>
      </c>
      <c r="R887" s="6" t="s">
        <v>11623</v>
      </c>
      <c r="S887" s="60" t="s">
        <v>205</v>
      </c>
      <c r="T887" s="4" t="s">
        <v>63</v>
      </c>
      <c r="U887" s="2" t="s">
        <v>75</v>
      </c>
      <c r="V887" s="7"/>
      <c r="W887" s="37">
        <v>3.58</v>
      </c>
      <c r="X887" s="4" t="s">
        <v>1538</v>
      </c>
      <c r="Y887" s="4" t="s">
        <v>624</v>
      </c>
      <c r="Z887" s="4" t="s">
        <v>1376</v>
      </c>
      <c r="AA887" s="65">
        <v>0.28000000000000003</v>
      </c>
      <c r="AB887" s="39">
        <v>68670</v>
      </c>
      <c r="AC887" s="84" t="s">
        <v>11622</v>
      </c>
      <c r="AD887" s="53" t="str">
        <f t="shared" ref="AD887:AD888" si="671">HYPERLINK("https://www.oberlin.edu/arts-and-sciences/areas-of-study","Link")</f>
        <v>Link</v>
      </c>
      <c r="AE887" s="42">
        <v>2895</v>
      </c>
      <c r="AF887" s="55"/>
      <c r="AG887" s="37">
        <v>26</v>
      </c>
      <c r="AH887" s="56">
        <v>204501</v>
      </c>
      <c r="AI887" s="57"/>
      <c r="AJ887" s="57"/>
    </row>
    <row r="888" spans="1:36" ht="13" x14ac:dyDescent="0.15">
      <c r="A888" s="57"/>
      <c r="B888" s="78" t="s">
        <v>8359</v>
      </c>
      <c r="C888" s="7" t="s">
        <v>43</v>
      </c>
      <c r="D888" s="44">
        <v>5</v>
      </c>
      <c r="E888" s="7" t="s">
        <v>11631</v>
      </c>
      <c r="F888" s="7"/>
      <c r="G888" s="7"/>
      <c r="H888" s="6" t="s">
        <v>11608</v>
      </c>
      <c r="I888" s="7" t="s">
        <v>8020</v>
      </c>
      <c r="J888" s="7" t="s">
        <v>11632</v>
      </c>
      <c r="K888" s="7" t="s">
        <v>55</v>
      </c>
      <c r="L888" s="7" t="s">
        <v>11633</v>
      </c>
      <c r="M888" s="7" t="s">
        <v>11611</v>
      </c>
      <c r="N888" s="45" t="str">
        <f t="shared" si="669"/>
        <v>@Yeo_Softball</v>
      </c>
      <c r="O888" s="45" t="str">
        <f t="shared" si="670"/>
        <v>Questionnaire</v>
      </c>
      <c r="P888" s="48" t="s">
        <v>11622</v>
      </c>
      <c r="Q888" s="60" t="s">
        <v>1814</v>
      </c>
      <c r="R888" s="6" t="s">
        <v>11623</v>
      </c>
      <c r="S888" s="60" t="s">
        <v>205</v>
      </c>
      <c r="T888" s="4" t="s">
        <v>63</v>
      </c>
      <c r="U888" s="2" t="s">
        <v>75</v>
      </c>
      <c r="V888" s="7"/>
      <c r="W888" s="37">
        <v>3.58</v>
      </c>
      <c r="X888" s="4" t="s">
        <v>1538</v>
      </c>
      <c r="Y888" s="4" t="s">
        <v>624</v>
      </c>
      <c r="Z888" s="4" t="s">
        <v>1376</v>
      </c>
      <c r="AA888" s="65">
        <v>0.28000000000000003</v>
      </c>
      <c r="AB888" s="39">
        <v>68670</v>
      </c>
      <c r="AC888" s="84" t="s">
        <v>11622</v>
      </c>
      <c r="AD888" s="53" t="str">
        <f t="shared" si="671"/>
        <v>Link</v>
      </c>
      <c r="AE888" s="42">
        <v>2895</v>
      </c>
      <c r="AF888" s="55"/>
      <c r="AG888" s="37">
        <v>26</v>
      </c>
      <c r="AH888" s="56">
        <v>204501</v>
      </c>
      <c r="AI888" s="57"/>
      <c r="AJ888" s="57"/>
    </row>
    <row r="889" spans="1:36" ht="13" x14ac:dyDescent="0.15">
      <c r="A889" s="57"/>
      <c r="B889" s="78" t="s">
        <v>8359</v>
      </c>
      <c r="C889" s="7" t="s">
        <v>43</v>
      </c>
      <c r="D889" s="44">
        <v>5</v>
      </c>
      <c r="E889" s="7" t="s">
        <v>11645</v>
      </c>
      <c r="F889" s="7"/>
      <c r="G889" s="7"/>
      <c r="H889" s="6" t="s">
        <v>11646</v>
      </c>
      <c r="I889" s="7" t="s">
        <v>2829</v>
      </c>
      <c r="J889" s="7" t="s">
        <v>3363</v>
      </c>
      <c r="K889" s="7" t="s">
        <v>48</v>
      </c>
      <c r="L889" s="7" t="s">
        <v>11648</v>
      </c>
      <c r="M889" s="7" t="s">
        <v>11649</v>
      </c>
      <c r="N889" s="45" t="str">
        <f t="shared" ref="N889:N891" si="672">HYPERLINK("twitter.com/onusoftball","@onusoftball")</f>
        <v>@onusoftball</v>
      </c>
      <c r="O889" s="45" t="str">
        <f t="shared" ref="O889:O891" si="673">HYPERLINK("https://questionnaires.armssoftware.com/2d747b0c5d29","Questionnaire")</f>
        <v>Questionnaire</v>
      </c>
      <c r="P889" s="48" t="s">
        <v>11654</v>
      </c>
      <c r="Q889" s="60" t="s">
        <v>1814</v>
      </c>
      <c r="R889" s="6" t="s">
        <v>8834</v>
      </c>
      <c r="S889" s="60" t="s">
        <v>205</v>
      </c>
      <c r="T889" s="4" t="s">
        <v>63</v>
      </c>
      <c r="U889" s="2" t="s">
        <v>65</v>
      </c>
      <c r="V889" s="7"/>
      <c r="W889" s="37">
        <v>3.6</v>
      </c>
      <c r="X889" s="4" t="s">
        <v>5022</v>
      </c>
      <c r="Y889" s="4" t="s">
        <v>6378</v>
      </c>
      <c r="Z889" s="4" t="s">
        <v>78</v>
      </c>
      <c r="AA889" s="65">
        <v>0.64</v>
      </c>
      <c r="AB889" s="39">
        <v>44728</v>
      </c>
      <c r="AC889" s="84" t="s">
        <v>11654</v>
      </c>
      <c r="AD889" s="53" t="str">
        <f t="shared" ref="AD889:AD891" si="674">HYPERLINK("http://www.onu.edu/academics/programs_of_study","Link")</f>
        <v>Link</v>
      </c>
      <c r="AE889" s="42">
        <v>2274</v>
      </c>
      <c r="AF889" s="55"/>
      <c r="AG889" s="7"/>
      <c r="AH889" s="56">
        <v>204635</v>
      </c>
      <c r="AI889" s="57"/>
      <c r="AJ889" s="57"/>
    </row>
    <row r="890" spans="1:36" ht="13" x14ac:dyDescent="0.15">
      <c r="A890" s="57"/>
      <c r="B890" s="78" t="s">
        <v>8359</v>
      </c>
      <c r="C890" s="7" t="s">
        <v>43</v>
      </c>
      <c r="D890" s="44">
        <v>5</v>
      </c>
      <c r="E890" s="7" t="s">
        <v>11663</v>
      </c>
      <c r="F890" s="7"/>
      <c r="G890" s="7"/>
      <c r="H890" s="6" t="s">
        <v>11646</v>
      </c>
      <c r="I890" s="7" t="s">
        <v>2348</v>
      </c>
      <c r="J890" s="7" t="s">
        <v>1342</v>
      </c>
      <c r="K890" s="7" t="s">
        <v>55</v>
      </c>
      <c r="L890" s="7" t="s">
        <v>11665</v>
      </c>
      <c r="M890" s="7" t="s">
        <v>11666</v>
      </c>
      <c r="N890" s="45" t="str">
        <f t="shared" si="672"/>
        <v>@onusoftball</v>
      </c>
      <c r="O890" s="45" t="str">
        <f t="shared" si="673"/>
        <v>Questionnaire</v>
      </c>
      <c r="P890" s="48" t="s">
        <v>11654</v>
      </c>
      <c r="Q890" s="60" t="s">
        <v>1814</v>
      </c>
      <c r="R890" s="6" t="s">
        <v>8834</v>
      </c>
      <c r="S890" s="60" t="s">
        <v>205</v>
      </c>
      <c r="T890" s="4" t="s">
        <v>63</v>
      </c>
      <c r="U890" s="2" t="s">
        <v>65</v>
      </c>
      <c r="V890" s="7"/>
      <c r="W890" s="37">
        <v>3.6</v>
      </c>
      <c r="X890" s="4" t="s">
        <v>5022</v>
      </c>
      <c r="Y890" s="4" t="s">
        <v>6378</v>
      </c>
      <c r="Z890" s="4" t="s">
        <v>78</v>
      </c>
      <c r="AA890" s="65">
        <v>0.64</v>
      </c>
      <c r="AB890" s="39">
        <v>44728</v>
      </c>
      <c r="AC890" s="84" t="s">
        <v>11654</v>
      </c>
      <c r="AD890" s="53" t="str">
        <f t="shared" si="674"/>
        <v>Link</v>
      </c>
      <c r="AE890" s="42">
        <v>2274</v>
      </c>
      <c r="AF890" s="55"/>
      <c r="AG890" s="7"/>
      <c r="AH890" s="56">
        <v>204635</v>
      </c>
      <c r="AI890" s="57"/>
      <c r="AJ890" s="57"/>
    </row>
    <row r="891" spans="1:36" ht="13" x14ac:dyDescent="0.15">
      <c r="A891" s="57"/>
      <c r="B891" s="78" t="s">
        <v>8359</v>
      </c>
      <c r="C891" s="7" t="s">
        <v>43</v>
      </c>
      <c r="D891" s="44">
        <v>5</v>
      </c>
      <c r="E891" s="7" t="s">
        <v>11673</v>
      </c>
      <c r="F891" s="7"/>
      <c r="G891" s="7"/>
      <c r="H891" s="6" t="s">
        <v>11646</v>
      </c>
      <c r="I891" s="7" t="s">
        <v>95</v>
      </c>
      <c r="J891" s="7" t="s">
        <v>5397</v>
      </c>
      <c r="K891" s="7" t="s">
        <v>55</v>
      </c>
      <c r="L891" s="7"/>
      <c r="M891" s="7"/>
      <c r="N891" s="45" t="str">
        <f t="shared" si="672"/>
        <v>@onusoftball</v>
      </c>
      <c r="O891" s="45" t="str">
        <f t="shared" si="673"/>
        <v>Questionnaire</v>
      </c>
      <c r="P891" s="48" t="s">
        <v>11654</v>
      </c>
      <c r="Q891" s="60" t="s">
        <v>1814</v>
      </c>
      <c r="R891" s="6" t="s">
        <v>8834</v>
      </c>
      <c r="S891" s="60" t="s">
        <v>205</v>
      </c>
      <c r="T891" s="4" t="s">
        <v>63</v>
      </c>
      <c r="U891" s="2" t="s">
        <v>65</v>
      </c>
      <c r="V891" s="7"/>
      <c r="W891" s="37">
        <v>3.6</v>
      </c>
      <c r="X891" s="4" t="s">
        <v>5022</v>
      </c>
      <c r="Y891" s="4" t="s">
        <v>6378</v>
      </c>
      <c r="Z891" s="4" t="s">
        <v>78</v>
      </c>
      <c r="AA891" s="65">
        <v>0.64</v>
      </c>
      <c r="AB891" s="39">
        <v>44728</v>
      </c>
      <c r="AC891" s="84" t="s">
        <v>11654</v>
      </c>
      <c r="AD891" s="53" t="str">
        <f t="shared" si="674"/>
        <v>Link</v>
      </c>
      <c r="AE891" s="42">
        <v>2274</v>
      </c>
      <c r="AF891" s="55"/>
      <c r="AG891" s="7"/>
      <c r="AH891" s="56">
        <v>204635</v>
      </c>
      <c r="AI891" s="57"/>
      <c r="AJ891" s="57"/>
    </row>
    <row r="892" spans="1:36" ht="13" x14ac:dyDescent="0.15">
      <c r="A892" s="57"/>
      <c r="B892" s="78" t="s">
        <v>8359</v>
      </c>
      <c r="C892" s="7" t="s">
        <v>43</v>
      </c>
      <c r="D892" s="44">
        <v>5</v>
      </c>
      <c r="E892" s="7" t="s">
        <v>11682</v>
      </c>
      <c r="F892" s="7"/>
      <c r="G892" s="7"/>
      <c r="H892" s="6" t="s">
        <v>11684</v>
      </c>
      <c r="I892" s="7" t="s">
        <v>2867</v>
      </c>
      <c r="J892" s="7" t="s">
        <v>11685</v>
      </c>
      <c r="K892" s="7" t="s">
        <v>48</v>
      </c>
      <c r="L892" s="7" t="s">
        <v>11686</v>
      </c>
      <c r="M892" s="7" t="s">
        <v>11687</v>
      </c>
      <c r="N892" s="45" t="str">
        <f t="shared" ref="N892:N896" si="675">HYPERLINK("twitter.com/owusoftball","@owusoftball")</f>
        <v>@owusoftball</v>
      </c>
      <c r="O892" s="45" t="str">
        <f t="shared" ref="O892:O896" si="676">HYPERLINK("https://www.owu.edu/athletics/information-for-recruits/","Questionnaire")</f>
        <v>Questionnaire</v>
      </c>
      <c r="P892" s="48" t="s">
        <v>11690</v>
      </c>
      <c r="Q892" s="60" t="s">
        <v>1814</v>
      </c>
      <c r="R892" s="6" t="s">
        <v>1175</v>
      </c>
      <c r="S892" s="6" t="s">
        <v>468</v>
      </c>
      <c r="T892" s="5" t="s">
        <v>63</v>
      </c>
      <c r="U892" s="2" t="s">
        <v>65</v>
      </c>
      <c r="V892" s="7"/>
      <c r="W892" s="37">
        <v>3.42</v>
      </c>
      <c r="X892" s="4" t="s">
        <v>2196</v>
      </c>
      <c r="Y892" s="4" t="s">
        <v>957</v>
      </c>
      <c r="Z892" s="4" t="s">
        <v>689</v>
      </c>
      <c r="AA892" s="65">
        <v>0.72</v>
      </c>
      <c r="AB892" s="39">
        <v>59560</v>
      </c>
      <c r="AC892" s="84" t="s">
        <v>11690</v>
      </c>
      <c r="AD892" s="53" t="str">
        <f t="shared" ref="AD892:AD896" si="677">HYPERLINK("https://www.owu.edu/academics/","Link")</f>
        <v>Link</v>
      </c>
      <c r="AE892" s="42">
        <v>1638</v>
      </c>
      <c r="AF892" s="55"/>
      <c r="AG892" s="37">
        <v>101</v>
      </c>
      <c r="AH892" s="56">
        <v>204909</v>
      </c>
      <c r="AI892" s="57"/>
      <c r="AJ892" s="57"/>
    </row>
    <row r="893" spans="1:36" ht="13" x14ac:dyDescent="0.15">
      <c r="A893" s="57"/>
      <c r="B893" s="78" t="s">
        <v>8359</v>
      </c>
      <c r="C893" s="7" t="s">
        <v>43</v>
      </c>
      <c r="D893" s="44">
        <v>5</v>
      </c>
      <c r="E893" s="7" t="s">
        <v>11695</v>
      </c>
      <c r="F893" s="7"/>
      <c r="G893" s="7"/>
      <c r="H893" s="6" t="s">
        <v>11684</v>
      </c>
      <c r="I893" s="7" t="s">
        <v>143</v>
      </c>
      <c r="J893" s="7" t="s">
        <v>3498</v>
      </c>
      <c r="K893" s="7" t="s">
        <v>55</v>
      </c>
      <c r="L893" s="7" t="s">
        <v>11700</v>
      </c>
      <c r="M893" s="7" t="s">
        <v>11702</v>
      </c>
      <c r="N893" s="45" t="str">
        <f t="shared" si="675"/>
        <v>@owusoftball</v>
      </c>
      <c r="O893" s="45" t="str">
        <f t="shared" si="676"/>
        <v>Questionnaire</v>
      </c>
      <c r="P893" s="48" t="s">
        <v>11690</v>
      </c>
      <c r="Q893" s="60" t="s">
        <v>1814</v>
      </c>
      <c r="R893" s="6" t="s">
        <v>1175</v>
      </c>
      <c r="S893" s="6" t="s">
        <v>468</v>
      </c>
      <c r="T893" s="5" t="s">
        <v>63</v>
      </c>
      <c r="U893" s="2" t="s">
        <v>65</v>
      </c>
      <c r="V893" s="7"/>
      <c r="W893" s="37">
        <v>3.42</v>
      </c>
      <c r="X893" s="4" t="s">
        <v>2196</v>
      </c>
      <c r="Y893" s="4" t="s">
        <v>957</v>
      </c>
      <c r="Z893" s="4" t="s">
        <v>689</v>
      </c>
      <c r="AA893" s="65">
        <v>0.72</v>
      </c>
      <c r="AB893" s="39">
        <v>59560</v>
      </c>
      <c r="AC893" s="84" t="s">
        <v>11690</v>
      </c>
      <c r="AD893" s="53" t="str">
        <f t="shared" si="677"/>
        <v>Link</v>
      </c>
      <c r="AE893" s="42">
        <v>1638</v>
      </c>
      <c r="AF893" s="55"/>
      <c r="AG893" s="37">
        <v>101</v>
      </c>
      <c r="AH893" s="56">
        <v>204909</v>
      </c>
      <c r="AI893" s="57"/>
      <c r="AJ893" s="57"/>
    </row>
    <row r="894" spans="1:36" ht="13" x14ac:dyDescent="0.15">
      <c r="A894" s="57"/>
      <c r="B894" s="78" t="s">
        <v>8359</v>
      </c>
      <c r="C894" s="7" t="s">
        <v>43</v>
      </c>
      <c r="D894" s="44">
        <v>5</v>
      </c>
      <c r="E894" s="7" t="s">
        <v>11707</v>
      </c>
      <c r="F894" s="7"/>
      <c r="G894" s="7"/>
      <c r="H894" s="6" t="s">
        <v>11684</v>
      </c>
      <c r="I894" s="7" t="s">
        <v>9224</v>
      </c>
      <c r="J894" s="7" t="s">
        <v>263</v>
      </c>
      <c r="K894" s="7" t="s">
        <v>139</v>
      </c>
      <c r="L894" s="7"/>
      <c r="M894" s="7" t="s">
        <v>11687</v>
      </c>
      <c r="N894" s="45" t="str">
        <f t="shared" si="675"/>
        <v>@owusoftball</v>
      </c>
      <c r="O894" s="45" t="str">
        <f t="shared" si="676"/>
        <v>Questionnaire</v>
      </c>
      <c r="P894" s="48" t="s">
        <v>11690</v>
      </c>
      <c r="Q894" s="60" t="s">
        <v>1814</v>
      </c>
      <c r="R894" s="6" t="s">
        <v>1175</v>
      </c>
      <c r="S894" s="6" t="s">
        <v>468</v>
      </c>
      <c r="T894" s="5" t="s">
        <v>63</v>
      </c>
      <c r="U894" s="2" t="s">
        <v>65</v>
      </c>
      <c r="V894" s="7"/>
      <c r="W894" s="37">
        <v>3.42</v>
      </c>
      <c r="X894" s="4" t="s">
        <v>2196</v>
      </c>
      <c r="Y894" s="4" t="s">
        <v>957</v>
      </c>
      <c r="Z894" s="4" t="s">
        <v>689</v>
      </c>
      <c r="AA894" s="65">
        <v>0.72</v>
      </c>
      <c r="AB894" s="39">
        <v>59560</v>
      </c>
      <c r="AC894" s="84" t="s">
        <v>11690</v>
      </c>
      <c r="AD894" s="53" t="str">
        <f t="shared" si="677"/>
        <v>Link</v>
      </c>
      <c r="AE894" s="42">
        <v>1638</v>
      </c>
      <c r="AF894" s="55"/>
      <c r="AG894" s="37">
        <v>101</v>
      </c>
      <c r="AH894" s="56">
        <v>204909</v>
      </c>
      <c r="AI894" s="57"/>
      <c r="AJ894" s="57"/>
    </row>
    <row r="895" spans="1:36" ht="13" x14ac:dyDescent="0.15">
      <c r="A895" s="57"/>
      <c r="B895" s="78" t="s">
        <v>8359</v>
      </c>
      <c r="C895" s="7" t="s">
        <v>43</v>
      </c>
      <c r="D895" s="44">
        <v>5</v>
      </c>
      <c r="E895" s="7" t="s">
        <v>11715</v>
      </c>
      <c r="F895" s="7"/>
      <c r="G895" s="7"/>
      <c r="H895" s="6" t="s">
        <v>11684</v>
      </c>
      <c r="I895" s="7" t="s">
        <v>878</v>
      </c>
      <c r="J895" s="7" t="s">
        <v>11717</v>
      </c>
      <c r="K895" s="7" t="s">
        <v>139</v>
      </c>
      <c r="L895" s="7"/>
      <c r="M895" s="7" t="s">
        <v>11687</v>
      </c>
      <c r="N895" s="45" t="str">
        <f t="shared" si="675"/>
        <v>@owusoftball</v>
      </c>
      <c r="O895" s="45" t="str">
        <f t="shared" si="676"/>
        <v>Questionnaire</v>
      </c>
      <c r="P895" s="48" t="s">
        <v>11690</v>
      </c>
      <c r="Q895" s="60" t="s">
        <v>1814</v>
      </c>
      <c r="R895" s="6" t="s">
        <v>1175</v>
      </c>
      <c r="S895" s="6" t="s">
        <v>468</v>
      </c>
      <c r="T895" s="5" t="s">
        <v>63</v>
      </c>
      <c r="U895" s="2" t="s">
        <v>65</v>
      </c>
      <c r="V895" s="7"/>
      <c r="W895" s="37">
        <v>3.42</v>
      </c>
      <c r="X895" s="4" t="s">
        <v>2196</v>
      </c>
      <c r="Y895" s="4" t="s">
        <v>957</v>
      </c>
      <c r="Z895" s="4" t="s">
        <v>689</v>
      </c>
      <c r="AA895" s="65">
        <v>0.72</v>
      </c>
      <c r="AB895" s="39">
        <v>59560</v>
      </c>
      <c r="AC895" s="84" t="s">
        <v>11690</v>
      </c>
      <c r="AD895" s="53" t="str">
        <f t="shared" si="677"/>
        <v>Link</v>
      </c>
      <c r="AE895" s="42">
        <v>1638</v>
      </c>
      <c r="AF895" s="55"/>
      <c r="AG895" s="37">
        <v>101</v>
      </c>
      <c r="AH895" s="56">
        <v>204909</v>
      </c>
      <c r="AI895" s="57"/>
      <c r="AJ895" s="57"/>
    </row>
    <row r="896" spans="1:36" ht="13" x14ac:dyDescent="0.15">
      <c r="A896" s="57"/>
      <c r="B896" s="78" t="s">
        <v>8359</v>
      </c>
      <c r="C896" s="7" t="s">
        <v>43</v>
      </c>
      <c r="D896" s="44">
        <v>5</v>
      </c>
      <c r="E896" s="7" t="s">
        <v>11725</v>
      </c>
      <c r="F896" s="7"/>
      <c r="G896" s="7"/>
      <c r="H896" s="6" t="s">
        <v>11684</v>
      </c>
      <c r="I896" s="7" t="s">
        <v>1822</v>
      </c>
      <c r="J896" s="7" t="s">
        <v>11728</v>
      </c>
      <c r="K896" s="7" t="s">
        <v>139</v>
      </c>
      <c r="L896" s="7"/>
      <c r="M896" s="7" t="s">
        <v>11687</v>
      </c>
      <c r="N896" s="45" t="str">
        <f t="shared" si="675"/>
        <v>@owusoftball</v>
      </c>
      <c r="O896" s="45" t="str">
        <f t="shared" si="676"/>
        <v>Questionnaire</v>
      </c>
      <c r="P896" s="48" t="s">
        <v>11690</v>
      </c>
      <c r="Q896" s="60" t="s">
        <v>1814</v>
      </c>
      <c r="R896" s="6" t="s">
        <v>1175</v>
      </c>
      <c r="S896" s="6" t="s">
        <v>468</v>
      </c>
      <c r="T896" s="5" t="s">
        <v>63</v>
      </c>
      <c r="U896" s="2" t="s">
        <v>65</v>
      </c>
      <c r="V896" s="7"/>
      <c r="W896" s="37">
        <v>3.42</v>
      </c>
      <c r="X896" s="4" t="s">
        <v>2196</v>
      </c>
      <c r="Y896" s="4" t="s">
        <v>957</v>
      </c>
      <c r="Z896" s="4" t="s">
        <v>689</v>
      </c>
      <c r="AA896" s="65">
        <v>0.72</v>
      </c>
      <c r="AB896" s="39">
        <v>59560</v>
      </c>
      <c r="AC896" s="84" t="s">
        <v>11690</v>
      </c>
      <c r="AD896" s="53" t="str">
        <f t="shared" si="677"/>
        <v>Link</v>
      </c>
      <c r="AE896" s="42">
        <v>1638</v>
      </c>
      <c r="AF896" s="55"/>
      <c r="AG896" s="37">
        <v>101</v>
      </c>
      <c r="AH896" s="56">
        <v>204909</v>
      </c>
      <c r="AI896" s="57"/>
      <c r="AJ896" s="57"/>
    </row>
    <row r="897" spans="1:36" ht="13" x14ac:dyDescent="0.15">
      <c r="A897" s="57"/>
      <c r="B897" s="78" t="s">
        <v>8359</v>
      </c>
      <c r="C897" s="7" t="s">
        <v>43</v>
      </c>
      <c r="D897" s="44">
        <v>5</v>
      </c>
      <c r="E897" s="7" t="s">
        <v>11731</v>
      </c>
      <c r="F897" s="7"/>
      <c r="G897" s="7"/>
      <c r="H897" s="6" t="s">
        <v>11732</v>
      </c>
      <c r="I897" s="7" t="s">
        <v>878</v>
      </c>
      <c r="J897" s="7" t="s">
        <v>11733</v>
      </c>
      <c r="K897" s="7" t="s">
        <v>48</v>
      </c>
      <c r="L897" s="7" t="s">
        <v>11735</v>
      </c>
      <c r="M897" s="7" t="s">
        <v>11736</v>
      </c>
      <c r="N897" s="45" t="str">
        <f t="shared" ref="N897:N900" si="678">HYPERLINK("twitter.com/OtterbeinSB","@OtterbeinSB")</f>
        <v>@OtterbeinSB</v>
      </c>
      <c r="O897" s="45" t="str">
        <f t="shared" ref="O897:O900" si="679">HYPERLINK("https://otterbeincardinals.com/sports/2019/8/23/recruit-questionnaires.aspx","Questionnaire")</f>
        <v>Questionnaire</v>
      </c>
      <c r="P897" s="48" t="s">
        <v>11741</v>
      </c>
      <c r="Q897" s="60" t="s">
        <v>1814</v>
      </c>
      <c r="R897" s="6" t="s">
        <v>11742</v>
      </c>
      <c r="S897" s="6" t="s">
        <v>11743</v>
      </c>
      <c r="T897" s="4" t="s">
        <v>63</v>
      </c>
      <c r="U897" s="2" t="s">
        <v>65</v>
      </c>
      <c r="V897" s="7"/>
      <c r="W897" s="37">
        <v>3.6</v>
      </c>
      <c r="X897" s="4" t="s">
        <v>11744</v>
      </c>
      <c r="Y897" s="4" t="s">
        <v>11746</v>
      </c>
      <c r="Z897" s="4" t="s">
        <v>11747</v>
      </c>
      <c r="AA897" s="65">
        <v>0.72999999999999798</v>
      </c>
      <c r="AB897" s="39">
        <v>45943</v>
      </c>
      <c r="AC897" s="84" t="s">
        <v>11741</v>
      </c>
      <c r="AD897" s="53" t="str">
        <f t="shared" ref="AD897:AD902" si="680">HYPERLINK("http://www.otterbein.edu/public/Academics/MajorsAndMinors.aspx","Link")</f>
        <v>Link</v>
      </c>
      <c r="AE897" s="42">
        <v>2475</v>
      </c>
      <c r="AF897" s="55"/>
      <c r="AG897" s="7"/>
      <c r="AH897" s="56">
        <v>204936</v>
      </c>
      <c r="AI897" s="57"/>
      <c r="AJ897" s="57"/>
    </row>
    <row r="898" spans="1:36" ht="13" x14ac:dyDescent="0.15">
      <c r="A898" s="57"/>
      <c r="B898" s="78" t="s">
        <v>8359</v>
      </c>
      <c r="C898" s="7" t="s">
        <v>43</v>
      </c>
      <c r="D898" s="44">
        <v>5</v>
      </c>
      <c r="E898" s="7" t="s">
        <v>11752</v>
      </c>
      <c r="F898" s="7"/>
      <c r="G898" s="7"/>
      <c r="H898" s="6" t="s">
        <v>11732</v>
      </c>
      <c r="I898" s="7" t="s">
        <v>7674</v>
      </c>
      <c r="J898" s="7" t="s">
        <v>11753</v>
      </c>
      <c r="K898" s="7" t="s">
        <v>120</v>
      </c>
      <c r="L898" s="7" t="s">
        <v>11754</v>
      </c>
      <c r="M898" s="7" t="s">
        <v>11736</v>
      </c>
      <c r="N898" s="45" t="str">
        <f t="shared" si="678"/>
        <v>@OtterbeinSB</v>
      </c>
      <c r="O898" s="45" t="str">
        <f t="shared" si="679"/>
        <v>Questionnaire</v>
      </c>
      <c r="P898" s="48" t="s">
        <v>11741</v>
      </c>
      <c r="Q898" s="60" t="s">
        <v>1814</v>
      </c>
      <c r="R898" s="6" t="s">
        <v>11742</v>
      </c>
      <c r="S898" s="6" t="s">
        <v>11757</v>
      </c>
      <c r="T898" s="4" t="s">
        <v>63</v>
      </c>
      <c r="U898" s="2" t="s">
        <v>65</v>
      </c>
      <c r="V898" s="7"/>
      <c r="W898" s="37">
        <v>3.6</v>
      </c>
      <c r="X898" s="4" t="s">
        <v>11758</v>
      </c>
      <c r="Y898" s="4" t="s">
        <v>11759</v>
      </c>
      <c r="Z898" s="4" t="s">
        <v>11760</v>
      </c>
      <c r="AA898" s="65">
        <v>0.72999999999999798</v>
      </c>
      <c r="AB898" s="39">
        <v>45943</v>
      </c>
      <c r="AC898" s="84" t="s">
        <v>11741</v>
      </c>
      <c r="AD898" s="53" t="str">
        <f t="shared" si="680"/>
        <v>Link</v>
      </c>
      <c r="AE898" s="42">
        <v>2475</v>
      </c>
      <c r="AF898" s="55"/>
      <c r="AG898" s="7"/>
      <c r="AH898" s="56">
        <v>204936</v>
      </c>
      <c r="AI898" s="57"/>
      <c r="AJ898" s="57"/>
    </row>
    <row r="899" spans="1:36" ht="13" x14ac:dyDescent="0.15">
      <c r="A899" s="57"/>
      <c r="B899" s="78" t="s">
        <v>8359</v>
      </c>
      <c r="C899" s="7" t="s">
        <v>43</v>
      </c>
      <c r="D899" s="44">
        <v>5</v>
      </c>
      <c r="E899" s="7" t="s">
        <v>11761</v>
      </c>
      <c r="F899" s="7"/>
      <c r="G899" s="7"/>
      <c r="H899" s="6" t="s">
        <v>11732</v>
      </c>
      <c r="I899" s="7" t="s">
        <v>1159</v>
      </c>
      <c r="J899" s="7" t="s">
        <v>11763</v>
      </c>
      <c r="K899" s="7" t="s">
        <v>55</v>
      </c>
      <c r="L899" s="7" t="s">
        <v>11764</v>
      </c>
      <c r="M899" s="7"/>
      <c r="N899" s="45" t="str">
        <f t="shared" si="678"/>
        <v>@OtterbeinSB</v>
      </c>
      <c r="O899" s="45" t="str">
        <f t="shared" si="679"/>
        <v>Questionnaire</v>
      </c>
      <c r="P899" s="48" t="s">
        <v>11741</v>
      </c>
      <c r="Q899" s="60" t="s">
        <v>1814</v>
      </c>
      <c r="R899" s="6" t="s">
        <v>11742</v>
      </c>
      <c r="S899" s="6" t="s">
        <v>11767</v>
      </c>
      <c r="T899" s="4" t="s">
        <v>63</v>
      </c>
      <c r="U899" s="2" t="s">
        <v>65</v>
      </c>
      <c r="V899" s="7"/>
      <c r="W899" s="37">
        <v>3.6</v>
      </c>
      <c r="X899" s="4" t="s">
        <v>11770</v>
      </c>
      <c r="Y899" s="4" t="s">
        <v>11771</v>
      </c>
      <c r="Z899" s="4" t="s">
        <v>11772</v>
      </c>
      <c r="AA899" s="65">
        <v>0.72999999999999798</v>
      </c>
      <c r="AB899" s="39">
        <v>45943</v>
      </c>
      <c r="AC899" s="84" t="s">
        <v>11741</v>
      </c>
      <c r="AD899" s="53" t="str">
        <f t="shared" si="680"/>
        <v>Link</v>
      </c>
      <c r="AE899" s="42">
        <v>2475</v>
      </c>
      <c r="AF899" s="55"/>
      <c r="AG899" s="7"/>
      <c r="AH899" s="56">
        <v>204936</v>
      </c>
      <c r="AI899" s="57"/>
      <c r="AJ899" s="57"/>
    </row>
    <row r="900" spans="1:36" ht="13" x14ac:dyDescent="0.15">
      <c r="A900" s="57"/>
      <c r="B900" s="78" t="s">
        <v>8359</v>
      </c>
      <c r="C900" s="7" t="s">
        <v>43</v>
      </c>
      <c r="D900" s="44">
        <v>5</v>
      </c>
      <c r="E900" s="7" t="s">
        <v>11775</v>
      </c>
      <c r="F900" s="7"/>
      <c r="G900" s="7"/>
      <c r="H900" s="6" t="s">
        <v>11732</v>
      </c>
      <c r="I900" s="7" t="s">
        <v>161</v>
      </c>
      <c r="J900" s="7" t="s">
        <v>93</v>
      </c>
      <c r="K900" s="7" t="s">
        <v>55</v>
      </c>
      <c r="L900" s="7"/>
      <c r="M900" s="7"/>
      <c r="N900" s="45" t="str">
        <f t="shared" si="678"/>
        <v>@OtterbeinSB</v>
      </c>
      <c r="O900" s="45" t="str">
        <f t="shared" si="679"/>
        <v>Questionnaire</v>
      </c>
      <c r="P900" s="48" t="s">
        <v>11741</v>
      </c>
      <c r="Q900" s="60" t="s">
        <v>1814</v>
      </c>
      <c r="R900" s="6" t="s">
        <v>11742</v>
      </c>
      <c r="S900" s="6" t="s">
        <v>11776</v>
      </c>
      <c r="T900" s="4" t="s">
        <v>63</v>
      </c>
      <c r="U900" s="2" t="s">
        <v>65</v>
      </c>
      <c r="V900" s="7"/>
      <c r="W900" s="37">
        <v>3.6</v>
      </c>
      <c r="X900" s="4" t="s">
        <v>11777</v>
      </c>
      <c r="Y900" s="4" t="s">
        <v>11778</v>
      </c>
      <c r="Z900" s="4" t="s">
        <v>11779</v>
      </c>
      <c r="AA900" s="65">
        <v>0.72999999999999798</v>
      </c>
      <c r="AB900" s="39">
        <v>45943</v>
      </c>
      <c r="AC900" s="84" t="s">
        <v>11741</v>
      </c>
      <c r="AD900" s="53" t="str">
        <f t="shared" si="680"/>
        <v>Link</v>
      </c>
      <c r="AE900" s="42">
        <v>2475</v>
      </c>
      <c r="AF900" s="55"/>
      <c r="AG900" s="7"/>
      <c r="AH900" s="56">
        <v>204936</v>
      </c>
      <c r="AI900" s="57"/>
      <c r="AJ900" s="57"/>
    </row>
    <row r="901" spans="1:36" ht="13" x14ac:dyDescent="0.15">
      <c r="A901" s="57"/>
      <c r="B901" s="78" t="s">
        <v>8359</v>
      </c>
      <c r="C901" s="7" t="s">
        <v>43</v>
      </c>
      <c r="D901" s="44">
        <v>5</v>
      </c>
      <c r="E901" s="7" t="s">
        <v>11783</v>
      </c>
      <c r="F901" s="7"/>
      <c r="G901" s="7"/>
      <c r="H901" s="6" t="s">
        <v>11732</v>
      </c>
      <c r="I901" s="7" t="s">
        <v>161</v>
      </c>
      <c r="J901" s="7" t="s">
        <v>93</v>
      </c>
      <c r="K901" s="7" t="s">
        <v>55</v>
      </c>
      <c r="L901" s="7"/>
      <c r="M901" s="7"/>
      <c r="N901" s="7"/>
      <c r="O901" s="7"/>
      <c r="P901" s="48" t="s">
        <v>11741</v>
      </c>
      <c r="Q901" s="60" t="s">
        <v>1814</v>
      </c>
      <c r="R901" s="6" t="s">
        <v>11742</v>
      </c>
      <c r="S901" s="6" t="s">
        <v>468</v>
      </c>
      <c r="T901" s="4" t="s">
        <v>63</v>
      </c>
      <c r="U901" s="4" t="s">
        <v>65</v>
      </c>
      <c r="V901" s="7"/>
      <c r="W901" s="37">
        <v>3.6</v>
      </c>
      <c r="X901" s="4" t="s">
        <v>1723</v>
      </c>
      <c r="Y901" s="4" t="s">
        <v>344</v>
      </c>
      <c r="Z901" s="4" t="s">
        <v>545</v>
      </c>
      <c r="AA901" s="65">
        <v>0.72999999999999798</v>
      </c>
      <c r="AB901" s="39">
        <v>45943</v>
      </c>
      <c r="AC901" s="84" t="s">
        <v>11741</v>
      </c>
      <c r="AD901" s="53" t="str">
        <f t="shared" si="680"/>
        <v>Link</v>
      </c>
      <c r="AE901" s="42">
        <v>2475</v>
      </c>
      <c r="AF901" s="55"/>
      <c r="AG901" s="7"/>
      <c r="AH901" s="56">
        <v>204936</v>
      </c>
      <c r="AI901" s="57"/>
      <c r="AJ901" s="57"/>
    </row>
    <row r="902" spans="1:36" ht="13" x14ac:dyDescent="0.15">
      <c r="A902" s="57"/>
      <c r="B902" s="78" t="s">
        <v>8359</v>
      </c>
      <c r="C902" s="7" t="s">
        <v>43</v>
      </c>
      <c r="D902" s="44">
        <v>5</v>
      </c>
      <c r="E902" s="7" t="s">
        <v>11790</v>
      </c>
      <c r="F902" s="7"/>
      <c r="G902" s="7"/>
      <c r="H902" s="6" t="s">
        <v>11732</v>
      </c>
      <c r="I902" s="7" t="s">
        <v>1124</v>
      </c>
      <c r="J902" s="7" t="s">
        <v>11791</v>
      </c>
      <c r="K902" s="7" t="s">
        <v>120</v>
      </c>
      <c r="L902" s="7" t="s">
        <v>11792</v>
      </c>
      <c r="M902" s="7" t="s">
        <v>11736</v>
      </c>
      <c r="N902" s="7"/>
      <c r="O902" s="7"/>
      <c r="P902" s="48" t="s">
        <v>11741</v>
      </c>
      <c r="Q902" s="60" t="s">
        <v>1814</v>
      </c>
      <c r="R902" s="6" t="s">
        <v>11742</v>
      </c>
      <c r="S902" s="6" t="s">
        <v>468</v>
      </c>
      <c r="T902" s="4" t="s">
        <v>63</v>
      </c>
      <c r="U902" s="4" t="s">
        <v>65</v>
      </c>
      <c r="V902" s="7"/>
      <c r="W902" s="37">
        <v>3.6</v>
      </c>
      <c r="X902" s="4" t="s">
        <v>1723</v>
      </c>
      <c r="Y902" s="4" t="s">
        <v>344</v>
      </c>
      <c r="Z902" s="4" t="s">
        <v>545</v>
      </c>
      <c r="AA902" s="65">
        <v>0.72999999999999798</v>
      </c>
      <c r="AB902" s="39">
        <v>45943</v>
      </c>
      <c r="AC902" s="84" t="s">
        <v>11741</v>
      </c>
      <c r="AD902" s="53" t="str">
        <f t="shared" si="680"/>
        <v>Link</v>
      </c>
      <c r="AE902" s="42">
        <v>2475</v>
      </c>
      <c r="AF902" s="55"/>
      <c r="AG902" s="7"/>
      <c r="AH902" s="56">
        <v>204936</v>
      </c>
      <c r="AI902" s="57"/>
      <c r="AJ902" s="57"/>
    </row>
    <row r="903" spans="1:36" ht="13" x14ac:dyDescent="0.15">
      <c r="A903" s="7"/>
      <c r="B903" s="31" t="s">
        <v>8359</v>
      </c>
      <c r="C903" s="36" t="s">
        <v>43</v>
      </c>
      <c r="D903" s="7"/>
      <c r="E903" s="86">
        <v>5</v>
      </c>
      <c r="F903" s="7"/>
      <c r="G903" s="7"/>
      <c r="H903" s="2" t="s">
        <v>11796</v>
      </c>
      <c r="I903" s="7" t="s">
        <v>772</v>
      </c>
      <c r="J903" s="7" t="s">
        <v>11797</v>
      </c>
      <c r="K903" s="7" t="s">
        <v>48</v>
      </c>
      <c r="L903" s="7" t="s">
        <v>11800</v>
      </c>
      <c r="M903" s="7" t="s">
        <v>11802</v>
      </c>
      <c r="N903" s="45" t="str">
        <f t="shared" ref="N903:N907" si="681">HYPERLINK("twitter.com/dubc_softball","@dubc_softball")</f>
        <v>@dubc_softball</v>
      </c>
      <c r="O903" s="45" t="str">
        <f t="shared" ref="O903:O907" si="682">HYPERLINK("http://www.wilmingtonquakers.com/recruits/recruitquestionnaire","Questionnaire")</f>
        <v>Questionnaire</v>
      </c>
      <c r="P903" s="48" t="s">
        <v>11809</v>
      </c>
      <c r="Q903" s="60" t="s">
        <v>1814</v>
      </c>
      <c r="R903" s="6" t="s">
        <v>2765</v>
      </c>
      <c r="S903" s="6" t="s">
        <v>172</v>
      </c>
      <c r="T903" s="5" t="s">
        <v>63</v>
      </c>
      <c r="U903" s="6" t="s">
        <v>75</v>
      </c>
      <c r="V903" s="49"/>
      <c r="W903" s="37">
        <v>3.2</v>
      </c>
      <c r="X903" s="49" t="s">
        <v>448</v>
      </c>
      <c r="Y903" s="49" t="s">
        <v>448</v>
      </c>
      <c r="Z903" s="49" t="s">
        <v>449</v>
      </c>
      <c r="AA903" s="65">
        <v>0.87</v>
      </c>
      <c r="AB903" s="39">
        <v>38500</v>
      </c>
      <c r="AC903" s="84" t="s">
        <v>11809</v>
      </c>
      <c r="AD903" s="53" t="str">
        <f t="shared" ref="AD903:AD907" si="683">HYPERLINK("https://www.wilmington.edu/academics/areas-of-study/","Link")</f>
        <v>Link</v>
      </c>
      <c r="AE903" s="42">
        <v>1140</v>
      </c>
      <c r="AF903" s="55"/>
      <c r="AG903" s="55"/>
      <c r="AH903" s="56">
        <v>206507</v>
      </c>
      <c r="AI903" s="56" t="s">
        <v>2459</v>
      </c>
    </row>
    <row r="904" spans="1:36" ht="13" x14ac:dyDescent="0.15">
      <c r="A904" s="7"/>
      <c r="B904" s="31" t="s">
        <v>8359</v>
      </c>
      <c r="C904" s="36" t="s">
        <v>43</v>
      </c>
      <c r="D904" s="7"/>
      <c r="E904" s="86">
        <v>5</v>
      </c>
      <c r="F904" s="7"/>
      <c r="G904" s="7"/>
      <c r="H904" s="2" t="s">
        <v>11796</v>
      </c>
      <c r="I904" s="7" t="s">
        <v>4055</v>
      </c>
      <c r="J904" s="7" t="s">
        <v>11812</v>
      </c>
      <c r="K904" s="7" t="s">
        <v>55</v>
      </c>
      <c r="L904" s="2" t="s">
        <v>11814</v>
      </c>
      <c r="M904" s="2" t="s">
        <v>11816</v>
      </c>
      <c r="N904" s="45" t="str">
        <f t="shared" si="681"/>
        <v>@dubc_softball</v>
      </c>
      <c r="O904" s="45" t="str">
        <f t="shared" si="682"/>
        <v>Questionnaire</v>
      </c>
      <c r="P904" s="48" t="s">
        <v>11809</v>
      </c>
      <c r="Q904" s="60" t="s">
        <v>1814</v>
      </c>
      <c r="R904" s="6" t="s">
        <v>2765</v>
      </c>
      <c r="S904" s="6" t="s">
        <v>172</v>
      </c>
      <c r="T904" s="5" t="s">
        <v>63</v>
      </c>
      <c r="U904" s="6" t="s">
        <v>75</v>
      </c>
      <c r="V904" s="49"/>
      <c r="W904" s="37">
        <v>3.2</v>
      </c>
      <c r="X904" s="49" t="s">
        <v>448</v>
      </c>
      <c r="Y904" s="49" t="s">
        <v>448</v>
      </c>
      <c r="Z904" s="49" t="s">
        <v>449</v>
      </c>
      <c r="AA904" s="65">
        <v>0.87</v>
      </c>
      <c r="AB904" s="39">
        <v>38500</v>
      </c>
      <c r="AC904" s="84" t="s">
        <v>11809</v>
      </c>
      <c r="AD904" s="53" t="str">
        <f t="shared" si="683"/>
        <v>Link</v>
      </c>
      <c r="AE904" s="42">
        <v>1140</v>
      </c>
      <c r="AF904" s="55"/>
      <c r="AG904" s="55"/>
      <c r="AH904" s="56">
        <v>206507</v>
      </c>
      <c r="AI904" s="56" t="s">
        <v>2459</v>
      </c>
    </row>
    <row r="905" spans="1:36" ht="13" x14ac:dyDescent="0.15">
      <c r="A905" s="7"/>
      <c r="B905" s="31" t="s">
        <v>8359</v>
      </c>
      <c r="C905" s="36" t="s">
        <v>43</v>
      </c>
      <c r="D905" s="7"/>
      <c r="E905" s="86">
        <v>5</v>
      </c>
      <c r="F905" s="7"/>
      <c r="G905" s="7"/>
      <c r="H905" s="2" t="s">
        <v>11796</v>
      </c>
      <c r="I905" s="2" t="s">
        <v>11819</v>
      </c>
      <c r="J905" s="2" t="s">
        <v>11820</v>
      </c>
      <c r="K905" s="7" t="s">
        <v>55</v>
      </c>
      <c r="L905" s="2"/>
      <c r="M905" s="2"/>
      <c r="N905" s="45" t="str">
        <f t="shared" si="681"/>
        <v>@dubc_softball</v>
      </c>
      <c r="O905" s="45" t="str">
        <f t="shared" si="682"/>
        <v>Questionnaire</v>
      </c>
      <c r="P905" s="48" t="s">
        <v>11809</v>
      </c>
      <c r="Q905" s="60" t="s">
        <v>1814</v>
      </c>
      <c r="R905" s="6" t="s">
        <v>2765</v>
      </c>
      <c r="S905" s="6" t="s">
        <v>172</v>
      </c>
      <c r="T905" s="5" t="s">
        <v>63</v>
      </c>
      <c r="U905" s="6" t="s">
        <v>75</v>
      </c>
      <c r="V905" s="49"/>
      <c r="W905" s="37">
        <v>3.2</v>
      </c>
      <c r="X905" s="49" t="s">
        <v>448</v>
      </c>
      <c r="Y905" s="49" t="s">
        <v>448</v>
      </c>
      <c r="Z905" s="49" t="s">
        <v>449</v>
      </c>
      <c r="AA905" s="65">
        <v>0.87</v>
      </c>
      <c r="AB905" s="39">
        <v>38500</v>
      </c>
      <c r="AC905" s="84" t="s">
        <v>11809</v>
      </c>
      <c r="AD905" s="53" t="str">
        <f t="shared" si="683"/>
        <v>Link</v>
      </c>
      <c r="AE905" s="42">
        <v>1140</v>
      </c>
      <c r="AF905" s="55"/>
      <c r="AG905" s="55"/>
      <c r="AH905" s="56">
        <v>206507</v>
      </c>
      <c r="AI905" s="56" t="s">
        <v>2459</v>
      </c>
    </row>
    <row r="906" spans="1:36" ht="13" x14ac:dyDescent="0.15">
      <c r="A906" s="7"/>
      <c r="B906" s="31" t="s">
        <v>8359</v>
      </c>
      <c r="C906" s="36" t="s">
        <v>43</v>
      </c>
      <c r="D906" s="7"/>
      <c r="E906" s="86">
        <v>5</v>
      </c>
      <c r="F906" s="7"/>
      <c r="G906" s="7"/>
      <c r="H906" s="2" t="s">
        <v>11796</v>
      </c>
      <c r="I906" s="2" t="s">
        <v>8939</v>
      </c>
      <c r="J906" s="2" t="s">
        <v>11820</v>
      </c>
      <c r="K906" s="7" t="s">
        <v>55</v>
      </c>
      <c r="L906" s="2"/>
      <c r="M906" s="2"/>
      <c r="N906" s="45" t="str">
        <f t="shared" si="681"/>
        <v>@dubc_softball</v>
      </c>
      <c r="O906" s="45" t="str">
        <f t="shared" si="682"/>
        <v>Questionnaire</v>
      </c>
      <c r="P906" s="48" t="s">
        <v>11809</v>
      </c>
      <c r="Q906" s="60" t="s">
        <v>1814</v>
      </c>
      <c r="R906" s="6" t="s">
        <v>2765</v>
      </c>
      <c r="S906" s="6" t="s">
        <v>172</v>
      </c>
      <c r="T906" s="5" t="s">
        <v>63</v>
      </c>
      <c r="U906" s="6" t="s">
        <v>75</v>
      </c>
      <c r="V906" s="49"/>
      <c r="W906" s="37">
        <v>3.2</v>
      </c>
      <c r="X906" s="4" t="s">
        <v>448</v>
      </c>
      <c r="Y906" s="4" t="s">
        <v>448</v>
      </c>
      <c r="Z906" s="49" t="s">
        <v>449</v>
      </c>
      <c r="AA906" s="65">
        <v>0.87</v>
      </c>
      <c r="AB906" s="39">
        <v>38500</v>
      </c>
      <c r="AC906" s="84" t="s">
        <v>11809</v>
      </c>
      <c r="AD906" s="53" t="str">
        <f t="shared" si="683"/>
        <v>Link</v>
      </c>
      <c r="AE906" s="42">
        <v>1140</v>
      </c>
      <c r="AF906" s="55"/>
      <c r="AG906" s="55"/>
      <c r="AH906" s="56">
        <v>206507</v>
      </c>
      <c r="AI906" s="56" t="s">
        <v>2459</v>
      </c>
    </row>
    <row r="907" spans="1:36" ht="13" x14ac:dyDescent="0.15">
      <c r="A907" s="7"/>
      <c r="B907" s="31" t="s">
        <v>8359</v>
      </c>
      <c r="C907" s="36" t="s">
        <v>43</v>
      </c>
      <c r="D907" s="7"/>
      <c r="E907" s="86">
        <v>5</v>
      </c>
      <c r="F907" s="7"/>
      <c r="G907" s="7"/>
      <c r="H907" s="2" t="s">
        <v>11796</v>
      </c>
      <c r="I907" s="7" t="s">
        <v>930</v>
      </c>
      <c r="J907" s="7" t="s">
        <v>11835</v>
      </c>
      <c r="K907" s="7" t="s">
        <v>139</v>
      </c>
      <c r="L907" s="7"/>
      <c r="M907" s="7"/>
      <c r="N907" s="45" t="str">
        <f t="shared" si="681"/>
        <v>@dubc_softball</v>
      </c>
      <c r="O907" s="45" t="str">
        <f t="shared" si="682"/>
        <v>Questionnaire</v>
      </c>
      <c r="P907" s="48" t="s">
        <v>11809</v>
      </c>
      <c r="Q907" s="60" t="s">
        <v>1814</v>
      </c>
      <c r="R907" s="6" t="s">
        <v>2765</v>
      </c>
      <c r="S907" s="6" t="s">
        <v>172</v>
      </c>
      <c r="T907" s="5" t="s">
        <v>63</v>
      </c>
      <c r="U907" s="6" t="s">
        <v>75</v>
      </c>
      <c r="V907" s="49"/>
      <c r="W907" s="37">
        <v>3.2</v>
      </c>
      <c r="X907" s="4" t="s">
        <v>448</v>
      </c>
      <c r="Y907" s="4" t="s">
        <v>448</v>
      </c>
      <c r="Z907" s="49" t="s">
        <v>449</v>
      </c>
      <c r="AA907" s="65">
        <v>0.87</v>
      </c>
      <c r="AB907" s="39">
        <v>38500</v>
      </c>
      <c r="AC907" s="84" t="s">
        <v>11809</v>
      </c>
      <c r="AD907" s="53" t="str">
        <f t="shared" si="683"/>
        <v>Link</v>
      </c>
      <c r="AE907" s="42">
        <v>1140</v>
      </c>
      <c r="AF907" s="55"/>
      <c r="AG907" s="55"/>
      <c r="AH907" s="56">
        <v>206507</v>
      </c>
      <c r="AI907" s="56" t="s">
        <v>2459</v>
      </c>
    </row>
    <row r="908" spans="1:36" ht="13" x14ac:dyDescent="0.15">
      <c r="A908" s="57"/>
      <c r="B908" s="78" t="s">
        <v>8359</v>
      </c>
      <c r="C908" s="7" t="s">
        <v>43</v>
      </c>
      <c r="D908" s="44">
        <v>5</v>
      </c>
      <c r="E908" s="7" t="s">
        <v>11840</v>
      </c>
      <c r="F908" s="7"/>
      <c r="G908" s="7"/>
      <c r="H908" s="6" t="s">
        <v>11841</v>
      </c>
      <c r="I908" s="7" t="s">
        <v>1307</v>
      </c>
      <c r="J908" s="7" t="s">
        <v>11842</v>
      </c>
      <c r="K908" s="7" t="s">
        <v>48</v>
      </c>
      <c r="L908" s="7" t="s">
        <v>11843</v>
      </c>
      <c r="M908" s="7" t="s">
        <v>11844</v>
      </c>
      <c r="N908" s="45" t="str">
        <f t="shared" ref="N908:N910" si="684">HYPERLINK("twitter.com/wittsoftball","@wittsoftball")</f>
        <v>@wittsoftball</v>
      </c>
      <c r="O908" s="45" t="str">
        <f t="shared" ref="O908:O910" si="685">HYPERLINK("https://www.wittenbergtigers.com/recruiting/questionnaires","Questionnaire")</f>
        <v>Questionnaire</v>
      </c>
      <c r="P908" s="48" t="s">
        <v>11851</v>
      </c>
      <c r="Q908" s="60" t="s">
        <v>1814</v>
      </c>
      <c r="R908" s="6" t="s">
        <v>4357</v>
      </c>
      <c r="S908" s="6" t="s">
        <v>11852</v>
      </c>
      <c r="T908" s="4" t="s">
        <v>63</v>
      </c>
      <c r="U908" s="2" t="s">
        <v>9398</v>
      </c>
      <c r="V908" s="7"/>
      <c r="W908" s="37">
        <v>3.4</v>
      </c>
      <c r="X908" s="4" t="s">
        <v>11853</v>
      </c>
      <c r="Y908" s="4" t="s">
        <v>11853</v>
      </c>
      <c r="Z908" s="4" t="s">
        <v>11854</v>
      </c>
      <c r="AA908" s="65">
        <v>0.78</v>
      </c>
      <c r="AB908" s="39">
        <v>51416</v>
      </c>
      <c r="AC908" s="84" t="s">
        <v>11851</v>
      </c>
      <c r="AD908" s="53" t="str">
        <f t="shared" ref="AD908:AD910" si="686">HYPERLINK("https://www.wittenberg.edu/academics/majors-minors","Link")</f>
        <v>Link</v>
      </c>
      <c r="AE908" s="42">
        <v>1960</v>
      </c>
      <c r="AF908" s="55"/>
      <c r="AG908" s="37">
        <v>158</v>
      </c>
      <c r="AH908" s="56">
        <v>206525</v>
      </c>
      <c r="AI908" s="57"/>
      <c r="AJ908" s="57"/>
    </row>
    <row r="909" spans="1:36" ht="13" x14ac:dyDescent="0.15">
      <c r="A909" s="57"/>
      <c r="B909" s="78" t="s">
        <v>8359</v>
      </c>
      <c r="C909" s="7" t="s">
        <v>43</v>
      </c>
      <c r="D909" s="44">
        <v>5</v>
      </c>
      <c r="E909" s="7" t="s">
        <v>11861</v>
      </c>
      <c r="F909" s="7"/>
      <c r="G909" s="7"/>
      <c r="H909" s="6" t="s">
        <v>11841</v>
      </c>
      <c r="I909" s="7" t="s">
        <v>981</v>
      </c>
      <c r="J909" s="7" t="s">
        <v>6589</v>
      </c>
      <c r="K909" s="7" t="s">
        <v>55</v>
      </c>
      <c r="L909" s="7" t="s">
        <v>11863</v>
      </c>
      <c r="M909" s="7"/>
      <c r="N909" s="45" t="str">
        <f t="shared" si="684"/>
        <v>@wittsoftball</v>
      </c>
      <c r="O909" s="45" t="str">
        <f t="shared" si="685"/>
        <v>Questionnaire</v>
      </c>
      <c r="P909" s="48" t="s">
        <v>11851</v>
      </c>
      <c r="Q909" s="60" t="s">
        <v>1814</v>
      </c>
      <c r="R909" s="6" t="s">
        <v>4357</v>
      </c>
      <c r="S909" s="6" t="s">
        <v>11865</v>
      </c>
      <c r="T909" s="4" t="s">
        <v>63</v>
      </c>
      <c r="U909" s="2" t="s">
        <v>9398</v>
      </c>
      <c r="V909" s="7"/>
      <c r="W909" s="37">
        <v>3.4</v>
      </c>
      <c r="X909" s="4" t="s">
        <v>11866</v>
      </c>
      <c r="Y909" s="4" t="s">
        <v>11866</v>
      </c>
      <c r="Z909" s="4" t="s">
        <v>11867</v>
      </c>
      <c r="AA909" s="65">
        <v>0.78</v>
      </c>
      <c r="AB909" s="39">
        <v>51416</v>
      </c>
      <c r="AC909" s="84" t="s">
        <v>11851</v>
      </c>
      <c r="AD909" s="53" t="str">
        <f t="shared" si="686"/>
        <v>Link</v>
      </c>
      <c r="AE909" s="42">
        <v>1960</v>
      </c>
      <c r="AF909" s="55"/>
      <c r="AG909" s="37">
        <v>158</v>
      </c>
      <c r="AH909" s="56">
        <v>206525</v>
      </c>
      <c r="AI909" s="57"/>
      <c r="AJ909" s="57"/>
    </row>
    <row r="910" spans="1:36" ht="13" x14ac:dyDescent="0.15">
      <c r="A910" s="57"/>
      <c r="B910" s="78" t="s">
        <v>8359</v>
      </c>
      <c r="C910" s="7" t="s">
        <v>43</v>
      </c>
      <c r="D910" s="44">
        <v>5</v>
      </c>
      <c r="E910" s="7" t="s">
        <v>11873</v>
      </c>
      <c r="F910" s="7"/>
      <c r="G910" s="7"/>
      <c r="H910" s="6" t="s">
        <v>11841</v>
      </c>
      <c r="I910" s="7" t="s">
        <v>539</v>
      </c>
      <c r="J910" s="7" t="s">
        <v>11875</v>
      </c>
      <c r="K910" s="7" t="s">
        <v>55</v>
      </c>
      <c r="L910" s="7"/>
      <c r="M910" s="7"/>
      <c r="N910" s="45" t="str">
        <f t="shared" si="684"/>
        <v>@wittsoftball</v>
      </c>
      <c r="O910" s="45" t="str">
        <f t="shared" si="685"/>
        <v>Questionnaire</v>
      </c>
      <c r="P910" s="48" t="s">
        <v>11851</v>
      </c>
      <c r="Q910" s="60" t="s">
        <v>1814</v>
      </c>
      <c r="R910" s="6" t="s">
        <v>4357</v>
      </c>
      <c r="S910" s="6" t="s">
        <v>11877</v>
      </c>
      <c r="T910" s="4" t="s">
        <v>63</v>
      </c>
      <c r="U910" s="2" t="s">
        <v>9398</v>
      </c>
      <c r="V910" s="7"/>
      <c r="W910" s="37">
        <v>3.4</v>
      </c>
      <c r="X910" s="4" t="s">
        <v>11878</v>
      </c>
      <c r="Y910" s="4" t="s">
        <v>11878</v>
      </c>
      <c r="Z910" s="4" t="s">
        <v>11880</v>
      </c>
      <c r="AA910" s="65">
        <v>0.78</v>
      </c>
      <c r="AB910" s="39">
        <v>51416</v>
      </c>
      <c r="AC910" s="84" t="s">
        <v>11851</v>
      </c>
      <c r="AD910" s="53" t="str">
        <f t="shared" si="686"/>
        <v>Link</v>
      </c>
      <c r="AE910" s="42">
        <v>1960</v>
      </c>
      <c r="AF910" s="55"/>
      <c r="AG910" s="37">
        <v>158</v>
      </c>
      <c r="AH910" s="56">
        <v>206525</v>
      </c>
      <c r="AI910" s="57"/>
      <c r="AJ910" s="57"/>
    </row>
    <row r="911" spans="1:36" ht="13" x14ac:dyDescent="0.15">
      <c r="A911" s="57"/>
      <c r="B911" s="78" t="s">
        <v>8359</v>
      </c>
      <c r="C911" s="7" t="s">
        <v>43</v>
      </c>
      <c r="D911" s="44">
        <v>5</v>
      </c>
      <c r="E911" s="7" t="s">
        <v>11883</v>
      </c>
      <c r="F911" s="7"/>
      <c r="G911" s="7"/>
      <c r="H911" s="6" t="s">
        <v>11884</v>
      </c>
      <c r="I911" s="7" t="s">
        <v>11885</v>
      </c>
      <c r="J911" s="7" t="s">
        <v>11886</v>
      </c>
      <c r="K911" s="7" t="s">
        <v>48</v>
      </c>
      <c r="L911" s="7" t="s">
        <v>11887</v>
      </c>
      <c r="M911" s="7" t="s">
        <v>11888</v>
      </c>
      <c r="N911" s="45" t="str">
        <f t="shared" ref="N911:N913" si="687">HYPERLINK("twitter.com/CoWSoftball","@CoWSoftball")</f>
        <v>@CoWSoftball</v>
      </c>
      <c r="O911" s="45" t="str">
        <f t="shared" ref="O911:O913" si="688">HYPERLINK("https://www.woosterathletics.com/recruits/index","Questionnaire")</f>
        <v>Questionnaire</v>
      </c>
      <c r="P911" s="48" t="s">
        <v>11897</v>
      </c>
      <c r="Q911" s="60" t="s">
        <v>1814</v>
      </c>
      <c r="R911" s="6" t="s">
        <v>11900</v>
      </c>
      <c r="S911" s="6" t="s">
        <v>11901</v>
      </c>
      <c r="T911" s="4" t="s">
        <v>63</v>
      </c>
      <c r="U911" s="2" t="s">
        <v>75</v>
      </c>
      <c r="V911" s="7"/>
      <c r="W911" s="37">
        <v>3.66</v>
      </c>
      <c r="X911" s="4" t="s">
        <v>11904</v>
      </c>
      <c r="Y911" s="4" t="s">
        <v>11905</v>
      </c>
      <c r="Z911" s="4" t="s">
        <v>11906</v>
      </c>
      <c r="AA911" s="65">
        <v>0.57999999999999996</v>
      </c>
      <c r="AB911" s="39">
        <v>59800</v>
      </c>
      <c r="AC911" s="84" t="s">
        <v>11897</v>
      </c>
      <c r="AD911" s="53" t="str">
        <f t="shared" ref="AD911:AD913" si="689">HYPERLINK("https://www.wooster.edu/academics/areas/","Link")</f>
        <v>Link</v>
      </c>
      <c r="AE911" s="42">
        <v>2003</v>
      </c>
      <c r="AF911" s="55"/>
      <c r="AG911" s="37">
        <v>63</v>
      </c>
      <c r="AH911" s="56">
        <v>206589</v>
      </c>
      <c r="AI911" s="57"/>
      <c r="AJ911" s="57"/>
    </row>
    <row r="912" spans="1:36" ht="13" x14ac:dyDescent="0.15">
      <c r="A912" s="57"/>
      <c r="B912" s="78" t="s">
        <v>8359</v>
      </c>
      <c r="C912" s="7" t="s">
        <v>43</v>
      </c>
      <c r="D912" s="44">
        <v>5</v>
      </c>
      <c r="E912" s="7" t="s">
        <v>11908</v>
      </c>
      <c r="F912" s="7"/>
      <c r="G912" s="7"/>
      <c r="H912" s="6" t="s">
        <v>11884</v>
      </c>
      <c r="I912" s="7" t="s">
        <v>2747</v>
      </c>
      <c r="J912" s="7" t="s">
        <v>11910</v>
      </c>
      <c r="K912" s="7" t="s">
        <v>55</v>
      </c>
      <c r="L912" s="7" t="s">
        <v>11911</v>
      </c>
      <c r="M912" s="7" t="s">
        <v>11913</v>
      </c>
      <c r="N912" s="45" t="str">
        <f t="shared" si="687"/>
        <v>@CoWSoftball</v>
      </c>
      <c r="O912" s="45" t="str">
        <f t="shared" si="688"/>
        <v>Questionnaire</v>
      </c>
      <c r="P912" s="48" t="s">
        <v>11897</v>
      </c>
      <c r="Q912" s="60" t="s">
        <v>1814</v>
      </c>
      <c r="R912" s="6" t="s">
        <v>11900</v>
      </c>
      <c r="S912" s="6" t="s">
        <v>11914</v>
      </c>
      <c r="T912" s="4" t="s">
        <v>63</v>
      </c>
      <c r="U912" s="2" t="s">
        <v>75</v>
      </c>
      <c r="V912" s="7"/>
      <c r="W912" s="37">
        <v>3.66</v>
      </c>
      <c r="X912" s="4" t="s">
        <v>11916</v>
      </c>
      <c r="Y912" s="4" t="s">
        <v>11917</v>
      </c>
      <c r="Z912" s="4" t="s">
        <v>11918</v>
      </c>
      <c r="AA912" s="65">
        <v>0.57999999999999996</v>
      </c>
      <c r="AB912" s="39">
        <v>59800</v>
      </c>
      <c r="AC912" s="84" t="s">
        <v>11897</v>
      </c>
      <c r="AD912" s="53" t="str">
        <f t="shared" si="689"/>
        <v>Link</v>
      </c>
      <c r="AE912" s="42">
        <v>2003</v>
      </c>
      <c r="AF912" s="55"/>
      <c r="AG912" s="37">
        <v>63</v>
      </c>
      <c r="AH912" s="56">
        <v>206589</v>
      </c>
      <c r="AI912" s="57"/>
      <c r="AJ912" s="57"/>
    </row>
    <row r="913" spans="1:36" ht="13" x14ac:dyDescent="0.15">
      <c r="A913" s="57"/>
      <c r="B913" s="78" t="s">
        <v>8359</v>
      </c>
      <c r="C913" s="7" t="s">
        <v>43</v>
      </c>
      <c r="D913" s="86">
        <v>5</v>
      </c>
      <c r="E913" s="7" t="s">
        <v>11919</v>
      </c>
      <c r="F913" s="7" t="s">
        <v>116</v>
      </c>
      <c r="G913" s="7"/>
      <c r="H913" s="6" t="s">
        <v>11884</v>
      </c>
      <c r="I913" s="7" t="s">
        <v>94</v>
      </c>
      <c r="J913" s="7" t="s">
        <v>11920</v>
      </c>
      <c r="K913" s="7" t="s">
        <v>1423</v>
      </c>
      <c r="L913" s="7" t="s">
        <v>11921</v>
      </c>
      <c r="M913" s="7" t="s">
        <v>11922</v>
      </c>
      <c r="N913" s="45" t="str">
        <f t="shared" si="687"/>
        <v>@CoWSoftball</v>
      </c>
      <c r="O913" s="45" t="str">
        <f t="shared" si="688"/>
        <v>Questionnaire</v>
      </c>
      <c r="P913" s="48" t="s">
        <v>11897</v>
      </c>
      <c r="Q913" s="60" t="s">
        <v>1814</v>
      </c>
      <c r="R913" s="6" t="s">
        <v>11900</v>
      </c>
      <c r="S913" s="6" t="s">
        <v>11901</v>
      </c>
      <c r="T913" s="4" t="s">
        <v>63</v>
      </c>
      <c r="U913" s="4" t="s">
        <v>75</v>
      </c>
      <c r="V913" s="7"/>
      <c r="W913" s="37">
        <v>3.66</v>
      </c>
      <c r="X913" s="4" t="s">
        <v>11904</v>
      </c>
      <c r="Y913" s="4" t="s">
        <v>11905</v>
      </c>
      <c r="Z913" s="4" t="s">
        <v>11906</v>
      </c>
      <c r="AA913" s="65">
        <v>0.57999999999999996</v>
      </c>
      <c r="AB913" s="39">
        <v>59800</v>
      </c>
      <c r="AC913" s="84" t="s">
        <v>11897</v>
      </c>
      <c r="AD913" s="53" t="str">
        <f t="shared" si="689"/>
        <v>Link</v>
      </c>
      <c r="AE913" s="42">
        <v>2003</v>
      </c>
      <c r="AF913" s="55"/>
      <c r="AG913" s="37">
        <v>63</v>
      </c>
      <c r="AH913" s="56">
        <v>206589</v>
      </c>
      <c r="AI913" s="57"/>
      <c r="AJ913" s="57"/>
    </row>
    <row r="914" spans="1:36" ht="13" x14ac:dyDescent="0.15">
      <c r="A914" s="57"/>
      <c r="B914" s="78" t="s">
        <v>9218</v>
      </c>
      <c r="C914" s="7" t="s">
        <v>43</v>
      </c>
      <c r="D914" s="44">
        <v>5</v>
      </c>
      <c r="E914" s="7" t="s">
        <v>11933</v>
      </c>
      <c r="F914" s="7"/>
      <c r="G914" s="7"/>
      <c r="H914" s="6" t="s">
        <v>11934</v>
      </c>
      <c r="I914" s="7" t="s">
        <v>201</v>
      </c>
      <c r="J914" s="7" t="s">
        <v>11935</v>
      </c>
      <c r="K914" s="7" t="s">
        <v>48</v>
      </c>
      <c r="L914" s="7" t="s">
        <v>11936</v>
      </c>
      <c r="M914" s="7" t="s">
        <v>11937</v>
      </c>
      <c r="N914" s="69" t="str">
        <f t="shared" ref="N914:N919" si="690">HYPERLINK("twitter.com/gfusoftball","@gfusoftball")</f>
        <v>@gfusoftball</v>
      </c>
      <c r="O914" s="45" t="str">
        <f t="shared" ref="O914:O919" si="691">HYPERLINK("https://athletics.georgefox.edu/get-recruited","Questionnaire")</f>
        <v>Questionnaire</v>
      </c>
      <c r="P914" s="48" t="s">
        <v>11943</v>
      </c>
      <c r="Q914" s="47" t="s">
        <v>3670</v>
      </c>
      <c r="R914" s="48" t="s">
        <v>11944</v>
      </c>
      <c r="S914" s="48" t="s">
        <v>11945</v>
      </c>
      <c r="T914" s="73" t="s">
        <v>63</v>
      </c>
      <c r="U914" s="49" t="s">
        <v>2827</v>
      </c>
      <c r="V914" s="7"/>
      <c r="W914" s="44">
        <v>3.56</v>
      </c>
      <c r="X914" s="49" t="s">
        <v>11946</v>
      </c>
      <c r="Y914" s="49" t="s">
        <v>11946</v>
      </c>
      <c r="Z914" s="49" t="s">
        <v>11947</v>
      </c>
      <c r="AA914" s="61">
        <v>0.64</v>
      </c>
      <c r="AB914" s="71">
        <v>47328</v>
      </c>
      <c r="AC914" s="62" t="s">
        <v>11943</v>
      </c>
      <c r="AD914" s="53" t="str">
        <f t="shared" ref="AD914:AD919" si="692">HYPERLINK("https://www.georgefox.edu/college-admissions/academics/majors-minors.html","Link")</f>
        <v>Link</v>
      </c>
      <c r="AE914" s="54">
        <v>2707</v>
      </c>
      <c r="AF914" s="55"/>
      <c r="AG914" s="7"/>
      <c r="AH914" s="56">
        <v>208822</v>
      </c>
      <c r="AI914" s="57"/>
      <c r="AJ914" s="57"/>
    </row>
    <row r="915" spans="1:36" ht="13" x14ac:dyDescent="0.15">
      <c r="A915" s="57"/>
      <c r="B915" s="78" t="s">
        <v>9218</v>
      </c>
      <c r="C915" s="7" t="s">
        <v>43</v>
      </c>
      <c r="D915" s="44">
        <v>5</v>
      </c>
      <c r="E915" s="7" t="s">
        <v>11956</v>
      </c>
      <c r="F915" s="7"/>
      <c r="G915" s="7"/>
      <c r="H915" s="6" t="s">
        <v>11934</v>
      </c>
      <c r="I915" s="7" t="s">
        <v>658</v>
      </c>
      <c r="J915" s="7" t="s">
        <v>11935</v>
      </c>
      <c r="K915" s="7" t="s">
        <v>55</v>
      </c>
      <c r="L915" s="7" t="s">
        <v>11957</v>
      </c>
      <c r="M915" s="7"/>
      <c r="N915" s="45" t="str">
        <f t="shared" si="690"/>
        <v>@gfusoftball</v>
      </c>
      <c r="O915" s="45" t="str">
        <f t="shared" si="691"/>
        <v>Questionnaire</v>
      </c>
      <c r="P915" s="48" t="s">
        <v>11943</v>
      </c>
      <c r="Q915" s="47" t="s">
        <v>3670</v>
      </c>
      <c r="R915" s="48" t="s">
        <v>11944</v>
      </c>
      <c r="S915" s="48" t="s">
        <v>11958</v>
      </c>
      <c r="T915" s="73" t="s">
        <v>63</v>
      </c>
      <c r="U915" s="49" t="s">
        <v>2827</v>
      </c>
      <c r="V915" s="7"/>
      <c r="W915" s="44">
        <v>3.56</v>
      </c>
      <c r="X915" s="49" t="s">
        <v>11959</v>
      </c>
      <c r="Y915" s="49" t="s">
        <v>11959</v>
      </c>
      <c r="Z915" s="49" t="s">
        <v>11960</v>
      </c>
      <c r="AA915" s="61">
        <v>0.64</v>
      </c>
      <c r="AB915" s="71">
        <v>47328</v>
      </c>
      <c r="AC915" s="62" t="s">
        <v>11943</v>
      </c>
      <c r="AD915" s="53" t="str">
        <f t="shared" si="692"/>
        <v>Link</v>
      </c>
      <c r="AE915" s="54">
        <v>2707</v>
      </c>
      <c r="AF915" s="55"/>
      <c r="AG915" s="7"/>
      <c r="AH915" s="56">
        <v>208822</v>
      </c>
      <c r="AI915" s="57"/>
      <c r="AJ915" s="57"/>
    </row>
    <row r="916" spans="1:36" ht="13" x14ac:dyDescent="0.15">
      <c r="A916" s="57"/>
      <c r="B916" s="78" t="s">
        <v>9218</v>
      </c>
      <c r="C916" s="7" t="s">
        <v>43</v>
      </c>
      <c r="D916" s="44">
        <v>5</v>
      </c>
      <c r="E916" s="7" t="s">
        <v>11970</v>
      </c>
      <c r="F916" s="7"/>
      <c r="G916" s="7"/>
      <c r="H916" s="6" t="s">
        <v>11934</v>
      </c>
      <c r="I916" s="7" t="s">
        <v>991</v>
      </c>
      <c r="J916" s="7" t="s">
        <v>11971</v>
      </c>
      <c r="K916" s="7" t="s">
        <v>55</v>
      </c>
      <c r="L916" s="7" t="s">
        <v>11972</v>
      </c>
      <c r="M916" s="7" t="s">
        <v>11973</v>
      </c>
      <c r="N916" s="45" t="str">
        <f t="shared" si="690"/>
        <v>@gfusoftball</v>
      </c>
      <c r="O916" s="45" t="str">
        <f t="shared" si="691"/>
        <v>Questionnaire</v>
      </c>
      <c r="P916" s="48" t="s">
        <v>11943</v>
      </c>
      <c r="Q916" s="47" t="s">
        <v>3670</v>
      </c>
      <c r="R916" s="48" t="s">
        <v>11944</v>
      </c>
      <c r="S916" s="48" t="s">
        <v>11974</v>
      </c>
      <c r="T916" s="73" t="s">
        <v>63</v>
      </c>
      <c r="U916" s="49" t="s">
        <v>2827</v>
      </c>
      <c r="V916" s="7"/>
      <c r="W916" s="44">
        <v>3.56</v>
      </c>
      <c r="X916" s="49" t="s">
        <v>11975</v>
      </c>
      <c r="Y916" s="49" t="s">
        <v>11975</v>
      </c>
      <c r="Z916" s="49" t="s">
        <v>11976</v>
      </c>
      <c r="AA916" s="61">
        <v>0.64</v>
      </c>
      <c r="AB916" s="71">
        <v>47328</v>
      </c>
      <c r="AC916" s="62" t="s">
        <v>11943</v>
      </c>
      <c r="AD916" s="53" t="str">
        <f t="shared" si="692"/>
        <v>Link</v>
      </c>
      <c r="AE916" s="54">
        <v>2707</v>
      </c>
      <c r="AF916" s="55"/>
      <c r="AG916" s="7"/>
      <c r="AH916" s="56">
        <v>208822</v>
      </c>
      <c r="AI916" s="57"/>
      <c r="AJ916" s="57"/>
    </row>
    <row r="917" spans="1:36" ht="13" x14ac:dyDescent="0.15">
      <c r="A917" s="57"/>
      <c r="B917" s="78" t="s">
        <v>9218</v>
      </c>
      <c r="C917" s="7" t="s">
        <v>43</v>
      </c>
      <c r="D917" s="44">
        <v>5</v>
      </c>
      <c r="E917" s="7" t="s">
        <v>11977</v>
      </c>
      <c r="F917" s="7" t="s">
        <v>116</v>
      </c>
      <c r="G917" s="7"/>
      <c r="H917" s="6" t="s">
        <v>11934</v>
      </c>
      <c r="I917" s="7" t="s">
        <v>1080</v>
      </c>
      <c r="J917" s="7" t="s">
        <v>1448</v>
      </c>
      <c r="K917" s="7" t="s">
        <v>55</v>
      </c>
      <c r="L917" s="7"/>
      <c r="M917" s="7"/>
      <c r="N917" s="45" t="str">
        <f t="shared" si="690"/>
        <v>@gfusoftball</v>
      </c>
      <c r="O917" s="45" t="str">
        <f t="shared" si="691"/>
        <v>Questionnaire</v>
      </c>
      <c r="P917" s="48" t="s">
        <v>11943</v>
      </c>
      <c r="Q917" s="47" t="s">
        <v>3670</v>
      </c>
      <c r="R917" s="48" t="s">
        <v>11944</v>
      </c>
      <c r="S917" s="48" t="s">
        <v>11982</v>
      </c>
      <c r="T917" s="73" t="s">
        <v>63</v>
      </c>
      <c r="U917" s="49" t="s">
        <v>2827</v>
      </c>
      <c r="V917" s="7"/>
      <c r="W917" s="44">
        <v>3.56</v>
      </c>
      <c r="X917" s="49" t="s">
        <v>11985</v>
      </c>
      <c r="Y917" s="49" t="s">
        <v>11985</v>
      </c>
      <c r="Z917" s="49" t="s">
        <v>11987</v>
      </c>
      <c r="AA917" s="61">
        <v>0.64</v>
      </c>
      <c r="AB917" s="71">
        <v>47328</v>
      </c>
      <c r="AC917" s="62" t="s">
        <v>11943</v>
      </c>
      <c r="AD917" s="53" t="str">
        <f t="shared" si="692"/>
        <v>Link</v>
      </c>
      <c r="AE917" s="54">
        <v>2707</v>
      </c>
      <c r="AF917" s="55"/>
      <c r="AG917" s="7"/>
      <c r="AH917" s="56">
        <v>208822</v>
      </c>
      <c r="AI917" s="57"/>
      <c r="AJ917" s="57"/>
    </row>
    <row r="918" spans="1:36" ht="13" x14ac:dyDescent="0.15">
      <c r="A918" s="57"/>
      <c r="B918" s="78" t="s">
        <v>9218</v>
      </c>
      <c r="C918" s="7" t="s">
        <v>43</v>
      </c>
      <c r="D918" s="44">
        <v>5</v>
      </c>
      <c r="E918" s="7" t="s">
        <v>11988</v>
      </c>
      <c r="F918" s="7"/>
      <c r="G918" s="7" t="s">
        <v>126</v>
      </c>
      <c r="H918" s="6" t="s">
        <v>11934</v>
      </c>
      <c r="I918" s="7" t="s">
        <v>11990</v>
      </c>
      <c r="J918" s="7"/>
      <c r="K918" s="7"/>
      <c r="L918" s="7"/>
      <c r="M918" s="7"/>
      <c r="N918" s="45" t="str">
        <f t="shared" si="690"/>
        <v>@gfusoftball</v>
      </c>
      <c r="O918" s="45" t="str">
        <f t="shared" si="691"/>
        <v>Questionnaire</v>
      </c>
      <c r="P918" s="48" t="s">
        <v>11943</v>
      </c>
      <c r="Q918" s="47" t="s">
        <v>3670</v>
      </c>
      <c r="R918" s="48" t="s">
        <v>11944</v>
      </c>
      <c r="S918" s="48" t="s">
        <v>11993</v>
      </c>
      <c r="T918" s="73" t="s">
        <v>63</v>
      </c>
      <c r="U918" s="49" t="s">
        <v>2827</v>
      </c>
      <c r="V918" s="7"/>
      <c r="W918" s="44">
        <v>3.56</v>
      </c>
      <c r="X918" s="49" t="s">
        <v>11994</v>
      </c>
      <c r="Y918" s="49" t="s">
        <v>11994</v>
      </c>
      <c r="Z918" s="49" t="s">
        <v>11995</v>
      </c>
      <c r="AA918" s="61">
        <v>0.64</v>
      </c>
      <c r="AB918" s="71">
        <v>47328</v>
      </c>
      <c r="AC918" s="62" t="s">
        <v>11943</v>
      </c>
      <c r="AD918" s="53" t="str">
        <f t="shared" si="692"/>
        <v>Link</v>
      </c>
      <c r="AE918" s="54">
        <v>2707</v>
      </c>
      <c r="AF918" s="55"/>
      <c r="AG918" s="7"/>
      <c r="AH918" s="56">
        <v>208822</v>
      </c>
      <c r="AI918" s="57"/>
      <c r="AJ918" s="57"/>
    </row>
    <row r="919" spans="1:36" ht="13" x14ac:dyDescent="0.15">
      <c r="A919" s="57"/>
      <c r="B919" s="78" t="s">
        <v>9218</v>
      </c>
      <c r="C919" s="7" t="s">
        <v>43</v>
      </c>
      <c r="D919" s="44">
        <v>5</v>
      </c>
      <c r="E919" s="7" t="s">
        <v>11996</v>
      </c>
      <c r="F919" s="7"/>
      <c r="G919" s="7" t="s">
        <v>126</v>
      </c>
      <c r="H919" s="6" t="s">
        <v>11934</v>
      </c>
      <c r="I919" s="7" t="s">
        <v>11997</v>
      </c>
      <c r="J919" s="7"/>
      <c r="K919" s="7"/>
      <c r="L919" s="7"/>
      <c r="M919" s="7"/>
      <c r="N919" s="45" t="str">
        <f t="shared" si="690"/>
        <v>@gfusoftball</v>
      </c>
      <c r="O919" s="45" t="str">
        <f t="shared" si="691"/>
        <v>Questionnaire</v>
      </c>
      <c r="P919" s="48" t="s">
        <v>11943</v>
      </c>
      <c r="Q919" s="47" t="s">
        <v>3670</v>
      </c>
      <c r="R919" s="48" t="s">
        <v>11944</v>
      </c>
      <c r="S919" s="48" t="s">
        <v>12001</v>
      </c>
      <c r="T919" s="73" t="s">
        <v>63</v>
      </c>
      <c r="U919" s="49" t="s">
        <v>2827</v>
      </c>
      <c r="V919" s="7"/>
      <c r="W919" s="44">
        <v>3.56</v>
      </c>
      <c r="X919" s="49" t="s">
        <v>4412</v>
      </c>
      <c r="Y919" s="49" t="s">
        <v>4412</v>
      </c>
      <c r="Z919" s="49" t="s">
        <v>12006</v>
      </c>
      <c r="AA919" s="61">
        <v>0.64</v>
      </c>
      <c r="AB919" s="71">
        <v>47328</v>
      </c>
      <c r="AC919" s="62" t="s">
        <v>11943</v>
      </c>
      <c r="AD919" s="53" t="str">
        <f t="shared" si="692"/>
        <v>Link</v>
      </c>
      <c r="AE919" s="54">
        <v>2707</v>
      </c>
      <c r="AF919" s="55"/>
      <c r="AG919" s="7"/>
      <c r="AH919" s="56">
        <v>208822</v>
      </c>
      <c r="AI919" s="57"/>
      <c r="AJ919" s="57"/>
    </row>
    <row r="920" spans="1:36" ht="13" x14ac:dyDescent="0.15">
      <c r="A920" s="57"/>
      <c r="B920" s="78" t="s">
        <v>9218</v>
      </c>
      <c r="C920" s="7" t="s">
        <v>43</v>
      </c>
      <c r="D920" s="44">
        <v>5</v>
      </c>
      <c r="E920" s="7" t="s">
        <v>12007</v>
      </c>
      <c r="F920" s="7"/>
      <c r="G920" s="7"/>
      <c r="H920" s="6" t="s">
        <v>12008</v>
      </c>
      <c r="I920" s="7" t="s">
        <v>9539</v>
      </c>
      <c r="J920" s="7" t="s">
        <v>12009</v>
      </c>
      <c r="K920" s="7" t="s">
        <v>48</v>
      </c>
      <c r="L920" s="7" t="s">
        <v>12010</v>
      </c>
      <c r="M920" s="7" t="s">
        <v>12011</v>
      </c>
      <c r="N920" s="48"/>
      <c r="O920" s="45" t="str">
        <f t="shared" ref="O920:O922" si="693">HYPERLINK("https://www.lcpioneers.com/about/prospective_athletes/SA_Questionnaires/interest_profile_master","Questionnaire")</f>
        <v>Questionnaire</v>
      </c>
      <c r="P920" s="48" t="s">
        <v>12012</v>
      </c>
      <c r="Q920" s="47" t="s">
        <v>3670</v>
      </c>
      <c r="R920" s="48" t="s">
        <v>3684</v>
      </c>
      <c r="S920" s="55" t="s">
        <v>12014</v>
      </c>
      <c r="T920" s="49" t="s">
        <v>63</v>
      </c>
      <c r="U920" s="49" t="s">
        <v>75</v>
      </c>
      <c r="V920" s="7"/>
      <c r="W920" s="44">
        <v>3.93</v>
      </c>
      <c r="X920" s="49" t="s">
        <v>12016</v>
      </c>
      <c r="Y920" s="49" t="s">
        <v>12017</v>
      </c>
      <c r="Z920" s="49" t="s">
        <v>12018</v>
      </c>
      <c r="AA920" s="61">
        <v>0.55000000000000004</v>
      </c>
      <c r="AB920" s="71">
        <v>61536</v>
      </c>
      <c r="AC920" s="62" t="s">
        <v>12012</v>
      </c>
      <c r="AD920" s="53" t="str">
        <f t="shared" ref="AD920:AD922" si="694">HYPERLINK("https://college.lclark.edu/academics/","Link")</f>
        <v>Link</v>
      </c>
      <c r="AE920" s="54">
        <v>2134</v>
      </c>
      <c r="AF920" s="55"/>
      <c r="AG920" s="44">
        <v>76</v>
      </c>
      <c r="AH920" s="56">
        <v>209056</v>
      </c>
      <c r="AI920" s="57"/>
      <c r="AJ920" s="57"/>
    </row>
    <row r="921" spans="1:36" ht="13" x14ac:dyDescent="0.15">
      <c r="A921" s="57"/>
      <c r="B921" s="78" t="s">
        <v>9218</v>
      </c>
      <c r="C921" s="7" t="s">
        <v>43</v>
      </c>
      <c r="D921" s="44">
        <v>5</v>
      </c>
      <c r="E921" s="7" t="s">
        <v>12019</v>
      </c>
      <c r="F921" s="7"/>
      <c r="G921" s="7"/>
      <c r="H921" s="6" t="s">
        <v>12008</v>
      </c>
      <c r="I921" s="7" t="s">
        <v>2747</v>
      </c>
      <c r="J921" s="7" t="s">
        <v>1267</v>
      </c>
      <c r="K921" s="7" t="s">
        <v>55</v>
      </c>
      <c r="L921" s="7" t="s">
        <v>12020</v>
      </c>
      <c r="M921" s="7" t="s">
        <v>12011</v>
      </c>
      <c r="N921" s="48"/>
      <c r="O921" s="45" t="str">
        <f t="shared" si="693"/>
        <v>Questionnaire</v>
      </c>
      <c r="P921" s="48" t="s">
        <v>12012</v>
      </c>
      <c r="Q921" s="47" t="s">
        <v>3670</v>
      </c>
      <c r="R921" s="48" t="s">
        <v>3684</v>
      </c>
      <c r="S921" s="55" t="s">
        <v>12024</v>
      </c>
      <c r="T921" s="49" t="s">
        <v>63</v>
      </c>
      <c r="U921" s="49" t="s">
        <v>75</v>
      </c>
      <c r="V921" s="7"/>
      <c r="W921" s="44">
        <v>3.93</v>
      </c>
      <c r="X921" s="49" t="s">
        <v>12026</v>
      </c>
      <c r="Y921" s="49" t="s">
        <v>12028</v>
      </c>
      <c r="Z921" s="49" t="s">
        <v>12030</v>
      </c>
      <c r="AA921" s="61">
        <v>0.55000000000000004</v>
      </c>
      <c r="AB921" s="71">
        <v>61536</v>
      </c>
      <c r="AC921" s="62" t="s">
        <v>12012</v>
      </c>
      <c r="AD921" s="53" t="str">
        <f t="shared" si="694"/>
        <v>Link</v>
      </c>
      <c r="AE921" s="54">
        <v>2134</v>
      </c>
      <c r="AF921" s="55"/>
      <c r="AG921" s="44">
        <v>76</v>
      </c>
      <c r="AH921" s="56">
        <v>209056</v>
      </c>
      <c r="AI921" s="57"/>
      <c r="AJ921" s="57"/>
    </row>
    <row r="922" spans="1:36" ht="13" x14ac:dyDescent="0.15">
      <c r="A922" s="57"/>
      <c r="B922" s="78" t="s">
        <v>9218</v>
      </c>
      <c r="C922" s="7" t="s">
        <v>43</v>
      </c>
      <c r="D922" s="86">
        <v>5</v>
      </c>
      <c r="E922" s="7" t="s">
        <v>12031</v>
      </c>
      <c r="F922" s="7" t="s">
        <v>116</v>
      </c>
      <c r="G922" s="7"/>
      <c r="H922" s="6" t="s">
        <v>12008</v>
      </c>
      <c r="I922" s="7" t="s">
        <v>4611</v>
      </c>
      <c r="J922" s="7" t="s">
        <v>12032</v>
      </c>
      <c r="K922" s="7" t="s">
        <v>55</v>
      </c>
      <c r="L922" s="7" t="s">
        <v>12033</v>
      </c>
      <c r="M922" s="7"/>
      <c r="N922" s="48"/>
      <c r="O922" s="45" t="str">
        <f t="shared" si="693"/>
        <v>Questionnaire</v>
      </c>
      <c r="P922" s="48" t="s">
        <v>12012</v>
      </c>
      <c r="Q922" s="47" t="s">
        <v>3670</v>
      </c>
      <c r="R922" s="48" t="s">
        <v>3684</v>
      </c>
      <c r="S922" s="55" t="s">
        <v>12014</v>
      </c>
      <c r="T922" s="49" t="s">
        <v>63</v>
      </c>
      <c r="U922" s="49" t="s">
        <v>75</v>
      </c>
      <c r="V922" s="7"/>
      <c r="W922" s="44">
        <v>3.93</v>
      </c>
      <c r="X922" s="49" t="s">
        <v>12016</v>
      </c>
      <c r="Y922" s="49" t="s">
        <v>12017</v>
      </c>
      <c r="Z922" s="49" t="s">
        <v>12018</v>
      </c>
      <c r="AA922" s="61">
        <v>0.55000000000000004</v>
      </c>
      <c r="AB922" s="71">
        <v>61536</v>
      </c>
      <c r="AC922" s="62" t="s">
        <v>12012</v>
      </c>
      <c r="AD922" s="53" t="str">
        <f t="shared" si="694"/>
        <v>Link</v>
      </c>
      <c r="AE922" s="54">
        <v>2134</v>
      </c>
      <c r="AF922" s="55"/>
      <c r="AG922" s="44">
        <v>76</v>
      </c>
      <c r="AH922" s="56">
        <v>209056</v>
      </c>
      <c r="AI922" s="57"/>
      <c r="AJ922" s="57"/>
    </row>
    <row r="923" spans="1:36" ht="13" x14ac:dyDescent="0.15">
      <c r="A923" s="57"/>
      <c r="B923" s="78" t="s">
        <v>9218</v>
      </c>
      <c r="C923" s="7" t="s">
        <v>43</v>
      </c>
      <c r="D923" s="44">
        <v>5</v>
      </c>
      <c r="E923" s="7" t="s">
        <v>12038</v>
      </c>
      <c r="F923" s="7"/>
      <c r="G923" s="7"/>
      <c r="H923" s="6" t="s">
        <v>12039</v>
      </c>
      <c r="I923" s="7" t="s">
        <v>773</v>
      </c>
      <c r="J923" s="7" t="s">
        <v>9057</v>
      </c>
      <c r="K923" s="7" t="s">
        <v>48</v>
      </c>
      <c r="L923" s="7" t="s">
        <v>12040</v>
      </c>
      <c r="M923" s="7" t="s">
        <v>12041</v>
      </c>
      <c r="N923" s="45" t="str">
        <f t="shared" ref="N923:N925" si="695">HYPERLINK("twitter.com/linfieldcatball","@linfieldcatball")</f>
        <v>@linfieldcatball</v>
      </c>
      <c r="O923" s="45" t="str">
        <f t="shared" ref="O923:O925" si="696">HYPERLINK("https://golinfieldwildcats.com/sports/2017/8/26/recruiting.aspx","Questionnaire")</f>
        <v>Questionnaire</v>
      </c>
      <c r="P923" s="48" t="s">
        <v>12050</v>
      </c>
      <c r="Q923" s="60" t="s">
        <v>3670</v>
      </c>
      <c r="R923" s="48" t="s">
        <v>12051</v>
      </c>
      <c r="S923" s="48" t="s">
        <v>12052</v>
      </c>
      <c r="T923" s="49" t="s">
        <v>63</v>
      </c>
      <c r="U923" s="49" t="s">
        <v>2715</v>
      </c>
      <c r="V923" s="7"/>
      <c r="W923" s="44">
        <v>3.65</v>
      </c>
      <c r="X923" s="49" t="s">
        <v>12053</v>
      </c>
      <c r="Y923" s="49" t="s">
        <v>6311</v>
      </c>
      <c r="Z923" s="49" t="s">
        <v>12054</v>
      </c>
      <c r="AA923" s="61">
        <v>0.81</v>
      </c>
      <c r="AB923" s="71">
        <v>54730</v>
      </c>
      <c r="AC923" s="62" t="s">
        <v>12050</v>
      </c>
      <c r="AD923" s="53" t="str">
        <f t="shared" ref="AD923:AD925" si="697">HYPERLINK("https://www.linfield.edu/admission/learn/majors-minors.html","Link")</f>
        <v>Link</v>
      </c>
      <c r="AE923" s="54">
        <v>1632</v>
      </c>
      <c r="AF923" s="55"/>
      <c r="AG923" s="44">
        <v>117</v>
      </c>
      <c r="AH923" s="56">
        <v>209065</v>
      </c>
      <c r="AI923" s="57"/>
      <c r="AJ923" s="57"/>
    </row>
    <row r="924" spans="1:36" ht="13" x14ac:dyDescent="0.15">
      <c r="A924" s="57"/>
      <c r="B924" s="78" t="s">
        <v>9218</v>
      </c>
      <c r="C924" s="7" t="s">
        <v>43</v>
      </c>
      <c r="D924" s="44">
        <v>5</v>
      </c>
      <c r="E924" s="7" t="s">
        <v>12058</v>
      </c>
      <c r="F924" s="7"/>
      <c r="G924" s="7"/>
      <c r="H924" s="6" t="s">
        <v>12039</v>
      </c>
      <c r="I924" s="7" t="s">
        <v>4611</v>
      </c>
      <c r="J924" s="7" t="s">
        <v>12062</v>
      </c>
      <c r="K924" s="7" t="s">
        <v>12063</v>
      </c>
      <c r="L924" s="7" t="s">
        <v>12065</v>
      </c>
      <c r="M924" s="7"/>
      <c r="N924" s="45" t="str">
        <f t="shared" si="695"/>
        <v>@linfieldcatball</v>
      </c>
      <c r="O924" s="45" t="str">
        <f t="shared" si="696"/>
        <v>Questionnaire</v>
      </c>
      <c r="P924" s="48" t="s">
        <v>12050</v>
      </c>
      <c r="Q924" s="60" t="s">
        <v>3670</v>
      </c>
      <c r="R924" s="48" t="s">
        <v>12051</v>
      </c>
      <c r="S924" s="48" t="s">
        <v>12068</v>
      </c>
      <c r="T924" s="49" t="s">
        <v>63</v>
      </c>
      <c r="U924" s="49" t="s">
        <v>2715</v>
      </c>
      <c r="V924" s="7"/>
      <c r="W924" s="44">
        <v>3.65</v>
      </c>
      <c r="X924" s="49" t="s">
        <v>12070</v>
      </c>
      <c r="Y924" s="49" t="s">
        <v>12071</v>
      </c>
      <c r="Z924" s="49" t="s">
        <v>12072</v>
      </c>
      <c r="AA924" s="61">
        <v>0.81</v>
      </c>
      <c r="AB924" s="71">
        <v>54730</v>
      </c>
      <c r="AC924" s="62" t="s">
        <v>12050</v>
      </c>
      <c r="AD924" s="53" t="str">
        <f t="shared" si="697"/>
        <v>Link</v>
      </c>
      <c r="AE924" s="54">
        <v>1632</v>
      </c>
      <c r="AF924" s="55"/>
      <c r="AG924" s="44">
        <v>117</v>
      </c>
      <c r="AH924" s="56">
        <v>209065</v>
      </c>
      <c r="AI924" s="57"/>
      <c r="AJ924" s="57"/>
    </row>
    <row r="925" spans="1:36" ht="13" x14ac:dyDescent="0.15">
      <c r="A925" s="57"/>
      <c r="B925" s="78" t="s">
        <v>9218</v>
      </c>
      <c r="C925" s="7" t="s">
        <v>43</v>
      </c>
      <c r="D925" s="86">
        <v>5</v>
      </c>
      <c r="E925" s="7" t="s">
        <v>12074</v>
      </c>
      <c r="F925" s="7" t="s">
        <v>116</v>
      </c>
      <c r="G925" s="7"/>
      <c r="H925" s="6" t="s">
        <v>12039</v>
      </c>
      <c r="I925" s="7" t="s">
        <v>6327</v>
      </c>
      <c r="J925" s="7" t="s">
        <v>12076</v>
      </c>
      <c r="K925" s="7" t="s">
        <v>55</v>
      </c>
      <c r="L925" s="7" t="s">
        <v>12077</v>
      </c>
      <c r="M925" s="7" t="s">
        <v>12041</v>
      </c>
      <c r="N925" s="45" t="str">
        <f t="shared" si="695"/>
        <v>@linfieldcatball</v>
      </c>
      <c r="O925" s="45" t="str">
        <f t="shared" si="696"/>
        <v>Questionnaire</v>
      </c>
      <c r="P925" s="48" t="s">
        <v>12050</v>
      </c>
      <c r="Q925" s="60" t="s">
        <v>3670</v>
      </c>
      <c r="R925" s="48" t="s">
        <v>12051</v>
      </c>
      <c r="S925" s="48" t="s">
        <v>12068</v>
      </c>
      <c r="T925" s="49" t="s">
        <v>63</v>
      </c>
      <c r="U925" s="49" t="s">
        <v>2715</v>
      </c>
      <c r="V925" s="7"/>
      <c r="W925" s="44">
        <v>3.65</v>
      </c>
      <c r="X925" s="49" t="s">
        <v>12070</v>
      </c>
      <c r="Y925" s="49" t="s">
        <v>12071</v>
      </c>
      <c r="Z925" s="49" t="s">
        <v>12072</v>
      </c>
      <c r="AA925" s="61">
        <v>0.81</v>
      </c>
      <c r="AB925" s="71">
        <v>54730</v>
      </c>
      <c r="AC925" s="62" t="s">
        <v>12050</v>
      </c>
      <c r="AD925" s="53" t="str">
        <f t="shared" si="697"/>
        <v>Link</v>
      </c>
      <c r="AE925" s="54">
        <v>1632</v>
      </c>
      <c r="AF925" s="55"/>
      <c r="AG925" s="44">
        <v>117</v>
      </c>
      <c r="AH925" s="56">
        <v>209065</v>
      </c>
      <c r="AI925" s="57"/>
      <c r="AJ925" s="57"/>
    </row>
    <row r="926" spans="1:36" ht="13" x14ac:dyDescent="0.15">
      <c r="A926" s="57"/>
      <c r="B926" s="78" t="s">
        <v>9218</v>
      </c>
      <c r="C926" s="7" t="s">
        <v>43</v>
      </c>
      <c r="D926" s="44">
        <v>5</v>
      </c>
      <c r="E926" s="7" t="s">
        <v>12083</v>
      </c>
      <c r="F926" s="7"/>
      <c r="G926" s="7"/>
      <c r="H926" s="6" t="s">
        <v>12084</v>
      </c>
      <c r="I926" s="7" t="s">
        <v>5963</v>
      </c>
      <c r="J926" s="7" t="s">
        <v>12085</v>
      </c>
      <c r="K926" s="7" t="s">
        <v>48</v>
      </c>
      <c r="L926" s="7" t="s">
        <v>12086</v>
      </c>
      <c r="M926" s="7" t="s">
        <v>12087</v>
      </c>
      <c r="N926" s="45" t="str">
        <f t="shared" ref="N926:N930" si="698">HYPERLINK("twitter.com/Boxer_Softball","@Boxer_Softball")</f>
        <v>@Boxer_Softball</v>
      </c>
      <c r="O926" s="45" t="str">
        <f t="shared" ref="O926:O930" si="699">HYPERLINK("https://goboxers.com/sports/2011/2/24/recruit-index.aspx","Questionnaire")</f>
        <v>Questionnaire</v>
      </c>
      <c r="P926" s="48" t="s">
        <v>12095</v>
      </c>
      <c r="Q926" s="47" t="s">
        <v>3670</v>
      </c>
      <c r="R926" s="48" t="s">
        <v>12097</v>
      </c>
      <c r="S926" s="48" t="s">
        <v>12098</v>
      </c>
      <c r="T926" s="49" t="s">
        <v>63</v>
      </c>
      <c r="U926" s="49" t="s">
        <v>75</v>
      </c>
      <c r="V926" s="7"/>
      <c r="W926" s="44">
        <v>3.63</v>
      </c>
      <c r="X926" s="49" t="s">
        <v>12100</v>
      </c>
      <c r="Y926" s="49" t="s">
        <v>11758</v>
      </c>
      <c r="Z926" s="49" t="s">
        <v>12101</v>
      </c>
      <c r="AA926" s="61">
        <v>0.79</v>
      </c>
      <c r="AB926" s="71">
        <v>55606</v>
      </c>
      <c r="AC926" s="92" t="s">
        <v>12095</v>
      </c>
      <c r="AD926" s="53" t="str">
        <f t="shared" ref="AD926:AD930" si="700">HYPERLINK("https://www.pacificu.edu/academics","Link")</f>
        <v>Link</v>
      </c>
      <c r="AE926" s="54">
        <v>1930</v>
      </c>
      <c r="AF926" s="55"/>
      <c r="AG926" s="7"/>
      <c r="AH926" s="56">
        <v>209612</v>
      </c>
      <c r="AI926" s="57"/>
      <c r="AJ926" s="57"/>
    </row>
    <row r="927" spans="1:36" ht="13" x14ac:dyDescent="0.15">
      <c r="A927" s="57"/>
      <c r="B927" s="78" t="s">
        <v>9218</v>
      </c>
      <c r="C927" s="7" t="s">
        <v>43</v>
      </c>
      <c r="D927" s="44">
        <v>5</v>
      </c>
      <c r="E927" s="7" t="s">
        <v>12107</v>
      </c>
      <c r="F927" s="7"/>
      <c r="G927" s="7"/>
      <c r="H927" s="6" t="s">
        <v>12084</v>
      </c>
      <c r="I927" s="7" t="s">
        <v>12109</v>
      </c>
      <c r="J927" s="7" t="s">
        <v>263</v>
      </c>
      <c r="K927" s="7" t="s">
        <v>55</v>
      </c>
      <c r="L927" s="7" t="s">
        <v>12111</v>
      </c>
      <c r="M927" s="7" t="s">
        <v>12114</v>
      </c>
      <c r="N927" s="45" t="str">
        <f t="shared" si="698"/>
        <v>@Boxer_Softball</v>
      </c>
      <c r="O927" s="45" t="str">
        <f t="shared" si="699"/>
        <v>Questionnaire</v>
      </c>
      <c r="P927" s="48" t="s">
        <v>12095</v>
      </c>
      <c r="Q927" s="47" t="s">
        <v>3670</v>
      </c>
      <c r="R927" s="48" t="s">
        <v>12097</v>
      </c>
      <c r="S927" s="48" t="s">
        <v>12115</v>
      </c>
      <c r="T927" s="49" t="s">
        <v>63</v>
      </c>
      <c r="U927" s="49" t="s">
        <v>75</v>
      </c>
      <c r="V927" s="7"/>
      <c r="W927" s="44">
        <v>3.63</v>
      </c>
      <c r="X927" s="49" t="s">
        <v>12116</v>
      </c>
      <c r="Y927" s="49" t="s">
        <v>11770</v>
      </c>
      <c r="Z927" s="49" t="s">
        <v>12117</v>
      </c>
      <c r="AA927" s="61">
        <v>0.79</v>
      </c>
      <c r="AB927" s="71">
        <v>55606</v>
      </c>
      <c r="AC927" s="92" t="s">
        <v>12095</v>
      </c>
      <c r="AD927" s="53" t="str">
        <f t="shared" si="700"/>
        <v>Link</v>
      </c>
      <c r="AE927" s="54">
        <v>1930</v>
      </c>
      <c r="AF927" s="55"/>
      <c r="AG927" s="7"/>
      <c r="AH927" s="56">
        <v>209612</v>
      </c>
      <c r="AI927" s="57"/>
      <c r="AJ927" s="57"/>
    </row>
    <row r="928" spans="1:36" ht="13" x14ac:dyDescent="0.15">
      <c r="A928" s="57"/>
      <c r="B928" s="78" t="s">
        <v>9218</v>
      </c>
      <c r="C928" s="7" t="s">
        <v>43</v>
      </c>
      <c r="D928" s="44">
        <v>5</v>
      </c>
      <c r="E928" s="7" t="s">
        <v>12120</v>
      </c>
      <c r="F928" s="7"/>
      <c r="G928" s="7"/>
      <c r="H928" s="6" t="s">
        <v>12084</v>
      </c>
      <c r="I928" s="7" t="s">
        <v>12121</v>
      </c>
      <c r="J928" s="7" t="s">
        <v>12122</v>
      </c>
      <c r="K928" s="7" t="s">
        <v>55</v>
      </c>
      <c r="L928" s="7" t="s">
        <v>12124</v>
      </c>
      <c r="M928" s="7" t="s">
        <v>12114</v>
      </c>
      <c r="N928" s="45" t="str">
        <f t="shared" si="698"/>
        <v>@Boxer_Softball</v>
      </c>
      <c r="O928" s="45" t="str">
        <f t="shared" si="699"/>
        <v>Questionnaire</v>
      </c>
      <c r="P928" s="48" t="s">
        <v>12095</v>
      </c>
      <c r="Q928" s="47" t="s">
        <v>3670</v>
      </c>
      <c r="R928" s="48" t="s">
        <v>12097</v>
      </c>
      <c r="S928" s="48" t="s">
        <v>11945</v>
      </c>
      <c r="T928" s="49" t="s">
        <v>63</v>
      </c>
      <c r="U928" s="49" t="s">
        <v>75</v>
      </c>
      <c r="V928" s="7"/>
      <c r="W928" s="44">
        <v>3.63</v>
      </c>
      <c r="X928" s="49" t="s">
        <v>12130</v>
      </c>
      <c r="Y928" s="49" t="s">
        <v>11777</v>
      </c>
      <c r="Z928" s="49" t="s">
        <v>11854</v>
      </c>
      <c r="AA928" s="61">
        <v>0.79</v>
      </c>
      <c r="AB928" s="71">
        <v>55606</v>
      </c>
      <c r="AC928" s="92" t="s">
        <v>12095</v>
      </c>
      <c r="AD928" s="53" t="str">
        <f t="shared" si="700"/>
        <v>Link</v>
      </c>
      <c r="AE928" s="54">
        <v>1930</v>
      </c>
      <c r="AF928" s="55"/>
      <c r="AG928" s="7"/>
      <c r="AH928" s="56">
        <v>209612</v>
      </c>
      <c r="AI928" s="57"/>
      <c r="AJ928" s="57"/>
    </row>
    <row r="929" spans="1:36" ht="13" x14ac:dyDescent="0.15">
      <c r="A929" s="57"/>
      <c r="B929" s="78" t="s">
        <v>9218</v>
      </c>
      <c r="C929" s="7" t="s">
        <v>43</v>
      </c>
      <c r="D929" s="44">
        <v>5</v>
      </c>
      <c r="E929" s="7" t="s">
        <v>12134</v>
      </c>
      <c r="F929" s="7"/>
      <c r="G929" s="7"/>
      <c r="H929" s="6" t="s">
        <v>12084</v>
      </c>
      <c r="I929" s="7" t="s">
        <v>8288</v>
      </c>
      <c r="J929" s="7" t="s">
        <v>12135</v>
      </c>
      <c r="K929" s="7" t="s">
        <v>55</v>
      </c>
      <c r="L929" s="7" t="s">
        <v>12136</v>
      </c>
      <c r="M929" s="7" t="s">
        <v>12114</v>
      </c>
      <c r="N929" s="45" t="str">
        <f t="shared" si="698"/>
        <v>@Boxer_Softball</v>
      </c>
      <c r="O929" s="45" t="str">
        <f t="shared" si="699"/>
        <v>Questionnaire</v>
      </c>
      <c r="P929" s="48" t="s">
        <v>12095</v>
      </c>
      <c r="Q929" s="47" t="s">
        <v>3670</v>
      </c>
      <c r="R929" s="48" t="s">
        <v>12097</v>
      </c>
      <c r="S929" s="48" t="s">
        <v>11958</v>
      </c>
      <c r="T929" s="49" t="s">
        <v>63</v>
      </c>
      <c r="U929" s="49" t="s">
        <v>75</v>
      </c>
      <c r="V929" s="7"/>
      <c r="W929" s="44">
        <v>3.63</v>
      </c>
      <c r="X929" s="49" t="s">
        <v>12140</v>
      </c>
      <c r="Y929" s="49" t="s">
        <v>12141</v>
      </c>
      <c r="Z929" s="49" t="s">
        <v>11867</v>
      </c>
      <c r="AA929" s="61">
        <v>0.79</v>
      </c>
      <c r="AB929" s="71">
        <v>55606</v>
      </c>
      <c r="AC929" s="92" t="s">
        <v>12095</v>
      </c>
      <c r="AD929" s="53" t="str">
        <f t="shared" si="700"/>
        <v>Link</v>
      </c>
      <c r="AE929" s="54">
        <v>1930</v>
      </c>
      <c r="AF929" s="55"/>
      <c r="AG929" s="7"/>
      <c r="AH929" s="56">
        <v>209612</v>
      </c>
      <c r="AI929" s="57"/>
      <c r="AJ929" s="57"/>
    </row>
    <row r="930" spans="1:36" ht="13" x14ac:dyDescent="0.15">
      <c r="A930" s="57"/>
      <c r="B930" s="78" t="s">
        <v>9218</v>
      </c>
      <c r="C930" s="7" t="s">
        <v>43</v>
      </c>
      <c r="D930" s="44">
        <v>5</v>
      </c>
      <c r="E930" s="7" t="s">
        <v>12146</v>
      </c>
      <c r="F930" s="7"/>
      <c r="G930" s="7"/>
      <c r="H930" s="6" t="s">
        <v>12084</v>
      </c>
      <c r="I930" s="7" t="s">
        <v>4308</v>
      </c>
      <c r="J930" s="7" t="s">
        <v>12147</v>
      </c>
      <c r="K930" s="7" t="s">
        <v>55</v>
      </c>
      <c r="L930" s="7"/>
      <c r="M930" s="7"/>
      <c r="N930" s="45" t="str">
        <f t="shared" si="698"/>
        <v>@Boxer_Softball</v>
      </c>
      <c r="O930" s="45" t="str">
        <f t="shared" si="699"/>
        <v>Questionnaire</v>
      </c>
      <c r="P930" s="48" t="s">
        <v>12095</v>
      </c>
      <c r="Q930" s="47" t="s">
        <v>3670</v>
      </c>
      <c r="R930" s="48" t="s">
        <v>12097</v>
      </c>
      <c r="S930" s="48" t="s">
        <v>11974</v>
      </c>
      <c r="T930" s="49" t="s">
        <v>63</v>
      </c>
      <c r="U930" s="49" t="s">
        <v>75</v>
      </c>
      <c r="V930" s="7"/>
      <c r="W930" s="44">
        <v>3.63</v>
      </c>
      <c r="X930" s="49" t="s">
        <v>12148</v>
      </c>
      <c r="Y930" s="49" t="s">
        <v>12150</v>
      </c>
      <c r="Z930" s="49" t="s">
        <v>11880</v>
      </c>
      <c r="AA930" s="61">
        <v>0.79</v>
      </c>
      <c r="AB930" s="71">
        <v>55606</v>
      </c>
      <c r="AC930" s="92" t="s">
        <v>12095</v>
      </c>
      <c r="AD930" s="53" t="str">
        <f t="shared" si="700"/>
        <v>Link</v>
      </c>
      <c r="AE930" s="54">
        <v>1930</v>
      </c>
      <c r="AF930" s="55"/>
      <c r="AG930" s="7"/>
      <c r="AH930" s="56">
        <v>209612</v>
      </c>
      <c r="AI930" s="57"/>
      <c r="AJ930" s="57"/>
    </row>
    <row r="931" spans="1:36" ht="13" x14ac:dyDescent="0.15">
      <c r="A931" s="57"/>
      <c r="B931" s="78" t="s">
        <v>9218</v>
      </c>
      <c r="C931" s="7" t="s">
        <v>43</v>
      </c>
      <c r="D931" s="44">
        <v>5</v>
      </c>
      <c r="E931" s="7" t="s">
        <v>12152</v>
      </c>
      <c r="F931" s="7"/>
      <c r="G931" s="7"/>
      <c r="H931" s="6" t="s">
        <v>12153</v>
      </c>
      <c r="I931" s="7" t="s">
        <v>12154</v>
      </c>
      <c r="J931" s="7"/>
      <c r="K931" s="7"/>
      <c r="L931" s="7"/>
      <c r="M931" s="7"/>
      <c r="N931" s="45" t="str">
        <f t="shared" ref="N931:N937" si="701">HYPERLINK("twitter.com/willamettesb","@willamettesb")</f>
        <v>@willamettesb</v>
      </c>
      <c r="O931" s="45" t="str">
        <f t="shared" ref="O931:O937" si="702">HYPERLINK("https://www.wubearcats.com/prospective/index","Questionnaire")</f>
        <v>Questionnaire</v>
      </c>
      <c r="P931" s="48" t="s">
        <v>12161</v>
      </c>
      <c r="Q931" s="47" t="s">
        <v>3670</v>
      </c>
      <c r="R931" s="48" t="s">
        <v>5684</v>
      </c>
      <c r="S931" s="48" t="s">
        <v>12162</v>
      </c>
      <c r="T931" s="49" t="s">
        <v>63</v>
      </c>
      <c r="U931" s="49" t="s">
        <v>75</v>
      </c>
      <c r="V931" s="7"/>
      <c r="W931" s="44">
        <v>3.93</v>
      </c>
      <c r="X931" s="49" t="s">
        <v>12163</v>
      </c>
      <c r="Y931" s="49" t="s">
        <v>12164</v>
      </c>
      <c r="Z931" s="49" t="s">
        <v>12165</v>
      </c>
      <c r="AA931" s="61">
        <v>0.78</v>
      </c>
      <c r="AB931" s="71">
        <v>60999</v>
      </c>
      <c r="AC931" s="62" t="s">
        <v>12161</v>
      </c>
      <c r="AD931" s="53" t="str">
        <f t="shared" ref="AD931:AD937" si="703">HYPERLINK("http://willamette.edu/academics/majors-programs/index.html","Link")</f>
        <v>Link</v>
      </c>
      <c r="AE931" s="54">
        <v>1997</v>
      </c>
      <c r="AF931" s="55"/>
      <c r="AG931" s="44">
        <v>82</v>
      </c>
      <c r="AH931" s="56">
        <v>210401</v>
      </c>
      <c r="AI931" s="57"/>
      <c r="AJ931" s="57"/>
    </row>
    <row r="932" spans="1:36" ht="13" x14ac:dyDescent="0.15">
      <c r="A932" s="57"/>
      <c r="B932" s="78" t="s">
        <v>9218</v>
      </c>
      <c r="C932" s="7" t="s">
        <v>43</v>
      </c>
      <c r="D932" s="44">
        <v>5</v>
      </c>
      <c r="E932" s="7" t="s">
        <v>12152</v>
      </c>
      <c r="F932" s="7"/>
      <c r="G932" s="7"/>
      <c r="H932" s="6" t="s">
        <v>12153</v>
      </c>
      <c r="I932" s="7" t="s">
        <v>421</v>
      </c>
      <c r="J932" s="7"/>
      <c r="K932" s="7" t="s">
        <v>48</v>
      </c>
      <c r="L932" s="7"/>
      <c r="M932" s="7"/>
      <c r="N932" s="45" t="str">
        <f t="shared" si="701"/>
        <v>@willamettesb</v>
      </c>
      <c r="O932" s="45" t="str">
        <f t="shared" si="702"/>
        <v>Questionnaire</v>
      </c>
      <c r="P932" s="48" t="s">
        <v>12161</v>
      </c>
      <c r="Q932" s="47" t="s">
        <v>3670</v>
      </c>
      <c r="R932" s="48" t="s">
        <v>5684</v>
      </c>
      <c r="S932" s="48" t="s">
        <v>12162</v>
      </c>
      <c r="T932" s="49" t="s">
        <v>63</v>
      </c>
      <c r="U932" s="49" t="s">
        <v>75</v>
      </c>
      <c r="V932" s="7"/>
      <c r="W932" s="44">
        <v>3.93</v>
      </c>
      <c r="X932" s="49" t="s">
        <v>12163</v>
      </c>
      <c r="Y932" s="49" t="s">
        <v>12164</v>
      </c>
      <c r="Z932" s="49" t="s">
        <v>12165</v>
      </c>
      <c r="AA932" s="61">
        <v>0.78</v>
      </c>
      <c r="AB932" s="71">
        <v>60999</v>
      </c>
      <c r="AC932" s="62" t="s">
        <v>12161</v>
      </c>
      <c r="AD932" s="53" t="str">
        <f t="shared" si="703"/>
        <v>Link</v>
      </c>
      <c r="AE932" s="54">
        <v>1997</v>
      </c>
      <c r="AF932" s="55"/>
      <c r="AG932" s="44">
        <v>82</v>
      </c>
      <c r="AH932" s="56">
        <v>210401</v>
      </c>
      <c r="AI932" s="57"/>
      <c r="AJ932" s="57"/>
    </row>
    <row r="933" spans="1:36" ht="13" x14ac:dyDescent="0.15">
      <c r="A933" s="57"/>
      <c r="B933" s="78" t="s">
        <v>9218</v>
      </c>
      <c r="C933" s="7" t="s">
        <v>43</v>
      </c>
      <c r="D933" s="44">
        <v>5</v>
      </c>
      <c r="E933" s="7" t="s">
        <v>12182</v>
      </c>
      <c r="F933" s="7"/>
      <c r="G933" s="7"/>
      <c r="H933" s="6" t="s">
        <v>12153</v>
      </c>
      <c r="I933" s="7" t="s">
        <v>12184</v>
      </c>
      <c r="J933" s="7" t="s">
        <v>12186</v>
      </c>
      <c r="K933" s="7" t="s">
        <v>55</v>
      </c>
      <c r="L933" s="7" t="s">
        <v>12187</v>
      </c>
      <c r="M933" s="7"/>
      <c r="N933" s="45" t="str">
        <f t="shared" si="701"/>
        <v>@willamettesb</v>
      </c>
      <c r="O933" s="45" t="str">
        <f t="shared" si="702"/>
        <v>Questionnaire</v>
      </c>
      <c r="P933" s="48" t="s">
        <v>12161</v>
      </c>
      <c r="Q933" s="47" t="s">
        <v>3670</v>
      </c>
      <c r="R933" s="48" t="s">
        <v>5684</v>
      </c>
      <c r="S933" s="48" t="s">
        <v>12188</v>
      </c>
      <c r="T933" s="49" t="s">
        <v>63</v>
      </c>
      <c r="U933" s="49" t="s">
        <v>75</v>
      </c>
      <c r="V933" s="7"/>
      <c r="W933" s="44">
        <v>3.93</v>
      </c>
      <c r="X933" s="49" t="s">
        <v>12189</v>
      </c>
      <c r="Y933" s="49" t="s">
        <v>80</v>
      </c>
      <c r="Z933" s="49" t="s">
        <v>12190</v>
      </c>
      <c r="AA933" s="61">
        <v>0.78</v>
      </c>
      <c r="AB933" s="71">
        <v>60999</v>
      </c>
      <c r="AC933" s="62" t="s">
        <v>12161</v>
      </c>
      <c r="AD933" s="53" t="str">
        <f t="shared" si="703"/>
        <v>Link</v>
      </c>
      <c r="AE933" s="54">
        <v>1997</v>
      </c>
      <c r="AF933" s="55"/>
      <c r="AG933" s="44">
        <v>82</v>
      </c>
      <c r="AH933" s="56">
        <v>210401</v>
      </c>
      <c r="AI933" s="57"/>
      <c r="AJ933" s="57"/>
    </row>
    <row r="934" spans="1:36" ht="13" x14ac:dyDescent="0.15">
      <c r="A934" s="57"/>
      <c r="B934" s="78" t="s">
        <v>9218</v>
      </c>
      <c r="C934" s="7" t="s">
        <v>43</v>
      </c>
      <c r="D934" s="44">
        <v>5</v>
      </c>
      <c r="E934" s="7" t="s">
        <v>12194</v>
      </c>
      <c r="F934" s="7"/>
      <c r="G934" s="7" t="s">
        <v>126</v>
      </c>
      <c r="H934" s="6" t="s">
        <v>12153</v>
      </c>
      <c r="I934" s="7" t="s">
        <v>11990</v>
      </c>
      <c r="J934" s="7"/>
      <c r="K934" s="7"/>
      <c r="L934" s="7"/>
      <c r="M934" s="7"/>
      <c r="N934" s="45" t="str">
        <f t="shared" si="701"/>
        <v>@willamettesb</v>
      </c>
      <c r="O934" s="45" t="str">
        <f t="shared" si="702"/>
        <v>Questionnaire</v>
      </c>
      <c r="P934" s="48" t="s">
        <v>12161</v>
      </c>
      <c r="Q934" s="47" t="s">
        <v>3670</v>
      </c>
      <c r="R934" s="48" t="s">
        <v>5684</v>
      </c>
      <c r="S934" s="48" t="s">
        <v>12196</v>
      </c>
      <c r="T934" s="49" t="s">
        <v>63</v>
      </c>
      <c r="U934" s="49" t="s">
        <v>75</v>
      </c>
      <c r="V934" s="7"/>
      <c r="W934" s="44">
        <v>3.93</v>
      </c>
      <c r="X934" s="49" t="s">
        <v>12197</v>
      </c>
      <c r="Y934" s="49" t="s">
        <v>12198</v>
      </c>
      <c r="Z934" s="49" t="s">
        <v>12199</v>
      </c>
      <c r="AA934" s="61">
        <v>0.78</v>
      </c>
      <c r="AB934" s="71">
        <v>60999</v>
      </c>
      <c r="AC934" s="62" t="s">
        <v>12161</v>
      </c>
      <c r="AD934" s="53" t="str">
        <f t="shared" si="703"/>
        <v>Link</v>
      </c>
      <c r="AE934" s="54">
        <v>1997</v>
      </c>
      <c r="AF934" s="55"/>
      <c r="AG934" s="44">
        <v>82</v>
      </c>
      <c r="AH934" s="56">
        <v>210401</v>
      </c>
      <c r="AI934" s="57"/>
      <c r="AJ934" s="57"/>
    </row>
    <row r="935" spans="1:36" ht="13" x14ac:dyDescent="0.15">
      <c r="A935" s="57"/>
      <c r="B935" s="78" t="s">
        <v>9218</v>
      </c>
      <c r="C935" s="7" t="s">
        <v>43</v>
      </c>
      <c r="D935" s="44">
        <v>5</v>
      </c>
      <c r="E935" s="7" t="s">
        <v>12202</v>
      </c>
      <c r="F935" s="7"/>
      <c r="G935" s="7" t="s">
        <v>126</v>
      </c>
      <c r="H935" s="6" t="s">
        <v>12153</v>
      </c>
      <c r="I935" s="7" t="s">
        <v>12203</v>
      </c>
      <c r="J935" s="7"/>
      <c r="K935" s="7"/>
      <c r="L935" s="7"/>
      <c r="M935" s="7"/>
      <c r="N935" s="45" t="str">
        <f t="shared" si="701"/>
        <v>@willamettesb</v>
      </c>
      <c r="O935" s="45" t="str">
        <f t="shared" si="702"/>
        <v>Questionnaire</v>
      </c>
      <c r="P935" s="48" t="s">
        <v>12161</v>
      </c>
      <c r="Q935" s="47" t="s">
        <v>3670</v>
      </c>
      <c r="R935" s="48" t="s">
        <v>5684</v>
      </c>
      <c r="S935" s="48" t="s">
        <v>12204</v>
      </c>
      <c r="T935" s="49" t="s">
        <v>63</v>
      </c>
      <c r="U935" s="49" t="s">
        <v>75</v>
      </c>
      <c r="V935" s="7"/>
      <c r="W935" s="44">
        <v>3.93</v>
      </c>
      <c r="X935" s="49" t="s">
        <v>12205</v>
      </c>
      <c r="Y935" s="49" t="s">
        <v>12206</v>
      </c>
      <c r="Z935" s="49" t="s">
        <v>12207</v>
      </c>
      <c r="AA935" s="61">
        <v>0.78</v>
      </c>
      <c r="AB935" s="71">
        <v>60999</v>
      </c>
      <c r="AC935" s="62" t="s">
        <v>12161</v>
      </c>
      <c r="AD935" s="53" t="str">
        <f t="shared" si="703"/>
        <v>Link</v>
      </c>
      <c r="AE935" s="54">
        <v>1997</v>
      </c>
      <c r="AF935" s="55"/>
      <c r="AG935" s="44">
        <v>82</v>
      </c>
      <c r="AH935" s="56">
        <v>210401</v>
      </c>
      <c r="AI935" s="57"/>
      <c r="AJ935" s="57"/>
    </row>
    <row r="936" spans="1:36" ht="13" x14ac:dyDescent="0.15">
      <c r="A936" s="57"/>
      <c r="B936" s="78" t="s">
        <v>9218</v>
      </c>
      <c r="C936" s="7" t="s">
        <v>43</v>
      </c>
      <c r="D936" s="44">
        <v>5</v>
      </c>
      <c r="E936" s="7" t="s">
        <v>12211</v>
      </c>
      <c r="F936" s="7"/>
      <c r="G936" s="7" t="s">
        <v>126</v>
      </c>
      <c r="H936" s="6" t="s">
        <v>12153</v>
      </c>
      <c r="I936" s="7" t="s">
        <v>12214</v>
      </c>
      <c r="J936" s="7"/>
      <c r="K936" s="7"/>
      <c r="L936" s="7"/>
      <c r="M936" s="7"/>
      <c r="N936" s="45" t="str">
        <f t="shared" si="701"/>
        <v>@willamettesb</v>
      </c>
      <c r="O936" s="45" t="str">
        <f t="shared" si="702"/>
        <v>Questionnaire</v>
      </c>
      <c r="P936" s="48" t="s">
        <v>12161</v>
      </c>
      <c r="Q936" s="47" t="s">
        <v>3670</v>
      </c>
      <c r="R936" s="48" t="s">
        <v>5684</v>
      </c>
      <c r="S936" s="48" t="s">
        <v>12216</v>
      </c>
      <c r="T936" s="49" t="s">
        <v>63</v>
      </c>
      <c r="U936" s="49" t="s">
        <v>75</v>
      </c>
      <c r="V936" s="7"/>
      <c r="W936" s="44">
        <v>3.93</v>
      </c>
      <c r="X936" s="49" t="s">
        <v>12217</v>
      </c>
      <c r="Y936" s="49" t="s">
        <v>12218</v>
      </c>
      <c r="Z936" s="49" t="s">
        <v>12219</v>
      </c>
      <c r="AA936" s="61">
        <v>0.78</v>
      </c>
      <c r="AB936" s="71">
        <v>60999</v>
      </c>
      <c r="AC936" s="62" t="s">
        <v>12161</v>
      </c>
      <c r="AD936" s="53" t="str">
        <f t="shared" si="703"/>
        <v>Link</v>
      </c>
      <c r="AE936" s="54">
        <v>1997</v>
      </c>
      <c r="AF936" s="55"/>
      <c r="AG936" s="44">
        <v>82</v>
      </c>
      <c r="AH936" s="56">
        <v>210401</v>
      </c>
      <c r="AI936" s="57"/>
      <c r="AJ936" s="57"/>
    </row>
    <row r="937" spans="1:36" ht="13" x14ac:dyDescent="0.15">
      <c r="A937" s="57"/>
      <c r="B937" s="78" t="s">
        <v>9218</v>
      </c>
      <c r="C937" s="7" t="s">
        <v>43</v>
      </c>
      <c r="D937" s="86">
        <v>5</v>
      </c>
      <c r="E937" s="7" t="s">
        <v>12221</v>
      </c>
      <c r="F937" s="7" t="s">
        <v>116</v>
      </c>
      <c r="G937" s="7"/>
      <c r="H937" s="6" t="s">
        <v>12153</v>
      </c>
      <c r="I937" s="7" t="s">
        <v>2747</v>
      </c>
      <c r="J937" s="7" t="s">
        <v>1267</v>
      </c>
      <c r="K937" s="7" t="s">
        <v>48</v>
      </c>
      <c r="L937" s="7" t="s">
        <v>12223</v>
      </c>
      <c r="M937" s="7" t="s">
        <v>12225</v>
      </c>
      <c r="N937" s="45" t="str">
        <f t="shared" si="701"/>
        <v>@willamettesb</v>
      </c>
      <c r="O937" s="45" t="str">
        <f t="shared" si="702"/>
        <v>Questionnaire</v>
      </c>
      <c r="P937" s="48" t="s">
        <v>12161</v>
      </c>
      <c r="Q937" s="47" t="s">
        <v>3670</v>
      </c>
      <c r="R937" s="48" t="s">
        <v>5684</v>
      </c>
      <c r="S937" s="48" t="s">
        <v>12196</v>
      </c>
      <c r="T937" s="49" t="s">
        <v>63</v>
      </c>
      <c r="U937" s="49" t="s">
        <v>75</v>
      </c>
      <c r="V937" s="7"/>
      <c r="W937" s="44">
        <v>3.93</v>
      </c>
      <c r="X937" s="49" t="s">
        <v>12197</v>
      </c>
      <c r="Y937" s="49" t="s">
        <v>12198</v>
      </c>
      <c r="Z937" s="49" t="s">
        <v>12199</v>
      </c>
      <c r="AA937" s="61">
        <v>0.78</v>
      </c>
      <c r="AB937" s="71">
        <v>60999</v>
      </c>
      <c r="AC937" s="62" t="s">
        <v>12161</v>
      </c>
      <c r="AD937" s="53" t="str">
        <f t="shared" si="703"/>
        <v>Link</v>
      </c>
      <c r="AE937" s="54">
        <v>1997</v>
      </c>
      <c r="AF937" s="55"/>
      <c r="AG937" s="44">
        <v>82</v>
      </c>
      <c r="AH937" s="56">
        <v>210401</v>
      </c>
      <c r="AI937" s="57"/>
      <c r="AJ937" s="57"/>
    </row>
    <row r="938" spans="1:36" ht="13" x14ac:dyDescent="0.15">
      <c r="A938" s="57"/>
      <c r="B938" s="78" t="s">
        <v>7298</v>
      </c>
      <c r="C938" s="7" t="s">
        <v>43</v>
      </c>
      <c r="D938" s="44">
        <v>5</v>
      </c>
      <c r="E938" s="7" t="s">
        <v>12231</v>
      </c>
      <c r="F938" s="7"/>
      <c r="G938" s="7"/>
      <c r="H938" s="6" t="s">
        <v>12232</v>
      </c>
      <c r="I938" s="7" t="s">
        <v>12233</v>
      </c>
      <c r="J938" s="7" t="s">
        <v>12234</v>
      </c>
      <c r="K938" s="7" t="s">
        <v>48</v>
      </c>
      <c r="L938" s="7" t="s">
        <v>12235</v>
      </c>
      <c r="M938" s="7" t="s">
        <v>12237</v>
      </c>
      <c r="N938" s="45" t="str">
        <f t="shared" ref="N938:N940" si="704">HYPERLINK("twitter.com/albsoftball18","@albsoftball18")</f>
        <v>@albsoftball18</v>
      </c>
      <c r="O938" s="45" t="str">
        <f t="shared" ref="O938:O940" si="705">HYPERLINK("https://albrightathletics.com/sb_output.aspx?form=3","Questionnaire")</f>
        <v>Questionnaire</v>
      </c>
      <c r="P938" s="48" t="s">
        <v>12243</v>
      </c>
      <c r="Q938" s="60" t="s">
        <v>1231</v>
      </c>
      <c r="R938" s="48" t="s">
        <v>12244</v>
      </c>
      <c r="S938" s="48" t="s">
        <v>12245</v>
      </c>
      <c r="T938" s="49" t="s">
        <v>63</v>
      </c>
      <c r="U938" s="49" t="s">
        <v>65</v>
      </c>
      <c r="V938" s="7"/>
      <c r="W938" s="44">
        <v>3.35</v>
      </c>
      <c r="X938" s="49" t="s">
        <v>12246</v>
      </c>
      <c r="Y938" s="49" t="s">
        <v>12247</v>
      </c>
      <c r="Z938" s="49" t="s">
        <v>12248</v>
      </c>
      <c r="AA938" s="51">
        <v>0.51100000000000001</v>
      </c>
      <c r="AB938" s="71">
        <v>55992</v>
      </c>
      <c r="AC938" s="90" t="s">
        <v>12243</v>
      </c>
      <c r="AD938" s="53" t="str">
        <f t="shared" ref="AD938:AD940" si="706">HYPERLINK("https://www.albright.edu/academic/college-catalog/academics/","Link")</f>
        <v>Link</v>
      </c>
      <c r="AE938" s="54">
        <v>2304</v>
      </c>
      <c r="AF938" s="55"/>
      <c r="AG938" s="7"/>
      <c r="AH938" s="56">
        <v>210571</v>
      </c>
      <c r="AI938" s="57"/>
      <c r="AJ938" s="57"/>
    </row>
    <row r="939" spans="1:36" ht="13" x14ac:dyDescent="0.15">
      <c r="A939" s="57"/>
      <c r="B939" s="78" t="s">
        <v>7298</v>
      </c>
      <c r="C939" s="7" t="s">
        <v>43</v>
      </c>
      <c r="D939" s="44">
        <v>5</v>
      </c>
      <c r="E939" s="7" t="s">
        <v>12251</v>
      </c>
      <c r="F939" s="7"/>
      <c r="G939" s="7"/>
      <c r="H939" s="6" t="s">
        <v>12232</v>
      </c>
      <c r="I939" s="7" t="s">
        <v>9290</v>
      </c>
      <c r="J939" s="7" t="s">
        <v>12256</v>
      </c>
      <c r="K939" s="7" t="s">
        <v>55</v>
      </c>
      <c r="L939" s="7" t="s">
        <v>12257</v>
      </c>
      <c r="M939" s="7"/>
      <c r="N939" s="45" t="str">
        <f t="shared" si="704"/>
        <v>@albsoftball18</v>
      </c>
      <c r="O939" s="45" t="str">
        <f t="shared" si="705"/>
        <v>Questionnaire</v>
      </c>
      <c r="P939" s="48" t="s">
        <v>12243</v>
      </c>
      <c r="Q939" s="60" t="s">
        <v>1231</v>
      </c>
      <c r="R939" s="48" t="s">
        <v>12244</v>
      </c>
      <c r="S939" s="48" t="s">
        <v>12259</v>
      </c>
      <c r="T939" s="49" t="s">
        <v>63</v>
      </c>
      <c r="U939" s="49" t="s">
        <v>65</v>
      </c>
      <c r="V939" s="7"/>
      <c r="W939" s="44">
        <v>3.35</v>
      </c>
      <c r="X939" s="49" t="s">
        <v>12261</v>
      </c>
      <c r="Y939" s="49" t="s">
        <v>688</v>
      </c>
      <c r="Z939" s="49" t="s">
        <v>12262</v>
      </c>
      <c r="AA939" s="51">
        <v>0.51100000000000001</v>
      </c>
      <c r="AB939" s="71">
        <v>55992</v>
      </c>
      <c r="AC939" s="90" t="s">
        <v>12243</v>
      </c>
      <c r="AD939" s="53" t="str">
        <f t="shared" si="706"/>
        <v>Link</v>
      </c>
      <c r="AE939" s="54">
        <v>2304</v>
      </c>
      <c r="AF939" s="55"/>
      <c r="AG939" s="7"/>
      <c r="AH939" s="56">
        <v>210571</v>
      </c>
      <c r="AI939" s="57"/>
      <c r="AJ939" s="57"/>
    </row>
    <row r="940" spans="1:36" ht="13" x14ac:dyDescent="0.15">
      <c r="A940" s="57"/>
      <c r="B940" s="78" t="s">
        <v>7298</v>
      </c>
      <c r="C940" s="7" t="s">
        <v>43</v>
      </c>
      <c r="D940" s="86">
        <v>5</v>
      </c>
      <c r="E940" s="7" t="s">
        <v>12264</v>
      </c>
      <c r="F940" s="7" t="s">
        <v>116</v>
      </c>
      <c r="G940" s="7"/>
      <c r="H940" s="6" t="s">
        <v>12232</v>
      </c>
      <c r="I940" s="7" t="s">
        <v>1258</v>
      </c>
      <c r="J940" s="7" t="s">
        <v>12265</v>
      </c>
      <c r="K940" s="7" t="s">
        <v>55</v>
      </c>
      <c r="L940" s="7"/>
      <c r="M940" s="7"/>
      <c r="N940" s="45" t="str">
        <f t="shared" si="704"/>
        <v>@albsoftball18</v>
      </c>
      <c r="O940" s="45" t="str">
        <f t="shared" si="705"/>
        <v>Questionnaire</v>
      </c>
      <c r="P940" s="48" t="s">
        <v>12243</v>
      </c>
      <c r="Q940" s="60" t="s">
        <v>1231</v>
      </c>
      <c r="R940" s="48" t="s">
        <v>12244</v>
      </c>
      <c r="S940" s="48" t="s">
        <v>12245</v>
      </c>
      <c r="T940" s="49" t="s">
        <v>63</v>
      </c>
      <c r="U940" s="49" t="s">
        <v>65</v>
      </c>
      <c r="V940" s="7"/>
      <c r="W940" s="44">
        <v>3.35</v>
      </c>
      <c r="X940" s="49" t="s">
        <v>12246</v>
      </c>
      <c r="Y940" s="49" t="s">
        <v>12247</v>
      </c>
      <c r="Z940" s="49" t="s">
        <v>12248</v>
      </c>
      <c r="AA940" s="51">
        <v>0.51100000000000001</v>
      </c>
      <c r="AB940" s="71">
        <v>55992</v>
      </c>
      <c r="AC940" s="90" t="s">
        <v>12243</v>
      </c>
      <c r="AD940" s="53" t="str">
        <f t="shared" si="706"/>
        <v>Link</v>
      </c>
      <c r="AE940" s="54">
        <v>2304</v>
      </c>
      <c r="AF940" s="55"/>
      <c r="AG940" s="7"/>
      <c r="AH940" s="56">
        <v>210571</v>
      </c>
      <c r="AI940" s="57"/>
      <c r="AJ940" s="57"/>
    </row>
    <row r="941" spans="1:36" ht="13" x14ac:dyDescent="0.15">
      <c r="A941" s="57"/>
      <c r="B941" s="78" t="s">
        <v>7298</v>
      </c>
      <c r="C941" s="7" t="s">
        <v>43</v>
      </c>
      <c r="D941" s="44">
        <v>5</v>
      </c>
      <c r="E941" s="7" t="s">
        <v>12272</v>
      </c>
      <c r="F941" s="7"/>
      <c r="G941" s="7"/>
      <c r="H941" s="6" t="s">
        <v>12273</v>
      </c>
      <c r="I941" s="7" t="s">
        <v>772</v>
      </c>
      <c r="J941" s="7" t="s">
        <v>12274</v>
      </c>
      <c r="K941" s="7" t="s">
        <v>48</v>
      </c>
      <c r="L941" s="7" t="s">
        <v>12275</v>
      </c>
      <c r="M941" s="7" t="s">
        <v>12276</v>
      </c>
      <c r="N941" s="45" t="str">
        <f t="shared" ref="N941:N942" si="707">HYPERLINK("twitter.com/acwsb","@acwsb")</f>
        <v>@acwsb</v>
      </c>
      <c r="O941" s="45" t="str">
        <f t="shared" ref="O941:O942" si="708">HYPERLINK("https://alleghenygators.com/sports/2012/6/26/GEN_0626121651.aspx","Questionnaire")</f>
        <v>Questionnaire</v>
      </c>
      <c r="P941" s="48" t="s">
        <v>12283</v>
      </c>
      <c r="Q941" s="47" t="s">
        <v>1231</v>
      </c>
      <c r="R941" s="48" t="s">
        <v>12284</v>
      </c>
      <c r="S941" s="55" t="s">
        <v>12285</v>
      </c>
      <c r="T941" s="73" t="s">
        <v>63</v>
      </c>
      <c r="U941" s="49" t="s">
        <v>65</v>
      </c>
      <c r="V941" s="7"/>
      <c r="W941" s="44">
        <v>3.69</v>
      </c>
      <c r="X941" s="49" t="s">
        <v>1066</v>
      </c>
      <c r="Y941" s="49" t="s">
        <v>12286</v>
      </c>
      <c r="Z941" s="49" t="s">
        <v>11918</v>
      </c>
      <c r="AA941" s="51">
        <v>0.67759999999999998</v>
      </c>
      <c r="AB941" s="71">
        <v>58920</v>
      </c>
      <c r="AC941" s="92" t="s">
        <v>12283</v>
      </c>
      <c r="AD941" s="53" t="str">
        <f t="shared" ref="AD941:AD942" si="709">HYPERLINK("https://sites.allegheny.edu/registrar/academic-programs/majors/","Link")</f>
        <v>Link</v>
      </c>
      <c r="AE941" s="54">
        <v>1920</v>
      </c>
      <c r="AF941" s="55"/>
      <c r="AG941" s="44">
        <v>82</v>
      </c>
      <c r="AH941" s="56">
        <v>210669</v>
      </c>
      <c r="AI941" s="57"/>
      <c r="AJ941" s="57"/>
    </row>
    <row r="942" spans="1:36" ht="13" x14ac:dyDescent="0.15">
      <c r="A942" s="57"/>
      <c r="B942" s="78" t="s">
        <v>7298</v>
      </c>
      <c r="C942" s="7" t="s">
        <v>43</v>
      </c>
      <c r="D942" s="44">
        <v>5</v>
      </c>
      <c r="E942" s="7" t="s">
        <v>12292</v>
      </c>
      <c r="F942" s="7"/>
      <c r="G942" s="7"/>
      <c r="H942" s="6" t="s">
        <v>12273</v>
      </c>
      <c r="I942" s="7" t="s">
        <v>201</v>
      </c>
      <c r="J942" s="7" t="s">
        <v>12294</v>
      </c>
      <c r="K942" s="7" t="s">
        <v>55</v>
      </c>
      <c r="L942" s="7" t="s">
        <v>12295</v>
      </c>
      <c r="M942" s="7" t="s">
        <v>12297</v>
      </c>
      <c r="N942" s="45" t="str">
        <f t="shared" si="707"/>
        <v>@acwsb</v>
      </c>
      <c r="O942" s="45" t="str">
        <f t="shared" si="708"/>
        <v>Questionnaire</v>
      </c>
      <c r="P942" s="48" t="s">
        <v>12283</v>
      </c>
      <c r="Q942" s="47" t="s">
        <v>1231</v>
      </c>
      <c r="R942" s="48" t="s">
        <v>12284</v>
      </c>
      <c r="S942" s="55" t="s">
        <v>12298</v>
      </c>
      <c r="T942" s="73" t="s">
        <v>63</v>
      </c>
      <c r="U942" s="49" t="s">
        <v>65</v>
      </c>
      <c r="V942" s="7"/>
      <c r="W942" s="44">
        <v>3.69</v>
      </c>
      <c r="X942" s="49" t="s">
        <v>12299</v>
      </c>
      <c r="Y942" s="49" t="s">
        <v>12300</v>
      </c>
      <c r="Z942" s="49" t="s">
        <v>12301</v>
      </c>
      <c r="AA942" s="51">
        <v>0.67759999999999998</v>
      </c>
      <c r="AB942" s="71">
        <v>58920</v>
      </c>
      <c r="AC942" s="92" t="s">
        <v>12283</v>
      </c>
      <c r="AD942" s="53" t="str">
        <f t="shared" si="709"/>
        <v>Link</v>
      </c>
      <c r="AE942" s="54">
        <v>1920</v>
      </c>
      <c r="AF942" s="55"/>
      <c r="AG942" s="44">
        <v>82</v>
      </c>
      <c r="AH942" s="56">
        <v>210669</v>
      </c>
      <c r="AI942" s="57"/>
      <c r="AJ942" s="57"/>
    </row>
    <row r="943" spans="1:36" ht="13" x14ac:dyDescent="0.15">
      <c r="A943" s="57"/>
      <c r="B943" s="78" t="s">
        <v>7298</v>
      </c>
      <c r="C943" s="7" t="s">
        <v>43</v>
      </c>
      <c r="D943" s="44">
        <v>5</v>
      </c>
      <c r="E943" s="7" t="s">
        <v>12305</v>
      </c>
      <c r="F943" s="7"/>
      <c r="G943" s="7"/>
      <c r="H943" s="6" t="s">
        <v>12306</v>
      </c>
      <c r="I943" s="7" t="s">
        <v>8391</v>
      </c>
      <c r="J943" s="7" t="s">
        <v>12307</v>
      </c>
      <c r="K943" s="7" t="s">
        <v>48</v>
      </c>
      <c r="L943" s="7" t="s">
        <v>12309</v>
      </c>
      <c r="M943" s="7" t="s">
        <v>12311</v>
      </c>
      <c r="N943" s="45" t="str">
        <f t="shared" ref="N943:N945" si="710">HYPERLINK("twitter.com/vernsoftball","@vernsoftball")</f>
        <v>@vernsoftball</v>
      </c>
      <c r="O943" s="45" t="str">
        <f t="shared" ref="O943:O945" si="711">HYPERLINK("https://auwolves.com/sb_output.aspx?form=3","Questionnaire")</f>
        <v>Questionnaire</v>
      </c>
      <c r="P943" s="48" t="s">
        <v>12313</v>
      </c>
      <c r="Q943" s="60" t="s">
        <v>1231</v>
      </c>
      <c r="R943" s="48" t="s">
        <v>12244</v>
      </c>
      <c r="S943" s="48" t="s">
        <v>12245</v>
      </c>
      <c r="T943" s="49" t="s">
        <v>63</v>
      </c>
      <c r="U943" s="49" t="s">
        <v>343</v>
      </c>
      <c r="V943" s="7"/>
      <c r="W943" s="44">
        <v>3.27</v>
      </c>
      <c r="X943" s="49" t="s">
        <v>12316</v>
      </c>
      <c r="Y943" s="49" t="s">
        <v>12318</v>
      </c>
      <c r="Z943" s="49" t="s">
        <v>12319</v>
      </c>
      <c r="AA943" s="51">
        <v>0.74490000000000001</v>
      </c>
      <c r="AB943" s="71">
        <v>47510</v>
      </c>
      <c r="AC943" s="90" t="s">
        <v>12313</v>
      </c>
      <c r="AD943" s="53" t="str">
        <f t="shared" ref="AD943:AD945" si="712">HYPERLINK("http://www.alvernia.edu/academics/majors.html","Link")</f>
        <v>Link</v>
      </c>
      <c r="AE943" s="54">
        <v>2323</v>
      </c>
      <c r="AF943" s="55"/>
      <c r="AG943" s="7"/>
      <c r="AH943" s="56">
        <v>210775</v>
      </c>
      <c r="AI943" s="57"/>
      <c r="AJ943" s="57"/>
    </row>
    <row r="944" spans="1:36" ht="13" x14ac:dyDescent="0.15">
      <c r="A944" s="57"/>
      <c r="B944" s="78" t="s">
        <v>7298</v>
      </c>
      <c r="C944" s="7" t="s">
        <v>43</v>
      </c>
      <c r="D944" s="44">
        <v>5</v>
      </c>
      <c r="E944" s="7" t="s">
        <v>12323</v>
      </c>
      <c r="F944" s="7"/>
      <c r="G944" s="7"/>
      <c r="H944" s="6" t="s">
        <v>12306</v>
      </c>
      <c r="I944" s="7" t="s">
        <v>3909</v>
      </c>
      <c r="J944" s="7" t="s">
        <v>12324</v>
      </c>
      <c r="K944" s="7" t="s">
        <v>55</v>
      </c>
      <c r="L944" s="7" t="s">
        <v>12325</v>
      </c>
      <c r="M944" s="7"/>
      <c r="N944" s="45" t="str">
        <f t="shared" si="710"/>
        <v>@vernsoftball</v>
      </c>
      <c r="O944" s="45" t="str">
        <f t="shared" si="711"/>
        <v>Questionnaire</v>
      </c>
      <c r="P944" s="48" t="s">
        <v>12313</v>
      </c>
      <c r="Q944" s="60" t="s">
        <v>1231</v>
      </c>
      <c r="R944" s="48" t="s">
        <v>12244</v>
      </c>
      <c r="S944" s="48" t="s">
        <v>12259</v>
      </c>
      <c r="T944" s="49" t="s">
        <v>63</v>
      </c>
      <c r="U944" s="49" t="s">
        <v>343</v>
      </c>
      <c r="V944" s="7"/>
      <c r="W944" s="44">
        <v>3.27</v>
      </c>
      <c r="X944" s="49" t="s">
        <v>12327</v>
      </c>
      <c r="Y944" s="49" t="s">
        <v>12329</v>
      </c>
      <c r="Z944" s="49" t="s">
        <v>12331</v>
      </c>
      <c r="AA944" s="51">
        <v>0.74490000000000001</v>
      </c>
      <c r="AB944" s="71">
        <v>47510</v>
      </c>
      <c r="AC944" s="90" t="s">
        <v>12313</v>
      </c>
      <c r="AD944" s="53" t="str">
        <f t="shared" si="712"/>
        <v>Link</v>
      </c>
      <c r="AE944" s="54">
        <v>2323</v>
      </c>
      <c r="AF944" s="55"/>
      <c r="AG944" s="7"/>
      <c r="AH944" s="56">
        <v>210775</v>
      </c>
      <c r="AI944" s="57"/>
      <c r="AJ944" s="57"/>
    </row>
    <row r="945" spans="1:36" ht="13" x14ac:dyDescent="0.15">
      <c r="A945" s="57"/>
      <c r="B945" s="78" t="s">
        <v>7298</v>
      </c>
      <c r="C945" s="7" t="s">
        <v>43</v>
      </c>
      <c r="D945" s="44">
        <v>5</v>
      </c>
      <c r="E945" s="7" t="s">
        <v>12336</v>
      </c>
      <c r="F945" s="7"/>
      <c r="G945" s="7"/>
      <c r="H945" s="6" t="s">
        <v>12306</v>
      </c>
      <c r="I945" s="7" t="s">
        <v>3173</v>
      </c>
      <c r="J945" s="7" t="s">
        <v>4380</v>
      </c>
      <c r="K945" s="7" t="s">
        <v>55</v>
      </c>
      <c r="L945" s="7" t="s">
        <v>12337</v>
      </c>
      <c r="M945" s="7" t="s">
        <v>12338</v>
      </c>
      <c r="N945" s="45" t="str">
        <f t="shared" si="710"/>
        <v>@vernsoftball</v>
      </c>
      <c r="O945" s="45" t="str">
        <f t="shared" si="711"/>
        <v>Questionnaire</v>
      </c>
      <c r="P945" s="48" t="s">
        <v>12313</v>
      </c>
      <c r="Q945" s="60" t="s">
        <v>1231</v>
      </c>
      <c r="R945" s="48" t="s">
        <v>12244</v>
      </c>
      <c r="S945" s="48" t="s">
        <v>12341</v>
      </c>
      <c r="T945" s="49" t="s">
        <v>63</v>
      </c>
      <c r="U945" s="49" t="s">
        <v>343</v>
      </c>
      <c r="V945" s="7"/>
      <c r="W945" s="44">
        <v>3.27</v>
      </c>
      <c r="X945" s="49" t="s">
        <v>12343</v>
      </c>
      <c r="Y945" s="49" t="s">
        <v>12344</v>
      </c>
      <c r="Z945" s="49" t="s">
        <v>12346</v>
      </c>
      <c r="AA945" s="51">
        <v>0.74490000000000001</v>
      </c>
      <c r="AB945" s="71">
        <v>47510</v>
      </c>
      <c r="AC945" s="90" t="s">
        <v>12313</v>
      </c>
      <c r="AD945" s="53" t="str">
        <f t="shared" si="712"/>
        <v>Link</v>
      </c>
      <c r="AE945" s="54">
        <v>2323</v>
      </c>
      <c r="AF945" s="55"/>
      <c r="AG945" s="7"/>
      <c r="AH945" s="56">
        <v>210775</v>
      </c>
      <c r="AI945" s="57"/>
      <c r="AJ945" s="57"/>
    </row>
    <row r="946" spans="1:36" ht="13" x14ac:dyDescent="0.15">
      <c r="A946" s="57"/>
      <c r="B946" s="78" t="s">
        <v>7298</v>
      </c>
      <c r="C946" s="7" t="s">
        <v>43</v>
      </c>
      <c r="D946" s="44">
        <v>5</v>
      </c>
      <c r="E946" s="7" t="s">
        <v>12348</v>
      </c>
      <c r="F946" s="7"/>
      <c r="G946" s="7"/>
      <c r="H946" s="6" t="s">
        <v>12349</v>
      </c>
      <c r="I946" s="7" t="s">
        <v>539</v>
      </c>
      <c r="J946" s="7" t="s">
        <v>12350</v>
      </c>
      <c r="K946" s="7" t="s">
        <v>48</v>
      </c>
      <c r="L946" s="7" t="s">
        <v>12351</v>
      </c>
      <c r="M946" s="7" t="s">
        <v>12352</v>
      </c>
      <c r="N946" s="45" t="str">
        <f>HYPERLINK("twitter.com/arcadia_sb","@arcadia_sb")</f>
        <v>@arcadia_sb</v>
      </c>
      <c r="O946" s="45" t="str">
        <f>HYPERLINK("https://arcadiaknights.com/sports/2016/8/31/be-recruited-forms.aspx","Questionnaire")</f>
        <v>Questionnaire</v>
      </c>
      <c r="P946" s="48" t="s">
        <v>12357</v>
      </c>
      <c r="Q946" s="60" t="s">
        <v>1231</v>
      </c>
      <c r="R946" s="48" t="s">
        <v>12358</v>
      </c>
      <c r="S946" s="60" t="s">
        <v>205</v>
      </c>
      <c r="T946" s="49" t="s">
        <v>63</v>
      </c>
      <c r="U946" s="49" t="s">
        <v>248</v>
      </c>
      <c r="V946" s="7"/>
      <c r="W946" s="44">
        <v>3.64</v>
      </c>
      <c r="X946" s="49" t="s">
        <v>12359</v>
      </c>
      <c r="Y946" s="49" t="s">
        <v>12360</v>
      </c>
      <c r="Z946" s="49" t="s">
        <v>12361</v>
      </c>
      <c r="AA946" s="51">
        <v>0.63260000000000005</v>
      </c>
      <c r="AB946" s="71">
        <v>57020</v>
      </c>
      <c r="AC946" s="90" t="s">
        <v>12357</v>
      </c>
      <c r="AD946" s="53" t="str">
        <f>HYPERLINK("https://www.arcadia.edu/academics/programs#/search","Link")</f>
        <v>Link</v>
      </c>
      <c r="AE946" s="54">
        <v>2473</v>
      </c>
      <c r="AF946" s="55"/>
      <c r="AG946" s="7"/>
      <c r="AH946" s="56">
        <v>211088</v>
      </c>
      <c r="AI946" s="57"/>
      <c r="AJ946" s="57"/>
    </row>
    <row r="947" spans="1:36" ht="13" x14ac:dyDescent="0.15">
      <c r="A947" s="57"/>
      <c r="B947" s="78" t="s">
        <v>7298</v>
      </c>
      <c r="C947" s="7" t="s">
        <v>43</v>
      </c>
      <c r="D947" s="44">
        <v>5</v>
      </c>
      <c r="E947" s="7" t="s">
        <v>12363</v>
      </c>
      <c r="F947" s="7"/>
      <c r="G947" s="7"/>
      <c r="H947" s="6" t="s">
        <v>12364</v>
      </c>
      <c r="I947" s="7" t="s">
        <v>1492</v>
      </c>
      <c r="J947" s="7" t="s">
        <v>12366</v>
      </c>
      <c r="K947" s="7" t="s">
        <v>1423</v>
      </c>
      <c r="L947" s="7" t="s">
        <v>12368</v>
      </c>
      <c r="M947" s="7" t="s">
        <v>12369</v>
      </c>
      <c r="N947" s="45" t="str">
        <f t="shared" ref="N947:N948" si="713">HYPERLINK("twitter.com/cabrinisoftball","@cabrinisoftball")</f>
        <v>@cabrinisoftball</v>
      </c>
      <c r="O947" s="45" t="str">
        <f t="shared" ref="O947:O948" si="714">HYPERLINK("https://cabriniathletics.com/sb_output.aspx?form=3","Questionnaire")</f>
        <v>Questionnaire</v>
      </c>
      <c r="P947" s="48" t="s">
        <v>12378</v>
      </c>
      <c r="Q947" s="60" t="s">
        <v>1231</v>
      </c>
      <c r="R947" s="48" t="s">
        <v>12380</v>
      </c>
      <c r="S947" s="48" t="s">
        <v>12381</v>
      </c>
      <c r="T947" s="49" t="s">
        <v>63</v>
      </c>
      <c r="U947" s="49" t="s">
        <v>343</v>
      </c>
      <c r="V947" s="7"/>
      <c r="W947" s="44">
        <v>3.0600000000000298</v>
      </c>
      <c r="X947" s="49" t="s">
        <v>12384</v>
      </c>
      <c r="Y947" s="49" t="s">
        <v>12386</v>
      </c>
      <c r="Z947" s="49" t="s">
        <v>12387</v>
      </c>
      <c r="AA947" s="51">
        <v>0.71059999999999501</v>
      </c>
      <c r="AB947" s="71">
        <v>45988</v>
      </c>
      <c r="AC947" s="90" t="s">
        <v>12378</v>
      </c>
      <c r="AD947" s="53" t="str">
        <f t="shared" ref="AD947:AD949" si="715">HYPERLINK("https://www.cabrini.edu/undergraduate/programs/majors","Link")</f>
        <v>Link</v>
      </c>
      <c r="AE947" s="54">
        <v>1650</v>
      </c>
      <c r="AF947" s="55"/>
      <c r="AG947" s="7"/>
      <c r="AH947" s="56">
        <v>211352</v>
      </c>
      <c r="AI947" s="57"/>
      <c r="AJ947" s="57"/>
    </row>
    <row r="948" spans="1:36" ht="13" x14ac:dyDescent="0.15">
      <c r="A948" s="57"/>
      <c r="B948" s="78" t="s">
        <v>7298</v>
      </c>
      <c r="C948" s="7" t="s">
        <v>43</v>
      </c>
      <c r="D948" s="44">
        <v>5</v>
      </c>
      <c r="E948" s="7" t="s">
        <v>12392</v>
      </c>
      <c r="F948" s="7"/>
      <c r="G948" s="7"/>
      <c r="H948" s="6" t="s">
        <v>12364</v>
      </c>
      <c r="I948" s="7" t="s">
        <v>12394</v>
      </c>
      <c r="J948" s="7" t="s">
        <v>12395</v>
      </c>
      <c r="K948" s="7" t="s">
        <v>55</v>
      </c>
      <c r="L948" s="7" t="s">
        <v>12396</v>
      </c>
      <c r="M948" s="7" t="s">
        <v>12369</v>
      </c>
      <c r="N948" s="45" t="str">
        <f t="shared" si="713"/>
        <v>@cabrinisoftball</v>
      </c>
      <c r="O948" s="45" t="str">
        <f t="shared" si="714"/>
        <v>Questionnaire</v>
      </c>
      <c r="P948" s="48" t="s">
        <v>12378</v>
      </c>
      <c r="Q948" s="60" t="s">
        <v>1231</v>
      </c>
      <c r="R948" s="48" t="s">
        <v>12380</v>
      </c>
      <c r="S948" s="48" t="s">
        <v>12398</v>
      </c>
      <c r="T948" s="49" t="s">
        <v>63</v>
      </c>
      <c r="U948" s="49" t="s">
        <v>343</v>
      </c>
      <c r="V948" s="7"/>
      <c r="W948" s="44">
        <v>3.0600000000000298</v>
      </c>
      <c r="X948" s="49" t="s">
        <v>12399</v>
      </c>
      <c r="Y948" s="49" t="s">
        <v>12400</v>
      </c>
      <c r="Z948" s="49" t="s">
        <v>12401</v>
      </c>
      <c r="AA948" s="51">
        <v>0.71059999999999501</v>
      </c>
      <c r="AB948" s="71">
        <v>45988</v>
      </c>
      <c r="AC948" s="90" t="s">
        <v>12378</v>
      </c>
      <c r="AD948" s="53" t="str">
        <f t="shared" si="715"/>
        <v>Link</v>
      </c>
      <c r="AE948" s="54">
        <v>1650</v>
      </c>
      <c r="AF948" s="55"/>
      <c r="AG948" s="7"/>
      <c r="AH948" s="56">
        <v>211352</v>
      </c>
      <c r="AI948" s="57"/>
      <c r="AJ948" s="57"/>
    </row>
    <row r="949" spans="1:36" ht="13" x14ac:dyDescent="0.15">
      <c r="A949" s="57"/>
      <c r="B949" s="78" t="s">
        <v>7298</v>
      </c>
      <c r="C949" s="7" t="s">
        <v>43</v>
      </c>
      <c r="D949" s="86">
        <v>5</v>
      </c>
      <c r="E949" s="7" t="s">
        <v>12402</v>
      </c>
      <c r="F949" s="7" t="s">
        <v>116</v>
      </c>
      <c r="G949" s="7"/>
      <c r="H949" s="6" t="s">
        <v>12364</v>
      </c>
      <c r="I949" s="7" t="s">
        <v>206</v>
      </c>
      <c r="J949" s="7" t="s">
        <v>12404</v>
      </c>
      <c r="K949" s="7" t="s">
        <v>55</v>
      </c>
      <c r="L949" s="7" t="s">
        <v>12405</v>
      </c>
      <c r="M949" s="7" t="s">
        <v>12369</v>
      </c>
      <c r="N949" s="7"/>
      <c r="O949" s="7"/>
      <c r="P949" s="48" t="s">
        <v>12378</v>
      </c>
      <c r="Q949" s="60" t="s">
        <v>1231</v>
      </c>
      <c r="R949" s="48" t="s">
        <v>12380</v>
      </c>
      <c r="S949" s="48" t="s">
        <v>12409</v>
      </c>
      <c r="T949" s="49" t="s">
        <v>63</v>
      </c>
      <c r="U949" s="49" t="s">
        <v>343</v>
      </c>
      <c r="V949" s="7"/>
      <c r="W949" s="44">
        <v>3.06000000000002</v>
      </c>
      <c r="X949" s="49" t="s">
        <v>12411</v>
      </c>
      <c r="Y949" s="49" t="s">
        <v>12413</v>
      </c>
      <c r="Z949" s="49" t="s">
        <v>12319</v>
      </c>
      <c r="AA949" s="51">
        <v>0.71059999999999601</v>
      </c>
      <c r="AB949" s="71">
        <v>45988</v>
      </c>
      <c r="AC949" s="90" t="s">
        <v>12378</v>
      </c>
      <c r="AD949" s="53" t="str">
        <f t="shared" si="715"/>
        <v>Link</v>
      </c>
      <c r="AE949" s="54">
        <v>1650</v>
      </c>
      <c r="AF949" s="55"/>
      <c r="AG949" s="7"/>
      <c r="AH949" s="56">
        <v>211352</v>
      </c>
      <c r="AI949" s="57"/>
      <c r="AJ949" s="57"/>
    </row>
    <row r="950" spans="1:36" ht="13" x14ac:dyDescent="0.15">
      <c r="A950" s="57"/>
      <c r="B950" s="78" t="s">
        <v>7298</v>
      </c>
      <c r="C950" s="7" t="s">
        <v>43</v>
      </c>
      <c r="D950" s="44">
        <v>5</v>
      </c>
      <c r="E950" s="7" t="s">
        <v>12415</v>
      </c>
      <c r="F950" s="7"/>
      <c r="G950" s="7"/>
      <c r="H950" s="6" t="s">
        <v>12416</v>
      </c>
      <c r="I950" s="7" t="s">
        <v>2806</v>
      </c>
      <c r="J950" s="7" t="s">
        <v>12417</v>
      </c>
      <c r="K950" s="7" t="s">
        <v>1423</v>
      </c>
      <c r="L950" s="7" t="s">
        <v>12418</v>
      </c>
      <c r="M950" s="7" t="s">
        <v>12419</v>
      </c>
      <c r="N950" s="48"/>
      <c r="O950" s="45" t="str">
        <f t="shared" ref="O950:O952" si="716">HYPERLINK("https://www.cairnhighlanders.com/sb_output.aspx?form=10&amp;path=softball","Questionnaire")</f>
        <v>Questionnaire</v>
      </c>
      <c r="P950" s="48" t="s">
        <v>12420</v>
      </c>
      <c r="Q950" s="60" t="s">
        <v>1231</v>
      </c>
      <c r="R950" s="48" t="s">
        <v>12421</v>
      </c>
      <c r="S950" s="60" t="s">
        <v>205</v>
      </c>
      <c r="T950" s="49" t="s">
        <v>63</v>
      </c>
      <c r="U950" s="49" t="s">
        <v>75</v>
      </c>
      <c r="V950" s="7"/>
      <c r="W950" s="44">
        <v>3.38</v>
      </c>
      <c r="X950" s="49" t="s">
        <v>12423</v>
      </c>
      <c r="Y950" s="49" t="s">
        <v>12424</v>
      </c>
      <c r="Z950" s="49" t="s">
        <v>12425</v>
      </c>
      <c r="AA950" s="51">
        <v>0.97919999999999996</v>
      </c>
      <c r="AB950" s="71">
        <v>37865</v>
      </c>
      <c r="AC950" s="90" t="s">
        <v>12420</v>
      </c>
      <c r="AD950" s="53" t="str">
        <f t="shared" ref="AD950:AD952" si="717">HYPERLINK("https://cairn.edu/academics/","Link")</f>
        <v>Link</v>
      </c>
      <c r="AE950" s="54">
        <v>740</v>
      </c>
      <c r="AF950" s="55"/>
      <c r="AG950" s="7"/>
      <c r="AH950" s="56">
        <v>215114</v>
      </c>
      <c r="AI950" s="57"/>
      <c r="AJ950" s="57"/>
    </row>
    <row r="951" spans="1:36" ht="13" x14ac:dyDescent="0.15">
      <c r="A951" s="57"/>
      <c r="B951" s="78" t="s">
        <v>7298</v>
      </c>
      <c r="C951" s="7" t="s">
        <v>43</v>
      </c>
      <c r="D951" s="44">
        <v>5</v>
      </c>
      <c r="E951" s="7" t="s">
        <v>12430</v>
      </c>
      <c r="F951" s="7"/>
      <c r="G951" s="7"/>
      <c r="H951" s="6" t="s">
        <v>12416</v>
      </c>
      <c r="I951" s="7" t="s">
        <v>484</v>
      </c>
      <c r="J951" s="7" t="s">
        <v>3577</v>
      </c>
      <c r="K951" s="7" t="s">
        <v>55</v>
      </c>
      <c r="L951" s="7" t="s">
        <v>12431</v>
      </c>
      <c r="M951" s="7"/>
      <c r="N951" s="48"/>
      <c r="O951" s="45" t="str">
        <f t="shared" si="716"/>
        <v>Questionnaire</v>
      </c>
      <c r="P951" s="48" t="s">
        <v>12420</v>
      </c>
      <c r="Q951" s="60" t="s">
        <v>1231</v>
      </c>
      <c r="R951" s="48" t="s">
        <v>12421</v>
      </c>
      <c r="S951" s="60" t="s">
        <v>205</v>
      </c>
      <c r="T951" s="49" t="s">
        <v>63</v>
      </c>
      <c r="U951" s="49" t="s">
        <v>75</v>
      </c>
      <c r="V951" s="7"/>
      <c r="W951" s="44">
        <v>3.38</v>
      </c>
      <c r="X951" s="49" t="s">
        <v>12432</v>
      </c>
      <c r="Y951" s="49" t="s">
        <v>12433</v>
      </c>
      <c r="Z951" s="49" t="s">
        <v>12434</v>
      </c>
      <c r="AA951" s="51">
        <v>0.97919999999999996</v>
      </c>
      <c r="AB951" s="71">
        <v>37865</v>
      </c>
      <c r="AC951" s="90" t="s">
        <v>12420</v>
      </c>
      <c r="AD951" s="53" t="str">
        <f t="shared" si="717"/>
        <v>Link</v>
      </c>
      <c r="AE951" s="54">
        <v>740</v>
      </c>
      <c r="AF951" s="55"/>
      <c r="AG951" s="7"/>
      <c r="AH951" s="56">
        <v>215114</v>
      </c>
      <c r="AI951" s="57"/>
      <c r="AJ951" s="57"/>
    </row>
    <row r="952" spans="1:36" ht="13" x14ac:dyDescent="0.15">
      <c r="A952" s="57"/>
      <c r="B952" s="78" t="s">
        <v>7298</v>
      </c>
      <c r="C952" s="7" t="s">
        <v>43</v>
      </c>
      <c r="D952" s="86">
        <v>5</v>
      </c>
      <c r="E952" s="7" t="s">
        <v>12439</v>
      </c>
      <c r="F952" s="7" t="s">
        <v>116</v>
      </c>
      <c r="G952" s="7"/>
      <c r="H952" s="6" t="s">
        <v>12416</v>
      </c>
      <c r="I952" s="7" t="s">
        <v>294</v>
      </c>
      <c r="J952" s="7" t="s">
        <v>12443</v>
      </c>
      <c r="K952" s="7" t="s">
        <v>55</v>
      </c>
      <c r="L952" s="7" t="s">
        <v>12444</v>
      </c>
      <c r="M952" s="7" t="s">
        <v>12445</v>
      </c>
      <c r="N952" s="48"/>
      <c r="O952" s="45" t="str">
        <f t="shared" si="716"/>
        <v>Questionnaire</v>
      </c>
      <c r="P952" s="48" t="s">
        <v>12420</v>
      </c>
      <c r="Q952" s="60" t="s">
        <v>1231</v>
      </c>
      <c r="R952" s="48" t="s">
        <v>12421</v>
      </c>
      <c r="S952" s="60" t="s">
        <v>205</v>
      </c>
      <c r="T952" s="49" t="s">
        <v>63</v>
      </c>
      <c r="U952" s="49" t="s">
        <v>75</v>
      </c>
      <c r="V952" s="7"/>
      <c r="W952" s="44">
        <v>3.38</v>
      </c>
      <c r="X952" s="49" t="s">
        <v>12423</v>
      </c>
      <c r="Y952" s="49" t="s">
        <v>12424</v>
      </c>
      <c r="Z952" s="49" t="s">
        <v>12425</v>
      </c>
      <c r="AA952" s="51">
        <v>0.97919999999999996</v>
      </c>
      <c r="AB952" s="71">
        <v>37865</v>
      </c>
      <c r="AC952" s="90" t="s">
        <v>12420</v>
      </c>
      <c r="AD952" s="53" t="str">
        <f t="shared" si="717"/>
        <v>Link</v>
      </c>
      <c r="AE952" s="54">
        <v>740</v>
      </c>
      <c r="AF952" s="55"/>
      <c r="AG952" s="7"/>
      <c r="AH952" s="56">
        <v>215114</v>
      </c>
      <c r="AI952" s="57"/>
      <c r="AJ952" s="57"/>
    </row>
    <row r="953" spans="1:36" ht="13" x14ac:dyDescent="0.15">
      <c r="A953" s="57"/>
      <c r="B953" s="78" t="s">
        <v>7298</v>
      </c>
      <c r="C953" s="7" t="s">
        <v>43</v>
      </c>
      <c r="D953" s="44">
        <v>5</v>
      </c>
      <c r="E953" s="7" t="s">
        <v>12448</v>
      </c>
      <c r="F953" s="7"/>
      <c r="G953" s="7"/>
      <c r="H953" s="6" t="s">
        <v>12449</v>
      </c>
      <c r="I953" s="7" t="s">
        <v>427</v>
      </c>
      <c r="J953" s="7" t="s">
        <v>7395</v>
      </c>
      <c r="K953" s="7" t="s">
        <v>48</v>
      </c>
      <c r="L953" s="7" t="s">
        <v>12450</v>
      </c>
      <c r="M953" s="7" t="s">
        <v>12452</v>
      </c>
      <c r="N953" s="45" t="str">
        <f>HYPERLINK("twitter.com/softballcmu","@softballcmu")</f>
        <v>@softballcmu</v>
      </c>
      <c r="O953" s="45" t="str">
        <f>HYPERLINK("http://athletics.cmu.edu/recruits_copy","Questionnaire")</f>
        <v>Questionnaire</v>
      </c>
      <c r="P953" s="48" t="s">
        <v>12457</v>
      </c>
      <c r="Q953" s="60" t="s">
        <v>1231</v>
      </c>
      <c r="R953" s="6" t="s">
        <v>1243</v>
      </c>
      <c r="S953" s="6" t="s">
        <v>12458</v>
      </c>
      <c r="T953" s="4" t="s">
        <v>63</v>
      </c>
      <c r="U953" s="49" t="s">
        <v>75</v>
      </c>
      <c r="V953" s="7"/>
      <c r="W953" s="37">
        <v>3.76</v>
      </c>
      <c r="X953" s="49" t="s">
        <v>1539</v>
      </c>
      <c r="Y953" s="49" t="s">
        <v>12459</v>
      </c>
      <c r="Z953" s="4" t="s">
        <v>12460</v>
      </c>
      <c r="AA953" s="38">
        <v>0.21709999999999999</v>
      </c>
      <c r="AB953" s="39">
        <v>67980</v>
      </c>
      <c r="AC953" s="66" t="s">
        <v>12457</v>
      </c>
      <c r="AD953" s="53" t="str">
        <f t="shared" ref="AD953:AD954" si="718">HYPERLINK("https://admission.enrollment.cmu.edu/pages/majors-programs","Link")</f>
        <v>Link</v>
      </c>
      <c r="AE953" s="42">
        <v>6283</v>
      </c>
      <c r="AF953" s="42">
        <v>25</v>
      </c>
      <c r="AG953" s="7"/>
      <c r="AH953" s="56">
        <v>211440</v>
      </c>
      <c r="AI953" s="57"/>
      <c r="AJ953" s="57"/>
    </row>
    <row r="954" spans="1:36" ht="13" x14ac:dyDescent="0.15">
      <c r="A954" s="57"/>
      <c r="B954" s="78" t="s">
        <v>7298</v>
      </c>
      <c r="C954" s="7" t="s">
        <v>43</v>
      </c>
      <c r="D954" s="44">
        <v>5</v>
      </c>
      <c r="E954" s="7" t="s">
        <v>12467</v>
      </c>
      <c r="F954" s="7"/>
      <c r="G954" s="7" t="s">
        <v>126</v>
      </c>
      <c r="H954" s="6" t="s">
        <v>12449</v>
      </c>
      <c r="I954" s="7" t="s">
        <v>12468</v>
      </c>
      <c r="J954" s="7"/>
      <c r="K954" s="7"/>
      <c r="L954" s="7"/>
      <c r="M954" s="7"/>
      <c r="N954" s="7"/>
      <c r="O954" s="7"/>
      <c r="P954" s="48" t="s">
        <v>12457</v>
      </c>
      <c r="Q954" s="60" t="s">
        <v>1231</v>
      </c>
      <c r="R954" s="6" t="s">
        <v>1243</v>
      </c>
      <c r="S954" s="6" t="s">
        <v>12469</v>
      </c>
      <c r="T954" s="4" t="s">
        <v>63</v>
      </c>
      <c r="U954" s="49" t="s">
        <v>75</v>
      </c>
      <c r="V954" s="7"/>
      <c r="W954" s="37">
        <v>3.76</v>
      </c>
      <c r="X954" s="49" t="s">
        <v>12470</v>
      </c>
      <c r="Y954" s="49" t="s">
        <v>12471</v>
      </c>
      <c r="Z954" s="4" t="s">
        <v>12472</v>
      </c>
      <c r="AA954" s="38">
        <v>0.21709999999999999</v>
      </c>
      <c r="AB954" s="39">
        <v>67980</v>
      </c>
      <c r="AC954" s="66" t="s">
        <v>12457</v>
      </c>
      <c r="AD954" s="53" t="str">
        <f t="shared" si="718"/>
        <v>Link</v>
      </c>
      <c r="AE954" s="42">
        <v>6283</v>
      </c>
      <c r="AF954" s="42">
        <v>25</v>
      </c>
      <c r="AG954" s="7"/>
      <c r="AH954" s="56">
        <v>211440</v>
      </c>
      <c r="AI954" s="57"/>
      <c r="AJ954" s="57"/>
    </row>
    <row r="955" spans="1:36" ht="13" x14ac:dyDescent="0.15">
      <c r="A955" s="57"/>
      <c r="B955" s="78" t="s">
        <v>7298</v>
      </c>
      <c r="C955" s="7" t="s">
        <v>43</v>
      </c>
      <c r="D955" s="44">
        <v>5</v>
      </c>
      <c r="E955" s="7" t="s">
        <v>12474</v>
      </c>
      <c r="F955" s="7"/>
      <c r="G955" s="7"/>
      <c r="H955" s="6" t="s">
        <v>12475</v>
      </c>
      <c r="I955" s="7" t="s">
        <v>1159</v>
      </c>
      <c r="J955" s="7" t="s">
        <v>12476</v>
      </c>
      <c r="K955" s="7" t="s">
        <v>48</v>
      </c>
      <c r="L955" s="7" t="s">
        <v>12477</v>
      </c>
      <c r="M955" s="7" t="s">
        <v>12478</v>
      </c>
      <c r="N955" s="45" t="str">
        <f t="shared" ref="N955:N956" si="719">HYPERLINK("twitter.com/SoftballCrest","@SoftballCrest")</f>
        <v>@SoftballCrest</v>
      </c>
      <c r="O955" s="45" t="str">
        <f t="shared" ref="O955:O956" si="720">HYPERLINK("https://cedarcrestathletics.com/sports/2013/7/17/FH_0717131458.aspx","Questionnaire")</f>
        <v>Questionnaire</v>
      </c>
      <c r="P955" s="48" t="s">
        <v>12480</v>
      </c>
      <c r="Q955" s="60" t="s">
        <v>1231</v>
      </c>
      <c r="R955" s="48" t="s">
        <v>12482</v>
      </c>
      <c r="S955" s="48" t="s">
        <v>238</v>
      </c>
      <c r="T955" s="49" t="s">
        <v>63</v>
      </c>
      <c r="U955" s="48" t="s">
        <v>75</v>
      </c>
      <c r="V955" s="49" t="s">
        <v>1006</v>
      </c>
      <c r="W955" s="37">
        <v>3.17</v>
      </c>
      <c r="X955" s="49" t="s">
        <v>1144</v>
      </c>
      <c r="Y955" s="49" t="s">
        <v>1145</v>
      </c>
      <c r="Z955" s="49" t="s">
        <v>125</v>
      </c>
      <c r="AA955" s="38">
        <v>0.66469999999999996</v>
      </c>
      <c r="AB955" s="39">
        <v>50108</v>
      </c>
      <c r="AC955" s="90" t="s">
        <v>12480</v>
      </c>
      <c r="AD955" s="53" t="str">
        <f t="shared" ref="AD955:AD956" si="721">HYPERLINK("http://www.cedarcrest.edu/academics/index.shtm","Link")</f>
        <v>Link</v>
      </c>
      <c r="AE955" s="54">
        <v>1428</v>
      </c>
      <c r="AF955" s="55"/>
      <c r="AG955" s="55"/>
      <c r="AH955" s="56">
        <v>211468</v>
      </c>
      <c r="AI955" s="57"/>
      <c r="AJ955" s="57"/>
    </row>
    <row r="956" spans="1:36" ht="13" x14ac:dyDescent="0.15">
      <c r="A956" s="57"/>
      <c r="B956" s="78" t="s">
        <v>7298</v>
      </c>
      <c r="C956" s="7" t="s">
        <v>43</v>
      </c>
      <c r="D956" s="44">
        <v>5</v>
      </c>
      <c r="E956" s="7" t="s">
        <v>12485</v>
      </c>
      <c r="F956" s="7"/>
      <c r="G956" s="7" t="s">
        <v>126</v>
      </c>
      <c r="H956" s="6" t="s">
        <v>12475</v>
      </c>
      <c r="I956" s="7" t="s">
        <v>12487</v>
      </c>
      <c r="J956" s="7"/>
      <c r="K956" s="7"/>
      <c r="L956" s="7"/>
      <c r="M956" s="7"/>
      <c r="N956" s="69" t="str">
        <f t="shared" si="719"/>
        <v>@SoftballCrest</v>
      </c>
      <c r="O956" s="45" t="str">
        <f t="shared" si="720"/>
        <v>Questionnaire</v>
      </c>
      <c r="P956" s="48" t="s">
        <v>12480</v>
      </c>
      <c r="Q956" s="60" t="s">
        <v>1231</v>
      </c>
      <c r="R956" s="48" t="s">
        <v>12482</v>
      </c>
      <c r="S956" s="48" t="s">
        <v>238</v>
      </c>
      <c r="T956" s="49" t="s">
        <v>63</v>
      </c>
      <c r="U956" s="48" t="s">
        <v>75</v>
      </c>
      <c r="V956" s="49" t="s">
        <v>1006</v>
      </c>
      <c r="W956" s="37">
        <v>3.17</v>
      </c>
      <c r="X956" s="49" t="s">
        <v>1144</v>
      </c>
      <c r="Y956" s="49" t="s">
        <v>1145</v>
      </c>
      <c r="Z956" s="49" t="s">
        <v>125</v>
      </c>
      <c r="AA956" s="38">
        <v>0.66469999999999996</v>
      </c>
      <c r="AB956" s="39">
        <v>50108</v>
      </c>
      <c r="AC956" s="90" t="s">
        <v>12480</v>
      </c>
      <c r="AD956" s="53" t="str">
        <f t="shared" si="721"/>
        <v>Link</v>
      </c>
      <c r="AE956" s="54">
        <v>1428</v>
      </c>
      <c r="AF956" s="55"/>
      <c r="AG956" s="55"/>
      <c r="AH956" s="56">
        <v>211468</v>
      </c>
      <c r="AI956" s="57"/>
      <c r="AJ956" s="57"/>
    </row>
    <row r="957" spans="1:36" ht="13" x14ac:dyDescent="0.15">
      <c r="A957" s="57"/>
      <c r="B957" s="78" t="s">
        <v>7298</v>
      </c>
      <c r="C957" s="7" t="s">
        <v>43</v>
      </c>
      <c r="D957" s="44">
        <v>5</v>
      </c>
      <c r="E957" s="7" t="s">
        <v>12491</v>
      </c>
      <c r="F957" s="7"/>
      <c r="G957" s="7"/>
      <c r="H957" s="6" t="s">
        <v>12492</v>
      </c>
      <c r="I957" s="7" t="s">
        <v>1155</v>
      </c>
      <c r="J957" s="7" t="s">
        <v>12494</v>
      </c>
      <c r="K957" s="7" t="s">
        <v>48</v>
      </c>
      <c r="L957" s="7" t="s">
        <v>12495</v>
      </c>
      <c r="M957" s="7" t="s">
        <v>12496</v>
      </c>
      <c r="N957" s="48"/>
      <c r="O957" s="45" t="str">
        <f t="shared" ref="O957:O960" si="722">HYPERLINK("https://gochathamcougars.com/sports/2015/1/23/Recruit%20Me.aspx","Questionnaire")</f>
        <v>Questionnaire</v>
      </c>
      <c r="P957" s="48" t="s">
        <v>12498</v>
      </c>
      <c r="Q957" s="60" t="s">
        <v>1231</v>
      </c>
      <c r="R957" s="48" t="s">
        <v>1243</v>
      </c>
      <c r="S957" s="48" t="s">
        <v>12499</v>
      </c>
      <c r="T957" s="49" t="s">
        <v>63</v>
      </c>
      <c r="U957" s="49" t="s">
        <v>75</v>
      </c>
      <c r="V957" s="7"/>
      <c r="W957" s="44">
        <v>3.72</v>
      </c>
      <c r="X957" s="49" t="s">
        <v>12500</v>
      </c>
      <c r="Y957" s="49" t="s">
        <v>12501</v>
      </c>
      <c r="Z957" s="49" t="s">
        <v>12502</v>
      </c>
      <c r="AA957" s="51">
        <v>0.52749999999999997</v>
      </c>
      <c r="AB957" s="71">
        <v>49517</v>
      </c>
      <c r="AC957" s="90" t="s">
        <v>12498</v>
      </c>
      <c r="AD957" s="53" t="str">
        <f t="shared" ref="AD957:AD960" si="723">HYPERLINK("https://www.chatham.edu/academics/programs/undergraduate/","Link")</f>
        <v>Link</v>
      </c>
      <c r="AE957" s="54">
        <v>1002</v>
      </c>
      <c r="AF957" s="55"/>
      <c r="AG957" s="7"/>
      <c r="AH957" s="56">
        <v>211556</v>
      </c>
      <c r="AI957" s="57"/>
      <c r="AJ957" s="57"/>
    </row>
    <row r="958" spans="1:36" ht="13" x14ac:dyDescent="0.15">
      <c r="A958" s="57"/>
      <c r="B958" s="78" t="s">
        <v>7298</v>
      </c>
      <c r="C958" s="7" t="s">
        <v>43</v>
      </c>
      <c r="D958" s="44">
        <v>5</v>
      </c>
      <c r="E958" s="7" t="s">
        <v>12505</v>
      </c>
      <c r="F958" s="7" t="s">
        <v>116</v>
      </c>
      <c r="G958" s="7"/>
      <c r="H958" s="6" t="s">
        <v>12492</v>
      </c>
      <c r="I958" s="7" t="s">
        <v>790</v>
      </c>
      <c r="J958" s="7" t="s">
        <v>12494</v>
      </c>
      <c r="K958" s="7" t="s">
        <v>55</v>
      </c>
      <c r="L958" s="7"/>
      <c r="M958" s="7" t="s">
        <v>12496</v>
      </c>
      <c r="N958" s="48"/>
      <c r="O958" s="45" t="str">
        <f t="shared" si="722"/>
        <v>Questionnaire</v>
      </c>
      <c r="P958" s="48" t="s">
        <v>12498</v>
      </c>
      <c r="Q958" s="60" t="s">
        <v>1231</v>
      </c>
      <c r="R958" s="48" t="s">
        <v>1243</v>
      </c>
      <c r="S958" s="48" t="s">
        <v>12458</v>
      </c>
      <c r="T958" s="49" t="s">
        <v>63</v>
      </c>
      <c r="U958" s="49" t="s">
        <v>75</v>
      </c>
      <c r="V958" s="7"/>
      <c r="W958" s="44">
        <v>3.72</v>
      </c>
      <c r="X958" s="49" t="s">
        <v>7801</v>
      </c>
      <c r="Y958" s="49" t="s">
        <v>802</v>
      </c>
      <c r="Z958" s="49" t="s">
        <v>12510</v>
      </c>
      <c r="AA958" s="51">
        <v>0.52749999999999997</v>
      </c>
      <c r="AB958" s="71">
        <v>49517</v>
      </c>
      <c r="AC958" s="90" t="s">
        <v>12498</v>
      </c>
      <c r="AD958" s="53" t="str">
        <f t="shared" si="723"/>
        <v>Link</v>
      </c>
      <c r="AE958" s="54">
        <v>1002</v>
      </c>
      <c r="AF958" s="55"/>
      <c r="AG958" s="7"/>
      <c r="AH958" s="56">
        <v>211556</v>
      </c>
      <c r="AI958" s="57"/>
      <c r="AJ958" s="57"/>
    </row>
    <row r="959" spans="1:36" ht="13" x14ac:dyDescent="0.15">
      <c r="A959" s="57"/>
      <c r="B959" s="78" t="s">
        <v>7298</v>
      </c>
      <c r="C959" s="7" t="s">
        <v>43</v>
      </c>
      <c r="D959" s="44">
        <v>5</v>
      </c>
      <c r="E959" s="7" t="s">
        <v>12511</v>
      </c>
      <c r="F959" s="7"/>
      <c r="G959" s="7"/>
      <c r="H959" s="6" t="s">
        <v>12492</v>
      </c>
      <c r="I959" s="7" t="s">
        <v>4044</v>
      </c>
      <c r="J959" s="7" t="s">
        <v>12512</v>
      </c>
      <c r="K959" s="7" t="s">
        <v>55</v>
      </c>
      <c r="L959" s="7"/>
      <c r="M959" s="7"/>
      <c r="N959" s="48"/>
      <c r="O959" s="45" t="str">
        <f t="shared" si="722"/>
        <v>Questionnaire</v>
      </c>
      <c r="P959" s="48" t="s">
        <v>12498</v>
      </c>
      <c r="Q959" s="60" t="s">
        <v>1231</v>
      </c>
      <c r="R959" s="48" t="s">
        <v>1243</v>
      </c>
      <c r="S959" s="48" t="s">
        <v>12513</v>
      </c>
      <c r="T959" s="49" t="s">
        <v>63</v>
      </c>
      <c r="U959" s="49" t="s">
        <v>75</v>
      </c>
      <c r="V959" s="7"/>
      <c r="W959" s="44">
        <v>3.72</v>
      </c>
      <c r="X959" s="49" t="s">
        <v>12514</v>
      </c>
      <c r="Y959" s="49" t="s">
        <v>12515</v>
      </c>
      <c r="Z959" s="49" t="s">
        <v>12516</v>
      </c>
      <c r="AA959" s="51">
        <v>0.52749999999999997</v>
      </c>
      <c r="AB959" s="71">
        <v>49517</v>
      </c>
      <c r="AC959" s="90" t="s">
        <v>12498</v>
      </c>
      <c r="AD959" s="53" t="str">
        <f t="shared" si="723"/>
        <v>Link</v>
      </c>
      <c r="AE959" s="54">
        <v>1002</v>
      </c>
      <c r="AF959" s="55"/>
      <c r="AG959" s="7"/>
      <c r="AH959" s="56">
        <v>211556</v>
      </c>
      <c r="AI959" s="57"/>
      <c r="AJ959" s="57"/>
    </row>
    <row r="960" spans="1:36" ht="13" x14ac:dyDescent="0.15">
      <c r="A960" s="57"/>
      <c r="B960" s="78" t="s">
        <v>7298</v>
      </c>
      <c r="C960" s="7" t="s">
        <v>43</v>
      </c>
      <c r="D960" s="86">
        <v>5</v>
      </c>
      <c r="E960" s="7" t="s">
        <v>12518</v>
      </c>
      <c r="F960" s="7" t="s">
        <v>116</v>
      </c>
      <c r="G960" s="7"/>
      <c r="H960" s="6" t="s">
        <v>12492</v>
      </c>
      <c r="I960" s="7" t="s">
        <v>4044</v>
      </c>
      <c r="J960" s="7" t="s">
        <v>12512</v>
      </c>
      <c r="K960" s="7" t="s">
        <v>55</v>
      </c>
      <c r="L960" s="7"/>
      <c r="M960" s="7" t="s">
        <v>12496</v>
      </c>
      <c r="N960" s="48"/>
      <c r="O960" s="45" t="str">
        <f t="shared" si="722"/>
        <v>Questionnaire</v>
      </c>
      <c r="P960" s="48" t="s">
        <v>12498</v>
      </c>
      <c r="Q960" s="60" t="s">
        <v>1231</v>
      </c>
      <c r="R960" s="48" t="s">
        <v>1243</v>
      </c>
      <c r="S960" s="48" t="s">
        <v>12458</v>
      </c>
      <c r="T960" s="49" t="s">
        <v>63</v>
      </c>
      <c r="U960" s="49" t="s">
        <v>75</v>
      </c>
      <c r="V960" s="7"/>
      <c r="W960" s="44">
        <v>3.72</v>
      </c>
      <c r="X960" s="49" t="s">
        <v>7801</v>
      </c>
      <c r="Y960" s="49" t="s">
        <v>802</v>
      </c>
      <c r="Z960" s="49" t="s">
        <v>12510</v>
      </c>
      <c r="AA960" s="51">
        <v>0.52749999999999997</v>
      </c>
      <c r="AB960" s="71">
        <v>49517</v>
      </c>
      <c r="AC960" s="90" t="s">
        <v>12498</v>
      </c>
      <c r="AD960" s="53" t="str">
        <f t="shared" si="723"/>
        <v>Link</v>
      </c>
      <c r="AE960" s="54">
        <v>1002</v>
      </c>
      <c r="AF960" s="55"/>
      <c r="AG960" s="7"/>
      <c r="AH960" s="56">
        <v>211556</v>
      </c>
      <c r="AI960" s="57"/>
      <c r="AJ960" s="57"/>
    </row>
    <row r="961" spans="1:36" ht="15" x14ac:dyDescent="0.2">
      <c r="A961" s="57"/>
      <c r="B961" s="78" t="s">
        <v>7298</v>
      </c>
      <c r="C961" s="7" t="s">
        <v>43</v>
      </c>
      <c r="D961" s="44">
        <v>5</v>
      </c>
      <c r="E961" s="7" t="s">
        <v>12520</v>
      </c>
      <c r="F961" s="7"/>
      <c r="G961" s="7"/>
      <c r="H961" s="6" t="s">
        <v>12521</v>
      </c>
      <c r="I961" s="7" t="s">
        <v>12522</v>
      </c>
      <c r="J961" s="7" t="s">
        <v>12523</v>
      </c>
      <c r="K961" s="7" t="s">
        <v>48</v>
      </c>
      <c r="L961" s="7" t="s">
        <v>12524</v>
      </c>
      <c r="M961" s="7" t="s">
        <v>12525</v>
      </c>
      <c r="N961" s="48"/>
      <c r="O961" s="45" t="str">
        <f>HYPERLINK("http://discover.clarkssummitu.edu/inquiryform/defenders","Questionnaire")</f>
        <v>Questionnaire</v>
      </c>
      <c r="P961" s="48" t="s">
        <v>12529</v>
      </c>
      <c r="Q961" s="47" t="s">
        <v>1231</v>
      </c>
      <c r="R961" s="48" t="s">
        <v>12530</v>
      </c>
      <c r="S961" s="60" t="s">
        <v>205</v>
      </c>
      <c r="T961" s="49" t="s">
        <v>63</v>
      </c>
      <c r="U961" s="49" t="s">
        <v>2619</v>
      </c>
      <c r="V961" s="7"/>
      <c r="W961" s="7" t="s">
        <v>214</v>
      </c>
      <c r="X961" s="49" t="s">
        <v>214</v>
      </c>
      <c r="Y961" s="49" t="s">
        <v>214</v>
      </c>
      <c r="Z961" s="49" t="s">
        <v>214</v>
      </c>
      <c r="AA961" s="51">
        <v>0.43120000000000003</v>
      </c>
      <c r="AB961" s="71">
        <v>31180</v>
      </c>
      <c r="AC961" s="52" t="s">
        <v>12529</v>
      </c>
      <c r="AD961" s="53" t="str">
        <f>HYPERLINK("https://www.clarkssummitu.edu/academics/undergraduate-academics/degrees-majors-minors/","Link")</f>
        <v>Link</v>
      </c>
      <c r="AE961" s="54">
        <v>509</v>
      </c>
      <c r="AF961" s="55"/>
      <c r="AG961" s="7"/>
      <c r="AH961" s="7"/>
      <c r="AI961" s="57"/>
      <c r="AJ961" s="57"/>
    </row>
    <row r="962" spans="1:36" ht="13" x14ac:dyDescent="0.15">
      <c r="A962" s="57"/>
      <c r="B962" s="78" t="s">
        <v>7298</v>
      </c>
      <c r="C962" s="7" t="s">
        <v>43</v>
      </c>
      <c r="D962" s="44">
        <v>5</v>
      </c>
      <c r="E962" s="7" t="s">
        <v>12531</v>
      </c>
      <c r="F962" s="7"/>
      <c r="G962" s="7" t="s">
        <v>126</v>
      </c>
      <c r="H962" s="6" t="s">
        <v>12533</v>
      </c>
      <c r="I962" s="7" t="s">
        <v>12534</v>
      </c>
      <c r="J962" s="7"/>
      <c r="K962" s="7"/>
      <c r="L962" s="7"/>
      <c r="M962" s="7"/>
      <c r="N962" s="45" t="str">
        <f t="shared" ref="N962:N964" si="724">HYPERLINK("twitter.com/delvalsb","@delvalsb")</f>
        <v>@delvalsb</v>
      </c>
      <c r="O962" s="45" t="str">
        <f t="shared" ref="O962:O964" si="725">HYPERLINK("https://athletics.delval.edu/sports/2014/6/4/GEN_0604144134.aspx","Questionnaire")</f>
        <v>Questionnaire</v>
      </c>
      <c r="P962" s="48" t="s">
        <v>12538</v>
      </c>
      <c r="Q962" s="47" t="s">
        <v>1231</v>
      </c>
      <c r="R962" s="48" t="s">
        <v>12539</v>
      </c>
      <c r="S962" s="60" t="s">
        <v>205</v>
      </c>
      <c r="T962" s="49" t="s">
        <v>63</v>
      </c>
      <c r="U962" s="49" t="s">
        <v>75</v>
      </c>
      <c r="V962" s="7"/>
      <c r="W962" s="44">
        <v>3.3</v>
      </c>
      <c r="X962" s="49" t="s">
        <v>12540</v>
      </c>
      <c r="Y962" s="49" t="s">
        <v>12541</v>
      </c>
      <c r="Z962" s="49" t="s">
        <v>12542</v>
      </c>
      <c r="AA962" s="61">
        <v>0.68</v>
      </c>
      <c r="AB962" s="71">
        <v>52878</v>
      </c>
      <c r="AC962" s="62" t="s">
        <v>12538</v>
      </c>
      <c r="AD962" s="53" t="str">
        <f t="shared" ref="AD962:AD964" si="726">HYPERLINK("http://www.delval.edu/academics/undergraduate","Link")</f>
        <v>Link</v>
      </c>
      <c r="AE962" s="54">
        <v>1967</v>
      </c>
      <c r="AF962" s="55"/>
      <c r="AG962" s="7"/>
      <c r="AH962" s="56">
        <v>211981</v>
      </c>
      <c r="AI962" s="57"/>
      <c r="AJ962" s="57"/>
    </row>
    <row r="963" spans="1:36" ht="13" x14ac:dyDescent="0.15">
      <c r="A963" s="57"/>
      <c r="B963" s="78" t="s">
        <v>7298</v>
      </c>
      <c r="C963" s="7" t="s">
        <v>43</v>
      </c>
      <c r="D963" s="44">
        <v>5</v>
      </c>
      <c r="E963" s="7" t="s">
        <v>12531</v>
      </c>
      <c r="F963" s="7" t="s">
        <v>116</v>
      </c>
      <c r="G963" s="7"/>
      <c r="H963" s="6" t="s">
        <v>12533</v>
      </c>
      <c r="I963" s="7" t="s">
        <v>421</v>
      </c>
      <c r="J963" s="7"/>
      <c r="K963" s="7" t="s">
        <v>48</v>
      </c>
      <c r="L963" s="7"/>
      <c r="M963" s="7"/>
      <c r="N963" s="45" t="str">
        <f t="shared" si="724"/>
        <v>@delvalsb</v>
      </c>
      <c r="O963" s="45" t="str">
        <f t="shared" si="725"/>
        <v>Questionnaire</v>
      </c>
      <c r="P963" s="48" t="s">
        <v>12538</v>
      </c>
      <c r="Q963" s="47" t="s">
        <v>1231</v>
      </c>
      <c r="R963" s="48" t="s">
        <v>12539</v>
      </c>
      <c r="S963" s="60" t="s">
        <v>205</v>
      </c>
      <c r="T963" s="49" t="s">
        <v>63</v>
      </c>
      <c r="U963" s="49" t="s">
        <v>75</v>
      </c>
      <c r="V963" s="7"/>
      <c r="W963" s="44">
        <v>3.3</v>
      </c>
      <c r="X963" s="49" t="s">
        <v>12540</v>
      </c>
      <c r="Y963" s="49" t="s">
        <v>12541</v>
      </c>
      <c r="Z963" s="49" t="s">
        <v>12542</v>
      </c>
      <c r="AA963" s="61">
        <v>0.68</v>
      </c>
      <c r="AB963" s="71">
        <v>52878</v>
      </c>
      <c r="AC963" s="62" t="s">
        <v>12538</v>
      </c>
      <c r="AD963" s="53" t="str">
        <f t="shared" si="726"/>
        <v>Link</v>
      </c>
      <c r="AE963" s="54">
        <v>1967</v>
      </c>
      <c r="AF963" s="55"/>
      <c r="AG963" s="7"/>
      <c r="AH963" s="56">
        <v>211981</v>
      </c>
      <c r="AI963" s="57"/>
      <c r="AJ963" s="57"/>
    </row>
    <row r="964" spans="1:36" ht="13" x14ac:dyDescent="0.15">
      <c r="A964" s="57"/>
      <c r="B964" s="78" t="s">
        <v>7298</v>
      </c>
      <c r="C964" s="7" t="s">
        <v>43</v>
      </c>
      <c r="D964" s="44">
        <v>5</v>
      </c>
      <c r="E964" s="7" t="s">
        <v>12546</v>
      </c>
      <c r="F964" s="7"/>
      <c r="G964" s="7" t="s">
        <v>126</v>
      </c>
      <c r="H964" s="6" t="s">
        <v>12533</v>
      </c>
      <c r="I964" s="7" t="s">
        <v>12547</v>
      </c>
      <c r="J964" s="7"/>
      <c r="K964" s="7"/>
      <c r="L964" s="7"/>
      <c r="M964" s="7"/>
      <c r="N964" s="45" t="str">
        <f t="shared" si="724"/>
        <v>@delvalsb</v>
      </c>
      <c r="O964" s="45" t="str">
        <f t="shared" si="725"/>
        <v>Questionnaire</v>
      </c>
      <c r="P964" s="48" t="s">
        <v>12538</v>
      </c>
      <c r="Q964" s="47" t="s">
        <v>1231</v>
      </c>
      <c r="R964" s="48" t="s">
        <v>12539</v>
      </c>
      <c r="S964" s="60" t="s">
        <v>205</v>
      </c>
      <c r="T964" s="49" t="s">
        <v>63</v>
      </c>
      <c r="U964" s="49" t="s">
        <v>75</v>
      </c>
      <c r="V964" s="7"/>
      <c r="W964" s="44">
        <v>3.3</v>
      </c>
      <c r="X964" s="49" t="s">
        <v>12548</v>
      </c>
      <c r="Y964" s="49" t="s">
        <v>12549</v>
      </c>
      <c r="Z964" s="49" t="s">
        <v>12550</v>
      </c>
      <c r="AA964" s="61">
        <v>0.68</v>
      </c>
      <c r="AB964" s="71">
        <v>52878</v>
      </c>
      <c r="AC964" s="62" t="s">
        <v>12538</v>
      </c>
      <c r="AD964" s="53" t="str">
        <f t="shared" si="726"/>
        <v>Link</v>
      </c>
      <c r="AE964" s="54">
        <v>1967</v>
      </c>
      <c r="AF964" s="55"/>
      <c r="AG964" s="7"/>
      <c r="AH964" s="56">
        <v>211981</v>
      </c>
      <c r="AI964" s="57"/>
      <c r="AJ964" s="57"/>
    </row>
    <row r="965" spans="1:36" ht="13" x14ac:dyDescent="0.15">
      <c r="A965" s="57"/>
      <c r="B965" s="78" t="s">
        <v>7298</v>
      </c>
      <c r="C965" s="7" t="s">
        <v>43</v>
      </c>
      <c r="D965" s="44">
        <v>5</v>
      </c>
      <c r="E965" s="7" t="s">
        <v>12556</v>
      </c>
      <c r="F965" s="7"/>
      <c r="G965" s="7"/>
      <c r="H965" s="6" t="s">
        <v>12557</v>
      </c>
      <c r="I965" s="7" t="s">
        <v>537</v>
      </c>
      <c r="J965" s="7" t="s">
        <v>12558</v>
      </c>
      <c r="K965" s="7" t="s">
        <v>48</v>
      </c>
      <c r="L965" s="7" t="s">
        <v>12559</v>
      </c>
      <c r="M965" s="7" t="s">
        <v>12560</v>
      </c>
      <c r="N965" s="45" t="str">
        <f t="shared" ref="N965:N967" si="727">HYPERLINK("twitter.com/dsusbofficial","@dsusbofficial")</f>
        <v>@dsusbofficial</v>
      </c>
      <c r="O965" s="45" t="str">
        <f t="shared" ref="O965:O967" si="728">HYPERLINK("https://athletics.desales.edu/sb_output.aspx?form=3","Questionnaire")</f>
        <v>Questionnaire</v>
      </c>
      <c r="P965" s="48" t="s">
        <v>12563</v>
      </c>
      <c r="Q965" s="60" t="s">
        <v>1231</v>
      </c>
      <c r="R965" s="48" t="s">
        <v>12564</v>
      </c>
      <c r="S965" s="60" t="s">
        <v>205</v>
      </c>
      <c r="T965" s="49" t="s">
        <v>63</v>
      </c>
      <c r="U965" s="49" t="s">
        <v>343</v>
      </c>
      <c r="V965" s="7"/>
      <c r="W965" s="44">
        <v>3.26</v>
      </c>
      <c r="X965" s="49" t="s">
        <v>12566</v>
      </c>
      <c r="Y965" s="49" t="s">
        <v>12567</v>
      </c>
      <c r="Z965" s="49" t="s">
        <v>12568</v>
      </c>
      <c r="AA965" s="61">
        <v>0.76</v>
      </c>
      <c r="AB965" s="71">
        <v>50760</v>
      </c>
      <c r="AC965" s="62" t="s">
        <v>12563</v>
      </c>
      <c r="AD965" s="53" t="str">
        <f t="shared" ref="AD965:AD967" si="729">HYPERLINK("http://www.desales.edu/home/academics/undergraduate-studies/majors-a-z","Link")</f>
        <v>Link</v>
      </c>
      <c r="AE965" s="54">
        <v>2388</v>
      </c>
      <c r="AF965" s="55"/>
      <c r="AG965" s="7"/>
      <c r="AH965" s="56">
        <v>210739</v>
      </c>
      <c r="AI965" s="57"/>
      <c r="AJ965" s="57"/>
    </row>
    <row r="966" spans="1:36" ht="13" x14ac:dyDescent="0.15">
      <c r="A966" s="57"/>
      <c r="B966" s="78" t="s">
        <v>7298</v>
      </c>
      <c r="C966" s="7" t="s">
        <v>43</v>
      </c>
      <c r="D966" s="44">
        <v>5</v>
      </c>
      <c r="E966" s="7" t="s">
        <v>12570</v>
      </c>
      <c r="F966" s="7"/>
      <c r="G966" s="7"/>
      <c r="H966" s="6" t="s">
        <v>12557</v>
      </c>
      <c r="I966" s="7" t="s">
        <v>1163</v>
      </c>
      <c r="J966" s="7" t="s">
        <v>7113</v>
      </c>
      <c r="K966" s="7" t="s">
        <v>120</v>
      </c>
      <c r="L966" s="7" t="s">
        <v>12571</v>
      </c>
      <c r="M966" s="7" t="s">
        <v>12572</v>
      </c>
      <c r="N966" s="45" t="str">
        <f t="shared" si="727"/>
        <v>@dsusbofficial</v>
      </c>
      <c r="O966" s="45" t="str">
        <f t="shared" si="728"/>
        <v>Questionnaire</v>
      </c>
      <c r="P966" s="48" t="s">
        <v>12563</v>
      </c>
      <c r="Q966" s="60" t="s">
        <v>1231</v>
      </c>
      <c r="R966" s="48" t="s">
        <v>12564</v>
      </c>
      <c r="S966" s="60" t="s">
        <v>205</v>
      </c>
      <c r="T966" s="49" t="s">
        <v>63</v>
      </c>
      <c r="U966" s="49" t="s">
        <v>343</v>
      </c>
      <c r="V966" s="7"/>
      <c r="W966" s="44">
        <v>3.26</v>
      </c>
      <c r="X966" s="49" t="s">
        <v>12573</v>
      </c>
      <c r="Y966" s="49" t="s">
        <v>12574</v>
      </c>
      <c r="Z966" s="49" t="s">
        <v>12575</v>
      </c>
      <c r="AA966" s="61">
        <v>0.76</v>
      </c>
      <c r="AB966" s="71">
        <v>50760</v>
      </c>
      <c r="AC966" s="62" t="s">
        <v>12563</v>
      </c>
      <c r="AD966" s="53" t="str">
        <f t="shared" si="729"/>
        <v>Link</v>
      </c>
      <c r="AE966" s="54">
        <v>2388</v>
      </c>
      <c r="AF966" s="55"/>
      <c r="AG966" s="7"/>
      <c r="AH966" s="56">
        <v>210739</v>
      </c>
      <c r="AI966" s="57"/>
      <c r="AJ966" s="57"/>
    </row>
    <row r="967" spans="1:36" ht="13" x14ac:dyDescent="0.15">
      <c r="A967" s="57"/>
      <c r="B967" s="78" t="s">
        <v>7298</v>
      </c>
      <c r="C967" s="7" t="s">
        <v>43</v>
      </c>
      <c r="D967" s="44">
        <v>5</v>
      </c>
      <c r="E967" s="7" t="s">
        <v>12579</v>
      </c>
      <c r="F967" s="7"/>
      <c r="G967" s="7"/>
      <c r="H967" s="6" t="s">
        <v>12557</v>
      </c>
      <c r="I967" s="7" t="s">
        <v>6745</v>
      </c>
      <c r="J967" s="7" t="s">
        <v>7518</v>
      </c>
      <c r="K967" s="7" t="s">
        <v>55</v>
      </c>
      <c r="L967" s="7"/>
      <c r="M967" s="7"/>
      <c r="N967" s="45" t="str">
        <f t="shared" si="727"/>
        <v>@dsusbofficial</v>
      </c>
      <c r="O967" s="45" t="str">
        <f t="shared" si="728"/>
        <v>Questionnaire</v>
      </c>
      <c r="P967" s="48" t="s">
        <v>12563</v>
      </c>
      <c r="Q967" s="60" t="s">
        <v>1231</v>
      </c>
      <c r="R967" s="48" t="s">
        <v>12564</v>
      </c>
      <c r="S967" s="60" t="s">
        <v>205</v>
      </c>
      <c r="T967" s="49" t="s">
        <v>63</v>
      </c>
      <c r="U967" s="49" t="s">
        <v>343</v>
      </c>
      <c r="V967" s="7"/>
      <c r="W967" s="44">
        <v>3.26</v>
      </c>
      <c r="X967" s="49" t="s">
        <v>12580</v>
      </c>
      <c r="Y967" s="49" t="s">
        <v>12581</v>
      </c>
      <c r="Z967" s="49" t="s">
        <v>12582</v>
      </c>
      <c r="AA967" s="61">
        <v>0.76</v>
      </c>
      <c r="AB967" s="71">
        <v>50760</v>
      </c>
      <c r="AC967" s="62" t="s">
        <v>12563</v>
      </c>
      <c r="AD967" s="53" t="str">
        <f t="shared" si="729"/>
        <v>Link</v>
      </c>
      <c r="AE967" s="54">
        <v>2388</v>
      </c>
      <c r="AF967" s="55"/>
      <c r="AG967" s="7"/>
      <c r="AH967" s="56">
        <v>210739</v>
      </c>
      <c r="AI967" s="57"/>
      <c r="AJ967" s="57"/>
    </row>
    <row r="968" spans="1:36" ht="13" x14ac:dyDescent="0.15">
      <c r="A968" s="57"/>
      <c r="B968" s="78" t="s">
        <v>7298</v>
      </c>
      <c r="C968" s="7" t="s">
        <v>43</v>
      </c>
      <c r="D968" s="44">
        <v>5</v>
      </c>
      <c r="E968" s="7" t="s">
        <v>12587</v>
      </c>
      <c r="F968" s="7"/>
      <c r="G968" s="7"/>
      <c r="H968" s="6" t="s">
        <v>12588</v>
      </c>
      <c r="I968" s="7" t="s">
        <v>644</v>
      </c>
      <c r="J968" s="7" t="s">
        <v>12589</v>
      </c>
      <c r="K968" s="7" t="s">
        <v>48</v>
      </c>
      <c r="L968" s="7" t="s">
        <v>12590</v>
      </c>
      <c r="M968" s="7" t="s">
        <v>12591</v>
      </c>
      <c r="N968" s="48"/>
      <c r="O968" s="45" t="str">
        <f t="shared" ref="O968:O969" si="730">HYPERLINK("https://www.dickinsonathletics.com/sports/bsb/Recruit_Questionnaire","Questionnaire")</f>
        <v>Questionnaire</v>
      </c>
      <c r="P968" s="48" t="s">
        <v>12594</v>
      </c>
      <c r="Q968" s="60" t="s">
        <v>1231</v>
      </c>
      <c r="R968" s="48" t="s">
        <v>12595</v>
      </c>
      <c r="S968" s="48" t="s">
        <v>12298</v>
      </c>
      <c r="T968" s="49" t="s">
        <v>63</v>
      </c>
      <c r="U968" s="49" t="s">
        <v>75</v>
      </c>
      <c r="V968" s="7"/>
      <c r="W968" s="44">
        <v>3.78</v>
      </c>
      <c r="X968" s="49" t="s">
        <v>214</v>
      </c>
      <c r="Y968" s="49" t="s">
        <v>214</v>
      </c>
      <c r="Z968" s="49" t="s">
        <v>214</v>
      </c>
      <c r="AA968" s="61">
        <v>0.43</v>
      </c>
      <c r="AB968" s="71">
        <v>66779</v>
      </c>
      <c r="AC968" s="62" t="s">
        <v>12594</v>
      </c>
      <c r="AD968" s="53" t="str">
        <f t="shared" ref="AD968:AD969" si="731">HYPERLINK("https://www.dickinson.edu/homepage/199/academic_programs","Link")</f>
        <v>Link</v>
      </c>
      <c r="AE968" s="54">
        <v>2420</v>
      </c>
      <c r="AF968" s="55"/>
      <c r="AG968" s="44">
        <v>51</v>
      </c>
      <c r="AH968" s="56">
        <v>212009</v>
      </c>
      <c r="AI968" s="57"/>
      <c r="AJ968" s="57"/>
    </row>
    <row r="969" spans="1:36" ht="13" x14ac:dyDescent="0.15">
      <c r="A969" s="57"/>
      <c r="B969" s="78" t="s">
        <v>7298</v>
      </c>
      <c r="C969" s="7" t="s">
        <v>43</v>
      </c>
      <c r="D969" s="44">
        <v>5</v>
      </c>
      <c r="E969" s="7" t="s">
        <v>12600</v>
      </c>
      <c r="F969" s="7"/>
      <c r="G969" s="7"/>
      <c r="H969" s="6" t="s">
        <v>12588</v>
      </c>
      <c r="I969" s="7" t="s">
        <v>12601</v>
      </c>
      <c r="J969" s="7" t="s">
        <v>12602</v>
      </c>
      <c r="K969" s="7" t="s">
        <v>55</v>
      </c>
      <c r="L969" s="7"/>
      <c r="M969" s="7"/>
      <c r="N969" s="48"/>
      <c r="O969" s="45" t="str">
        <f t="shared" si="730"/>
        <v>Questionnaire</v>
      </c>
      <c r="P969" s="48" t="s">
        <v>12594</v>
      </c>
      <c r="Q969" s="60" t="s">
        <v>1231</v>
      </c>
      <c r="R969" s="48" t="s">
        <v>12595</v>
      </c>
      <c r="S969" s="48" t="s">
        <v>12603</v>
      </c>
      <c r="T969" s="49" t="s">
        <v>63</v>
      </c>
      <c r="U969" s="49" t="s">
        <v>75</v>
      </c>
      <c r="V969" s="7"/>
      <c r="W969" s="44">
        <v>3.78</v>
      </c>
      <c r="X969" s="49" t="s">
        <v>214</v>
      </c>
      <c r="Y969" s="49" t="s">
        <v>214</v>
      </c>
      <c r="Z969" s="49" t="s">
        <v>214</v>
      </c>
      <c r="AA969" s="61">
        <v>0.43</v>
      </c>
      <c r="AB969" s="71">
        <v>66779</v>
      </c>
      <c r="AC969" s="62" t="s">
        <v>12594</v>
      </c>
      <c r="AD969" s="53" t="str">
        <f t="shared" si="731"/>
        <v>Link</v>
      </c>
      <c r="AE969" s="54">
        <v>2420</v>
      </c>
      <c r="AF969" s="55"/>
      <c r="AG969" s="44">
        <v>51</v>
      </c>
      <c r="AH969" s="56">
        <v>212009</v>
      </c>
      <c r="AI969" s="57"/>
      <c r="AJ969" s="57"/>
    </row>
    <row r="970" spans="1:36" ht="13" x14ac:dyDescent="0.15">
      <c r="A970" s="57"/>
      <c r="B970" s="78" t="s">
        <v>7298</v>
      </c>
      <c r="C970" s="7" t="s">
        <v>43</v>
      </c>
      <c r="D970" s="44">
        <v>5</v>
      </c>
      <c r="E970" s="7" t="s">
        <v>12607</v>
      </c>
      <c r="F970" s="7"/>
      <c r="G970" s="7"/>
      <c r="H970" s="6" t="s">
        <v>12608</v>
      </c>
      <c r="I970" s="7" t="s">
        <v>4368</v>
      </c>
      <c r="J970" s="7" t="s">
        <v>4045</v>
      </c>
      <c r="K970" s="7" t="s">
        <v>48</v>
      </c>
      <c r="L970" s="7" t="s">
        <v>12609</v>
      </c>
      <c r="M970" s="7"/>
      <c r="N970" s="48"/>
      <c r="O970" s="45" t="str">
        <f t="shared" ref="O970:O971" si="732">HYPERLINK("https://goeasterneagles.com/sb_output.aspx?frform=10&amp;path=softball&amp;","Questionnaire")</f>
        <v>Questionnaire</v>
      </c>
      <c r="P970" s="48" t="s">
        <v>12611</v>
      </c>
      <c r="Q970" s="60" t="s">
        <v>1231</v>
      </c>
      <c r="R970" s="48" t="s">
        <v>12612</v>
      </c>
      <c r="S970" s="60" t="s">
        <v>205</v>
      </c>
      <c r="T970" s="73" t="s">
        <v>63</v>
      </c>
      <c r="U970" s="49" t="s">
        <v>2715</v>
      </c>
      <c r="V970" s="7"/>
      <c r="W970" s="44">
        <v>3.47</v>
      </c>
      <c r="X970" s="49" t="s">
        <v>2310</v>
      </c>
      <c r="Y970" s="49" t="s">
        <v>4408</v>
      </c>
      <c r="Z970" s="49" t="s">
        <v>12617</v>
      </c>
      <c r="AA970" s="61">
        <v>0.61</v>
      </c>
      <c r="AB970" s="71">
        <v>46344</v>
      </c>
      <c r="AC970" s="90" t="s">
        <v>12611</v>
      </c>
      <c r="AD970" s="53" t="str">
        <f t="shared" ref="AD970:AD971" si="733">HYPERLINK("https://www.eastern.edu/academics/programs","Link")</f>
        <v>Link</v>
      </c>
      <c r="AE970" s="54">
        <v>2082</v>
      </c>
      <c r="AF970" s="55"/>
      <c r="AG970" s="7"/>
      <c r="AH970" s="56">
        <v>212133</v>
      </c>
      <c r="AI970" s="57"/>
      <c r="AJ970" s="57"/>
    </row>
    <row r="971" spans="1:36" ht="13" x14ac:dyDescent="0.15">
      <c r="A971" s="57"/>
      <c r="B971" s="78" t="s">
        <v>7298</v>
      </c>
      <c r="C971" s="7" t="s">
        <v>43</v>
      </c>
      <c r="D971" s="44">
        <v>5</v>
      </c>
      <c r="E971" s="7" t="s">
        <v>12620</v>
      </c>
      <c r="F971" s="7"/>
      <c r="G971" s="7"/>
      <c r="H971" s="6" t="s">
        <v>12608</v>
      </c>
      <c r="I971" s="7" t="s">
        <v>539</v>
      </c>
      <c r="J971" s="7" t="s">
        <v>12621</v>
      </c>
      <c r="K971" s="7" t="s">
        <v>55</v>
      </c>
      <c r="L971" s="7" t="s">
        <v>12623</v>
      </c>
      <c r="M971" s="7"/>
      <c r="N971" s="48"/>
      <c r="O971" s="45" t="str">
        <f t="shared" si="732"/>
        <v>Questionnaire</v>
      </c>
      <c r="P971" s="48" t="s">
        <v>12611</v>
      </c>
      <c r="Q971" s="60" t="s">
        <v>1231</v>
      </c>
      <c r="R971" s="48" t="s">
        <v>12612</v>
      </c>
      <c r="S971" s="60" t="s">
        <v>205</v>
      </c>
      <c r="T971" s="73" t="s">
        <v>63</v>
      </c>
      <c r="U971" s="49" t="s">
        <v>2715</v>
      </c>
      <c r="V971" s="7"/>
      <c r="W971" s="44">
        <v>3.47</v>
      </c>
      <c r="X971" s="49" t="s">
        <v>12624</v>
      </c>
      <c r="Y971" s="49" t="s">
        <v>12625</v>
      </c>
      <c r="Z971" s="49" t="s">
        <v>12626</v>
      </c>
      <c r="AA971" s="61">
        <v>0.61</v>
      </c>
      <c r="AB971" s="71">
        <v>46344</v>
      </c>
      <c r="AC971" s="90" t="s">
        <v>12611</v>
      </c>
      <c r="AD971" s="53" t="str">
        <f t="shared" si="733"/>
        <v>Link</v>
      </c>
      <c r="AE971" s="54">
        <v>2082</v>
      </c>
      <c r="AF971" s="55"/>
      <c r="AG971" s="7"/>
      <c r="AH971" s="56">
        <v>212133</v>
      </c>
      <c r="AI971" s="57"/>
      <c r="AJ971" s="57"/>
    </row>
    <row r="972" spans="1:36" ht="13" x14ac:dyDescent="0.15">
      <c r="A972" s="57"/>
      <c r="B972" s="78" t="s">
        <v>7298</v>
      </c>
      <c r="C972" s="7" t="s">
        <v>43</v>
      </c>
      <c r="D972" s="44">
        <v>5</v>
      </c>
      <c r="E972" s="7" t="s">
        <v>12629</v>
      </c>
      <c r="F972" s="7"/>
      <c r="G972" s="7"/>
      <c r="H972" s="6" t="s">
        <v>12630</v>
      </c>
      <c r="I972" s="7" t="s">
        <v>1443</v>
      </c>
      <c r="J972" s="7" t="s">
        <v>12631</v>
      </c>
      <c r="K972" s="7" t="s">
        <v>55</v>
      </c>
      <c r="L972" s="7"/>
      <c r="M972" s="7"/>
      <c r="N972" s="45" t="str">
        <f t="shared" ref="N972:N973" si="734">HYPERLINK("twitter.com/BlueJaysSB","@BlueJaysSB")</f>
        <v>@BlueJaysSB</v>
      </c>
      <c r="O972" s="45" t="str">
        <f t="shared" ref="O972:O973" si="735">HYPERLINK("https://etownbluejays.com/sports/2011/7/28/Student-Athlete%20Recruitment%20Forms.aspx","Questionnaire")</f>
        <v>Questionnaire</v>
      </c>
      <c r="P972" s="48" t="s">
        <v>12636</v>
      </c>
      <c r="Q972" s="60" t="s">
        <v>1231</v>
      </c>
      <c r="R972" s="60" t="s">
        <v>12638</v>
      </c>
      <c r="S972" s="48" t="s">
        <v>12639</v>
      </c>
      <c r="T972" s="49" t="s">
        <v>63</v>
      </c>
      <c r="U972" s="49" t="s">
        <v>2769</v>
      </c>
      <c r="V972" s="7"/>
      <c r="W972" s="44">
        <v>3.44</v>
      </c>
      <c r="X972" s="49" t="s">
        <v>12641</v>
      </c>
      <c r="Y972" s="49" t="s">
        <v>12642</v>
      </c>
      <c r="Z972" s="49" t="s">
        <v>12643</v>
      </c>
      <c r="AA972" s="61">
        <v>0.73</v>
      </c>
      <c r="AB972" s="71">
        <v>56200</v>
      </c>
      <c r="AC972" s="62" t="s">
        <v>12636</v>
      </c>
      <c r="AD972" s="53" t="str">
        <f t="shared" ref="AD972:AD977" si="736">HYPERLINK("https://www.etown.edu/academics/majors-minors.aspx","Link")</f>
        <v>Link</v>
      </c>
      <c r="AE972" s="54">
        <v>1737</v>
      </c>
      <c r="AF972" s="55"/>
      <c r="AG972" s="44">
        <v>117</v>
      </c>
      <c r="AH972" s="56">
        <v>212197</v>
      </c>
      <c r="AI972" s="57"/>
      <c r="AJ972" s="57"/>
    </row>
    <row r="973" spans="1:36" ht="13" x14ac:dyDescent="0.15">
      <c r="A973" s="57"/>
      <c r="B973" s="78" t="s">
        <v>7298</v>
      </c>
      <c r="C973" s="7" t="s">
        <v>43</v>
      </c>
      <c r="D973" s="44">
        <v>5</v>
      </c>
      <c r="E973" s="7" t="s">
        <v>12644</v>
      </c>
      <c r="F973" s="7"/>
      <c r="G973" s="7"/>
      <c r="H973" s="6" t="s">
        <v>12630</v>
      </c>
      <c r="I973" s="7" t="s">
        <v>12645</v>
      </c>
      <c r="J973" s="7" t="s">
        <v>12647</v>
      </c>
      <c r="K973" s="7" t="s">
        <v>55</v>
      </c>
      <c r="L973" s="7"/>
      <c r="M973" s="7"/>
      <c r="N973" s="45" t="str">
        <f t="shared" si="734"/>
        <v>@BlueJaysSB</v>
      </c>
      <c r="O973" s="45" t="str">
        <f t="shared" si="735"/>
        <v>Questionnaire</v>
      </c>
      <c r="P973" s="48" t="s">
        <v>12636</v>
      </c>
      <c r="Q973" s="60" t="s">
        <v>1231</v>
      </c>
      <c r="R973" s="60" t="s">
        <v>12638</v>
      </c>
      <c r="S973" s="48" t="s">
        <v>12285</v>
      </c>
      <c r="T973" s="49" t="s">
        <v>63</v>
      </c>
      <c r="U973" s="49" t="s">
        <v>2769</v>
      </c>
      <c r="V973" s="7"/>
      <c r="W973" s="44">
        <v>3.44</v>
      </c>
      <c r="X973" s="49" t="s">
        <v>12069</v>
      </c>
      <c r="Y973" s="49" t="s">
        <v>1509</v>
      </c>
      <c r="Z973" s="49" t="s">
        <v>12653</v>
      </c>
      <c r="AA973" s="61">
        <v>0.73</v>
      </c>
      <c r="AB973" s="71">
        <v>56200</v>
      </c>
      <c r="AC973" s="62" t="s">
        <v>12636</v>
      </c>
      <c r="AD973" s="53" t="str">
        <f t="shared" si="736"/>
        <v>Link</v>
      </c>
      <c r="AE973" s="54">
        <v>1737</v>
      </c>
      <c r="AF973" s="55"/>
      <c r="AG973" s="44">
        <v>117</v>
      </c>
      <c r="AH973" s="56">
        <v>212197</v>
      </c>
      <c r="AI973" s="57"/>
      <c r="AJ973" s="57"/>
    </row>
    <row r="974" spans="1:36" ht="13" x14ac:dyDescent="0.15">
      <c r="A974" s="57"/>
      <c r="B974" s="78" t="s">
        <v>7298</v>
      </c>
      <c r="C974" s="7" t="s">
        <v>43</v>
      </c>
      <c r="D974" s="44">
        <v>5</v>
      </c>
      <c r="E974" s="7" t="s">
        <v>12656</v>
      </c>
      <c r="F974" s="7"/>
      <c r="G974" s="7"/>
      <c r="H974" s="6" t="s">
        <v>12630</v>
      </c>
      <c r="I974" s="7" t="s">
        <v>12658</v>
      </c>
      <c r="J974" s="7" t="s">
        <v>12660</v>
      </c>
      <c r="K974" s="7" t="s">
        <v>55</v>
      </c>
      <c r="L974" s="7"/>
      <c r="M974" s="7"/>
      <c r="N974" s="7"/>
      <c r="O974" s="7"/>
      <c r="P974" s="48" t="s">
        <v>12636</v>
      </c>
      <c r="Q974" s="60" t="s">
        <v>1231</v>
      </c>
      <c r="R974" s="60" t="s">
        <v>12638</v>
      </c>
      <c r="S974" s="48" t="s">
        <v>12663</v>
      </c>
      <c r="T974" s="49" t="s">
        <v>63</v>
      </c>
      <c r="U974" s="49" t="s">
        <v>2769</v>
      </c>
      <c r="V974" s="7"/>
      <c r="W974" s="44">
        <v>3.44</v>
      </c>
      <c r="X974" s="49" t="s">
        <v>12664</v>
      </c>
      <c r="Y974" s="49" t="s">
        <v>12665</v>
      </c>
      <c r="Z974" s="49" t="s">
        <v>12666</v>
      </c>
      <c r="AA974" s="61">
        <v>0.73</v>
      </c>
      <c r="AB974" s="71">
        <v>56200</v>
      </c>
      <c r="AC974" s="62" t="s">
        <v>12636</v>
      </c>
      <c r="AD974" s="53" t="str">
        <f t="shared" si="736"/>
        <v>Link</v>
      </c>
      <c r="AE974" s="54">
        <v>1737</v>
      </c>
      <c r="AF974" s="55"/>
      <c r="AG974" s="44">
        <v>117</v>
      </c>
      <c r="AH974" s="56">
        <v>212197</v>
      </c>
      <c r="AI974" s="57"/>
      <c r="AJ974" s="57"/>
    </row>
    <row r="975" spans="1:36" ht="13" x14ac:dyDescent="0.15">
      <c r="A975" s="57"/>
      <c r="B975" s="78" t="s">
        <v>7298</v>
      </c>
      <c r="C975" s="7" t="s">
        <v>43</v>
      </c>
      <c r="D975" s="44">
        <v>5</v>
      </c>
      <c r="E975" s="7" t="s">
        <v>12672</v>
      </c>
      <c r="F975" s="7"/>
      <c r="G975" s="7"/>
      <c r="H975" s="6" t="s">
        <v>12630</v>
      </c>
      <c r="I975" s="7" t="s">
        <v>1239</v>
      </c>
      <c r="J975" s="7" t="s">
        <v>12673</v>
      </c>
      <c r="K975" s="7" t="s">
        <v>55</v>
      </c>
      <c r="L975" s="7"/>
      <c r="M975" s="7"/>
      <c r="N975" s="7"/>
      <c r="O975" s="7"/>
      <c r="P975" s="48" t="s">
        <v>12636</v>
      </c>
      <c r="Q975" s="60" t="s">
        <v>1231</v>
      </c>
      <c r="R975" s="60" t="s">
        <v>12638</v>
      </c>
      <c r="S975" s="48" t="s">
        <v>12663</v>
      </c>
      <c r="T975" s="49" t="s">
        <v>63</v>
      </c>
      <c r="U975" s="49" t="s">
        <v>2769</v>
      </c>
      <c r="V975" s="7"/>
      <c r="W975" s="44">
        <v>3.44</v>
      </c>
      <c r="X975" s="49" t="s">
        <v>12664</v>
      </c>
      <c r="Y975" s="49" t="s">
        <v>12665</v>
      </c>
      <c r="Z975" s="49" t="s">
        <v>12666</v>
      </c>
      <c r="AA975" s="61">
        <v>0.73</v>
      </c>
      <c r="AB975" s="71">
        <v>56200</v>
      </c>
      <c r="AC975" s="62" t="s">
        <v>12636</v>
      </c>
      <c r="AD975" s="53" t="str">
        <f t="shared" si="736"/>
        <v>Link</v>
      </c>
      <c r="AE975" s="54">
        <v>1737</v>
      </c>
      <c r="AF975" s="55"/>
      <c r="AG975" s="44">
        <v>117</v>
      </c>
      <c r="AH975" s="56">
        <v>212197</v>
      </c>
      <c r="AI975" s="57"/>
      <c r="AJ975" s="57"/>
    </row>
    <row r="976" spans="1:36" ht="13" x14ac:dyDescent="0.15">
      <c r="A976" s="57"/>
      <c r="B976" s="78" t="s">
        <v>7298</v>
      </c>
      <c r="C976" s="7" t="s">
        <v>43</v>
      </c>
      <c r="D976" s="44">
        <v>5</v>
      </c>
      <c r="E976" s="7" t="s">
        <v>12679</v>
      </c>
      <c r="F976" s="7"/>
      <c r="G976" s="7"/>
      <c r="H976" s="6" t="s">
        <v>12630</v>
      </c>
      <c r="I976" s="7" t="s">
        <v>3492</v>
      </c>
      <c r="J976" s="7" t="s">
        <v>12682</v>
      </c>
      <c r="K976" s="7" t="s">
        <v>55</v>
      </c>
      <c r="L976" s="7"/>
      <c r="M976" s="7"/>
      <c r="N976" s="7"/>
      <c r="O976" s="7"/>
      <c r="P976" s="48" t="s">
        <v>12636</v>
      </c>
      <c r="Q976" s="60" t="s">
        <v>1231</v>
      </c>
      <c r="R976" s="60" t="s">
        <v>12638</v>
      </c>
      <c r="S976" s="48" t="s">
        <v>12663</v>
      </c>
      <c r="T976" s="49" t="s">
        <v>63</v>
      </c>
      <c r="U976" s="49" t="s">
        <v>2769</v>
      </c>
      <c r="V976" s="7"/>
      <c r="W976" s="44">
        <v>3.44</v>
      </c>
      <c r="X976" s="49" t="s">
        <v>12664</v>
      </c>
      <c r="Y976" s="49" t="s">
        <v>12665</v>
      </c>
      <c r="Z976" s="49" t="s">
        <v>12666</v>
      </c>
      <c r="AA976" s="61">
        <v>0.73</v>
      </c>
      <c r="AB976" s="71">
        <v>56200</v>
      </c>
      <c r="AC976" s="62" t="s">
        <v>12636</v>
      </c>
      <c r="AD976" s="53" t="str">
        <f t="shared" si="736"/>
        <v>Link</v>
      </c>
      <c r="AE976" s="54">
        <v>1737</v>
      </c>
      <c r="AF976" s="55"/>
      <c r="AG976" s="44">
        <v>117</v>
      </c>
      <c r="AH976" s="56">
        <v>212197</v>
      </c>
      <c r="AI976" s="57"/>
      <c r="AJ976" s="57"/>
    </row>
    <row r="977" spans="1:36" ht="13" x14ac:dyDescent="0.15">
      <c r="A977" s="57"/>
      <c r="B977" s="78" t="s">
        <v>7298</v>
      </c>
      <c r="C977" s="7" t="s">
        <v>43</v>
      </c>
      <c r="D977" s="86">
        <v>5</v>
      </c>
      <c r="E977" s="7" t="s">
        <v>12694</v>
      </c>
      <c r="F977" s="7" t="s">
        <v>116</v>
      </c>
      <c r="G977" s="7"/>
      <c r="H977" s="6" t="s">
        <v>12630</v>
      </c>
      <c r="I977" s="7" t="s">
        <v>1827</v>
      </c>
      <c r="J977" s="7" t="s">
        <v>12697</v>
      </c>
      <c r="K977" s="7" t="s">
        <v>48</v>
      </c>
      <c r="L977" s="7" t="s">
        <v>12698</v>
      </c>
      <c r="M977" s="7" t="s">
        <v>12699</v>
      </c>
      <c r="N977" s="143" t="str">
        <f>HYPERLINK("twitter.com/@BlueJaysSB","@BlueJaysSB")</f>
        <v>@BlueJaysSB</v>
      </c>
      <c r="O977" s="7"/>
      <c r="P977" s="48" t="s">
        <v>12636</v>
      </c>
      <c r="Q977" s="60" t="s">
        <v>1231</v>
      </c>
      <c r="R977" s="60" t="s">
        <v>12638</v>
      </c>
      <c r="S977" s="48" t="s">
        <v>12663</v>
      </c>
      <c r="T977" s="49" t="s">
        <v>63</v>
      </c>
      <c r="U977" s="49" t="s">
        <v>2769</v>
      </c>
      <c r="V977" s="7"/>
      <c r="W977" s="44">
        <v>3.44</v>
      </c>
      <c r="X977" s="49" t="s">
        <v>12664</v>
      </c>
      <c r="Y977" s="49" t="s">
        <v>12665</v>
      </c>
      <c r="Z977" s="49" t="s">
        <v>12666</v>
      </c>
      <c r="AA977" s="61">
        <v>0.73</v>
      </c>
      <c r="AB977" s="71">
        <v>56200</v>
      </c>
      <c r="AC977" s="62" t="s">
        <v>12636</v>
      </c>
      <c r="AD977" s="53" t="str">
        <f t="shared" si="736"/>
        <v>Link</v>
      </c>
      <c r="AE977" s="54">
        <v>1737</v>
      </c>
      <c r="AF977" s="55"/>
      <c r="AG977" s="44">
        <v>117</v>
      </c>
      <c r="AH977" s="56">
        <v>212197</v>
      </c>
      <c r="AI977" s="57"/>
      <c r="AJ977" s="57"/>
    </row>
    <row r="978" spans="1:36" ht="13" x14ac:dyDescent="0.15">
      <c r="A978" s="57"/>
      <c r="B978" s="78" t="s">
        <v>7298</v>
      </c>
      <c r="C978" s="7" t="s">
        <v>43</v>
      </c>
      <c r="D978" s="44">
        <v>5</v>
      </c>
      <c r="E978" s="7" t="s">
        <v>12717</v>
      </c>
      <c r="F978" s="7"/>
      <c r="G978" s="7"/>
      <c r="H978" s="6" t="s">
        <v>12718</v>
      </c>
      <c r="I978" s="7" t="s">
        <v>2705</v>
      </c>
      <c r="J978" s="7" t="s">
        <v>12719</v>
      </c>
      <c r="K978" s="7" t="s">
        <v>48</v>
      </c>
      <c r="L978" s="7" t="s">
        <v>12720</v>
      </c>
      <c r="M978" s="7" t="s">
        <v>12721</v>
      </c>
      <c r="N978" s="45" t="str">
        <f t="shared" ref="N978:N982" si="737">HYPERLINK("twitter.com/FandMSoftball","@FandMSoftball")</f>
        <v>@FandMSoftball</v>
      </c>
      <c r="O978" s="45" t="str">
        <f t="shared" ref="O978:O982" si="738">HYPERLINK("https://www.godiplomats.com/dept/recruits/prospective","Questionnaire")</f>
        <v>Questionnaire</v>
      </c>
      <c r="P978" s="48" t="s">
        <v>12728</v>
      </c>
      <c r="Q978" s="60" t="s">
        <v>1231</v>
      </c>
      <c r="R978" s="48" t="s">
        <v>12732</v>
      </c>
      <c r="S978" s="48" t="s">
        <v>12734</v>
      </c>
      <c r="T978" s="49" t="s">
        <v>63</v>
      </c>
      <c r="U978" s="49" t="s">
        <v>75</v>
      </c>
      <c r="V978" s="7"/>
      <c r="W978" s="44">
        <v>3.81</v>
      </c>
      <c r="X978" s="49" t="s">
        <v>5424</v>
      </c>
      <c r="Y978" s="49" t="s">
        <v>12739</v>
      </c>
      <c r="Z978" s="49" t="s">
        <v>12740</v>
      </c>
      <c r="AA978" s="61">
        <v>0.36</v>
      </c>
      <c r="AB978" s="71">
        <v>67880</v>
      </c>
      <c r="AC978" s="62" t="s">
        <v>12728</v>
      </c>
      <c r="AD978" s="53" t="str">
        <f t="shared" ref="AD978:AD982" si="739">HYPERLINK("https://www.fandm.edu/academics","Link")</f>
        <v>Link</v>
      </c>
      <c r="AE978" s="54">
        <v>2255</v>
      </c>
      <c r="AF978" s="55"/>
      <c r="AG978" s="44">
        <v>39</v>
      </c>
      <c r="AH978" s="56">
        <v>212577</v>
      </c>
      <c r="AI978" s="57"/>
      <c r="AJ978" s="57"/>
    </row>
    <row r="979" spans="1:36" ht="13" x14ac:dyDescent="0.15">
      <c r="A979" s="57"/>
      <c r="B979" s="78" t="s">
        <v>7298</v>
      </c>
      <c r="C979" s="7" t="s">
        <v>43</v>
      </c>
      <c r="D979" s="44">
        <v>5</v>
      </c>
      <c r="E979" s="7" t="s">
        <v>12745</v>
      </c>
      <c r="F979" s="7"/>
      <c r="G979" s="7"/>
      <c r="H979" s="6" t="s">
        <v>12718</v>
      </c>
      <c r="I979" s="7" t="s">
        <v>1902</v>
      </c>
      <c r="J979" s="7" t="s">
        <v>12746</v>
      </c>
      <c r="K979" s="7" t="s">
        <v>55</v>
      </c>
      <c r="L979" s="7" t="s">
        <v>12747</v>
      </c>
      <c r="M979" s="7"/>
      <c r="N979" s="45" t="str">
        <f t="shared" si="737"/>
        <v>@FandMSoftball</v>
      </c>
      <c r="O979" s="45" t="str">
        <f t="shared" si="738"/>
        <v>Questionnaire</v>
      </c>
      <c r="P979" s="48" t="s">
        <v>12728</v>
      </c>
      <c r="Q979" s="60" t="s">
        <v>1231</v>
      </c>
      <c r="R979" s="48" t="s">
        <v>12732</v>
      </c>
      <c r="S979" s="48" t="s">
        <v>12756</v>
      </c>
      <c r="T979" s="49" t="s">
        <v>63</v>
      </c>
      <c r="U979" s="49" t="s">
        <v>75</v>
      </c>
      <c r="V979" s="7"/>
      <c r="W979" s="44">
        <v>3.81</v>
      </c>
      <c r="X979" s="49" t="s">
        <v>12757</v>
      </c>
      <c r="Y979" s="49" t="s">
        <v>12758</v>
      </c>
      <c r="Z979" s="49" t="s">
        <v>12759</v>
      </c>
      <c r="AA979" s="61">
        <v>0.36</v>
      </c>
      <c r="AB979" s="71">
        <v>67880</v>
      </c>
      <c r="AC979" s="62" t="s">
        <v>12728</v>
      </c>
      <c r="AD979" s="53" t="str">
        <f t="shared" si="739"/>
        <v>Link</v>
      </c>
      <c r="AE979" s="54">
        <v>2255</v>
      </c>
      <c r="AF979" s="55"/>
      <c r="AG979" s="44">
        <v>39</v>
      </c>
      <c r="AH979" s="56">
        <v>212577</v>
      </c>
      <c r="AI979" s="57"/>
      <c r="AJ979" s="57"/>
    </row>
    <row r="980" spans="1:36" ht="13" x14ac:dyDescent="0.15">
      <c r="A980" s="57"/>
      <c r="B980" s="78" t="s">
        <v>7298</v>
      </c>
      <c r="C980" s="7" t="s">
        <v>43</v>
      </c>
      <c r="D980" s="44">
        <v>5</v>
      </c>
      <c r="E980" s="7" t="s">
        <v>12763</v>
      </c>
      <c r="F980" s="7"/>
      <c r="G980" s="7"/>
      <c r="H980" s="6" t="s">
        <v>12718</v>
      </c>
      <c r="I980" s="7" t="s">
        <v>270</v>
      </c>
      <c r="J980" s="7" t="s">
        <v>12764</v>
      </c>
      <c r="K980" s="7" t="s">
        <v>55</v>
      </c>
      <c r="L980" s="7" t="s">
        <v>12765</v>
      </c>
      <c r="M980" s="7"/>
      <c r="N980" s="45" t="str">
        <f t="shared" si="737"/>
        <v>@FandMSoftball</v>
      </c>
      <c r="O980" s="45" t="str">
        <f t="shared" si="738"/>
        <v>Questionnaire</v>
      </c>
      <c r="P980" s="48" t="s">
        <v>12728</v>
      </c>
      <c r="Q980" s="60" t="s">
        <v>1231</v>
      </c>
      <c r="R980" s="48" t="s">
        <v>12732</v>
      </c>
      <c r="S980" s="48" t="s">
        <v>12766</v>
      </c>
      <c r="T980" s="49" t="s">
        <v>63</v>
      </c>
      <c r="U980" s="49" t="s">
        <v>75</v>
      </c>
      <c r="V980" s="7"/>
      <c r="W980" s="44">
        <v>3.81</v>
      </c>
      <c r="X980" s="49" t="s">
        <v>12767</v>
      </c>
      <c r="Y980" s="49" t="s">
        <v>12768</v>
      </c>
      <c r="Z980" s="49" t="s">
        <v>12769</v>
      </c>
      <c r="AA980" s="61">
        <v>0.36</v>
      </c>
      <c r="AB980" s="71">
        <v>67880</v>
      </c>
      <c r="AC980" s="62" t="s">
        <v>12728</v>
      </c>
      <c r="AD980" s="53" t="str">
        <f t="shared" si="739"/>
        <v>Link</v>
      </c>
      <c r="AE980" s="54">
        <v>2255</v>
      </c>
      <c r="AF980" s="55"/>
      <c r="AG980" s="44">
        <v>39</v>
      </c>
      <c r="AH980" s="56">
        <v>212577</v>
      </c>
      <c r="AI980" s="57"/>
      <c r="AJ980" s="57"/>
    </row>
    <row r="981" spans="1:36" ht="13" x14ac:dyDescent="0.15">
      <c r="A981" s="57"/>
      <c r="B981" s="78" t="s">
        <v>7298</v>
      </c>
      <c r="C981" s="7" t="s">
        <v>43</v>
      </c>
      <c r="D981" s="44">
        <v>5</v>
      </c>
      <c r="E981" s="7" t="s">
        <v>12778</v>
      </c>
      <c r="F981" s="7"/>
      <c r="G981" s="7"/>
      <c r="H981" s="6" t="s">
        <v>12718</v>
      </c>
      <c r="I981" s="7" t="s">
        <v>4123</v>
      </c>
      <c r="J981" s="7" t="s">
        <v>5365</v>
      </c>
      <c r="K981" s="7" t="s">
        <v>55</v>
      </c>
      <c r="L981" s="7" t="s">
        <v>12779</v>
      </c>
      <c r="M981" s="7"/>
      <c r="N981" s="45" t="str">
        <f t="shared" si="737"/>
        <v>@FandMSoftball</v>
      </c>
      <c r="O981" s="45" t="str">
        <f t="shared" si="738"/>
        <v>Questionnaire</v>
      </c>
      <c r="P981" s="48" t="s">
        <v>12728</v>
      </c>
      <c r="Q981" s="60" t="s">
        <v>1231</v>
      </c>
      <c r="R981" s="48" t="s">
        <v>12732</v>
      </c>
      <c r="S981" s="48" t="s">
        <v>12780</v>
      </c>
      <c r="T981" s="49" t="s">
        <v>63</v>
      </c>
      <c r="U981" s="49" t="s">
        <v>75</v>
      </c>
      <c r="V981" s="7"/>
      <c r="W981" s="44">
        <v>3.81</v>
      </c>
      <c r="X981" s="49" t="s">
        <v>12781</v>
      </c>
      <c r="Y981" s="49" t="s">
        <v>12782</v>
      </c>
      <c r="Z981" s="49" t="s">
        <v>12783</v>
      </c>
      <c r="AA981" s="61">
        <v>0.36</v>
      </c>
      <c r="AB981" s="71">
        <v>67880</v>
      </c>
      <c r="AC981" s="62" t="s">
        <v>12728</v>
      </c>
      <c r="AD981" s="53" t="str">
        <f t="shared" si="739"/>
        <v>Link</v>
      </c>
      <c r="AE981" s="54">
        <v>2255</v>
      </c>
      <c r="AF981" s="55"/>
      <c r="AG981" s="44">
        <v>39</v>
      </c>
      <c r="AH981" s="56">
        <v>212577</v>
      </c>
      <c r="AI981" s="57"/>
      <c r="AJ981" s="57"/>
    </row>
    <row r="982" spans="1:36" ht="13" x14ac:dyDescent="0.15">
      <c r="A982" s="57"/>
      <c r="B982" s="78" t="s">
        <v>7298</v>
      </c>
      <c r="C982" s="7" t="s">
        <v>43</v>
      </c>
      <c r="D982" s="44">
        <v>5</v>
      </c>
      <c r="E982" s="7" t="s">
        <v>12786</v>
      </c>
      <c r="F982" s="7"/>
      <c r="G982" s="7"/>
      <c r="H982" s="6" t="s">
        <v>12718</v>
      </c>
      <c r="I982" s="7" t="s">
        <v>3026</v>
      </c>
      <c r="J982" s="7" t="s">
        <v>2523</v>
      </c>
      <c r="K982" s="7" t="s">
        <v>55</v>
      </c>
      <c r="L982" s="7"/>
      <c r="M982" s="7"/>
      <c r="N982" s="45" t="str">
        <f t="shared" si="737"/>
        <v>@FandMSoftball</v>
      </c>
      <c r="O982" s="45" t="str">
        <f t="shared" si="738"/>
        <v>Questionnaire</v>
      </c>
      <c r="P982" s="48" t="s">
        <v>12728</v>
      </c>
      <c r="Q982" s="60" t="s">
        <v>1231</v>
      </c>
      <c r="R982" s="48" t="s">
        <v>12732</v>
      </c>
      <c r="S982" s="48" t="s">
        <v>12793</v>
      </c>
      <c r="T982" s="49" t="s">
        <v>63</v>
      </c>
      <c r="U982" s="49" t="s">
        <v>75</v>
      </c>
      <c r="V982" s="7"/>
      <c r="W982" s="44">
        <v>3.81</v>
      </c>
      <c r="X982" s="49" t="s">
        <v>12794</v>
      </c>
      <c r="Y982" s="49" t="s">
        <v>12795</v>
      </c>
      <c r="Z982" s="49" t="s">
        <v>12796</v>
      </c>
      <c r="AA982" s="61">
        <v>0.36</v>
      </c>
      <c r="AB982" s="71">
        <v>67880</v>
      </c>
      <c r="AC982" s="62" t="s">
        <v>12728</v>
      </c>
      <c r="AD982" s="53" t="str">
        <f t="shared" si="739"/>
        <v>Link</v>
      </c>
      <c r="AE982" s="54">
        <v>2255</v>
      </c>
      <c r="AF982" s="55"/>
      <c r="AG982" s="44">
        <v>39</v>
      </c>
      <c r="AH982" s="56">
        <v>212577</v>
      </c>
      <c r="AI982" s="57"/>
      <c r="AJ982" s="57"/>
    </row>
    <row r="983" spans="1:36" ht="13" x14ac:dyDescent="0.15">
      <c r="A983" s="57"/>
      <c r="B983" s="78" t="s">
        <v>7298</v>
      </c>
      <c r="C983" s="7" t="s">
        <v>43</v>
      </c>
      <c r="D983" s="44">
        <v>5</v>
      </c>
      <c r="E983" s="7" t="s">
        <v>12804</v>
      </c>
      <c r="F983" s="7"/>
      <c r="G983" s="7"/>
      <c r="H983" s="6" t="s">
        <v>12805</v>
      </c>
      <c r="I983" s="7" t="s">
        <v>9738</v>
      </c>
      <c r="J983" s="7" t="s">
        <v>12806</v>
      </c>
      <c r="K983" s="7" t="s">
        <v>48</v>
      </c>
      <c r="L983" s="7" t="s">
        <v>12807</v>
      </c>
      <c r="M983" s="7" t="s">
        <v>12808</v>
      </c>
      <c r="N983" s="45" t="str">
        <f t="shared" ref="N983:N986" si="740">HYPERLINK("twitter.com/geneva_softball","@geneva_softball")</f>
        <v>@geneva_softball</v>
      </c>
      <c r="O983" s="45" t="str">
        <f t="shared" ref="O983:O986" si="741">HYPERLINK("https://athletics.geneva.edu/sports/2017/7/24/athletic-recruiting-forms.aspx","Questionnaire")</f>
        <v>Questionnaire</v>
      </c>
      <c r="P983" s="48" t="s">
        <v>12819</v>
      </c>
      <c r="Q983" s="47" t="s">
        <v>1231</v>
      </c>
      <c r="R983" s="48" t="s">
        <v>12820</v>
      </c>
      <c r="S983" s="60" t="s">
        <v>205</v>
      </c>
      <c r="T983" s="49" t="s">
        <v>63</v>
      </c>
      <c r="U983" s="49" t="s">
        <v>10245</v>
      </c>
      <c r="V983" s="7"/>
      <c r="W983" s="44">
        <v>3.59</v>
      </c>
      <c r="X983" s="49" t="s">
        <v>12823</v>
      </c>
      <c r="Y983" s="49" t="s">
        <v>12566</v>
      </c>
      <c r="Z983" s="49" t="s">
        <v>12824</v>
      </c>
      <c r="AA983" s="61">
        <v>0.71</v>
      </c>
      <c r="AB983" s="71">
        <v>37500</v>
      </c>
      <c r="AC983" s="62" t="s">
        <v>12819</v>
      </c>
      <c r="AD983" s="53" t="str">
        <f t="shared" ref="AD983:AD986" si="742">HYPERLINK("https://www.geneva.edu/academics/majors/","Link")</f>
        <v>Link</v>
      </c>
      <c r="AE983" s="54">
        <v>1461</v>
      </c>
      <c r="AF983" s="55"/>
      <c r="AG983" s="7"/>
      <c r="AH983" s="56">
        <v>212656</v>
      </c>
      <c r="AI983" s="57"/>
      <c r="AJ983" s="57"/>
    </row>
    <row r="984" spans="1:36" ht="13" x14ac:dyDescent="0.15">
      <c r="A984" s="57"/>
      <c r="B984" s="78" t="s">
        <v>7298</v>
      </c>
      <c r="C984" s="7" t="s">
        <v>43</v>
      </c>
      <c r="D984" s="44">
        <v>5</v>
      </c>
      <c r="E984" s="7" t="s">
        <v>12831</v>
      </c>
      <c r="F984" s="7"/>
      <c r="G984" s="7"/>
      <c r="H984" s="6" t="s">
        <v>12805</v>
      </c>
      <c r="I984" s="7" t="s">
        <v>1471</v>
      </c>
      <c r="J984" s="7" t="s">
        <v>9377</v>
      </c>
      <c r="K984" s="7" t="s">
        <v>55</v>
      </c>
      <c r="L984" s="7" t="s">
        <v>12837</v>
      </c>
      <c r="M984" s="7" t="s">
        <v>12838</v>
      </c>
      <c r="N984" s="69" t="str">
        <f t="shared" si="740"/>
        <v>@geneva_softball</v>
      </c>
      <c r="O984" s="45" t="str">
        <f t="shared" si="741"/>
        <v>Questionnaire</v>
      </c>
      <c r="P984" s="48" t="s">
        <v>12819</v>
      </c>
      <c r="Q984" s="47" t="s">
        <v>1231</v>
      </c>
      <c r="R984" s="48" t="s">
        <v>12820</v>
      </c>
      <c r="S984" s="60" t="s">
        <v>205</v>
      </c>
      <c r="T984" s="49" t="s">
        <v>63</v>
      </c>
      <c r="U984" s="49" t="s">
        <v>10245</v>
      </c>
      <c r="V984" s="7"/>
      <c r="W984" s="44">
        <v>3.59</v>
      </c>
      <c r="X984" s="49" t="s">
        <v>12840</v>
      </c>
      <c r="Y984" s="49" t="s">
        <v>12573</v>
      </c>
      <c r="Z984" s="49" t="s">
        <v>12842</v>
      </c>
      <c r="AA984" s="61">
        <v>0.71</v>
      </c>
      <c r="AB984" s="71">
        <v>37500</v>
      </c>
      <c r="AC984" s="62" t="s">
        <v>12819</v>
      </c>
      <c r="AD984" s="53" t="str">
        <f t="shared" si="742"/>
        <v>Link</v>
      </c>
      <c r="AE984" s="54">
        <v>1461</v>
      </c>
      <c r="AF984" s="55"/>
      <c r="AG984" s="7"/>
      <c r="AH984" s="56">
        <v>212656</v>
      </c>
      <c r="AI984" s="57"/>
      <c r="AJ984" s="57"/>
    </row>
    <row r="985" spans="1:36" ht="13" x14ac:dyDescent="0.15">
      <c r="A985" s="57"/>
      <c r="B985" s="78" t="s">
        <v>7298</v>
      </c>
      <c r="C985" s="7" t="s">
        <v>43</v>
      </c>
      <c r="D985" s="44">
        <v>5</v>
      </c>
      <c r="E985" s="7" t="s">
        <v>12848</v>
      </c>
      <c r="F985" s="7"/>
      <c r="G985" s="7"/>
      <c r="H985" s="6" t="s">
        <v>12805</v>
      </c>
      <c r="I985" s="7" t="s">
        <v>658</v>
      </c>
      <c r="J985" s="7" t="s">
        <v>118</v>
      </c>
      <c r="K985" s="7" t="s">
        <v>55</v>
      </c>
      <c r="L985" s="7" t="s">
        <v>12849</v>
      </c>
      <c r="M985" s="7"/>
      <c r="N985" s="45" t="str">
        <f t="shared" si="740"/>
        <v>@geneva_softball</v>
      </c>
      <c r="O985" s="45" t="str">
        <f t="shared" si="741"/>
        <v>Questionnaire</v>
      </c>
      <c r="P985" s="48" t="s">
        <v>12819</v>
      </c>
      <c r="Q985" s="47" t="s">
        <v>1231</v>
      </c>
      <c r="R985" s="48" t="s">
        <v>12820</v>
      </c>
      <c r="S985" s="60" t="s">
        <v>205</v>
      </c>
      <c r="T985" s="49" t="s">
        <v>63</v>
      </c>
      <c r="U985" s="49" t="s">
        <v>10245</v>
      </c>
      <c r="V985" s="7"/>
      <c r="W985" s="44">
        <v>3.59</v>
      </c>
      <c r="X985" s="49" t="s">
        <v>12851</v>
      </c>
      <c r="Y985" s="49" t="s">
        <v>12580</v>
      </c>
      <c r="Z985" s="49" t="s">
        <v>12853</v>
      </c>
      <c r="AA985" s="61">
        <v>0.71</v>
      </c>
      <c r="AB985" s="71">
        <v>37500</v>
      </c>
      <c r="AC985" s="62" t="s">
        <v>12819</v>
      </c>
      <c r="AD985" s="53" t="str">
        <f t="shared" si="742"/>
        <v>Link</v>
      </c>
      <c r="AE985" s="54">
        <v>1461</v>
      </c>
      <c r="AF985" s="55"/>
      <c r="AG985" s="7"/>
      <c r="AH985" s="56">
        <v>212656</v>
      </c>
      <c r="AI985" s="57"/>
      <c r="AJ985" s="57"/>
    </row>
    <row r="986" spans="1:36" ht="13" x14ac:dyDescent="0.15">
      <c r="A986" s="57"/>
      <c r="B986" s="78" t="s">
        <v>7298</v>
      </c>
      <c r="C986" s="7" t="s">
        <v>43</v>
      </c>
      <c r="D986" s="44">
        <v>5</v>
      </c>
      <c r="E986" s="7" t="s">
        <v>12858</v>
      </c>
      <c r="F986" s="7"/>
      <c r="G986" s="7"/>
      <c r="H986" s="6" t="s">
        <v>12805</v>
      </c>
      <c r="I986" s="7" t="s">
        <v>12859</v>
      </c>
      <c r="J986" s="7" t="s">
        <v>12860</v>
      </c>
      <c r="K986" s="7" t="s">
        <v>55</v>
      </c>
      <c r="L986" s="7"/>
      <c r="M986" s="7"/>
      <c r="N986" s="45" t="str">
        <f t="shared" si="740"/>
        <v>@geneva_softball</v>
      </c>
      <c r="O986" s="45" t="str">
        <f t="shared" si="741"/>
        <v>Questionnaire</v>
      </c>
      <c r="P986" s="48" t="s">
        <v>12819</v>
      </c>
      <c r="Q986" s="47" t="s">
        <v>1231</v>
      </c>
      <c r="R986" s="48" t="s">
        <v>12820</v>
      </c>
      <c r="S986" s="60" t="s">
        <v>205</v>
      </c>
      <c r="T986" s="49" t="s">
        <v>63</v>
      </c>
      <c r="U986" s="49" t="s">
        <v>10245</v>
      </c>
      <c r="V986" s="7"/>
      <c r="W986" s="44">
        <v>3.59</v>
      </c>
      <c r="X986" s="49" t="s">
        <v>12865</v>
      </c>
      <c r="Y986" s="49" t="s">
        <v>12866</v>
      </c>
      <c r="Z986" s="49" t="s">
        <v>12054</v>
      </c>
      <c r="AA986" s="61">
        <v>0.71</v>
      </c>
      <c r="AB986" s="71">
        <v>37500</v>
      </c>
      <c r="AC986" s="62" t="s">
        <v>12819</v>
      </c>
      <c r="AD986" s="53" t="str">
        <f t="shared" si="742"/>
        <v>Link</v>
      </c>
      <c r="AE986" s="54">
        <v>1461</v>
      </c>
      <c r="AF986" s="55"/>
      <c r="AG986" s="7"/>
      <c r="AH986" s="56">
        <v>212656</v>
      </c>
      <c r="AI986" s="57"/>
      <c r="AJ986" s="57"/>
    </row>
    <row r="987" spans="1:36" ht="13" x14ac:dyDescent="0.15">
      <c r="A987" s="57"/>
      <c r="B987" s="78" t="s">
        <v>7298</v>
      </c>
      <c r="C987" s="7" t="s">
        <v>43</v>
      </c>
      <c r="D987" s="44">
        <v>5</v>
      </c>
      <c r="E987" s="7" t="s">
        <v>12870</v>
      </c>
      <c r="F987" s="7"/>
      <c r="G987" s="7"/>
      <c r="H987" s="6" t="s">
        <v>12872</v>
      </c>
      <c r="I987" s="7" t="s">
        <v>12873</v>
      </c>
      <c r="J987" s="7" t="s">
        <v>12875</v>
      </c>
      <c r="K987" s="7" t="s">
        <v>48</v>
      </c>
      <c r="L987" s="7" t="s">
        <v>12877</v>
      </c>
      <c r="M987" s="7" t="s">
        <v>12878</v>
      </c>
      <c r="N987" s="45" t="str">
        <f t="shared" ref="N987:N988" si="743">HYPERLINK("twitter.com/gburgsoftball1","@gburgsoftball1")</f>
        <v>@gburgsoftball1</v>
      </c>
      <c r="O987" s="45" t="str">
        <f t="shared" ref="O987:O988" si="744">HYPERLINK("https://gettysburgsports.com/sports/2015/10/12/SB_1012154342.aspx","Questionnaire")</f>
        <v>Questionnaire</v>
      </c>
      <c r="P987" s="48" t="s">
        <v>12889</v>
      </c>
      <c r="Q987" s="60" t="s">
        <v>1231</v>
      </c>
      <c r="R987" s="48" t="s">
        <v>12889</v>
      </c>
      <c r="S987" s="60" t="s">
        <v>205</v>
      </c>
      <c r="T987" s="49" t="s">
        <v>63</v>
      </c>
      <c r="U987" s="49" t="s">
        <v>75</v>
      </c>
      <c r="V987" s="7"/>
      <c r="W987" s="44">
        <v>3.4</v>
      </c>
      <c r="X987" s="49" t="s">
        <v>214</v>
      </c>
      <c r="Y987" s="49" t="s">
        <v>214</v>
      </c>
      <c r="Z987" s="49" t="s">
        <v>214</v>
      </c>
      <c r="AA987" s="61">
        <v>0.43</v>
      </c>
      <c r="AB987" s="71">
        <v>64500</v>
      </c>
      <c r="AC987" s="62" t="s">
        <v>12889</v>
      </c>
      <c r="AD987" s="53" t="str">
        <f t="shared" ref="AD987:AD988" si="745">HYPERLINK("http://www.gburg.us/about/offices/provost/advising/departmental_advice_for_prospective_majors/index.dot","Link")</f>
        <v>Link</v>
      </c>
      <c r="AE987" s="54">
        <v>2394</v>
      </c>
      <c r="AF987" s="55"/>
      <c r="AG987" s="44">
        <v>46</v>
      </c>
      <c r="AH987" s="56">
        <v>212674</v>
      </c>
      <c r="AI987" s="57"/>
      <c r="AJ987" s="57"/>
    </row>
    <row r="988" spans="1:36" ht="13" x14ac:dyDescent="0.15">
      <c r="A988" s="57"/>
      <c r="B988" s="78" t="s">
        <v>7298</v>
      </c>
      <c r="C988" s="7" t="s">
        <v>43</v>
      </c>
      <c r="D988" s="86">
        <v>5</v>
      </c>
      <c r="E988" s="7" t="s">
        <v>12898</v>
      </c>
      <c r="F988" s="7" t="s">
        <v>116</v>
      </c>
      <c r="G988" s="7"/>
      <c r="H988" s="6" t="s">
        <v>12872</v>
      </c>
      <c r="I988" s="7" t="s">
        <v>12902</v>
      </c>
      <c r="J988" s="7" t="s">
        <v>12904</v>
      </c>
      <c r="K988" s="7" t="s">
        <v>55</v>
      </c>
      <c r="L988" s="7"/>
      <c r="M988" s="7"/>
      <c r="N988" s="45" t="str">
        <f t="shared" si="743"/>
        <v>@gburgsoftball1</v>
      </c>
      <c r="O988" s="45" t="str">
        <f t="shared" si="744"/>
        <v>Questionnaire</v>
      </c>
      <c r="P988" s="48" t="s">
        <v>12889</v>
      </c>
      <c r="Q988" s="60" t="s">
        <v>1231</v>
      </c>
      <c r="R988" s="48" t="s">
        <v>12889</v>
      </c>
      <c r="S988" s="60" t="s">
        <v>205</v>
      </c>
      <c r="T988" s="49" t="s">
        <v>63</v>
      </c>
      <c r="U988" s="49" t="s">
        <v>75</v>
      </c>
      <c r="V988" s="7"/>
      <c r="W988" s="44">
        <v>3.4</v>
      </c>
      <c r="X988" s="49" t="s">
        <v>214</v>
      </c>
      <c r="Y988" s="49" t="s">
        <v>214</v>
      </c>
      <c r="Z988" s="49" t="s">
        <v>214</v>
      </c>
      <c r="AA988" s="61">
        <v>0.43</v>
      </c>
      <c r="AB988" s="71">
        <v>64500</v>
      </c>
      <c r="AC988" s="62" t="s">
        <v>12889</v>
      </c>
      <c r="AD988" s="53" t="str">
        <f t="shared" si="745"/>
        <v>Link</v>
      </c>
      <c r="AE988" s="54">
        <v>2394</v>
      </c>
      <c r="AF988" s="55"/>
      <c r="AG988" s="44">
        <v>46</v>
      </c>
      <c r="AH988" s="56">
        <v>212674</v>
      </c>
      <c r="AI988" s="57"/>
      <c r="AJ988" s="57"/>
    </row>
    <row r="989" spans="1:36" ht="13" x14ac:dyDescent="0.15">
      <c r="A989" s="57"/>
      <c r="B989" s="78" t="s">
        <v>7298</v>
      </c>
      <c r="C989" s="7" t="s">
        <v>43</v>
      </c>
      <c r="D989" s="44">
        <v>5</v>
      </c>
      <c r="E989" s="7" t="s">
        <v>12908</v>
      </c>
      <c r="F989" s="7"/>
      <c r="G989" s="7"/>
      <c r="H989" s="6" t="s">
        <v>12909</v>
      </c>
      <c r="I989" s="7" t="s">
        <v>435</v>
      </c>
      <c r="J989" s="7" t="s">
        <v>12911</v>
      </c>
      <c r="K989" s="7" t="s">
        <v>48</v>
      </c>
      <c r="L989" s="7" t="s">
        <v>12913</v>
      </c>
      <c r="M989" s="7" t="s">
        <v>12915</v>
      </c>
      <c r="N989" s="45" t="str">
        <f>HYPERLINK("twitter.com/gcc_sb","@gcc_sb")</f>
        <v>@gcc_sb</v>
      </c>
      <c r="O989" s="45" t="str">
        <f>HYPERLINK("https://athletics.gcc.edu/sb_output.aspx?frform=13&amp;path=softball","Questionnaire")</f>
        <v>Questionnaire</v>
      </c>
      <c r="P989" s="48" t="s">
        <v>12926</v>
      </c>
      <c r="Q989" s="47" t="s">
        <v>1231</v>
      </c>
      <c r="R989" s="48" t="s">
        <v>12926</v>
      </c>
      <c r="S989" s="60" t="s">
        <v>205</v>
      </c>
      <c r="T989" s="49" t="s">
        <v>63</v>
      </c>
      <c r="U989" s="49" t="s">
        <v>1028</v>
      </c>
      <c r="V989" s="7"/>
      <c r="W989" s="44">
        <v>3.68</v>
      </c>
      <c r="X989" s="49" t="s">
        <v>12927</v>
      </c>
      <c r="Y989" s="49" t="s">
        <v>12928</v>
      </c>
      <c r="Z989" s="49" t="s">
        <v>12929</v>
      </c>
      <c r="AA989" s="61">
        <v>0.82</v>
      </c>
      <c r="AB989" s="71">
        <v>27542</v>
      </c>
      <c r="AC989" s="62" t="s">
        <v>12926</v>
      </c>
      <c r="AD989" s="53" t="str">
        <f>HYPERLINK("http://www.gcc.edu/Home/Academics/Majors-Departments","Link")</f>
        <v>Link</v>
      </c>
      <c r="AE989" s="54">
        <v>2336</v>
      </c>
      <c r="AF989" s="55"/>
      <c r="AG989" s="44">
        <v>126</v>
      </c>
      <c r="AH989" s="56">
        <v>212805</v>
      </c>
      <c r="AI989" s="57"/>
      <c r="AJ989" s="57"/>
    </row>
    <row r="990" spans="1:36" ht="13" x14ac:dyDescent="0.15">
      <c r="A990" s="57"/>
      <c r="B990" s="78" t="s">
        <v>7298</v>
      </c>
      <c r="C990" s="7" t="s">
        <v>43</v>
      </c>
      <c r="D990" s="44">
        <v>5</v>
      </c>
      <c r="E990" s="7" t="s">
        <v>12935</v>
      </c>
      <c r="F990" s="7"/>
      <c r="G990" s="7"/>
      <c r="H990" s="6" t="s">
        <v>12937</v>
      </c>
      <c r="I990" s="7" t="s">
        <v>728</v>
      </c>
      <c r="J990" s="7" t="s">
        <v>12938</v>
      </c>
      <c r="K990" s="7" t="s">
        <v>48</v>
      </c>
      <c r="L990" s="7" t="s">
        <v>12939</v>
      </c>
      <c r="M990" s="7" t="s">
        <v>12940</v>
      </c>
      <c r="N990" s="48"/>
      <c r="O990" s="45" t="str">
        <f t="shared" ref="O990:O991" si="746">HYPERLINK("https://gwyneddathletics.com/sports/2019/8/12/recruiting.aspx","Questionnaire")</f>
        <v>Questionnaire</v>
      </c>
      <c r="P990" s="48" t="s">
        <v>12942</v>
      </c>
      <c r="Q990" s="47" t="s">
        <v>1231</v>
      </c>
      <c r="R990" s="48" t="s">
        <v>12943</v>
      </c>
      <c r="S990" s="60" t="s">
        <v>205</v>
      </c>
      <c r="T990" s="49" t="s">
        <v>63</v>
      </c>
      <c r="U990" s="49" t="s">
        <v>343</v>
      </c>
      <c r="V990" s="7"/>
      <c r="W990" s="44">
        <v>3.22</v>
      </c>
      <c r="X990" s="49" t="s">
        <v>12945</v>
      </c>
      <c r="Y990" s="49" t="s">
        <v>12946</v>
      </c>
      <c r="Z990" s="49" t="s">
        <v>12947</v>
      </c>
      <c r="AA990" s="61">
        <v>0.91</v>
      </c>
      <c r="AB990" s="71">
        <v>46680</v>
      </c>
      <c r="AC990" s="62" t="s">
        <v>12942</v>
      </c>
      <c r="AD990" s="53" t="str">
        <f t="shared" ref="AD990:AD991" si="747">HYPERLINK("https://www.gmercyu.edu/academics/undergraduate-programs","Link")</f>
        <v>Link</v>
      </c>
      <c r="AE990" s="54">
        <v>2035</v>
      </c>
      <c r="AF990" s="55"/>
      <c r="AG990" s="7"/>
      <c r="AH990" s="56">
        <v>212832</v>
      </c>
      <c r="AI990" s="57"/>
      <c r="AJ990" s="57"/>
    </row>
    <row r="991" spans="1:36" ht="13" x14ac:dyDescent="0.15">
      <c r="A991" s="57"/>
      <c r="B991" s="78" t="s">
        <v>7298</v>
      </c>
      <c r="C991" s="7" t="s">
        <v>43</v>
      </c>
      <c r="D991" s="44">
        <v>5</v>
      </c>
      <c r="E991" s="7" t="s">
        <v>12952</v>
      </c>
      <c r="F991" s="7"/>
      <c r="G991" s="7"/>
      <c r="H991" s="6" t="s">
        <v>12937</v>
      </c>
      <c r="I991" s="7" t="s">
        <v>12953</v>
      </c>
      <c r="J991" s="7" t="s">
        <v>12954</v>
      </c>
      <c r="K991" s="7" t="s">
        <v>55</v>
      </c>
      <c r="L991" s="7"/>
      <c r="M991" s="7"/>
      <c r="N991" s="48"/>
      <c r="O991" s="45" t="str">
        <f t="shared" si="746"/>
        <v>Questionnaire</v>
      </c>
      <c r="P991" s="48" t="s">
        <v>12942</v>
      </c>
      <c r="Q991" s="47" t="s">
        <v>1231</v>
      </c>
      <c r="R991" s="48" t="s">
        <v>12943</v>
      </c>
      <c r="S991" s="60" t="s">
        <v>205</v>
      </c>
      <c r="T991" s="49" t="s">
        <v>63</v>
      </c>
      <c r="U991" s="49" t="s">
        <v>343</v>
      </c>
      <c r="V991" s="7"/>
      <c r="W991" s="44">
        <v>3.22</v>
      </c>
      <c r="X991" s="49" t="s">
        <v>12956</v>
      </c>
      <c r="Y991" s="49" t="s">
        <v>12957</v>
      </c>
      <c r="Z991" s="49" t="s">
        <v>12958</v>
      </c>
      <c r="AA991" s="61">
        <v>0.91</v>
      </c>
      <c r="AB991" s="71">
        <v>46680</v>
      </c>
      <c r="AC991" s="62" t="s">
        <v>12942</v>
      </c>
      <c r="AD991" s="53" t="str">
        <f t="shared" si="747"/>
        <v>Link</v>
      </c>
      <c r="AE991" s="54">
        <v>2035</v>
      </c>
      <c r="AF991" s="55"/>
      <c r="AG991" s="7"/>
      <c r="AH991" s="56">
        <v>212832</v>
      </c>
      <c r="AI991" s="57"/>
      <c r="AJ991" s="57"/>
    </row>
    <row r="992" spans="1:36" ht="13" x14ac:dyDescent="0.15">
      <c r="A992" s="57"/>
      <c r="B992" s="78" t="s">
        <v>7298</v>
      </c>
      <c r="C992" s="7" t="s">
        <v>43</v>
      </c>
      <c r="D992" s="44">
        <v>5</v>
      </c>
      <c r="E992" s="7" t="s">
        <v>12959</v>
      </c>
      <c r="F992" s="7"/>
      <c r="G992" s="7"/>
      <c r="H992" s="6" t="s">
        <v>12960</v>
      </c>
      <c r="I992" s="7" t="s">
        <v>1528</v>
      </c>
      <c r="J992" s="7" t="s">
        <v>12962</v>
      </c>
      <c r="K992" s="7" t="s">
        <v>48</v>
      </c>
      <c r="L992" s="7" t="s">
        <v>12963</v>
      </c>
      <c r="M992" s="7" t="s">
        <v>12964</v>
      </c>
      <c r="N992" s="45" t="str">
        <f t="shared" ref="N992:N995" si="748">HYPERLINK("twitter.com/fords_softball","@fords_softball")</f>
        <v>@fords_softball</v>
      </c>
      <c r="O992" s="45" t="str">
        <f t="shared" ref="O992:O995" si="749">HYPERLINK("https://www.haverfordathletics.com/information/psa/questionnaires","Questionnaire")</f>
        <v>Questionnaire</v>
      </c>
      <c r="P992" s="48" t="s">
        <v>12974</v>
      </c>
      <c r="Q992" s="60" t="s">
        <v>1231</v>
      </c>
      <c r="R992" s="48" t="s">
        <v>12974</v>
      </c>
      <c r="S992" s="48" t="s">
        <v>468</v>
      </c>
      <c r="T992" s="49" t="s">
        <v>63</v>
      </c>
      <c r="U992" s="49" t="s">
        <v>75</v>
      </c>
      <c r="V992" s="7"/>
      <c r="W992" s="44">
        <v>4.0199999999999996</v>
      </c>
      <c r="X992" s="49" t="s">
        <v>3195</v>
      </c>
      <c r="Y992" s="49" t="s">
        <v>3195</v>
      </c>
      <c r="Z992" s="49" t="s">
        <v>765</v>
      </c>
      <c r="AA992" s="61">
        <v>0.21</v>
      </c>
      <c r="AB992" s="71">
        <v>69387</v>
      </c>
      <c r="AC992" s="62" t="s">
        <v>12974</v>
      </c>
      <c r="AD992" s="53" t="str">
        <f t="shared" ref="AD992:AD995" si="750">HYPERLINK("https://www.haverford.edu/academics/academic-departments-programs","Link")</f>
        <v>Link</v>
      </c>
      <c r="AE992" s="54">
        <v>1268</v>
      </c>
      <c r="AF992" s="55"/>
      <c r="AG992" s="44">
        <v>18</v>
      </c>
      <c r="AH992" s="56">
        <v>212911</v>
      </c>
      <c r="AI992" s="57"/>
      <c r="AJ992" s="57"/>
    </row>
    <row r="993" spans="1:36" ht="13" x14ac:dyDescent="0.15">
      <c r="A993" s="57"/>
      <c r="B993" s="78" t="s">
        <v>7298</v>
      </c>
      <c r="C993" s="7" t="s">
        <v>43</v>
      </c>
      <c r="D993" s="44">
        <v>5</v>
      </c>
      <c r="E993" s="7" t="s">
        <v>12982</v>
      </c>
      <c r="F993" s="7"/>
      <c r="G993" s="7"/>
      <c r="H993" s="6" t="s">
        <v>12960</v>
      </c>
      <c r="I993" s="7" t="s">
        <v>11103</v>
      </c>
      <c r="J993" s="7" t="s">
        <v>12983</v>
      </c>
      <c r="K993" s="7" t="s">
        <v>55</v>
      </c>
      <c r="L993" s="7"/>
      <c r="M993" s="7"/>
      <c r="N993" s="45" t="str">
        <f t="shared" si="748"/>
        <v>@fords_softball</v>
      </c>
      <c r="O993" s="45" t="str">
        <f t="shared" si="749"/>
        <v>Questionnaire</v>
      </c>
      <c r="P993" s="48" t="s">
        <v>12974</v>
      </c>
      <c r="Q993" s="60" t="s">
        <v>1231</v>
      </c>
      <c r="R993" s="48" t="s">
        <v>12974</v>
      </c>
      <c r="S993" s="48" t="s">
        <v>468</v>
      </c>
      <c r="T993" s="49" t="s">
        <v>63</v>
      </c>
      <c r="U993" s="49" t="s">
        <v>75</v>
      </c>
      <c r="V993" s="7"/>
      <c r="W993" s="44">
        <v>4.0199999999999996</v>
      </c>
      <c r="X993" s="49" t="s">
        <v>3195</v>
      </c>
      <c r="Y993" s="49" t="s">
        <v>3195</v>
      </c>
      <c r="Z993" s="49" t="s">
        <v>765</v>
      </c>
      <c r="AA993" s="61">
        <v>0.21</v>
      </c>
      <c r="AB993" s="71">
        <v>69387</v>
      </c>
      <c r="AC993" s="62" t="s">
        <v>12974</v>
      </c>
      <c r="AD993" s="53" t="str">
        <f t="shared" si="750"/>
        <v>Link</v>
      </c>
      <c r="AE993" s="54">
        <v>1268</v>
      </c>
      <c r="AF993" s="55"/>
      <c r="AG993" s="44">
        <v>18</v>
      </c>
      <c r="AH993" s="56">
        <v>212911</v>
      </c>
      <c r="AI993" s="57"/>
      <c r="AJ993" s="57"/>
    </row>
    <row r="994" spans="1:36" ht="13" x14ac:dyDescent="0.15">
      <c r="A994" s="57"/>
      <c r="B994" s="78" t="s">
        <v>7298</v>
      </c>
      <c r="C994" s="7" t="s">
        <v>43</v>
      </c>
      <c r="D994" s="44">
        <v>5</v>
      </c>
      <c r="E994" s="7" t="s">
        <v>12991</v>
      </c>
      <c r="F994" s="7"/>
      <c r="G994" s="7"/>
      <c r="H994" s="6" t="s">
        <v>12960</v>
      </c>
      <c r="I994" s="7" t="s">
        <v>2127</v>
      </c>
      <c r="J994" s="7" t="s">
        <v>12992</v>
      </c>
      <c r="K994" s="7" t="s">
        <v>55</v>
      </c>
      <c r="L994" s="7"/>
      <c r="M994" s="7"/>
      <c r="N994" s="45" t="str">
        <f t="shared" si="748"/>
        <v>@fords_softball</v>
      </c>
      <c r="O994" s="45" t="str">
        <f t="shared" si="749"/>
        <v>Questionnaire</v>
      </c>
      <c r="P994" s="48" t="s">
        <v>12974</v>
      </c>
      <c r="Q994" s="60" t="s">
        <v>1231</v>
      </c>
      <c r="R994" s="48" t="s">
        <v>12974</v>
      </c>
      <c r="S994" s="48" t="s">
        <v>468</v>
      </c>
      <c r="T994" s="49" t="s">
        <v>63</v>
      </c>
      <c r="U994" s="49" t="s">
        <v>75</v>
      </c>
      <c r="V994" s="7"/>
      <c r="W994" s="44">
        <v>4.0199999999999996</v>
      </c>
      <c r="X994" s="49" t="s">
        <v>3195</v>
      </c>
      <c r="Y994" s="49" t="s">
        <v>3195</v>
      </c>
      <c r="Z994" s="49" t="s">
        <v>765</v>
      </c>
      <c r="AA994" s="61">
        <v>0.21</v>
      </c>
      <c r="AB994" s="71">
        <v>69387</v>
      </c>
      <c r="AC994" s="62" t="s">
        <v>12974</v>
      </c>
      <c r="AD994" s="53" t="str">
        <f t="shared" si="750"/>
        <v>Link</v>
      </c>
      <c r="AE994" s="54">
        <v>1268</v>
      </c>
      <c r="AF994" s="55"/>
      <c r="AG994" s="44">
        <v>18</v>
      </c>
      <c r="AH994" s="56">
        <v>212911</v>
      </c>
      <c r="AI994" s="57"/>
      <c r="AJ994" s="57"/>
    </row>
    <row r="995" spans="1:36" ht="13" x14ac:dyDescent="0.15">
      <c r="A995" s="57"/>
      <c r="B995" s="78" t="s">
        <v>7298</v>
      </c>
      <c r="C995" s="7" t="s">
        <v>43</v>
      </c>
      <c r="D995" s="44">
        <v>5</v>
      </c>
      <c r="E995" s="7" t="s">
        <v>12999</v>
      </c>
      <c r="F995" s="7"/>
      <c r="G995" s="7"/>
      <c r="H995" s="6" t="s">
        <v>12960</v>
      </c>
      <c r="I995" s="7" t="s">
        <v>1492</v>
      </c>
      <c r="J995" s="7" t="s">
        <v>12962</v>
      </c>
      <c r="K995" s="7" t="s">
        <v>55</v>
      </c>
      <c r="L995" s="7"/>
      <c r="M995" s="7"/>
      <c r="N995" s="45" t="str">
        <f t="shared" si="748"/>
        <v>@fords_softball</v>
      </c>
      <c r="O995" s="45" t="str">
        <f t="shared" si="749"/>
        <v>Questionnaire</v>
      </c>
      <c r="P995" s="48" t="s">
        <v>12974</v>
      </c>
      <c r="Q995" s="60" t="s">
        <v>1231</v>
      </c>
      <c r="R995" s="48" t="s">
        <v>12974</v>
      </c>
      <c r="S995" s="48" t="s">
        <v>468</v>
      </c>
      <c r="T995" s="49" t="s">
        <v>63</v>
      </c>
      <c r="U995" s="49" t="s">
        <v>75</v>
      </c>
      <c r="V995" s="7"/>
      <c r="W995" s="44">
        <v>4.0199999999999996</v>
      </c>
      <c r="X995" s="49" t="s">
        <v>3195</v>
      </c>
      <c r="Y995" s="49" t="s">
        <v>3195</v>
      </c>
      <c r="Z995" s="49" t="s">
        <v>765</v>
      </c>
      <c r="AA995" s="61">
        <v>0.21</v>
      </c>
      <c r="AB995" s="71">
        <v>69387</v>
      </c>
      <c r="AC995" s="62" t="s">
        <v>12974</v>
      </c>
      <c r="AD995" s="53" t="str">
        <f t="shared" si="750"/>
        <v>Link</v>
      </c>
      <c r="AE995" s="54">
        <v>1268</v>
      </c>
      <c r="AF995" s="55"/>
      <c r="AG995" s="44">
        <v>18</v>
      </c>
      <c r="AH995" s="56">
        <v>212911</v>
      </c>
      <c r="AI995" s="57"/>
      <c r="AJ995" s="57"/>
    </row>
    <row r="996" spans="1:36" ht="13" x14ac:dyDescent="0.15">
      <c r="A996" s="57"/>
      <c r="B996" s="78" t="s">
        <v>7298</v>
      </c>
      <c r="C996" s="7" t="s">
        <v>43</v>
      </c>
      <c r="D996" s="44">
        <v>5</v>
      </c>
      <c r="E996" s="7" t="s">
        <v>13005</v>
      </c>
      <c r="F996" s="7"/>
      <c r="G996" s="7"/>
      <c r="H996" s="6" t="s">
        <v>13008</v>
      </c>
      <c r="I996" s="7" t="s">
        <v>754</v>
      </c>
      <c r="J996" s="7" t="s">
        <v>1391</v>
      </c>
      <c r="K996" s="7" t="s">
        <v>48</v>
      </c>
      <c r="L996" s="7" t="s">
        <v>13009</v>
      </c>
      <c r="M996" s="7" t="s">
        <v>13010</v>
      </c>
      <c r="N996" s="45" t="str">
        <f t="shared" ref="N996:N998" si="751">HYPERLINK("twitter.com/iusb_mightymacs","@iusb_mightymacs")</f>
        <v>@iusb_mightymacs</v>
      </c>
      <c r="O996" s="45" t="str">
        <f t="shared" ref="O996:O998" si="752">HYPERLINK("https://gomightymacs.com/sports/2014/10/8/GEN_1008143538.aspx","Questionnaire")</f>
        <v>Questionnaire</v>
      </c>
      <c r="P996" s="48" t="s">
        <v>13023</v>
      </c>
      <c r="Q996" s="47" t="s">
        <v>1231</v>
      </c>
      <c r="R996" s="48" t="s">
        <v>13023</v>
      </c>
      <c r="S996" s="60" t="s">
        <v>205</v>
      </c>
      <c r="T996" s="49" t="s">
        <v>63</v>
      </c>
      <c r="U996" s="49" t="s">
        <v>343</v>
      </c>
      <c r="V996" s="7"/>
      <c r="W996" s="44">
        <v>3.27</v>
      </c>
      <c r="X996" s="49" t="s">
        <v>1144</v>
      </c>
      <c r="Y996" s="49" t="s">
        <v>1338</v>
      </c>
      <c r="Z996" s="49" t="s">
        <v>449</v>
      </c>
      <c r="AA996" s="61">
        <v>0.82</v>
      </c>
      <c r="AB996" s="71">
        <v>53584</v>
      </c>
      <c r="AC996" s="62" t="s">
        <v>13023</v>
      </c>
      <c r="AD996" s="53" t="str">
        <f t="shared" ref="AD996:AD998" si="753">HYPERLINK("http://www.immaculata.edu/academics/cus/programs_majors","Link")</f>
        <v>Link</v>
      </c>
      <c r="AE996" s="54">
        <v>1555</v>
      </c>
      <c r="AF996" s="54">
        <v>165</v>
      </c>
      <c r="AG996" s="7"/>
      <c r="AH996" s="56">
        <v>213011</v>
      </c>
      <c r="AI996" s="57"/>
      <c r="AJ996" s="57"/>
    </row>
    <row r="997" spans="1:36" ht="13" x14ac:dyDescent="0.15">
      <c r="A997" s="57"/>
      <c r="B997" s="78" t="s">
        <v>7298</v>
      </c>
      <c r="C997" s="7" t="s">
        <v>43</v>
      </c>
      <c r="D997" s="44">
        <v>5</v>
      </c>
      <c r="E997" s="7" t="s">
        <v>13028</v>
      </c>
      <c r="F997" s="7"/>
      <c r="G997" s="7"/>
      <c r="H997" s="6" t="s">
        <v>13008</v>
      </c>
      <c r="I997" s="7" t="s">
        <v>13030</v>
      </c>
      <c r="J997" s="7" t="s">
        <v>13031</v>
      </c>
      <c r="K997" s="7" t="s">
        <v>55</v>
      </c>
      <c r="L997" s="7" t="s">
        <v>13032</v>
      </c>
      <c r="M997" s="7"/>
      <c r="N997" s="45" t="str">
        <f t="shared" si="751"/>
        <v>@iusb_mightymacs</v>
      </c>
      <c r="O997" s="45" t="str">
        <f t="shared" si="752"/>
        <v>Questionnaire</v>
      </c>
      <c r="P997" s="48" t="s">
        <v>13023</v>
      </c>
      <c r="Q997" s="47" t="s">
        <v>1231</v>
      </c>
      <c r="R997" s="48" t="s">
        <v>13023</v>
      </c>
      <c r="S997" s="60" t="s">
        <v>205</v>
      </c>
      <c r="T997" s="49" t="s">
        <v>63</v>
      </c>
      <c r="U997" s="49" t="s">
        <v>343</v>
      </c>
      <c r="V997" s="7"/>
      <c r="W997" s="44">
        <v>3.27</v>
      </c>
      <c r="X997" s="49" t="s">
        <v>1144</v>
      </c>
      <c r="Y997" s="49" t="s">
        <v>1338</v>
      </c>
      <c r="Z997" s="49" t="s">
        <v>449</v>
      </c>
      <c r="AA997" s="61">
        <v>0.82</v>
      </c>
      <c r="AB997" s="71">
        <v>53584</v>
      </c>
      <c r="AC997" s="62" t="s">
        <v>13023</v>
      </c>
      <c r="AD997" s="53" t="str">
        <f t="shared" si="753"/>
        <v>Link</v>
      </c>
      <c r="AE997" s="54">
        <v>1555</v>
      </c>
      <c r="AF997" s="54">
        <v>165</v>
      </c>
      <c r="AG997" s="7"/>
      <c r="AH997" s="56">
        <v>213011</v>
      </c>
      <c r="AI997" s="57"/>
      <c r="AJ997" s="57"/>
    </row>
    <row r="998" spans="1:36" ht="13" x14ac:dyDescent="0.15">
      <c r="A998" s="57"/>
      <c r="B998" s="78" t="s">
        <v>7298</v>
      </c>
      <c r="C998" s="7" t="s">
        <v>43</v>
      </c>
      <c r="D998" s="44">
        <v>5</v>
      </c>
      <c r="E998" s="7" t="s">
        <v>13035</v>
      </c>
      <c r="F998" s="7"/>
      <c r="G998" s="7"/>
      <c r="H998" s="6" t="s">
        <v>13008</v>
      </c>
      <c r="I998" s="7" t="s">
        <v>6985</v>
      </c>
      <c r="J998" s="7" t="s">
        <v>13036</v>
      </c>
      <c r="K998" s="7" t="s">
        <v>55</v>
      </c>
      <c r="L998" s="7"/>
      <c r="M998" s="7"/>
      <c r="N998" s="45" t="str">
        <f t="shared" si="751"/>
        <v>@iusb_mightymacs</v>
      </c>
      <c r="O998" s="45" t="str">
        <f t="shared" si="752"/>
        <v>Questionnaire</v>
      </c>
      <c r="P998" s="48" t="s">
        <v>13023</v>
      </c>
      <c r="Q998" s="47" t="s">
        <v>1231</v>
      </c>
      <c r="R998" s="48" t="s">
        <v>13023</v>
      </c>
      <c r="S998" s="60" t="s">
        <v>205</v>
      </c>
      <c r="T998" s="49" t="s">
        <v>63</v>
      </c>
      <c r="U998" s="49" t="s">
        <v>343</v>
      </c>
      <c r="V998" s="7"/>
      <c r="W998" s="44">
        <v>3.27</v>
      </c>
      <c r="X998" s="49" t="s">
        <v>1144</v>
      </c>
      <c r="Y998" s="49" t="s">
        <v>1338</v>
      </c>
      <c r="Z998" s="49" t="s">
        <v>449</v>
      </c>
      <c r="AA998" s="61">
        <v>0.82</v>
      </c>
      <c r="AB998" s="71">
        <v>53584</v>
      </c>
      <c r="AC998" s="62" t="s">
        <v>13023</v>
      </c>
      <c r="AD998" s="53" t="str">
        <f t="shared" si="753"/>
        <v>Link</v>
      </c>
      <c r="AE998" s="54">
        <v>1555</v>
      </c>
      <c r="AF998" s="54">
        <v>165</v>
      </c>
      <c r="AG998" s="7"/>
      <c r="AH998" s="56">
        <v>213011</v>
      </c>
      <c r="AI998" s="57"/>
      <c r="AJ998" s="57"/>
    </row>
    <row r="999" spans="1:36" ht="13" x14ac:dyDescent="0.15">
      <c r="A999" s="57"/>
      <c r="B999" s="78" t="s">
        <v>7298</v>
      </c>
      <c r="C999" s="7" t="s">
        <v>43</v>
      </c>
      <c r="D999" s="44">
        <v>5</v>
      </c>
      <c r="E999" s="7" t="s">
        <v>13043</v>
      </c>
      <c r="F999" s="7"/>
      <c r="G999" s="7"/>
      <c r="H999" s="6" t="s">
        <v>13044</v>
      </c>
      <c r="I999" s="7" t="s">
        <v>2022</v>
      </c>
      <c r="J999" s="7" t="s">
        <v>13045</v>
      </c>
      <c r="K999" s="7" t="s">
        <v>48</v>
      </c>
      <c r="L999" s="7" t="s">
        <v>13046</v>
      </c>
      <c r="M999" s="7" t="s">
        <v>13048</v>
      </c>
      <c r="N999" s="45" t="str">
        <f t="shared" ref="N999:N1000" si="754">HYPERLINK("twitter.com/JuniataSoftball","@JuniataSoftball")</f>
        <v>@JuniataSoftball</v>
      </c>
      <c r="O999" s="45" t="str">
        <f t="shared" ref="O999:O1000" si="755">HYPERLINK("https://www.juniatasports.net/sports/sball/SB_Questionaire","Questionnaire")</f>
        <v>Questionnaire</v>
      </c>
      <c r="P999" s="48" t="s">
        <v>13057</v>
      </c>
      <c r="Q999" s="60" t="s">
        <v>1231</v>
      </c>
      <c r="R999" s="48" t="s">
        <v>119</v>
      </c>
      <c r="S999" s="60" t="s">
        <v>205</v>
      </c>
      <c r="T999" s="49" t="s">
        <v>63</v>
      </c>
      <c r="U999" s="49" t="s">
        <v>75</v>
      </c>
      <c r="V999" s="7"/>
      <c r="W999" s="44">
        <v>3.71</v>
      </c>
      <c r="X999" s="49" t="s">
        <v>13061</v>
      </c>
      <c r="Y999" s="49" t="s">
        <v>13061</v>
      </c>
      <c r="Z999" s="49" t="s">
        <v>13063</v>
      </c>
      <c r="AA999" s="61">
        <v>0.75</v>
      </c>
      <c r="AB999" s="71">
        <v>56010</v>
      </c>
      <c r="AC999" s="62" t="s">
        <v>13057</v>
      </c>
      <c r="AD999" s="53" t="str">
        <f t="shared" ref="AD999:AD1000" si="756">HYPERLINK("http://www.juniata.edu/academics/areas-of-study.php","Link")</f>
        <v>Link</v>
      </c>
      <c r="AE999" s="54">
        <v>1568</v>
      </c>
      <c r="AF999" s="55"/>
      <c r="AG999" s="44">
        <v>106</v>
      </c>
      <c r="AH999" s="56">
        <v>213251</v>
      </c>
      <c r="AI999" s="57"/>
      <c r="AJ999" s="57"/>
    </row>
    <row r="1000" spans="1:36" ht="13" x14ac:dyDescent="0.15">
      <c r="A1000" s="57"/>
      <c r="B1000" s="78" t="s">
        <v>7298</v>
      </c>
      <c r="C1000" s="7" t="s">
        <v>43</v>
      </c>
      <c r="D1000" s="44">
        <v>5</v>
      </c>
      <c r="E1000" s="7" t="s">
        <v>13069</v>
      </c>
      <c r="F1000" s="7"/>
      <c r="G1000" s="7"/>
      <c r="H1000" s="6" t="s">
        <v>13044</v>
      </c>
      <c r="I1000" s="7" t="s">
        <v>1132</v>
      </c>
      <c r="J1000" s="7" t="s">
        <v>3657</v>
      </c>
      <c r="K1000" s="7" t="s">
        <v>55</v>
      </c>
      <c r="L1000" s="7"/>
      <c r="M1000" s="7"/>
      <c r="N1000" s="45" t="str">
        <f t="shared" si="754"/>
        <v>@JuniataSoftball</v>
      </c>
      <c r="O1000" s="45" t="str">
        <f t="shared" si="755"/>
        <v>Questionnaire</v>
      </c>
      <c r="P1000" s="48" t="s">
        <v>13057</v>
      </c>
      <c r="Q1000" s="60" t="s">
        <v>1231</v>
      </c>
      <c r="R1000" s="48" t="s">
        <v>119</v>
      </c>
      <c r="S1000" s="60" t="s">
        <v>205</v>
      </c>
      <c r="T1000" s="49" t="s">
        <v>63</v>
      </c>
      <c r="U1000" s="49" t="s">
        <v>75</v>
      </c>
      <c r="V1000" s="7"/>
      <c r="W1000" s="44">
        <v>3.71</v>
      </c>
      <c r="X1000" s="49" t="s">
        <v>13076</v>
      </c>
      <c r="Y1000" s="49" t="s">
        <v>13076</v>
      </c>
      <c r="Z1000" s="49" t="s">
        <v>13077</v>
      </c>
      <c r="AA1000" s="61">
        <v>0.75</v>
      </c>
      <c r="AB1000" s="71">
        <v>56010</v>
      </c>
      <c r="AC1000" s="62" t="s">
        <v>13057</v>
      </c>
      <c r="AD1000" s="53" t="str">
        <f t="shared" si="756"/>
        <v>Link</v>
      </c>
      <c r="AE1000" s="54">
        <v>1568</v>
      </c>
      <c r="AF1000" s="55"/>
      <c r="AG1000" s="44">
        <v>106</v>
      </c>
      <c r="AH1000" s="56">
        <v>213251</v>
      </c>
      <c r="AI1000" s="57"/>
      <c r="AJ1000" s="57"/>
    </row>
    <row r="1001" spans="1:36" ht="13" x14ac:dyDescent="0.15">
      <c r="A1001" s="57"/>
      <c r="B1001" s="78" t="s">
        <v>7298</v>
      </c>
      <c r="C1001" s="7" t="s">
        <v>43</v>
      </c>
      <c r="D1001" s="44">
        <v>5</v>
      </c>
      <c r="E1001" s="7" t="s">
        <v>13078</v>
      </c>
      <c r="F1001" s="7"/>
      <c r="G1001" s="7"/>
      <c r="H1001" s="6" t="s">
        <v>13079</v>
      </c>
      <c r="I1001" s="7" t="s">
        <v>588</v>
      </c>
      <c r="J1001" s="7" t="s">
        <v>4684</v>
      </c>
      <c r="K1001" s="7" t="s">
        <v>48</v>
      </c>
      <c r="L1001" s="7" t="s">
        <v>13080</v>
      </c>
      <c r="M1001" s="7" t="s">
        <v>13081</v>
      </c>
      <c r="N1001" s="45" t="str">
        <f t="shared" ref="N1001:N1002" si="757">HYPERLINK("twitter.com/khscatsoftball","@khscatsoftball")</f>
        <v>@khscatsoftball</v>
      </c>
      <c r="O1001" s="45" t="str">
        <f t="shared" ref="O1001:O1002" si="758">HYPERLINK("https://www.gokcgiants.com/sports/2008/9/30/recruitng%20q.aspx","Questionnaire")</f>
        <v>Questionnaire</v>
      </c>
      <c r="P1001" s="48" t="s">
        <v>13089</v>
      </c>
      <c r="Q1001" s="60" t="s">
        <v>1231</v>
      </c>
      <c r="R1001" s="48" t="s">
        <v>13090</v>
      </c>
      <c r="S1001" s="60" t="s">
        <v>205</v>
      </c>
      <c r="T1001" s="49" t="s">
        <v>63</v>
      </c>
      <c r="U1001" s="49" t="s">
        <v>75</v>
      </c>
      <c r="V1001" s="7"/>
      <c r="W1001" s="44">
        <v>2.98</v>
      </c>
      <c r="X1001" s="49" t="s">
        <v>13091</v>
      </c>
      <c r="Y1001" s="49" t="s">
        <v>13092</v>
      </c>
      <c r="Z1001" s="49" t="s">
        <v>13093</v>
      </c>
      <c r="AA1001" s="61">
        <v>0.98</v>
      </c>
      <c r="AB1001" s="71">
        <v>40700</v>
      </c>
      <c r="AC1001" s="90" t="s">
        <v>13089</v>
      </c>
      <c r="AD1001" s="53" t="str">
        <f t="shared" ref="AD1001:AD1002" si="759">HYPERLINK("https://www.keystone.edu/academics/majors/","Link")</f>
        <v>Link</v>
      </c>
      <c r="AE1001" s="54">
        <v>1410</v>
      </c>
      <c r="AF1001" s="55"/>
      <c r="AG1001" s="7"/>
      <c r="AH1001" s="56">
        <v>213303</v>
      </c>
      <c r="AI1001" s="57"/>
      <c r="AJ1001" s="57"/>
    </row>
    <row r="1002" spans="1:36" ht="13" x14ac:dyDescent="0.15">
      <c r="A1002" s="57"/>
      <c r="B1002" s="78" t="s">
        <v>7298</v>
      </c>
      <c r="C1002" s="7" t="s">
        <v>43</v>
      </c>
      <c r="D1002" s="86">
        <v>5</v>
      </c>
      <c r="E1002" s="7" t="s">
        <v>13096</v>
      </c>
      <c r="F1002" s="7" t="s">
        <v>116</v>
      </c>
      <c r="G1002" s="7"/>
      <c r="H1002" s="6" t="s">
        <v>13079</v>
      </c>
      <c r="I1002" s="7" t="s">
        <v>3130</v>
      </c>
      <c r="J1002" s="7" t="s">
        <v>13097</v>
      </c>
      <c r="K1002" s="7" t="s">
        <v>55</v>
      </c>
      <c r="L1002" s="7"/>
      <c r="M1002" s="7"/>
      <c r="N1002" s="45" t="str">
        <f t="shared" si="757"/>
        <v>@khscatsoftball</v>
      </c>
      <c r="O1002" s="45" t="str">
        <f t="shared" si="758"/>
        <v>Questionnaire</v>
      </c>
      <c r="P1002" s="48" t="s">
        <v>13089</v>
      </c>
      <c r="Q1002" s="60" t="s">
        <v>1231</v>
      </c>
      <c r="R1002" s="48" t="s">
        <v>13090</v>
      </c>
      <c r="S1002" s="60" t="s">
        <v>205</v>
      </c>
      <c r="T1002" s="49" t="s">
        <v>63</v>
      </c>
      <c r="U1002" s="49" t="s">
        <v>75</v>
      </c>
      <c r="V1002" s="7"/>
      <c r="W1002" s="44">
        <v>2.98</v>
      </c>
      <c r="X1002" s="49" t="s">
        <v>13091</v>
      </c>
      <c r="Y1002" s="49" t="s">
        <v>13092</v>
      </c>
      <c r="Z1002" s="49" t="s">
        <v>13093</v>
      </c>
      <c r="AA1002" s="61">
        <v>0.98</v>
      </c>
      <c r="AB1002" s="71">
        <v>40700</v>
      </c>
      <c r="AC1002" s="90" t="s">
        <v>13089</v>
      </c>
      <c r="AD1002" s="53" t="str">
        <f t="shared" si="759"/>
        <v>Link</v>
      </c>
      <c r="AE1002" s="54">
        <v>1410</v>
      </c>
      <c r="AF1002" s="55"/>
      <c r="AG1002" s="7"/>
      <c r="AH1002" s="56">
        <v>213303</v>
      </c>
      <c r="AI1002" s="57"/>
      <c r="AJ1002" s="57"/>
    </row>
    <row r="1003" spans="1:36" ht="13" x14ac:dyDescent="0.15">
      <c r="A1003" s="57"/>
      <c r="B1003" s="78" t="s">
        <v>7298</v>
      </c>
      <c r="C1003" s="7" t="s">
        <v>43</v>
      </c>
      <c r="D1003" s="44">
        <v>5</v>
      </c>
      <c r="E1003" s="7" t="s">
        <v>13101</v>
      </c>
      <c r="F1003" s="7"/>
      <c r="G1003" s="7"/>
      <c r="H1003" s="6" t="s">
        <v>13103</v>
      </c>
      <c r="I1003" s="7" t="s">
        <v>1822</v>
      </c>
      <c r="J1003" s="7" t="s">
        <v>13104</v>
      </c>
      <c r="K1003" s="7" t="s">
        <v>48</v>
      </c>
      <c r="L1003" s="7" t="s">
        <v>13107</v>
      </c>
      <c r="M1003" s="7" t="s">
        <v>13108</v>
      </c>
      <c r="N1003" s="45" t="str">
        <f t="shared" ref="N1003:N1008" si="760">HYPERLINK("twitter.com/kings_softball","@kings_softball")</f>
        <v>@kings_softball</v>
      </c>
      <c r="O1003" s="45" t="str">
        <f t="shared" ref="O1003:O1008" si="761">HYPERLINK("https://kingscollegeathletics.com/sb_output.aspx?form=3","Questionnaire")</f>
        <v>Questionnaire</v>
      </c>
      <c r="P1003" s="48" t="s">
        <v>13111</v>
      </c>
      <c r="Q1003" s="60" t="s">
        <v>1231</v>
      </c>
      <c r="R1003" s="48" t="s">
        <v>13112</v>
      </c>
      <c r="S1003" s="48" t="s">
        <v>13113</v>
      </c>
      <c r="T1003" s="49" t="s">
        <v>63</v>
      </c>
      <c r="U1003" s="49" t="s">
        <v>343</v>
      </c>
      <c r="V1003" s="7"/>
      <c r="W1003" s="44">
        <v>3.77</v>
      </c>
      <c r="X1003" s="49" t="s">
        <v>214</v>
      </c>
      <c r="Y1003" s="49" t="s">
        <v>214</v>
      </c>
      <c r="Z1003" s="49" t="s">
        <v>214</v>
      </c>
      <c r="AA1003" s="61">
        <v>0.71</v>
      </c>
      <c r="AB1003" s="71">
        <v>50828</v>
      </c>
      <c r="AC1003" s="62" t="s">
        <v>13111</v>
      </c>
      <c r="AD1003" s="53" t="str">
        <f t="shared" ref="AD1003:AD1008" si="762">HYPERLINK("https://www.kings.edu/academics/undergraduate_majors","Link")</f>
        <v>Link</v>
      </c>
      <c r="AE1003" s="54">
        <v>2082</v>
      </c>
      <c r="AF1003" s="55"/>
      <c r="AG1003" s="7"/>
      <c r="AH1003" s="56">
        <v>439701</v>
      </c>
      <c r="AI1003" s="57"/>
      <c r="AJ1003" s="57"/>
    </row>
    <row r="1004" spans="1:36" ht="13" x14ac:dyDescent="0.15">
      <c r="A1004" s="57"/>
      <c r="B1004" s="78" t="s">
        <v>7298</v>
      </c>
      <c r="C1004" s="7" t="s">
        <v>43</v>
      </c>
      <c r="D1004" s="44">
        <v>5</v>
      </c>
      <c r="E1004" s="7" t="s">
        <v>13121</v>
      </c>
      <c r="F1004" s="7"/>
      <c r="G1004" s="7"/>
      <c r="H1004" s="6" t="s">
        <v>13103</v>
      </c>
      <c r="I1004" s="7" t="s">
        <v>13122</v>
      </c>
      <c r="J1004" s="7" t="s">
        <v>644</v>
      </c>
      <c r="K1004" s="7" t="s">
        <v>55</v>
      </c>
      <c r="L1004" s="7" t="s">
        <v>13123</v>
      </c>
      <c r="M1004" s="7"/>
      <c r="N1004" s="45" t="str">
        <f t="shared" si="760"/>
        <v>@kings_softball</v>
      </c>
      <c r="O1004" s="45" t="str">
        <f t="shared" si="761"/>
        <v>Questionnaire</v>
      </c>
      <c r="P1004" s="48" t="s">
        <v>13111</v>
      </c>
      <c r="Q1004" s="60" t="s">
        <v>1231</v>
      </c>
      <c r="R1004" s="48" t="s">
        <v>13112</v>
      </c>
      <c r="S1004" s="48" t="s">
        <v>13125</v>
      </c>
      <c r="T1004" s="49" t="s">
        <v>63</v>
      </c>
      <c r="U1004" s="49" t="s">
        <v>343</v>
      </c>
      <c r="V1004" s="7"/>
      <c r="W1004" s="44">
        <v>3.77</v>
      </c>
      <c r="X1004" s="49" t="s">
        <v>214</v>
      </c>
      <c r="Y1004" s="49" t="s">
        <v>214</v>
      </c>
      <c r="Z1004" s="49" t="s">
        <v>214</v>
      </c>
      <c r="AA1004" s="61">
        <v>0.71</v>
      </c>
      <c r="AB1004" s="71">
        <v>50828</v>
      </c>
      <c r="AC1004" s="62" t="s">
        <v>13111</v>
      </c>
      <c r="AD1004" s="53" t="str">
        <f t="shared" si="762"/>
        <v>Link</v>
      </c>
      <c r="AE1004" s="54">
        <v>2082</v>
      </c>
      <c r="AF1004" s="55"/>
      <c r="AG1004" s="7"/>
      <c r="AH1004" s="56">
        <v>439701</v>
      </c>
      <c r="AI1004" s="57"/>
      <c r="AJ1004" s="57"/>
    </row>
    <row r="1005" spans="1:36" ht="13" x14ac:dyDescent="0.15">
      <c r="A1005" s="57"/>
      <c r="B1005" s="78" t="s">
        <v>7298</v>
      </c>
      <c r="C1005" s="7" t="s">
        <v>43</v>
      </c>
      <c r="D1005" s="44">
        <v>5</v>
      </c>
      <c r="E1005" s="7" t="s">
        <v>13127</v>
      </c>
      <c r="F1005" s="7"/>
      <c r="G1005" s="7"/>
      <c r="H1005" s="6" t="s">
        <v>13103</v>
      </c>
      <c r="I1005" s="7" t="s">
        <v>13128</v>
      </c>
      <c r="J1005" s="7" t="s">
        <v>13129</v>
      </c>
      <c r="K1005" s="7" t="s">
        <v>55</v>
      </c>
      <c r="L1005" s="7" t="s">
        <v>13130</v>
      </c>
      <c r="M1005" s="7"/>
      <c r="N1005" s="45" t="str">
        <f t="shared" si="760"/>
        <v>@kings_softball</v>
      </c>
      <c r="O1005" s="45" t="str">
        <f t="shared" si="761"/>
        <v>Questionnaire</v>
      </c>
      <c r="P1005" s="48" t="s">
        <v>13111</v>
      </c>
      <c r="Q1005" s="60" t="s">
        <v>1231</v>
      </c>
      <c r="R1005" s="48" t="s">
        <v>13112</v>
      </c>
      <c r="S1005" s="48" t="s">
        <v>13133</v>
      </c>
      <c r="T1005" s="49" t="s">
        <v>63</v>
      </c>
      <c r="U1005" s="49" t="s">
        <v>343</v>
      </c>
      <c r="V1005" s="7"/>
      <c r="W1005" s="44">
        <v>3.77</v>
      </c>
      <c r="X1005" s="49" t="s">
        <v>214</v>
      </c>
      <c r="Y1005" s="49" t="s">
        <v>214</v>
      </c>
      <c r="Z1005" s="49" t="s">
        <v>214</v>
      </c>
      <c r="AA1005" s="61">
        <v>0.71</v>
      </c>
      <c r="AB1005" s="71">
        <v>50828</v>
      </c>
      <c r="AC1005" s="62" t="s">
        <v>13111</v>
      </c>
      <c r="AD1005" s="53" t="str">
        <f t="shared" si="762"/>
        <v>Link</v>
      </c>
      <c r="AE1005" s="54">
        <v>2082</v>
      </c>
      <c r="AF1005" s="55"/>
      <c r="AG1005" s="7"/>
      <c r="AH1005" s="56">
        <v>439701</v>
      </c>
      <c r="AI1005" s="57"/>
      <c r="AJ1005" s="57"/>
    </row>
    <row r="1006" spans="1:36" ht="13" x14ac:dyDescent="0.15">
      <c r="A1006" s="57"/>
      <c r="B1006" s="78" t="s">
        <v>7298</v>
      </c>
      <c r="C1006" s="7" t="s">
        <v>43</v>
      </c>
      <c r="D1006" s="44">
        <v>5</v>
      </c>
      <c r="E1006" s="7" t="s">
        <v>13138</v>
      </c>
      <c r="F1006" s="7"/>
      <c r="G1006" s="7"/>
      <c r="H1006" s="6" t="s">
        <v>13103</v>
      </c>
      <c r="I1006" s="7" t="s">
        <v>981</v>
      </c>
      <c r="J1006" s="7" t="s">
        <v>13139</v>
      </c>
      <c r="K1006" s="7" t="s">
        <v>919</v>
      </c>
      <c r="L1006" s="7"/>
      <c r="M1006" s="7"/>
      <c r="N1006" s="45" t="str">
        <f t="shared" si="760"/>
        <v>@kings_softball</v>
      </c>
      <c r="O1006" s="45" t="str">
        <f t="shared" si="761"/>
        <v>Questionnaire</v>
      </c>
      <c r="P1006" s="48" t="s">
        <v>13111</v>
      </c>
      <c r="Q1006" s="60" t="s">
        <v>1231</v>
      </c>
      <c r="R1006" s="48" t="s">
        <v>13112</v>
      </c>
      <c r="S1006" s="48" t="s">
        <v>13142</v>
      </c>
      <c r="T1006" s="49" t="s">
        <v>63</v>
      </c>
      <c r="U1006" s="49" t="s">
        <v>343</v>
      </c>
      <c r="V1006" s="7"/>
      <c r="W1006" s="44">
        <v>3.77</v>
      </c>
      <c r="X1006" s="49" t="s">
        <v>214</v>
      </c>
      <c r="Y1006" s="49" t="s">
        <v>214</v>
      </c>
      <c r="Z1006" s="49" t="s">
        <v>214</v>
      </c>
      <c r="AA1006" s="61">
        <v>0.71</v>
      </c>
      <c r="AB1006" s="71">
        <v>50828</v>
      </c>
      <c r="AC1006" s="62" t="s">
        <v>13111</v>
      </c>
      <c r="AD1006" s="53" t="str">
        <f t="shared" si="762"/>
        <v>Link</v>
      </c>
      <c r="AE1006" s="54">
        <v>2082</v>
      </c>
      <c r="AF1006" s="55"/>
      <c r="AG1006" s="7"/>
      <c r="AH1006" s="56">
        <v>439701</v>
      </c>
      <c r="AI1006" s="57"/>
      <c r="AJ1006" s="57"/>
    </row>
    <row r="1007" spans="1:36" ht="13" x14ac:dyDescent="0.15">
      <c r="A1007" s="57"/>
      <c r="B1007" s="78" t="s">
        <v>7298</v>
      </c>
      <c r="C1007" s="7" t="s">
        <v>43</v>
      </c>
      <c r="D1007" s="44">
        <v>5</v>
      </c>
      <c r="E1007" s="7" t="s">
        <v>13145</v>
      </c>
      <c r="F1007" s="7"/>
      <c r="G1007" s="7"/>
      <c r="H1007" s="6" t="s">
        <v>13103</v>
      </c>
      <c r="I1007" s="7" t="s">
        <v>6136</v>
      </c>
      <c r="J1007" s="7" t="s">
        <v>13148</v>
      </c>
      <c r="K1007" s="7" t="s">
        <v>139</v>
      </c>
      <c r="L1007" s="7" t="s">
        <v>13151</v>
      </c>
      <c r="M1007" s="7"/>
      <c r="N1007" s="45" t="str">
        <f t="shared" si="760"/>
        <v>@kings_softball</v>
      </c>
      <c r="O1007" s="45" t="str">
        <f t="shared" si="761"/>
        <v>Questionnaire</v>
      </c>
      <c r="P1007" s="48" t="s">
        <v>13111</v>
      </c>
      <c r="Q1007" s="60" t="s">
        <v>1231</v>
      </c>
      <c r="R1007" s="48" t="s">
        <v>13112</v>
      </c>
      <c r="S1007" s="48" t="s">
        <v>13155</v>
      </c>
      <c r="T1007" s="49" t="s">
        <v>63</v>
      </c>
      <c r="U1007" s="49" t="s">
        <v>343</v>
      </c>
      <c r="V1007" s="7"/>
      <c r="W1007" s="44">
        <v>3.77</v>
      </c>
      <c r="X1007" s="49" t="s">
        <v>214</v>
      </c>
      <c r="Y1007" s="49" t="s">
        <v>214</v>
      </c>
      <c r="Z1007" s="49" t="s">
        <v>214</v>
      </c>
      <c r="AA1007" s="61">
        <v>0.71</v>
      </c>
      <c r="AB1007" s="71">
        <v>50828</v>
      </c>
      <c r="AC1007" s="62" t="s">
        <v>13111</v>
      </c>
      <c r="AD1007" s="53" t="str">
        <f t="shared" si="762"/>
        <v>Link</v>
      </c>
      <c r="AE1007" s="54">
        <v>2082</v>
      </c>
      <c r="AF1007" s="55"/>
      <c r="AG1007" s="7"/>
      <c r="AH1007" s="56">
        <v>439701</v>
      </c>
      <c r="AI1007" s="57"/>
      <c r="AJ1007" s="57"/>
    </row>
    <row r="1008" spans="1:36" ht="13" x14ac:dyDescent="0.15">
      <c r="A1008" s="57"/>
      <c r="B1008" s="78" t="s">
        <v>7298</v>
      </c>
      <c r="C1008" s="7" t="s">
        <v>43</v>
      </c>
      <c r="D1008" s="44">
        <v>5</v>
      </c>
      <c r="E1008" s="7" t="s">
        <v>13158</v>
      </c>
      <c r="F1008" s="7"/>
      <c r="G1008" s="7"/>
      <c r="H1008" s="6" t="s">
        <v>13103</v>
      </c>
      <c r="I1008" s="7" t="s">
        <v>329</v>
      </c>
      <c r="J1008" s="7" t="s">
        <v>13160</v>
      </c>
      <c r="K1008" s="7" t="s">
        <v>139</v>
      </c>
      <c r="L1008" s="7" t="s">
        <v>13161</v>
      </c>
      <c r="M1008" s="7"/>
      <c r="N1008" s="45" t="str">
        <f t="shared" si="760"/>
        <v>@kings_softball</v>
      </c>
      <c r="O1008" s="45" t="str">
        <f t="shared" si="761"/>
        <v>Questionnaire</v>
      </c>
      <c r="P1008" s="48" t="s">
        <v>13111</v>
      </c>
      <c r="Q1008" s="60" t="s">
        <v>1231</v>
      </c>
      <c r="R1008" s="48" t="s">
        <v>13112</v>
      </c>
      <c r="S1008" s="48" t="s">
        <v>13165</v>
      </c>
      <c r="T1008" s="49" t="s">
        <v>63</v>
      </c>
      <c r="U1008" s="49" t="s">
        <v>343</v>
      </c>
      <c r="V1008" s="7"/>
      <c r="W1008" s="44">
        <v>3.77</v>
      </c>
      <c r="X1008" s="49" t="s">
        <v>214</v>
      </c>
      <c r="Y1008" s="49" t="s">
        <v>214</v>
      </c>
      <c r="Z1008" s="49" t="s">
        <v>214</v>
      </c>
      <c r="AA1008" s="61">
        <v>0.71</v>
      </c>
      <c r="AB1008" s="71">
        <v>50828</v>
      </c>
      <c r="AC1008" s="62" t="s">
        <v>13111</v>
      </c>
      <c r="AD1008" s="53" t="str">
        <f t="shared" si="762"/>
        <v>Link</v>
      </c>
      <c r="AE1008" s="54">
        <v>2082</v>
      </c>
      <c r="AF1008" s="55"/>
      <c r="AG1008" s="7"/>
      <c r="AH1008" s="56">
        <v>439701</v>
      </c>
      <c r="AI1008" s="57"/>
      <c r="AJ1008" s="57"/>
    </row>
    <row r="1009" spans="1:36" ht="13" x14ac:dyDescent="0.15">
      <c r="A1009" s="57"/>
      <c r="B1009" s="78" t="s">
        <v>7298</v>
      </c>
      <c r="C1009" s="7" t="s">
        <v>43</v>
      </c>
      <c r="D1009" s="44">
        <v>5</v>
      </c>
      <c r="E1009" s="7" t="s">
        <v>13169</v>
      </c>
      <c r="F1009" s="7"/>
      <c r="G1009" s="7"/>
      <c r="H1009" s="6" t="s">
        <v>13170</v>
      </c>
      <c r="I1009" s="7" t="s">
        <v>13171</v>
      </c>
      <c r="J1009" s="7" t="s">
        <v>1530</v>
      </c>
      <c r="K1009" s="7" t="s">
        <v>48</v>
      </c>
      <c r="L1009" s="7" t="s">
        <v>13172</v>
      </c>
      <c r="M1009" s="7" t="s">
        <v>13173</v>
      </c>
      <c r="N1009" s="48"/>
      <c r="O1009" s="45" t="str">
        <f t="shared" ref="O1009:O1010" si="763">HYPERLINK("https://intranet.laroche.edu/www/athletics/athletic-inquiry.cfm","Questionnaire")</f>
        <v>Questionnaire</v>
      </c>
      <c r="P1009" s="48" t="s">
        <v>13176</v>
      </c>
      <c r="Q1009" s="60" t="s">
        <v>1231</v>
      </c>
      <c r="R1009" s="48" t="s">
        <v>1243</v>
      </c>
      <c r="S1009" s="48" t="s">
        <v>13177</v>
      </c>
      <c r="T1009" s="49" t="s">
        <v>63</v>
      </c>
      <c r="U1009" s="49" t="s">
        <v>343</v>
      </c>
      <c r="V1009" s="7"/>
      <c r="W1009" s="44">
        <v>3.2</v>
      </c>
      <c r="X1009" s="49" t="s">
        <v>13178</v>
      </c>
      <c r="Y1009" s="49" t="s">
        <v>13179</v>
      </c>
      <c r="Z1009" s="49" t="s">
        <v>13180</v>
      </c>
      <c r="AA1009" s="61">
        <v>0.92</v>
      </c>
      <c r="AB1009" s="71">
        <v>41554</v>
      </c>
      <c r="AC1009" s="62" t="s">
        <v>13176</v>
      </c>
      <c r="AD1009" s="53" t="str">
        <f t="shared" ref="AD1009:AD1010" si="764">HYPERLINK("https://www.laroche.edu/Academics/Majors_and_Programs_of_Study/","Link")</f>
        <v>Link</v>
      </c>
      <c r="AE1009" s="54">
        <v>1406</v>
      </c>
      <c r="AF1009" s="55"/>
      <c r="AG1009" s="7"/>
      <c r="AH1009" s="56">
        <v>213358</v>
      </c>
      <c r="AI1009" s="57"/>
      <c r="AJ1009" s="57"/>
    </row>
    <row r="1010" spans="1:36" ht="13" x14ac:dyDescent="0.15">
      <c r="A1010" s="57"/>
      <c r="B1010" s="78" t="s">
        <v>7298</v>
      </c>
      <c r="C1010" s="7" t="s">
        <v>43</v>
      </c>
      <c r="D1010" s="44">
        <v>5</v>
      </c>
      <c r="E1010" s="7" t="s">
        <v>13183</v>
      </c>
      <c r="F1010" s="7"/>
      <c r="G1010" s="7"/>
      <c r="H1010" s="6" t="s">
        <v>13170</v>
      </c>
      <c r="I1010" s="7" t="s">
        <v>2223</v>
      </c>
      <c r="J1010" s="7" t="s">
        <v>13185</v>
      </c>
      <c r="K1010" s="7" t="s">
        <v>55</v>
      </c>
      <c r="L1010" s="7"/>
      <c r="M1010" s="7"/>
      <c r="N1010" s="48"/>
      <c r="O1010" s="45" t="str">
        <f t="shared" si="763"/>
        <v>Questionnaire</v>
      </c>
      <c r="P1010" s="48" t="s">
        <v>13176</v>
      </c>
      <c r="Q1010" s="60" t="s">
        <v>1231</v>
      </c>
      <c r="R1010" s="48" t="s">
        <v>1243</v>
      </c>
      <c r="S1010" s="48" t="s">
        <v>13188</v>
      </c>
      <c r="T1010" s="49" t="s">
        <v>63</v>
      </c>
      <c r="U1010" s="49" t="s">
        <v>343</v>
      </c>
      <c r="V1010" s="7"/>
      <c r="W1010" s="44">
        <v>3.2</v>
      </c>
      <c r="X1010" s="49" t="s">
        <v>5268</v>
      </c>
      <c r="Y1010" s="49" t="s">
        <v>3428</v>
      </c>
      <c r="Z1010" s="49" t="s">
        <v>13189</v>
      </c>
      <c r="AA1010" s="61">
        <v>0.92</v>
      </c>
      <c r="AB1010" s="71">
        <v>41554</v>
      </c>
      <c r="AC1010" s="62" t="s">
        <v>13176</v>
      </c>
      <c r="AD1010" s="53" t="str">
        <f t="shared" si="764"/>
        <v>Link</v>
      </c>
      <c r="AE1010" s="54">
        <v>1406</v>
      </c>
      <c r="AF1010" s="55"/>
      <c r="AG1010" s="7"/>
      <c r="AH1010" s="56">
        <v>213358</v>
      </c>
      <c r="AI1010" s="57"/>
      <c r="AJ1010" s="57"/>
    </row>
    <row r="1011" spans="1:36" ht="13" x14ac:dyDescent="0.15">
      <c r="A1011" s="57"/>
      <c r="B1011" s="78" t="s">
        <v>7298</v>
      </c>
      <c r="C1011" s="7" t="s">
        <v>43</v>
      </c>
      <c r="D1011" s="44">
        <v>5</v>
      </c>
      <c r="E1011" s="7" t="s">
        <v>13193</v>
      </c>
      <c r="F1011" s="7"/>
      <c r="G1011" s="7"/>
      <c r="H1011" s="6" t="s">
        <v>13194</v>
      </c>
      <c r="I1011" s="7" t="s">
        <v>1092</v>
      </c>
      <c r="J1011" s="7" t="s">
        <v>13195</v>
      </c>
      <c r="K1011" s="7" t="s">
        <v>48</v>
      </c>
      <c r="L1011" s="7" t="s">
        <v>13196</v>
      </c>
      <c r="M1011" s="7" t="s">
        <v>13197</v>
      </c>
      <c r="N1011" s="48"/>
      <c r="O1011" s="45" t="str">
        <f t="shared" ref="O1011:O1012" si="765">HYPERLINK("https://lbcchargers.com/sb_output.aspx?form=3","Questionnaire")</f>
        <v>Questionnaire</v>
      </c>
      <c r="P1011" s="48" t="s">
        <v>13203</v>
      </c>
      <c r="Q1011" s="60" t="s">
        <v>1231</v>
      </c>
      <c r="R1011" s="48" t="s">
        <v>12732</v>
      </c>
      <c r="S1011" s="48" t="s">
        <v>13204</v>
      </c>
      <c r="T1011" s="49" t="s">
        <v>63</v>
      </c>
      <c r="U1011" s="49" t="s">
        <v>13207</v>
      </c>
      <c r="V1011" s="7"/>
      <c r="W1011" s="44">
        <v>3.1</v>
      </c>
      <c r="X1011" s="49" t="s">
        <v>12071</v>
      </c>
      <c r="Y1011" s="49" t="s">
        <v>12384</v>
      </c>
      <c r="Z1011" s="49" t="s">
        <v>13208</v>
      </c>
      <c r="AA1011" s="61">
        <v>0.67</v>
      </c>
      <c r="AB1011" s="71">
        <v>33430</v>
      </c>
      <c r="AC1011" s="90" t="s">
        <v>13203</v>
      </c>
      <c r="AD1011" s="53" t="str">
        <f t="shared" ref="AD1011:AD1012" si="766">HYPERLINK("https://www.lbc.edu/undergraduate/academics/majors/","Link")</f>
        <v>Link</v>
      </c>
      <c r="AE1011" s="54">
        <v>1472</v>
      </c>
      <c r="AF1011" s="55"/>
      <c r="AG1011" s="7"/>
      <c r="AH1011" s="56">
        <v>213400</v>
      </c>
      <c r="AI1011" s="57"/>
      <c r="AJ1011" s="57"/>
    </row>
    <row r="1012" spans="1:36" ht="13" x14ac:dyDescent="0.15">
      <c r="A1012" s="57"/>
      <c r="B1012" s="78" t="s">
        <v>7298</v>
      </c>
      <c r="C1012" s="7" t="s">
        <v>43</v>
      </c>
      <c r="D1012" s="44">
        <v>5</v>
      </c>
      <c r="E1012" s="7" t="s">
        <v>13215</v>
      </c>
      <c r="F1012" s="7"/>
      <c r="G1012" s="7"/>
      <c r="H1012" s="6" t="s">
        <v>13194</v>
      </c>
      <c r="I1012" s="7" t="s">
        <v>402</v>
      </c>
      <c r="J1012" s="7" t="s">
        <v>13216</v>
      </c>
      <c r="K1012" s="7" t="s">
        <v>55</v>
      </c>
      <c r="L1012" s="7"/>
      <c r="M1012" s="7"/>
      <c r="N1012" s="48"/>
      <c r="O1012" s="45" t="str">
        <f t="shared" si="765"/>
        <v>Questionnaire</v>
      </c>
      <c r="P1012" s="48" t="s">
        <v>13203</v>
      </c>
      <c r="Q1012" s="60" t="s">
        <v>1231</v>
      </c>
      <c r="R1012" s="48" t="s">
        <v>12732</v>
      </c>
      <c r="S1012" s="48" t="s">
        <v>13217</v>
      </c>
      <c r="T1012" s="49" t="s">
        <v>63</v>
      </c>
      <c r="U1012" s="49" t="s">
        <v>13207</v>
      </c>
      <c r="V1012" s="7"/>
      <c r="W1012" s="44">
        <v>3.1</v>
      </c>
      <c r="X1012" s="49" t="s">
        <v>13218</v>
      </c>
      <c r="Y1012" s="49" t="s">
        <v>12399</v>
      </c>
      <c r="Z1012" s="49" t="s">
        <v>13220</v>
      </c>
      <c r="AA1012" s="61">
        <v>0.67</v>
      </c>
      <c r="AB1012" s="71">
        <v>33430</v>
      </c>
      <c r="AC1012" s="90" t="s">
        <v>13203</v>
      </c>
      <c r="AD1012" s="53" t="str">
        <f t="shared" si="766"/>
        <v>Link</v>
      </c>
      <c r="AE1012" s="54">
        <v>1472</v>
      </c>
      <c r="AF1012" s="55"/>
      <c r="AG1012" s="7"/>
      <c r="AH1012" s="56">
        <v>213400</v>
      </c>
      <c r="AI1012" s="57"/>
      <c r="AJ1012" s="57"/>
    </row>
    <row r="1013" spans="1:36" ht="13" x14ac:dyDescent="0.15">
      <c r="A1013" s="57"/>
      <c r="B1013" s="78" t="s">
        <v>7298</v>
      </c>
      <c r="C1013" s="7" t="s">
        <v>43</v>
      </c>
      <c r="D1013" s="44">
        <v>5</v>
      </c>
      <c r="E1013" s="7" t="s">
        <v>13225</v>
      </c>
      <c r="F1013" s="7"/>
      <c r="G1013" s="7"/>
      <c r="H1013" s="6" t="s">
        <v>13226</v>
      </c>
      <c r="I1013" s="7" t="s">
        <v>13228</v>
      </c>
      <c r="J1013" s="7" t="s">
        <v>4045</v>
      </c>
      <c r="K1013" s="7" t="s">
        <v>48</v>
      </c>
      <c r="L1013" s="7" t="s">
        <v>13230</v>
      </c>
      <c r="M1013" s="7" t="s">
        <v>13231</v>
      </c>
      <c r="N1013" s="45" t="str">
        <f t="shared" ref="N1013:N1016" si="767">HYPERLINK("twitter.com/lvcsoftball","@lvcsoftball")</f>
        <v>@lvcsoftball</v>
      </c>
      <c r="O1013" s="45" t="str">
        <f t="shared" ref="O1013:O1016" si="768">HYPERLINK("https://www.lvc.edu/admission-aid/how-to-apply/student-athletes/","Questionnaire")</f>
        <v>Questionnaire</v>
      </c>
      <c r="P1013" s="48" t="s">
        <v>13241</v>
      </c>
      <c r="Q1013" s="60" t="s">
        <v>1231</v>
      </c>
      <c r="R1013" s="48" t="s">
        <v>13242</v>
      </c>
      <c r="S1013" s="60" t="s">
        <v>205</v>
      </c>
      <c r="T1013" s="49" t="s">
        <v>63</v>
      </c>
      <c r="U1013" s="49" t="s">
        <v>65</v>
      </c>
      <c r="V1013" s="7"/>
      <c r="W1013" s="44">
        <v>3.7</v>
      </c>
      <c r="X1013" s="49" t="s">
        <v>13243</v>
      </c>
      <c r="Y1013" s="49" t="s">
        <v>13244</v>
      </c>
      <c r="Z1013" s="49" t="s">
        <v>13245</v>
      </c>
      <c r="AA1013" s="61">
        <v>0.76</v>
      </c>
      <c r="AB1013" s="71">
        <v>54930</v>
      </c>
      <c r="AC1013" s="90" t="s">
        <v>13241</v>
      </c>
      <c r="AD1013" s="53" t="str">
        <f t="shared" ref="AD1013:AD1016" si="769">HYPERLINK("http://www.lvc.edu/academics/programs-of-study/","Link")</f>
        <v>Link</v>
      </c>
      <c r="AE1013" s="54">
        <v>1712</v>
      </c>
      <c r="AF1013" s="55"/>
      <c r="AG1013" s="7"/>
      <c r="AH1013" s="56">
        <v>213507</v>
      </c>
      <c r="AI1013" s="57"/>
      <c r="AJ1013" s="57"/>
    </row>
    <row r="1014" spans="1:36" ht="13" x14ac:dyDescent="0.15">
      <c r="A1014" s="57"/>
      <c r="B1014" s="78" t="s">
        <v>7298</v>
      </c>
      <c r="C1014" s="7" t="s">
        <v>43</v>
      </c>
      <c r="D1014" s="44">
        <v>5</v>
      </c>
      <c r="E1014" s="7" t="s">
        <v>13251</v>
      </c>
      <c r="F1014" s="7"/>
      <c r="G1014" s="7"/>
      <c r="H1014" s="6" t="s">
        <v>13226</v>
      </c>
      <c r="I1014" s="7" t="s">
        <v>6985</v>
      </c>
      <c r="J1014" s="7" t="s">
        <v>717</v>
      </c>
      <c r="K1014" s="7" t="s">
        <v>55</v>
      </c>
      <c r="L1014" s="7"/>
      <c r="M1014" s="7"/>
      <c r="N1014" s="45" t="str">
        <f t="shared" si="767"/>
        <v>@lvcsoftball</v>
      </c>
      <c r="O1014" s="45" t="str">
        <f t="shared" si="768"/>
        <v>Questionnaire</v>
      </c>
      <c r="P1014" s="48" t="s">
        <v>13241</v>
      </c>
      <c r="Q1014" s="60" t="s">
        <v>1231</v>
      </c>
      <c r="R1014" s="48" t="s">
        <v>13242</v>
      </c>
      <c r="S1014" s="60" t="s">
        <v>205</v>
      </c>
      <c r="T1014" s="49" t="s">
        <v>63</v>
      </c>
      <c r="U1014" s="49" t="s">
        <v>65</v>
      </c>
      <c r="V1014" s="7"/>
      <c r="W1014" s="44">
        <v>3.7</v>
      </c>
      <c r="X1014" s="49" t="s">
        <v>13253</v>
      </c>
      <c r="Y1014" s="49" t="s">
        <v>13254</v>
      </c>
      <c r="Z1014" s="49" t="s">
        <v>13256</v>
      </c>
      <c r="AA1014" s="61">
        <v>0.76</v>
      </c>
      <c r="AB1014" s="71">
        <v>54930</v>
      </c>
      <c r="AC1014" s="90" t="s">
        <v>13241</v>
      </c>
      <c r="AD1014" s="53" t="str">
        <f t="shared" si="769"/>
        <v>Link</v>
      </c>
      <c r="AE1014" s="54">
        <v>1712</v>
      </c>
      <c r="AF1014" s="55"/>
      <c r="AG1014" s="7"/>
      <c r="AH1014" s="56">
        <v>213507</v>
      </c>
      <c r="AI1014" s="57"/>
      <c r="AJ1014" s="57"/>
    </row>
    <row r="1015" spans="1:36" ht="13" x14ac:dyDescent="0.15">
      <c r="A1015" s="57"/>
      <c r="B1015" s="78" t="s">
        <v>7298</v>
      </c>
      <c r="C1015" s="7" t="s">
        <v>43</v>
      </c>
      <c r="D1015" s="44">
        <v>5</v>
      </c>
      <c r="E1015" s="7" t="s">
        <v>13261</v>
      </c>
      <c r="F1015" s="7"/>
      <c r="G1015" s="7"/>
      <c r="H1015" s="6" t="s">
        <v>13226</v>
      </c>
      <c r="I1015" s="7" t="s">
        <v>8821</v>
      </c>
      <c r="J1015" s="7" t="s">
        <v>13262</v>
      </c>
      <c r="K1015" s="7" t="s">
        <v>55</v>
      </c>
      <c r="L1015" s="7"/>
      <c r="M1015" s="7"/>
      <c r="N1015" s="45" t="str">
        <f t="shared" si="767"/>
        <v>@lvcsoftball</v>
      </c>
      <c r="O1015" s="45" t="str">
        <f t="shared" si="768"/>
        <v>Questionnaire</v>
      </c>
      <c r="P1015" s="48" t="s">
        <v>13241</v>
      </c>
      <c r="Q1015" s="60" t="s">
        <v>1231</v>
      </c>
      <c r="R1015" s="48" t="s">
        <v>13242</v>
      </c>
      <c r="S1015" s="60" t="s">
        <v>205</v>
      </c>
      <c r="T1015" s="49" t="s">
        <v>63</v>
      </c>
      <c r="U1015" s="49" t="s">
        <v>65</v>
      </c>
      <c r="V1015" s="7"/>
      <c r="W1015" s="44">
        <v>3.7</v>
      </c>
      <c r="X1015" s="49" t="s">
        <v>10466</v>
      </c>
      <c r="Y1015" s="49" t="s">
        <v>13268</v>
      </c>
      <c r="Z1015" s="49" t="s">
        <v>13269</v>
      </c>
      <c r="AA1015" s="61">
        <v>0.76</v>
      </c>
      <c r="AB1015" s="71">
        <v>54930</v>
      </c>
      <c r="AC1015" s="90" t="s">
        <v>13241</v>
      </c>
      <c r="AD1015" s="53" t="str">
        <f t="shared" si="769"/>
        <v>Link</v>
      </c>
      <c r="AE1015" s="54">
        <v>1712</v>
      </c>
      <c r="AF1015" s="55"/>
      <c r="AG1015" s="7"/>
      <c r="AH1015" s="56">
        <v>213507</v>
      </c>
      <c r="AI1015" s="57"/>
      <c r="AJ1015" s="57"/>
    </row>
    <row r="1016" spans="1:36" ht="13" x14ac:dyDescent="0.15">
      <c r="A1016" s="57"/>
      <c r="B1016" s="78" t="s">
        <v>7298</v>
      </c>
      <c r="C1016" s="7" t="s">
        <v>43</v>
      </c>
      <c r="D1016" s="86">
        <v>5</v>
      </c>
      <c r="E1016" s="7" t="s">
        <v>13274</v>
      </c>
      <c r="F1016" s="7" t="s">
        <v>116</v>
      </c>
      <c r="G1016" s="7"/>
      <c r="H1016" s="6" t="s">
        <v>13226</v>
      </c>
      <c r="I1016" s="7" t="s">
        <v>13275</v>
      </c>
      <c r="J1016" s="7" t="s">
        <v>13276</v>
      </c>
      <c r="K1016" s="7" t="s">
        <v>139</v>
      </c>
      <c r="L1016" s="7"/>
      <c r="M1016" s="7"/>
      <c r="N1016" s="45" t="str">
        <f t="shared" si="767"/>
        <v>@lvcsoftball</v>
      </c>
      <c r="O1016" s="45" t="str">
        <f t="shared" si="768"/>
        <v>Questionnaire</v>
      </c>
      <c r="P1016" s="48" t="s">
        <v>13241</v>
      </c>
      <c r="Q1016" s="60" t="s">
        <v>1231</v>
      </c>
      <c r="R1016" s="48" t="s">
        <v>13242</v>
      </c>
      <c r="S1016" s="60" t="s">
        <v>205</v>
      </c>
      <c r="T1016" s="49" t="s">
        <v>63</v>
      </c>
      <c r="U1016" s="49" t="s">
        <v>65</v>
      </c>
      <c r="V1016" s="7"/>
      <c r="W1016" s="44">
        <v>3.7</v>
      </c>
      <c r="X1016" s="49" t="s">
        <v>10466</v>
      </c>
      <c r="Y1016" s="49" t="s">
        <v>13268</v>
      </c>
      <c r="Z1016" s="49" t="s">
        <v>13269</v>
      </c>
      <c r="AA1016" s="61">
        <v>0.76</v>
      </c>
      <c r="AB1016" s="71">
        <v>54930</v>
      </c>
      <c r="AC1016" s="90" t="s">
        <v>13241</v>
      </c>
      <c r="AD1016" s="53" t="str">
        <f t="shared" si="769"/>
        <v>Link</v>
      </c>
      <c r="AE1016" s="54">
        <v>1712</v>
      </c>
      <c r="AF1016" s="55"/>
      <c r="AG1016" s="7"/>
      <c r="AH1016" s="56">
        <v>213507</v>
      </c>
      <c r="AI1016" s="57"/>
      <c r="AJ1016" s="57"/>
    </row>
    <row r="1017" spans="1:36" ht="13" x14ac:dyDescent="0.15">
      <c r="A1017" s="57"/>
      <c r="B1017" s="78" t="s">
        <v>7298</v>
      </c>
      <c r="C1017" s="7" t="s">
        <v>43</v>
      </c>
      <c r="D1017" s="44">
        <v>5</v>
      </c>
      <c r="E1017" s="7" t="s">
        <v>13288</v>
      </c>
      <c r="F1017" s="7"/>
      <c r="G1017" s="7"/>
      <c r="H1017" s="6" t="s">
        <v>13289</v>
      </c>
      <c r="I1017" s="7" t="s">
        <v>1163</v>
      </c>
      <c r="J1017" s="7" t="s">
        <v>13290</v>
      </c>
      <c r="K1017" s="7" t="s">
        <v>48</v>
      </c>
      <c r="L1017" s="7" t="s">
        <v>13291</v>
      </c>
      <c r="M1017" s="7" t="s">
        <v>13292</v>
      </c>
      <c r="N1017" s="45" t="str">
        <f>HYPERLINK("twitter.com/lycosoftball","@lycosoftball")</f>
        <v>@lycosoftball</v>
      </c>
      <c r="O1017" s="45" t="str">
        <f t="shared" ref="O1017:O1022" si="770">HYPERLINK("https://lycomingathletics.com/sports/2013/8/19/GEN_0819130731.aspx","Questionnaire")</f>
        <v>Questionnaire</v>
      </c>
      <c r="P1017" s="48" t="s">
        <v>13297</v>
      </c>
      <c r="Q1017" s="60" t="s">
        <v>1231</v>
      </c>
      <c r="R1017" s="6" t="s">
        <v>13300</v>
      </c>
      <c r="S1017" s="6" t="s">
        <v>13301</v>
      </c>
      <c r="T1017" s="5" t="s">
        <v>63</v>
      </c>
      <c r="U1017" s="4" t="s">
        <v>65</v>
      </c>
      <c r="V1017" s="7"/>
      <c r="W1017" s="37">
        <v>3.39</v>
      </c>
      <c r="X1017" s="49" t="s">
        <v>13302</v>
      </c>
      <c r="Y1017" s="49" t="s">
        <v>13303</v>
      </c>
      <c r="Z1017" s="4" t="s">
        <v>12054</v>
      </c>
      <c r="AA1017" s="65">
        <v>0.7</v>
      </c>
      <c r="AB1017" s="39">
        <v>51652</v>
      </c>
      <c r="AC1017" s="76" t="s">
        <v>13297</v>
      </c>
      <c r="AD1017" s="53" t="str">
        <f t="shared" ref="AD1017:AD1022" si="771">HYPERLINK("http://www.lycoming.edu/catalog/academic-program.aspx","Link")</f>
        <v>Link</v>
      </c>
      <c r="AE1017" s="42">
        <v>1263</v>
      </c>
      <c r="AF1017" s="55"/>
      <c r="AG1017" s="37">
        <v>147</v>
      </c>
      <c r="AH1017" s="56">
        <v>213668</v>
      </c>
      <c r="AI1017" s="57"/>
      <c r="AJ1017" s="57"/>
    </row>
    <row r="1018" spans="1:36" ht="13" x14ac:dyDescent="0.15">
      <c r="A1018" s="57"/>
      <c r="B1018" s="78" t="s">
        <v>7298</v>
      </c>
      <c r="C1018" s="7" t="s">
        <v>43</v>
      </c>
      <c r="D1018" s="44">
        <v>5</v>
      </c>
      <c r="E1018" s="7" t="s">
        <v>13309</v>
      </c>
      <c r="F1018" s="7"/>
      <c r="G1018" s="7"/>
      <c r="H1018" s="6" t="s">
        <v>13289</v>
      </c>
      <c r="I1018" s="7" t="s">
        <v>13310</v>
      </c>
      <c r="J1018" s="7" t="s">
        <v>13290</v>
      </c>
      <c r="K1018" s="7" t="s">
        <v>55</v>
      </c>
      <c r="L1018" s="7" t="s">
        <v>13311</v>
      </c>
      <c r="M1018" s="7"/>
      <c r="N1018" s="48"/>
      <c r="O1018" s="45" t="str">
        <f t="shared" si="770"/>
        <v>Questionnaire</v>
      </c>
      <c r="P1018" s="48" t="s">
        <v>13297</v>
      </c>
      <c r="Q1018" s="60" t="s">
        <v>1231</v>
      </c>
      <c r="R1018" s="6" t="s">
        <v>13300</v>
      </c>
      <c r="S1018" s="6" t="s">
        <v>12052</v>
      </c>
      <c r="T1018" s="5" t="s">
        <v>63</v>
      </c>
      <c r="U1018" s="4" t="s">
        <v>65</v>
      </c>
      <c r="V1018" s="7"/>
      <c r="W1018" s="37">
        <v>3.39</v>
      </c>
      <c r="X1018" s="49" t="s">
        <v>2189</v>
      </c>
      <c r="Y1018" s="49" t="s">
        <v>13312</v>
      </c>
      <c r="Z1018" s="4" t="s">
        <v>12072</v>
      </c>
      <c r="AA1018" s="65">
        <v>0.7</v>
      </c>
      <c r="AB1018" s="39">
        <v>51652</v>
      </c>
      <c r="AC1018" s="76" t="s">
        <v>13297</v>
      </c>
      <c r="AD1018" s="53" t="str">
        <f t="shared" si="771"/>
        <v>Link</v>
      </c>
      <c r="AE1018" s="42">
        <v>1263</v>
      </c>
      <c r="AF1018" s="55"/>
      <c r="AG1018" s="37">
        <v>147</v>
      </c>
      <c r="AH1018" s="56">
        <v>213668</v>
      </c>
      <c r="AI1018" s="57"/>
      <c r="AJ1018" s="57"/>
    </row>
    <row r="1019" spans="1:36" ht="13" x14ac:dyDescent="0.15">
      <c r="A1019" s="57"/>
      <c r="B1019" s="78" t="s">
        <v>7298</v>
      </c>
      <c r="C1019" s="7" t="s">
        <v>43</v>
      </c>
      <c r="D1019" s="44">
        <v>5</v>
      </c>
      <c r="E1019" s="7" t="s">
        <v>13317</v>
      </c>
      <c r="F1019" s="7"/>
      <c r="G1019" s="7"/>
      <c r="H1019" s="6" t="s">
        <v>13289</v>
      </c>
      <c r="I1019" s="7" t="s">
        <v>2348</v>
      </c>
      <c r="J1019" s="7" t="s">
        <v>13319</v>
      </c>
      <c r="K1019" s="7" t="s">
        <v>55</v>
      </c>
      <c r="L1019" s="7" t="s">
        <v>13320</v>
      </c>
      <c r="M1019" s="7"/>
      <c r="N1019" s="48"/>
      <c r="O1019" s="45" t="str">
        <f t="shared" si="770"/>
        <v>Questionnaire</v>
      </c>
      <c r="P1019" s="48" t="s">
        <v>13297</v>
      </c>
      <c r="Q1019" s="60" t="s">
        <v>1231</v>
      </c>
      <c r="R1019" s="6" t="s">
        <v>13300</v>
      </c>
      <c r="S1019" s="6" t="s">
        <v>12068</v>
      </c>
      <c r="T1019" s="5" t="s">
        <v>63</v>
      </c>
      <c r="U1019" s="4" t="s">
        <v>65</v>
      </c>
      <c r="V1019" s="7"/>
      <c r="W1019" s="37">
        <v>3.39</v>
      </c>
      <c r="X1019" s="49" t="s">
        <v>13324</v>
      </c>
      <c r="Y1019" s="49" t="s">
        <v>13325</v>
      </c>
      <c r="Z1019" s="4" t="s">
        <v>13327</v>
      </c>
      <c r="AA1019" s="65">
        <v>0.7</v>
      </c>
      <c r="AB1019" s="39">
        <v>51652</v>
      </c>
      <c r="AC1019" s="76" t="s">
        <v>13297</v>
      </c>
      <c r="AD1019" s="53" t="str">
        <f t="shared" si="771"/>
        <v>Link</v>
      </c>
      <c r="AE1019" s="42">
        <v>1263</v>
      </c>
      <c r="AF1019" s="55"/>
      <c r="AG1019" s="37">
        <v>147</v>
      </c>
      <c r="AH1019" s="56">
        <v>213668</v>
      </c>
      <c r="AI1019" s="57"/>
      <c r="AJ1019" s="57"/>
    </row>
    <row r="1020" spans="1:36" ht="13" x14ac:dyDescent="0.15">
      <c r="A1020" s="57"/>
      <c r="B1020" s="78" t="s">
        <v>7298</v>
      </c>
      <c r="C1020" s="7" t="s">
        <v>43</v>
      </c>
      <c r="D1020" s="44">
        <v>5</v>
      </c>
      <c r="E1020" s="7" t="s">
        <v>13335</v>
      </c>
      <c r="F1020" s="7"/>
      <c r="G1020" s="7"/>
      <c r="H1020" s="6" t="s">
        <v>13289</v>
      </c>
      <c r="I1020" s="7" t="s">
        <v>222</v>
      </c>
      <c r="J1020" s="7" t="s">
        <v>13336</v>
      </c>
      <c r="K1020" s="7" t="s">
        <v>55</v>
      </c>
      <c r="L1020" s="7" t="s">
        <v>13337</v>
      </c>
      <c r="M1020" s="7"/>
      <c r="N1020" s="48"/>
      <c r="O1020" s="45" t="str">
        <f t="shared" si="770"/>
        <v>Questionnaire</v>
      </c>
      <c r="P1020" s="48" t="s">
        <v>13297</v>
      </c>
      <c r="Q1020" s="60" t="s">
        <v>1231</v>
      </c>
      <c r="R1020" s="6" t="s">
        <v>13300</v>
      </c>
      <c r="S1020" s="6" t="s">
        <v>13338</v>
      </c>
      <c r="T1020" s="5" t="s">
        <v>63</v>
      </c>
      <c r="U1020" s="4" t="s">
        <v>65</v>
      </c>
      <c r="V1020" s="7"/>
      <c r="W1020" s="37">
        <v>3.39</v>
      </c>
      <c r="X1020" s="49" t="s">
        <v>10059</v>
      </c>
      <c r="Y1020" s="49" t="s">
        <v>544</v>
      </c>
      <c r="Z1020" s="4" t="s">
        <v>13339</v>
      </c>
      <c r="AA1020" s="65">
        <v>0.7</v>
      </c>
      <c r="AB1020" s="39">
        <v>51652</v>
      </c>
      <c r="AC1020" s="76" t="s">
        <v>13297</v>
      </c>
      <c r="AD1020" s="53" t="str">
        <f t="shared" si="771"/>
        <v>Link</v>
      </c>
      <c r="AE1020" s="42">
        <v>1263</v>
      </c>
      <c r="AF1020" s="55"/>
      <c r="AG1020" s="37">
        <v>147</v>
      </c>
      <c r="AH1020" s="56">
        <v>213668</v>
      </c>
      <c r="AI1020" s="57"/>
      <c r="AJ1020" s="57"/>
    </row>
    <row r="1021" spans="1:36" ht="13" x14ac:dyDescent="0.15">
      <c r="A1021" s="57"/>
      <c r="B1021" s="78" t="s">
        <v>7298</v>
      </c>
      <c r="C1021" s="7" t="s">
        <v>43</v>
      </c>
      <c r="D1021" s="44">
        <v>5</v>
      </c>
      <c r="E1021" s="7" t="s">
        <v>13343</v>
      </c>
      <c r="F1021" s="7" t="s">
        <v>116</v>
      </c>
      <c r="G1021" s="7"/>
      <c r="H1021" s="6" t="s">
        <v>13289</v>
      </c>
      <c r="I1021" s="7" t="s">
        <v>1746</v>
      </c>
      <c r="J1021" s="7" t="s">
        <v>13344</v>
      </c>
      <c r="K1021" s="7" t="s">
        <v>55</v>
      </c>
      <c r="L1021" s="7"/>
      <c r="M1021" s="7"/>
      <c r="N1021" s="48"/>
      <c r="O1021" s="45" t="str">
        <f t="shared" si="770"/>
        <v>Questionnaire</v>
      </c>
      <c r="P1021" s="48" t="s">
        <v>13297</v>
      </c>
      <c r="Q1021" s="60" t="s">
        <v>1231</v>
      </c>
      <c r="R1021" s="6" t="s">
        <v>13300</v>
      </c>
      <c r="S1021" s="6" t="s">
        <v>13338</v>
      </c>
      <c r="T1021" s="5" t="s">
        <v>63</v>
      </c>
      <c r="U1021" s="4" t="s">
        <v>65</v>
      </c>
      <c r="V1021" s="7"/>
      <c r="W1021" s="37">
        <v>3.39</v>
      </c>
      <c r="X1021" s="49" t="s">
        <v>10059</v>
      </c>
      <c r="Y1021" s="49" t="s">
        <v>544</v>
      </c>
      <c r="Z1021" s="4" t="s">
        <v>13339</v>
      </c>
      <c r="AA1021" s="65">
        <v>0.7</v>
      </c>
      <c r="AB1021" s="39">
        <v>51652</v>
      </c>
      <c r="AC1021" s="76" t="s">
        <v>13297</v>
      </c>
      <c r="AD1021" s="53" t="str">
        <f t="shared" si="771"/>
        <v>Link</v>
      </c>
      <c r="AE1021" s="42">
        <v>1263</v>
      </c>
      <c r="AF1021" s="55"/>
      <c r="AG1021" s="37">
        <v>147</v>
      </c>
      <c r="AH1021" s="56">
        <v>213668</v>
      </c>
      <c r="AI1021" s="57"/>
      <c r="AJ1021" s="57"/>
    </row>
    <row r="1022" spans="1:36" ht="13" x14ac:dyDescent="0.15">
      <c r="A1022" s="57"/>
      <c r="B1022" s="78" t="s">
        <v>7298</v>
      </c>
      <c r="C1022" s="7" t="s">
        <v>43</v>
      </c>
      <c r="D1022" s="44">
        <v>5</v>
      </c>
      <c r="E1022" s="7" t="s">
        <v>13347</v>
      </c>
      <c r="F1022" s="7" t="s">
        <v>116</v>
      </c>
      <c r="G1022" s="7"/>
      <c r="H1022" s="6" t="s">
        <v>13289</v>
      </c>
      <c r="I1022" s="7" t="s">
        <v>8061</v>
      </c>
      <c r="J1022" s="7" t="s">
        <v>13348</v>
      </c>
      <c r="K1022" s="7" t="s">
        <v>55</v>
      </c>
      <c r="L1022" s="7"/>
      <c r="M1022" s="7"/>
      <c r="N1022" s="48"/>
      <c r="O1022" s="45" t="str">
        <f t="shared" si="770"/>
        <v>Questionnaire</v>
      </c>
      <c r="P1022" s="48" t="s">
        <v>13297</v>
      </c>
      <c r="Q1022" s="60" t="s">
        <v>1231</v>
      </c>
      <c r="R1022" s="6" t="s">
        <v>13300</v>
      </c>
      <c r="S1022" s="6" t="s">
        <v>13338</v>
      </c>
      <c r="T1022" s="5" t="s">
        <v>63</v>
      </c>
      <c r="U1022" s="4" t="s">
        <v>65</v>
      </c>
      <c r="V1022" s="7"/>
      <c r="W1022" s="37">
        <v>3.39</v>
      </c>
      <c r="X1022" s="49" t="s">
        <v>10059</v>
      </c>
      <c r="Y1022" s="49" t="s">
        <v>544</v>
      </c>
      <c r="Z1022" s="4" t="s">
        <v>13339</v>
      </c>
      <c r="AA1022" s="65">
        <v>0.7</v>
      </c>
      <c r="AB1022" s="39">
        <v>51652</v>
      </c>
      <c r="AC1022" s="76" t="s">
        <v>13297</v>
      </c>
      <c r="AD1022" s="53" t="str">
        <f t="shared" si="771"/>
        <v>Link</v>
      </c>
      <c r="AE1022" s="42">
        <v>1263</v>
      </c>
      <c r="AF1022" s="55"/>
      <c r="AG1022" s="37">
        <v>147</v>
      </c>
      <c r="AH1022" s="56">
        <v>213668</v>
      </c>
      <c r="AI1022" s="57"/>
      <c r="AJ1022" s="57"/>
    </row>
    <row r="1023" spans="1:36" ht="13" x14ac:dyDescent="0.15">
      <c r="A1023" s="57"/>
      <c r="B1023" s="78" t="s">
        <v>7298</v>
      </c>
      <c r="C1023" s="7" t="s">
        <v>43</v>
      </c>
      <c r="D1023" s="44">
        <v>5</v>
      </c>
      <c r="E1023" s="7" t="s">
        <v>13355</v>
      </c>
      <c r="F1023" s="7"/>
      <c r="G1023" s="7"/>
      <c r="H1023" s="6" t="s">
        <v>13357</v>
      </c>
      <c r="I1023" s="7" t="s">
        <v>658</v>
      </c>
      <c r="J1023" s="7" t="s">
        <v>13359</v>
      </c>
      <c r="K1023" s="7" t="s">
        <v>48</v>
      </c>
      <c r="L1023" s="7" t="s">
        <v>13360</v>
      </c>
      <c r="M1023" s="7" t="s">
        <v>13361</v>
      </c>
      <c r="N1023" s="45" t="str">
        <f t="shared" ref="N1023:N1026" si="772">HYPERLINK("twitter.com/MarywoodSB","@MarywoodSB")</f>
        <v>@MarywoodSB</v>
      </c>
      <c r="O1023" s="45" t="str">
        <f t="shared" ref="O1023:O1027" si="773">HYPERLINK("https://marywoodpacers.com/sb_output.aspx?form=3","Questionnaire")</f>
        <v>Questionnaire</v>
      </c>
      <c r="P1023" s="48" t="s">
        <v>13364</v>
      </c>
      <c r="Q1023" s="60" t="s">
        <v>1231</v>
      </c>
      <c r="R1023" s="48" t="s">
        <v>13366</v>
      </c>
      <c r="S1023" s="48" t="s">
        <v>13368</v>
      </c>
      <c r="T1023" s="73" t="s">
        <v>63</v>
      </c>
      <c r="U1023" s="49" t="s">
        <v>343</v>
      </c>
      <c r="V1023" s="7"/>
      <c r="W1023" s="44">
        <v>3.42</v>
      </c>
      <c r="X1023" s="49" t="s">
        <v>13370</v>
      </c>
      <c r="Y1023" s="49" t="s">
        <v>13371</v>
      </c>
      <c r="Z1023" s="49" t="s">
        <v>214</v>
      </c>
      <c r="AA1023" s="61">
        <v>0.68</v>
      </c>
      <c r="AB1023" s="71">
        <v>49400</v>
      </c>
      <c r="AC1023" s="62" t="s">
        <v>13364</v>
      </c>
      <c r="AD1023" s="53" t="str">
        <f t="shared" ref="AD1023:AD1027" si="774">HYPERLINK("http://www.marywood.edu/academics/majors_minors/","Link")</f>
        <v>Link</v>
      </c>
      <c r="AE1023" s="54">
        <v>1931</v>
      </c>
      <c r="AF1023" s="55"/>
      <c r="AG1023" s="7"/>
      <c r="AH1023" s="56">
        <v>213826</v>
      </c>
      <c r="AI1023" s="57"/>
      <c r="AJ1023" s="57"/>
    </row>
    <row r="1024" spans="1:36" ht="13" x14ac:dyDescent="0.15">
      <c r="A1024" s="57"/>
      <c r="B1024" s="78" t="s">
        <v>7298</v>
      </c>
      <c r="C1024" s="7" t="s">
        <v>43</v>
      </c>
      <c r="D1024" s="44">
        <v>5</v>
      </c>
      <c r="E1024" s="7" t="s">
        <v>13372</v>
      </c>
      <c r="F1024" s="7"/>
      <c r="G1024" s="7"/>
      <c r="H1024" s="6" t="s">
        <v>13357</v>
      </c>
      <c r="I1024" s="7" t="s">
        <v>2790</v>
      </c>
      <c r="J1024" s="7" t="s">
        <v>13374</v>
      </c>
      <c r="K1024" s="7" t="s">
        <v>55</v>
      </c>
      <c r="L1024" s="7" t="s">
        <v>13377</v>
      </c>
      <c r="M1024" s="7" t="s">
        <v>13361</v>
      </c>
      <c r="N1024" s="45" t="str">
        <f t="shared" si="772"/>
        <v>@MarywoodSB</v>
      </c>
      <c r="O1024" s="45" t="str">
        <f t="shared" si="773"/>
        <v>Questionnaire</v>
      </c>
      <c r="P1024" s="48" t="s">
        <v>13364</v>
      </c>
      <c r="Q1024" s="60" t="s">
        <v>1231</v>
      </c>
      <c r="R1024" s="48" t="s">
        <v>13366</v>
      </c>
      <c r="S1024" s="48" t="s">
        <v>13385</v>
      </c>
      <c r="T1024" s="73" t="s">
        <v>63</v>
      </c>
      <c r="U1024" s="49" t="s">
        <v>343</v>
      </c>
      <c r="V1024" s="7"/>
      <c r="W1024" s="44">
        <v>3.42</v>
      </c>
      <c r="X1024" s="49" t="s">
        <v>13387</v>
      </c>
      <c r="Y1024" s="49" t="s">
        <v>13388</v>
      </c>
      <c r="Z1024" s="49" t="s">
        <v>214</v>
      </c>
      <c r="AA1024" s="61">
        <v>0.68</v>
      </c>
      <c r="AB1024" s="71">
        <v>49400</v>
      </c>
      <c r="AC1024" s="62" t="s">
        <v>13364</v>
      </c>
      <c r="AD1024" s="53" t="str">
        <f t="shared" si="774"/>
        <v>Link</v>
      </c>
      <c r="AE1024" s="54">
        <v>1931</v>
      </c>
      <c r="AF1024" s="55"/>
      <c r="AG1024" s="7"/>
      <c r="AH1024" s="56">
        <v>213826</v>
      </c>
      <c r="AI1024" s="57"/>
      <c r="AJ1024" s="57"/>
    </row>
    <row r="1025" spans="1:36" ht="13" x14ac:dyDescent="0.15">
      <c r="A1025" s="57"/>
      <c r="B1025" s="78" t="s">
        <v>7298</v>
      </c>
      <c r="C1025" s="7" t="s">
        <v>43</v>
      </c>
      <c r="D1025" s="44">
        <v>5</v>
      </c>
      <c r="E1025" s="7" t="s">
        <v>13389</v>
      </c>
      <c r="F1025" s="7"/>
      <c r="G1025" s="7"/>
      <c r="H1025" s="6" t="s">
        <v>13357</v>
      </c>
      <c r="I1025" s="7" t="s">
        <v>2795</v>
      </c>
      <c r="J1025" s="7" t="s">
        <v>13390</v>
      </c>
      <c r="K1025" s="7" t="s">
        <v>139</v>
      </c>
      <c r="L1025" s="7"/>
      <c r="M1025" s="7" t="s">
        <v>13361</v>
      </c>
      <c r="N1025" s="45" t="str">
        <f t="shared" si="772"/>
        <v>@MarywoodSB</v>
      </c>
      <c r="O1025" s="45" t="str">
        <f t="shared" si="773"/>
        <v>Questionnaire</v>
      </c>
      <c r="P1025" s="48" t="s">
        <v>13364</v>
      </c>
      <c r="Q1025" s="60" t="s">
        <v>1231</v>
      </c>
      <c r="R1025" s="48" t="s">
        <v>13366</v>
      </c>
      <c r="S1025" s="48" t="s">
        <v>13391</v>
      </c>
      <c r="T1025" s="73" t="s">
        <v>63</v>
      </c>
      <c r="U1025" s="49" t="s">
        <v>343</v>
      </c>
      <c r="V1025" s="7"/>
      <c r="W1025" s="44">
        <v>3.42</v>
      </c>
      <c r="X1025" s="49" t="s">
        <v>5460</v>
      </c>
      <c r="Y1025" s="49" t="s">
        <v>7164</v>
      </c>
      <c r="Z1025" s="49" t="s">
        <v>214</v>
      </c>
      <c r="AA1025" s="61">
        <v>0.68</v>
      </c>
      <c r="AB1025" s="71">
        <v>49400</v>
      </c>
      <c r="AC1025" s="62" t="s">
        <v>13364</v>
      </c>
      <c r="AD1025" s="53" t="str">
        <f t="shared" si="774"/>
        <v>Link</v>
      </c>
      <c r="AE1025" s="54">
        <v>1931</v>
      </c>
      <c r="AF1025" s="55"/>
      <c r="AG1025" s="7"/>
      <c r="AH1025" s="56">
        <v>213826</v>
      </c>
      <c r="AI1025" s="57"/>
      <c r="AJ1025" s="57"/>
    </row>
    <row r="1026" spans="1:36" ht="13" x14ac:dyDescent="0.15">
      <c r="A1026" s="57"/>
      <c r="B1026" s="78" t="s">
        <v>7298</v>
      </c>
      <c r="C1026" s="7" t="s">
        <v>43</v>
      </c>
      <c r="D1026" s="44">
        <v>5</v>
      </c>
      <c r="E1026" s="7" t="s">
        <v>13395</v>
      </c>
      <c r="F1026" s="7"/>
      <c r="G1026" s="7"/>
      <c r="H1026" s="6" t="s">
        <v>13357</v>
      </c>
      <c r="I1026" s="7" t="s">
        <v>1589</v>
      </c>
      <c r="J1026" s="7" t="s">
        <v>5102</v>
      </c>
      <c r="K1026" s="7" t="s">
        <v>139</v>
      </c>
      <c r="L1026" s="7"/>
      <c r="M1026" s="7" t="s">
        <v>13361</v>
      </c>
      <c r="N1026" s="45" t="str">
        <f t="shared" si="772"/>
        <v>@MarywoodSB</v>
      </c>
      <c r="O1026" s="45" t="str">
        <f t="shared" si="773"/>
        <v>Questionnaire</v>
      </c>
      <c r="P1026" s="48" t="s">
        <v>13364</v>
      </c>
      <c r="Q1026" s="60" t="s">
        <v>1231</v>
      </c>
      <c r="R1026" s="48" t="s">
        <v>13366</v>
      </c>
      <c r="S1026" s="48" t="s">
        <v>13397</v>
      </c>
      <c r="T1026" s="73" t="s">
        <v>63</v>
      </c>
      <c r="U1026" s="49" t="s">
        <v>343</v>
      </c>
      <c r="V1026" s="7"/>
      <c r="W1026" s="44">
        <v>3.42</v>
      </c>
      <c r="X1026" s="49" t="s">
        <v>13398</v>
      </c>
      <c r="Y1026" s="49" t="s">
        <v>13399</v>
      </c>
      <c r="Z1026" s="49" t="s">
        <v>214</v>
      </c>
      <c r="AA1026" s="61">
        <v>0.68</v>
      </c>
      <c r="AB1026" s="71">
        <v>49400</v>
      </c>
      <c r="AC1026" s="62" t="s">
        <v>13364</v>
      </c>
      <c r="AD1026" s="53" t="str">
        <f t="shared" si="774"/>
        <v>Link</v>
      </c>
      <c r="AE1026" s="54">
        <v>1931</v>
      </c>
      <c r="AF1026" s="55"/>
      <c r="AG1026" s="7"/>
      <c r="AH1026" s="56">
        <v>213826</v>
      </c>
      <c r="AI1026" s="57"/>
      <c r="AJ1026" s="57"/>
    </row>
    <row r="1027" spans="1:36" ht="13" x14ac:dyDescent="0.15">
      <c r="A1027" s="57"/>
      <c r="B1027" s="78" t="s">
        <v>7298</v>
      </c>
      <c r="C1027" s="7" t="s">
        <v>43</v>
      </c>
      <c r="D1027" s="86">
        <v>5</v>
      </c>
      <c r="E1027" s="7" t="s">
        <v>13403</v>
      </c>
      <c r="F1027" s="7" t="s">
        <v>116</v>
      </c>
      <c r="G1027" s="7"/>
      <c r="H1027" s="6" t="s">
        <v>13357</v>
      </c>
      <c r="I1027" s="7" t="s">
        <v>539</v>
      </c>
      <c r="J1027" s="7" t="s">
        <v>13404</v>
      </c>
      <c r="K1027" s="7" t="s">
        <v>55</v>
      </c>
      <c r="L1027" s="7"/>
      <c r="M1027" s="7" t="s">
        <v>13405</v>
      </c>
      <c r="N1027" s="7"/>
      <c r="O1027" s="45" t="str">
        <f t="shared" si="773"/>
        <v>Questionnaire</v>
      </c>
      <c r="P1027" s="48" t="s">
        <v>13364</v>
      </c>
      <c r="Q1027" s="60" t="s">
        <v>1231</v>
      </c>
      <c r="R1027" s="48" t="s">
        <v>13366</v>
      </c>
      <c r="S1027" s="48" t="s">
        <v>13397</v>
      </c>
      <c r="T1027" s="73" t="s">
        <v>63</v>
      </c>
      <c r="U1027" s="49" t="s">
        <v>343</v>
      </c>
      <c r="V1027" s="7"/>
      <c r="W1027" s="44">
        <v>3.42</v>
      </c>
      <c r="X1027" s="49" t="s">
        <v>13398</v>
      </c>
      <c r="Y1027" s="49" t="s">
        <v>13399</v>
      </c>
      <c r="Z1027" s="49" t="s">
        <v>214</v>
      </c>
      <c r="AA1027" s="61">
        <v>0.68</v>
      </c>
      <c r="AB1027" s="71">
        <v>49400</v>
      </c>
      <c r="AC1027" s="62" t="s">
        <v>13364</v>
      </c>
      <c r="AD1027" s="53" t="str">
        <f t="shared" si="774"/>
        <v>Link</v>
      </c>
      <c r="AE1027" s="54">
        <v>1931</v>
      </c>
      <c r="AF1027" s="55"/>
      <c r="AG1027" s="7"/>
      <c r="AH1027" s="56">
        <v>213826</v>
      </c>
      <c r="AI1027" s="57"/>
      <c r="AJ1027" s="57"/>
    </row>
    <row r="1028" spans="1:36" ht="13" x14ac:dyDescent="0.15">
      <c r="A1028" s="57"/>
      <c r="B1028" s="78" t="s">
        <v>7298</v>
      </c>
      <c r="C1028" s="7" t="s">
        <v>43</v>
      </c>
      <c r="D1028" s="44">
        <v>5</v>
      </c>
      <c r="E1028" s="7" t="s">
        <v>13414</v>
      </c>
      <c r="F1028" s="7"/>
      <c r="G1028" s="7"/>
      <c r="H1028" s="6" t="s">
        <v>13416</v>
      </c>
      <c r="I1028" s="7" t="s">
        <v>206</v>
      </c>
      <c r="J1028" s="7" t="s">
        <v>207</v>
      </c>
      <c r="K1028" s="7" t="s">
        <v>48</v>
      </c>
      <c r="L1028" s="7" t="s">
        <v>13418</v>
      </c>
      <c r="M1028" s="7" t="s">
        <v>13420</v>
      </c>
      <c r="N1028" s="45" t="str">
        <f t="shared" ref="N1028:N1030" si="775">HYPERLINK("twitter.com/messiahsoftball","@messiahsoftball")</f>
        <v>@messiahsoftball</v>
      </c>
      <c r="O1028" s="45" t="str">
        <f t="shared" ref="O1028:O1030" si="776">HYPERLINK("https://gomessiah.com/sb_output.aspx?form=3","Questionnaire")</f>
        <v>Questionnaire</v>
      </c>
      <c r="P1028" s="48" t="s">
        <v>13423</v>
      </c>
      <c r="Q1028" s="60" t="s">
        <v>1231</v>
      </c>
      <c r="R1028" s="48" t="s">
        <v>13424</v>
      </c>
      <c r="S1028" s="60" t="s">
        <v>205</v>
      </c>
      <c r="T1028" s="49" t="s">
        <v>63</v>
      </c>
      <c r="U1028" s="49" t="s">
        <v>3252</v>
      </c>
      <c r="V1028" s="7"/>
      <c r="W1028" s="44">
        <v>3.77</v>
      </c>
      <c r="X1028" s="49" t="s">
        <v>13427</v>
      </c>
      <c r="Y1028" s="49" t="s">
        <v>13429</v>
      </c>
      <c r="Z1028" s="49" t="s">
        <v>13431</v>
      </c>
      <c r="AA1028" s="61">
        <v>0.8</v>
      </c>
      <c r="AB1028" s="71">
        <v>46590</v>
      </c>
      <c r="AC1028" s="62" t="s">
        <v>13423</v>
      </c>
      <c r="AD1028" s="53" t="str">
        <f t="shared" ref="AD1028:AD1032" si="777">HYPERLINK("https://www.messiah.edu/majors-minors-programs","Link")</f>
        <v>Link</v>
      </c>
      <c r="AE1028" s="54">
        <v>2788</v>
      </c>
      <c r="AF1028" s="55"/>
      <c r="AG1028" s="7"/>
      <c r="AH1028" s="56">
        <v>213996</v>
      </c>
      <c r="AI1028" s="57"/>
      <c r="AJ1028" s="57"/>
    </row>
    <row r="1029" spans="1:36" ht="13" x14ac:dyDescent="0.15">
      <c r="A1029" s="57"/>
      <c r="B1029" s="78" t="s">
        <v>7298</v>
      </c>
      <c r="C1029" s="7" t="s">
        <v>43</v>
      </c>
      <c r="D1029" s="44">
        <v>5</v>
      </c>
      <c r="E1029" s="7" t="s">
        <v>13437</v>
      </c>
      <c r="F1029" s="7"/>
      <c r="G1029" s="7"/>
      <c r="H1029" s="6" t="s">
        <v>13416</v>
      </c>
      <c r="I1029" s="7" t="s">
        <v>1875</v>
      </c>
      <c r="J1029" s="7" t="s">
        <v>812</v>
      </c>
      <c r="K1029" s="7" t="s">
        <v>55</v>
      </c>
      <c r="L1029" s="7" t="s">
        <v>13439</v>
      </c>
      <c r="M1029" s="7"/>
      <c r="N1029" s="45" t="str">
        <f t="shared" si="775"/>
        <v>@messiahsoftball</v>
      </c>
      <c r="O1029" s="45" t="str">
        <f t="shared" si="776"/>
        <v>Questionnaire</v>
      </c>
      <c r="P1029" s="48" t="s">
        <v>13423</v>
      </c>
      <c r="Q1029" s="60" t="s">
        <v>1231</v>
      </c>
      <c r="R1029" s="48" t="s">
        <v>13424</v>
      </c>
      <c r="S1029" s="60" t="s">
        <v>205</v>
      </c>
      <c r="T1029" s="49" t="s">
        <v>63</v>
      </c>
      <c r="U1029" s="49" t="s">
        <v>3252</v>
      </c>
      <c r="V1029" s="7"/>
      <c r="W1029" s="44">
        <v>3.77</v>
      </c>
      <c r="X1029" s="49" t="s">
        <v>13443</v>
      </c>
      <c r="Y1029" s="49" t="s">
        <v>13444</v>
      </c>
      <c r="Z1029" s="49" t="s">
        <v>12568</v>
      </c>
      <c r="AA1029" s="61">
        <v>0.8</v>
      </c>
      <c r="AB1029" s="71">
        <v>46590</v>
      </c>
      <c r="AC1029" s="62" t="s">
        <v>13423</v>
      </c>
      <c r="AD1029" s="53" t="str">
        <f t="shared" si="777"/>
        <v>Link</v>
      </c>
      <c r="AE1029" s="54">
        <v>2788</v>
      </c>
      <c r="AF1029" s="55"/>
      <c r="AG1029" s="7"/>
      <c r="AH1029" s="56">
        <v>213996</v>
      </c>
      <c r="AI1029" s="57"/>
      <c r="AJ1029" s="57"/>
    </row>
    <row r="1030" spans="1:36" ht="13" x14ac:dyDescent="0.15">
      <c r="A1030" s="57"/>
      <c r="B1030" s="78" t="s">
        <v>7298</v>
      </c>
      <c r="C1030" s="7" t="s">
        <v>43</v>
      </c>
      <c r="D1030" s="44">
        <v>5</v>
      </c>
      <c r="E1030" s="7" t="s">
        <v>13447</v>
      </c>
      <c r="F1030" s="7"/>
      <c r="G1030" s="7"/>
      <c r="H1030" s="6" t="s">
        <v>13416</v>
      </c>
      <c r="I1030" s="7" t="s">
        <v>847</v>
      </c>
      <c r="J1030" s="7" t="s">
        <v>2201</v>
      </c>
      <c r="K1030" s="7" t="s">
        <v>55</v>
      </c>
      <c r="L1030" s="7" t="s">
        <v>13451</v>
      </c>
      <c r="M1030" s="7" t="s">
        <v>13420</v>
      </c>
      <c r="N1030" s="45" t="str">
        <f t="shared" si="775"/>
        <v>@messiahsoftball</v>
      </c>
      <c r="O1030" s="45" t="str">
        <f t="shared" si="776"/>
        <v>Questionnaire</v>
      </c>
      <c r="P1030" s="48" t="s">
        <v>13423</v>
      </c>
      <c r="Q1030" s="60" t="s">
        <v>1231</v>
      </c>
      <c r="R1030" s="48" t="s">
        <v>13424</v>
      </c>
      <c r="S1030" s="60" t="s">
        <v>205</v>
      </c>
      <c r="T1030" s="49" t="s">
        <v>63</v>
      </c>
      <c r="U1030" s="49" t="s">
        <v>3252</v>
      </c>
      <c r="V1030" s="7"/>
      <c r="W1030" s="44">
        <v>3.77</v>
      </c>
      <c r="X1030" s="49" t="s">
        <v>13457</v>
      </c>
      <c r="Y1030" s="49" t="s">
        <v>13458</v>
      </c>
      <c r="Z1030" s="49" t="s">
        <v>12575</v>
      </c>
      <c r="AA1030" s="61">
        <v>0.8</v>
      </c>
      <c r="AB1030" s="71">
        <v>46590</v>
      </c>
      <c r="AC1030" s="62" t="s">
        <v>13423</v>
      </c>
      <c r="AD1030" s="53" t="str">
        <f t="shared" si="777"/>
        <v>Link</v>
      </c>
      <c r="AE1030" s="54">
        <v>2788</v>
      </c>
      <c r="AF1030" s="55"/>
      <c r="AG1030" s="7"/>
      <c r="AH1030" s="56">
        <v>213996</v>
      </c>
      <c r="AI1030" s="57"/>
      <c r="AJ1030" s="57"/>
    </row>
    <row r="1031" spans="1:36" ht="13" x14ac:dyDescent="0.15">
      <c r="A1031" s="57"/>
      <c r="B1031" s="78" t="s">
        <v>7298</v>
      </c>
      <c r="C1031" s="7" t="s">
        <v>43</v>
      </c>
      <c r="D1031" s="44">
        <v>5</v>
      </c>
      <c r="E1031" s="7" t="s">
        <v>13461</v>
      </c>
      <c r="F1031" s="7"/>
      <c r="G1031" s="7"/>
      <c r="H1031" s="6" t="s">
        <v>13416</v>
      </c>
      <c r="I1031" s="7" t="s">
        <v>1092</v>
      </c>
      <c r="J1031" s="7" t="s">
        <v>13463</v>
      </c>
      <c r="K1031" s="7" t="s">
        <v>55</v>
      </c>
      <c r="L1031" s="7"/>
      <c r="M1031" s="7" t="s">
        <v>13464</v>
      </c>
      <c r="N1031" s="7"/>
      <c r="O1031" s="7"/>
      <c r="P1031" s="48" t="s">
        <v>13423</v>
      </c>
      <c r="Q1031" s="60" t="s">
        <v>1231</v>
      </c>
      <c r="R1031" s="48" t="s">
        <v>13424</v>
      </c>
      <c r="S1031" s="60" t="s">
        <v>205</v>
      </c>
      <c r="T1031" s="49" t="s">
        <v>63</v>
      </c>
      <c r="U1031" s="49" t="s">
        <v>3252</v>
      </c>
      <c r="V1031" s="7"/>
      <c r="W1031" s="44">
        <v>3.77</v>
      </c>
      <c r="X1031" s="49" t="s">
        <v>13467</v>
      </c>
      <c r="Y1031" s="49" t="s">
        <v>11758</v>
      </c>
      <c r="Z1031" s="49" t="s">
        <v>13468</v>
      </c>
      <c r="AA1031" s="61">
        <v>0.8</v>
      </c>
      <c r="AB1031" s="71">
        <v>46590</v>
      </c>
      <c r="AC1031" s="62" t="s">
        <v>13423</v>
      </c>
      <c r="AD1031" s="53" t="str">
        <f t="shared" si="777"/>
        <v>Link</v>
      </c>
      <c r="AE1031" s="54">
        <v>2788</v>
      </c>
      <c r="AF1031" s="55"/>
      <c r="AG1031" s="7"/>
      <c r="AH1031" s="56">
        <v>213996</v>
      </c>
      <c r="AI1031" s="57"/>
      <c r="AJ1031" s="57"/>
    </row>
    <row r="1032" spans="1:36" ht="13" x14ac:dyDescent="0.15">
      <c r="A1032" s="57"/>
      <c r="B1032" s="78" t="s">
        <v>7298</v>
      </c>
      <c r="C1032" s="7" t="s">
        <v>43</v>
      </c>
      <c r="D1032" s="86">
        <v>5</v>
      </c>
      <c r="E1032" s="7" t="s">
        <v>13470</v>
      </c>
      <c r="F1032" s="7" t="s">
        <v>116</v>
      </c>
      <c r="G1032" s="7"/>
      <c r="H1032" s="6" t="s">
        <v>13416</v>
      </c>
      <c r="I1032" s="7" t="s">
        <v>1046</v>
      </c>
      <c r="J1032" s="7" t="s">
        <v>13474</v>
      </c>
      <c r="K1032" s="7" t="s">
        <v>55</v>
      </c>
      <c r="L1032" s="7"/>
      <c r="M1032" s="7"/>
      <c r="N1032" s="45" t="str">
        <f>HYPERLINK("twitter.com/messiahsoftball","@messiahsoftball")</f>
        <v>@messiahsoftball</v>
      </c>
      <c r="O1032" s="45" t="str">
        <f>HYPERLINK("https://gomessiah.com/sb_output.aspx?form=3","Questionnaire")</f>
        <v>Questionnaire</v>
      </c>
      <c r="P1032" s="48" t="s">
        <v>13423</v>
      </c>
      <c r="Q1032" s="60" t="s">
        <v>1231</v>
      </c>
      <c r="R1032" s="48" t="s">
        <v>13424</v>
      </c>
      <c r="S1032" s="60" t="s">
        <v>205</v>
      </c>
      <c r="T1032" s="49" t="s">
        <v>63</v>
      </c>
      <c r="U1032" s="49" t="s">
        <v>3252</v>
      </c>
      <c r="V1032" s="7"/>
      <c r="W1032" s="44">
        <v>3.77</v>
      </c>
      <c r="X1032" s="49" t="s">
        <v>13427</v>
      </c>
      <c r="Y1032" s="49" t="s">
        <v>13429</v>
      </c>
      <c r="Z1032" s="49" t="s">
        <v>13431</v>
      </c>
      <c r="AA1032" s="61">
        <v>0.8</v>
      </c>
      <c r="AB1032" s="71">
        <v>46590</v>
      </c>
      <c r="AC1032" s="62" t="s">
        <v>13423</v>
      </c>
      <c r="AD1032" s="53" t="str">
        <f t="shared" si="777"/>
        <v>Link</v>
      </c>
      <c r="AE1032" s="54">
        <v>2788</v>
      </c>
      <c r="AF1032" s="55"/>
      <c r="AG1032" s="7"/>
      <c r="AH1032" s="56">
        <v>213996</v>
      </c>
      <c r="AI1032" s="57"/>
      <c r="AJ1032" s="57"/>
    </row>
    <row r="1033" spans="1:36" ht="13" x14ac:dyDescent="0.15">
      <c r="A1033" s="57"/>
      <c r="B1033" s="78" t="s">
        <v>7298</v>
      </c>
      <c r="C1033" s="7" t="s">
        <v>43</v>
      </c>
      <c r="D1033" s="44">
        <v>5</v>
      </c>
      <c r="E1033" s="7" t="s">
        <v>13482</v>
      </c>
      <c r="F1033" s="7"/>
      <c r="G1033" s="7"/>
      <c r="H1033" s="6" t="s">
        <v>13483</v>
      </c>
      <c r="I1033" s="7" t="s">
        <v>294</v>
      </c>
      <c r="J1033" s="7" t="s">
        <v>7387</v>
      </c>
      <c r="K1033" s="7" t="s">
        <v>48</v>
      </c>
      <c r="L1033" s="7" t="s">
        <v>13484</v>
      </c>
      <c r="M1033" s="7" t="s">
        <v>13486</v>
      </c>
      <c r="N1033" s="45" t="str">
        <f t="shared" ref="N1033:N1034" si="778">HYPERLINK("twitter.com/misericordiasb","@misericordiasb")</f>
        <v>@misericordiasb</v>
      </c>
      <c r="O1033" s="45" t="str">
        <f t="shared" ref="O1033:O1034" si="779">HYPERLINK("https://athletics.misericordia.edu/sb_output.aspx?form=1","Questionnaire")</f>
        <v>Questionnaire</v>
      </c>
      <c r="P1033" s="48" t="s">
        <v>13490</v>
      </c>
      <c r="Q1033" s="47" t="s">
        <v>1231</v>
      </c>
      <c r="R1033" s="48" t="s">
        <v>13491</v>
      </c>
      <c r="S1033" s="60" t="s">
        <v>205</v>
      </c>
      <c r="T1033" s="49" t="s">
        <v>63</v>
      </c>
      <c r="U1033" s="49" t="s">
        <v>343</v>
      </c>
      <c r="V1033" s="7"/>
      <c r="W1033" s="44">
        <v>3.33</v>
      </c>
      <c r="X1033" s="49" t="s">
        <v>12840</v>
      </c>
      <c r="Y1033" s="49" t="s">
        <v>12573</v>
      </c>
      <c r="Z1033" s="49" t="s">
        <v>13496</v>
      </c>
      <c r="AA1033" s="61">
        <v>0.74</v>
      </c>
      <c r="AB1033" s="71">
        <v>46140</v>
      </c>
      <c r="AC1033" s="62" t="s">
        <v>13490</v>
      </c>
      <c r="AD1033" s="53" t="str">
        <f t="shared" ref="AD1033:AD1034" si="780">HYPERLINK("https://www.misericordia.edu/page.cfm?p=530","Link")</f>
        <v>Link</v>
      </c>
      <c r="AE1033" s="54">
        <v>2195</v>
      </c>
      <c r="AF1033" s="55"/>
      <c r="AG1033" s="7"/>
      <c r="AH1033" s="56">
        <v>214069</v>
      </c>
      <c r="AI1033" s="57"/>
      <c r="AJ1033" s="57"/>
    </row>
    <row r="1034" spans="1:36" ht="13" x14ac:dyDescent="0.15">
      <c r="A1034" s="57"/>
      <c r="B1034" s="78" t="s">
        <v>7298</v>
      </c>
      <c r="C1034" s="7" t="s">
        <v>43</v>
      </c>
      <c r="D1034" s="44">
        <v>5</v>
      </c>
      <c r="E1034" s="7" t="s">
        <v>13498</v>
      </c>
      <c r="F1034" s="7"/>
      <c r="G1034" s="7"/>
      <c r="H1034" s="6" t="s">
        <v>13483</v>
      </c>
      <c r="I1034" s="7" t="s">
        <v>13499</v>
      </c>
      <c r="J1034" s="7" t="s">
        <v>13500</v>
      </c>
      <c r="K1034" s="7" t="s">
        <v>120</v>
      </c>
      <c r="L1034" s="7" t="s">
        <v>13501</v>
      </c>
      <c r="M1034" s="7" t="s">
        <v>13502</v>
      </c>
      <c r="N1034" s="45" t="str">
        <f t="shared" si="778"/>
        <v>@misericordiasb</v>
      </c>
      <c r="O1034" s="45" t="str">
        <f t="shared" si="779"/>
        <v>Questionnaire</v>
      </c>
      <c r="P1034" s="48" t="s">
        <v>13490</v>
      </c>
      <c r="Q1034" s="47" t="s">
        <v>1231</v>
      </c>
      <c r="R1034" s="48" t="s">
        <v>13491</v>
      </c>
      <c r="S1034" s="60" t="s">
        <v>205</v>
      </c>
      <c r="T1034" s="49" t="s">
        <v>63</v>
      </c>
      <c r="U1034" s="49" t="s">
        <v>343</v>
      </c>
      <c r="V1034" s="7"/>
      <c r="W1034" s="44">
        <v>3.33</v>
      </c>
      <c r="X1034" s="49" t="s">
        <v>12851</v>
      </c>
      <c r="Y1034" s="49" t="s">
        <v>12580</v>
      </c>
      <c r="Z1034" s="49" t="s">
        <v>13505</v>
      </c>
      <c r="AA1034" s="61">
        <v>0.74</v>
      </c>
      <c r="AB1034" s="71">
        <v>46140</v>
      </c>
      <c r="AC1034" s="62" t="s">
        <v>13490</v>
      </c>
      <c r="AD1034" s="53" t="str">
        <f t="shared" si="780"/>
        <v>Link</v>
      </c>
      <c r="AE1034" s="54">
        <v>2195</v>
      </c>
      <c r="AF1034" s="55"/>
      <c r="AG1034" s="7"/>
      <c r="AH1034" s="56">
        <v>214069</v>
      </c>
      <c r="AI1034" s="57"/>
      <c r="AJ1034" s="57"/>
    </row>
    <row r="1035" spans="1:36" ht="13" x14ac:dyDescent="0.15">
      <c r="A1035" s="57"/>
      <c r="B1035" s="78" t="s">
        <v>7298</v>
      </c>
      <c r="C1035" s="7" t="s">
        <v>43</v>
      </c>
      <c r="D1035" s="44">
        <v>5</v>
      </c>
      <c r="E1035" s="7" t="s">
        <v>13507</v>
      </c>
      <c r="F1035" s="7"/>
      <c r="G1035" s="7"/>
      <c r="H1035" s="6" t="s">
        <v>13508</v>
      </c>
      <c r="I1035" s="7" t="s">
        <v>658</v>
      </c>
      <c r="J1035" s="7" t="s">
        <v>1535</v>
      </c>
      <c r="K1035" s="7" t="s">
        <v>48</v>
      </c>
      <c r="L1035" s="7" t="s">
        <v>13510</v>
      </c>
      <c r="M1035" s="7" t="s">
        <v>13511</v>
      </c>
      <c r="N1035" s="45" t="str">
        <f t="shared" ref="N1035:N1036" si="781">HYPERLINK("twitter.com/moraviansb","@moraviansb")</f>
        <v>@moraviansb</v>
      </c>
      <c r="O1035" s="45" t="str">
        <f t="shared" ref="O1035:O1036" si="782">HYPERLINK("https://www.moraviansports.com/recruiting/index","Questionnaire")</f>
        <v>Questionnaire</v>
      </c>
      <c r="P1035" s="48" t="s">
        <v>13516</v>
      </c>
      <c r="Q1035" s="47" t="s">
        <v>1231</v>
      </c>
      <c r="R1035" s="48" t="s">
        <v>11442</v>
      </c>
      <c r="S1035" s="48" t="s">
        <v>238</v>
      </c>
      <c r="T1035" s="49" t="s">
        <v>74</v>
      </c>
      <c r="U1035" s="49" t="s">
        <v>11000</v>
      </c>
      <c r="V1035" s="7"/>
      <c r="W1035" s="44">
        <v>3.62</v>
      </c>
      <c r="X1035" s="49" t="s">
        <v>356</v>
      </c>
      <c r="Y1035" s="49" t="s">
        <v>356</v>
      </c>
      <c r="Z1035" s="49" t="s">
        <v>1715</v>
      </c>
      <c r="AA1035" s="61">
        <v>0.8</v>
      </c>
      <c r="AB1035" s="71">
        <v>55526</v>
      </c>
      <c r="AC1035" s="62" t="s">
        <v>13516</v>
      </c>
      <c r="AD1035" s="53" t="str">
        <f t="shared" ref="AD1035:AD1041" si="783">HYPERLINK("https://www.moravian.edu/academics","Link")</f>
        <v>Link</v>
      </c>
      <c r="AE1035" s="54">
        <v>1984</v>
      </c>
      <c r="AF1035" s="55"/>
      <c r="AG1035" s="44">
        <v>165</v>
      </c>
      <c r="AH1035" s="56">
        <v>214157</v>
      </c>
      <c r="AI1035" s="57"/>
      <c r="AJ1035" s="57"/>
    </row>
    <row r="1036" spans="1:36" ht="13" x14ac:dyDescent="0.15">
      <c r="A1036" s="57"/>
      <c r="B1036" s="78" t="s">
        <v>7298</v>
      </c>
      <c r="C1036" s="7" t="s">
        <v>43</v>
      </c>
      <c r="D1036" s="44">
        <v>5</v>
      </c>
      <c r="E1036" s="7" t="s">
        <v>13525</v>
      </c>
      <c r="F1036" s="7"/>
      <c r="G1036" s="7"/>
      <c r="H1036" s="6" t="s">
        <v>13508</v>
      </c>
      <c r="I1036" s="7" t="s">
        <v>1100</v>
      </c>
      <c r="J1036" s="7" t="s">
        <v>13526</v>
      </c>
      <c r="K1036" s="7" t="s">
        <v>55</v>
      </c>
      <c r="L1036" s="7" t="s">
        <v>13527</v>
      </c>
      <c r="M1036" s="7" t="s">
        <v>13529</v>
      </c>
      <c r="N1036" s="45" t="str">
        <f t="shared" si="781"/>
        <v>@moraviansb</v>
      </c>
      <c r="O1036" s="45" t="str">
        <f t="shared" si="782"/>
        <v>Questionnaire</v>
      </c>
      <c r="P1036" s="48" t="s">
        <v>13516</v>
      </c>
      <c r="Q1036" s="47" t="s">
        <v>1231</v>
      </c>
      <c r="R1036" s="48" t="s">
        <v>11442</v>
      </c>
      <c r="S1036" s="48" t="s">
        <v>238</v>
      </c>
      <c r="T1036" s="49" t="s">
        <v>74</v>
      </c>
      <c r="U1036" s="49" t="s">
        <v>11000</v>
      </c>
      <c r="V1036" s="7"/>
      <c r="W1036" s="44">
        <v>3.62</v>
      </c>
      <c r="X1036" s="49" t="s">
        <v>356</v>
      </c>
      <c r="Y1036" s="49" t="s">
        <v>356</v>
      </c>
      <c r="Z1036" s="49" t="s">
        <v>1715</v>
      </c>
      <c r="AA1036" s="61">
        <v>0.8</v>
      </c>
      <c r="AB1036" s="71">
        <v>55526</v>
      </c>
      <c r="AC1036" s="62" t="s">
        <v>13516</v>
      </c>
      <c r="AD1036" s="53" t="str">
        <f t="shared" si="783"/>
        <v>Link</v>
      </c>
      <c r="AE1036" s="54">
        <v>1984</v>
      </c>
      <c r="AF1036" s="55"/>
      <c r="AG1036" s="44">
        <v>165</v>
      </c>
      <c r="AH1036" s="56">
        <v>214157</v>
      </c>
      <c r="AI1036" s="57"/>
      <c r="AJ1036" s="57"/>
    </row>
    <row r="1037" spans="1:36" ht="13" x14ac:dyDescent="0.15">
      <c r="A1037" s="57"/>
      <c r="B1037" s="78" t="s">
        <v>7298</v>
      </c>
      <c r="C1037" s="7" t="s">
        <v>43</v>
      </c>
      <c r="D1037" s="44">
        <v>5</v>
      </c>
      <c r="E1037" s="7" t="s">
        <v>13536</v>
      </c>
      <c r="F1037" s="7"/>
      <c r="G1037" s="7"/>
      <c r="H1037" s="6" t="s">
        <v>13508</v>
      </c>
      <c r="I1037" s="7" t="s">
        <v>206</v>
      </c>
      <c r="J1037" s="7" t="s">
        <v>9115</v>
      </c>
      <c r="K1037" s="7" t="s">
        <v>55</v>
      </c>
      <c r="L1037" s="7" t="s">
        <v>13537</v>
      </c>
      <c r="M1037" s="7" t="s">
        <v>13511</v>
      </c>
      <c r="N1037" s="7"/>
      <c r="O1037" s="7"/>
      <c r="P1037" s="48" t="s">
        <v>13516</v>
      </c>
      <c r="Q1037" s="47" t="s">
        <v>1231</v>
      </c>
      <c r="R1037" s="48" t="s">
        <v>11442</v>
      </c>
      <c r="S1037" s="48" t="s">
        <v>238</v>
      </c>
      <c r="T1037" s="49" t="s">
        <v>74</v>
      </c>
      <c r="U1037" s="49" t="s">
        <v>11000</v>
      </c>
      <c r="V1037" s="7"/>
      <c r="W1037" s="44">
        <v>3.62</v>
      </c>
      <c r="X1037" s="49" t="s">
        <v>356</v>
      </c>
      <c r="Y1037" s="49" t="s">
        <v>356</v>
      </c>
      <c r="Z1037" s="49" t="s">
        <v>1715</v>
      </c>
      <c r="AA1037" s="61">
        <v>0.8</v>
      </c>
      <c r="AB1037" s="71">
        <v>55526</v>
      </c>
      <c r="AC1037" s="62" t="s">
        <v>13516</v>
      </c>
      <c r="AD1037" s="53" t="str">
        <f t="shared" si="783"/>
        <v>Link</v>
      </c>
      <c r="AE1037" s="54">
        <v>1984</v>
      </c>
      <c r="AF1037" s="55"/>
      <c r="AG1037" s="44">
        <v>165</v>
      </c>
      <c r="AH1037" s="56">
        <v>214157</v>
      </c>
      <c r="AI1037" s="57"/>
      <c r="AJ1037" s="57"/>
    </row>
    <row r="1038" spans="1:36" ht="13" x14ac:dyDescent="0.15">
      <c r="A1038" s="57"/>
      <c r="B1038" s="78" t="s">
        <v>7298</v>
      </c>
      <c r="C1038" s="7" t="s">
        <v>43</v>
      </c>
      <c r="D1038" s="44">
        <v>5</v>
      </c>
      <c r="E1038" s="7" t="s">
        <v>13540</v>
      </c>
      <c r="F1038" s="7"/>
      <c r="G1038" s="7"/>
      <c r="H1038" s="6" t="s">
        <v>13508</v>
      </c>
      <c r="I1038" s="7" t="s">
        <v>2580</v>
      </c>
      <c r="J1038" s="7" t="s">
        <v>13541</v>
      </c>
      <c r="K1038" s="7" t="s">
        <v>55</v>
      </c>
      <c r="L1038" s="7" t="s">
        <v>13542</v>
      </c>
      <c r="M1038" s="7" t="s">
        <v>13543</v>
      </c>
      <c r="N1038" s="7"/>
      <c r="O1038" s="7"/>
      <c r="P1038" s="48" t="s">
        <v>13516</v>
      </c>
      <c r="Q1038" s="47" t="s">
        <v>1231</v>
      </c>
      <c r="R1038" s="48" t="s">
        <v>11442</v>
      </c>
      <c r="S1038" s="48" t="s">
        <v>238</v>
      </c>
      <c r="T1038" s="49" t="s">
        <v>74</v>
      </c>
      <c r="U1038" s="49" t="s">
        <v>11000</v>
      </c>
      <c r="V1038" s="7"/>
      <c r="W1038" s="44">
        <v>3.62</v>
      </c>
      <c r="X1038" s="49" t="s">
        <v>356</v>
      </c>
      <c r="Y1038" s="49" t="s">
        <v>356</v>
      </c>
      <c r="Z1038" s="49" t="s">
        <v>1715</v>
      </c>
      <c r="AA1038" s="61">
        <v>0.8</v>
      </c>
      <c r="AB1038" s="71">
        <v>55526</v>
      </c>
      <c r="AC1038" s="62" t="s">
        <v>13516</v>
      </c>
      <c r="AD1038" s="53" t="str">
        <f t="shared" si="783"/>
        <v>Link</v>
      </c>
      <c r="AE1038" s="54">
        <v>1984</v>
      </c>
      <c r="AF1038" s="55"/>
      <c r="AG1038" s="44">
        <v>165</v>
      </c>
      <c r="AH1038" s="56">
        <v>214157</v>
      </c>
      <c r="AI1038" s="57"/>
      <c r="AJ1038" s="57"/>
    </row>
    <row r="1039" spans="1:36" ht="13" x14ac:dyDescent="0.15">
      <c r="A1039" s="57"/>
      <c r="B1039" s="78" t="s">
        <v>7298</v>
      </c>
      <c r="C1039" s="7" t="s">
        <v>43</v>
      </c>
      <c r="D1039" s="44">
        <v>5</v>
      </c>
      <c r="E1039" s="7" t="s">
        <v>13551</v>
      </c>
      <c r="F1039" s="7"/>
      <c r="G1039" s="7"/>
      <c r="H1039" s="6" t="s">
        <v>13508</v>
      </c>
      <c r="I1039" s="7" t="s">
        <v>1692</v>
      </c>
      <c r="J1039" s="7" t="s">
        <v>13552</v>
      </c>
      <c r="K1039" s="7" t="s">
        <v>55</v>
      </c>
      <c r="L1039" s="7" t="s">
        <v>13553</v>
      </c>
      <c r="M1039" s="7" t="s">
        <v>13511</v>
      </c>
      <c r="N1039" s="45" t="str">
        <f t="shared" ref="N1039:N1041" si="784">HYPERLINK("twitter.com/moraviansb","@moraviansb")</f>
        <v>@moraviansb</v>
      </c>
      <c r="O1039" s="45" t="str">
        <f t="shared" ref="O1039:O1041" si="785">HYPERLINK("https://www.moraviansports.com/recruiting/index","Questionnaire")</f>
        <v>Questionnaire</v>
      </c>
      <c r="P1039" s="48" t="s">
        <v>13516</v>
      </c>
      <c r="Q1039" s="47" t="s">
        <v>1231</v>
      </c>
      <c r="R1039" s="48" t="s">
        <v>11442</v>
      </c>
      <c r="S1039" s="48" t="s">
        <v>238</v>
      </c>
      <c r="T1039" s="49" t="s">
        <v>74</v>
      </c>
      <c r="U1039" s="49" t="s">
        <v>11000</v>
      </c>
      <c r="V1039" s="7"/>
      <c r="W1039" s="44">
        <v>3.62</v>
      </c>
      <c r="X1039" s="49" t="s">
        <v>356</v>
      </c>
      <c r="Y1039" s="49" t="s">
        <v>356</v>
      </c>
      <c r="Z1039" s="49" t="s">
        <v>1715</v>
      </c>
      <c r="AA1039" s="61">
        <v>0.8</v>
      </c>
      <c r="AB1039" s="71">
        <v>55526</v>
      </c>
      <c r="AC1039" s="62" t="s">
        <v>13516</v>
      </c>
      <c r="AD1039" s="53" t="str">
        <f t="shared" si="783"/>
        <v>Link</v>
      </c>
      <c r="AE1039" s="54">
        <v>1984</v>
      </c>
      <c r="AF1039" s="55"/>
      <c r="AG1039" s="44">
        <v>165</v>
      </c>
      <c r="AH1039" s="56">
        <v>214157</v>
      </c>
      <c r="AI1039" s="57"/>
      <c r="AJ1039" s="57"/>
    </row>
    <row r="1040" spans="1:36" ht="13" x14ac:dyDescent="0.15">
      <c r="A1040" s="57"/>
      <c r="B1040" s="78" t="s">
        <v>7298</v>
      </c>
      <c r="C1040" s="7" t="s">
        <v>43</v>
      </c>
      <c r="D1040" s="44">
        <v>5</v>
      </c>
      <c r="E1040" s="7" t="s">
        <v>13559</v>
      </c>
      <c r="F1040" s="7"/>
      <c r="G1040" s="7"/>
      <c r="H1040" s="6" t="s">
        <v>13508</v>
      </c>
      <c r="I1040" s="7" t="s">
        <v>501</v>
      </c>
      <c r="J1040" s="7" t="s">
        <v>13561</v>
      </c>
      <c r="K1040" s="7" t="s">
        <v>55</v>
      </c>
      <c r="L1040" s="7" t="s">
        <v>13563</v>
      </c>
      <c r="M1040" s="7" t="s">
        <v>13564</v>
      </c>
      <c r="N1040" s="45" t="str">
        <f t="shared" si="784"/>
        <v>@moraviansb</v>
      </c>
      <c r="O1040" s="45" t="str">
        <f t="shared" si="785"/>
        <v>Questionnaire</v>
      </c>
      <c r="P1040" s="48" t="s">
        <v>13516</v>
      </c>
      <c r="Q1040" s="47" t="s">
        <v>1231</v>
      </c>
      <c r="R1040" s="48" t="s">
        <v>11442</v>
      </c>
      <c r="S1040" s="48" t="s">
        <v>238</v>
      </c>
      <c r="T1040" s="49" t="s">
        <v>74</v>
      </c>
      <c r="U1040" s="49" t="s">
        <v>11000</v>
      </c>
      <c r="V1040" s="7"/>
      <c r="W1040" s="44">
        <v>3.62</v>
      </c>
      <c r="X1040" s="49" t="s">
        <v>356</v>
      </c>
      <c r="Y1040" s="49" t="s">
        <v>356</v>
      </c>
      <c r="Z1040" s="49" t="s">
        <v>1715</v>
      </c>
      <c r="AA1040" s="61">
        <v>0.8</v>
      </c>
      <c r="AB1040" s="71">
        <v>55526</v>
      </c>
      <c r="AC1040" s="62" t="s">
        <v>13516</v>
      </c>
      <c r="AD1040" s="53" t="str">
        <f t="shared" si="783"/>
        <v>Link</v>
      </c>
      <c r="AE1040" s="54">
        <v>1984</v>
      </c>
      <c r="AF1040" s="55"/>
      <c r="AG1040" s="44">
        <v>165</v>
      </c>
      <c r="AH1040" s="56">
        <v>214157</v>
      </c>
      <c r="AI1040" s="57"/>
      <c r="AJ1040" s="57"/>
    </row>
    <row r="1041" spans="1:36" ht="13" x14ac:dyDescent="0.15">
      <c r="A1041" s="57"/>
      <c r="B1041" s="78" t="s">
        <v>7298</v>
      </c>
      <c r="C1041" s="7" t="s">
        <v>43</v>
      </c>
      <c r="D1041" s="86">
        <v>5</v>
      </c>
      <c r="E1041" s="7" t="s">
        <v>13570</v>
      </c>
      <c r="F1041" s="7" t="s">
        <v>116</v>
      </c>
      <c r="G1041" s="7"/>
      <c r="H1041" s="6" t="s">
        <v>13508</v>
      </c>
      <c r="I1041" s="7" t="s">
        <v>2207</v>
      </c>
      <c r="J1041" s="7" t="s">
        <v>13571</v>
      </c>
      <c r="K1041" s="7" t="s">
        <v>139</v>
      </c>
      <c r="L1041" s="7" t="s">
        <v>13573</v>
      </c>
      <c r="M1041" s="7" t="s">
        <v>13575</v>
      </c>
      <c r="N1041" s="45" t="str">
        <f t="shared" si="784"/>
        <v>@moraviansb</v>
      </c>
      <c r="O1041" s="45" t="str">
        <f t="shared" si="785"/>
        <v>Questionnaire</v>
      </c>
      <c r="P1041" s="48" t="s">
        <v>13516</v>
      </c>
      <c r="Q1041" s="47" t="s">
        <v>1231</v>
      </c>
      <c r="R1041" s="48" t="s">
        <v>11442</v>
      </c>
      <c r="S1041" s="48" t="s">
        <v>238</v>
      </c>
      <c r="T1041" s="49" t="s">
        <v>74</v>
      </c>
      <c r="U1041" s="49" t="s">
        <v>11000</v>
      </c>
      <c r="V1041" s="7"/>
      <c r="W1041" s="44">
        <v>3.62</v>
      </c>
      <c r="X1041" s="49" t="s">
        <v>356</v>
      </c>
      <c r="Y1041" s="49" t="s">
        <v>356</v>
      </c>
      <c r="Z1041" s="49" t="s">
        <v>1715</v>
      </c>
      <c r="AA1041" s="61">
        <v>0.8</v>
      </c>
      <c r="AB1041" s="71">
        <v>55526</v>
      </c>
      <c r="AC1041" s="62" t="s">
        <v>13516</v>
      </c>
      <c r="AD1041" s="53" t="str">
        <f t="shared" si="783"/>
        <v>Link</v>
      </c>
      <c r="AE1041" s="54">
        <v>1984</v>
      </c>
      <c r="AF1041" s="55"/>
      <c r="AG1041" s="44">
        <v>165</v>
      </c>
      <c r="AH1041" s="56">
        <v>214157</v>
      </c>
      <c r="AI1041" s="57"/>
      <c r="AJ1041" s="57"/>
    </row>
    <row r="1042" spans="1:36" ht="15" x14ac:dyDescent="0.2">
      <c r="A1042" s="57"/>
      <c r="B1042" s="78" t="s">
        <v>7298</v>
      </c>
      <c r="C1042" s="7" t="s">
        <v>43</v>
      </c>
      <c r="D1042" s="44">
        <v>5</v>
      </c>
      <c r="E1042" s="7" t="s">
        <v>13589</v>
      </c>
      <c r="F1042" s="7"/>
      <c r="G1042" s="7"/>
      <c r="H1042" s="6" t="s">
        <v>13590</v>
      </c>
      <c r="I1042" s="7" t="s">
        <v>94</v>
      </c>
      <c r="J1042" s="7" t="s">
        <v>13591</v>
      </c>
      <c r="K1042" s="7" t="s">
        <v>48</v>
      </c>
      <c r="L1042" s="7" t="s">
        <v>13592</v>
      </c>
      <c r="M1042" s="7" t="s">
        <v>13593</v>
      </c>
      <c r="N1042" s="48"/>
      <c r="O1042" s="45" t="str">
        <f t="shared" ref="O1042:O1044" si="786">HYPERLINK("https://mountieathletics.com/sb_output.aspx?form=3","Questionnaire")</f>
        <v>Questionnaire</v>
      </c>
      <c r="P1042" s="48" t="s">
        <v>13595</v>
      </c>
      <c r="Q1042" s="47" t="s">
        <v>1231</v>
      </c>
      <c r="R1042" s="48" t="s">
        <v>13596</v>
      </c>
      <c r="S1042" s="60" t="s">
        <v>205</v>
      </c>
      <c r="T1042" s="49" t="s">
        <v>63</v>
      </c>
      <c r="U1042" s="49" t="s">
        <v>343</v>
      </c>
      <c r="V1042" s="7"/>
      <c r="W1042" s="44">
        <v>3.3</v>
      </c>
      <c r="X1042" s="49" t="s">
        <v>2878</v>
      </c>
      <c r="Y1042" s="49" t="s">
        <v>447</v>
      </c>
      <c r="Z1042" s="49" t="s">
        <v>2879</v>
      </c>
      <c r="AA1042" s="61">
        <v>0.59</v>
      </c>
      <c r="AB1042" s="71">
        <v>37290</v>
      </c>
      <c r="AC1042" s="52" t="s">
        <v>13595</v>
      </c>
      <c r="AD1042" s="53" t="str">
        <f t="shared" ref="AD1042:AD1044" si="787">HYPERLINK("https://www.mtaloy.edu/majors-programs/","Link")</f>
        <v>Link</v>
      </c>
      <c r="AE1042" s="54">
        <v>1720</v>
      </c>
      <c r="AF1042" s="55"/>
      <c r="AG1042" s="7"/>
      <c r="AH1042" s="56">
        <v>214166</v>
      </c>
      <c r="AI1042" s="57"/>
      <c r="AJ1042" s="57"/>
    </row>
    <row r="1043" spans="1:36" ht="15" x14ac:dyDescent="0.2">
      <c r="A1043" s="57"/>
      <c r="B1043" s="78" t="s">
        <v>7298</v>
      </c>
      <c r="C1043" s="7" t="s">
        <v>43</v>
      </c>
      <c r="D1043" s="44">
        <v>5</v>
      </c>
      <c r="E1043" s="7" t="s">
        <v>13599</v>
      </c>
      <c r="F1043" s="7"/>
      <c r="G1043" s="7"/>
      <c r="H1043" s="6" t="s">
        <v>13590</v>
      </c>
      <c r="I1043" s="7" t="s">
        <v>1327</v>
      </c>
      <c r="J1043" s="7" t="s">
        <v>13601</v>
      </c>
      <c r="K1043" s="7" t="s">
        <v>139</v>
      </c>
      <c r="L1043" s="7" t="s">
        <v>13602</v>
      </c>
      <c r="M1043" s="7" t="s">
        <v>13593</v>
      </c>
      <c r="N1043" s="48"/>
      <c r="O1043" s="45" t="str">
        <f t="shared" si="786"/>
        <v>Questionnaire</v>
      </c>
      <c r="P1043" s="48" t="s">
        <v>13595</v>
      </c>
      <c r="Q1043" s="47" t="s">
        <v>1231</v>
      </c>
      <c r="R1043" s="48" t="s">
        <v>13596</v>
      </c>
      <c r="S1043" s="60" t="s">
        <v>205</v>
      </c>
      <c r="T1043" s="49" t="s">
        <v>63</v>
      </c>
      <c r="U1043" s="49" t="s">
        <v>343</v>
      </c>
      <c r="V1043" s="7"/>
      <c r="W1043" s="44">
        <v>3.3</v>
      </c>
      <c r="X1043" s="49" t="s">
        <v>2878</v>
      </c>
      <c r="Y1043" s="49" t="s">
        <v>447</v>
      </c>
      <c r="Z1043" s="49" t="s">
        <v>2879</v>
      </c>
      <c r="AA1043" s="61">
        <v>0.59</v>
      </c>
      <c r="AB1043" s="71">
        <v>37290</v>
      </c>
      <c r="AC1043" s="52" t="s">
        <v>13595</v>
      </c>
      <c r="AD1043" s="53" t="str">
        <f t="shared" si="787"/>
        <v>Link</v>
      </c>
      <c r="AE1043" s="54">
        <v>1720</v>
      </c>
      <c r="AF1043" s="55"/>
      <c r="AG1043" s="7"/>
      <c r="AH1043" s="56">
        <v>214166</v>
      </c>
      <c r="AI1043" s="57"/>
      <c r="AJ1043" s="57"/>
    </row>
    <row r="1044" spans="1:36" ht="15" x14ac:dyDescent="0.2">
      <c r="A1044" s="57"/>
      <c r="B1044" s="78" t="s">
        <v>7298</v>
      </c>
      <c r="C1044" s="7" t="s">
        <v>43</v>
      </c>
      <c r="D1044" s="44">
        <v>5</v>
      </c>
      <c r="E1044" s="7" t="s">
        <v>13606</v>
      </c>
      <c r="F1044" s="7"/>
      <c r="G1044" s="7"/>
      <c r="H1044" s="6" t="s">
        <v>13590</v>
      </c>
      <c r="I1044" s="7" t="s">
        <v>3197</v>
      </c>
      <c r="J1044" s="7" t="s">
        <v>13601</v>
      </c>
      <c r="K1044" s="7" t="s">
        <v>139</v>
      </c>
      <c r="L1044" s="7"/>
      <c r="M1044" s="7" t="s">
        <v>13593</v>
      </c>
      <c r="N1044" s="48"/>
      <c r="O1044" s="45" t="str">
        <f t="shared" si="786"/>
        <v>Questionnaire</v>
      </c>
      <c r="P1044" s="48" t="s">
        <v>13595</v>
      </c>
      <c r="Q1044" s="47" t="s">
        <v>1231</v>
      </c>
      <c r="R1044" s="48" t="s">
        <v>13596</v>
      </c>
      <c r="S1044" s="60" t="s">
        <v>205</v>
      </c>
      <c r="T1044" s="49" t="s">
        <v>63</v>
      </c>
      <c r="U1044" s="49" t="s">
        <v>343</v>
      </c>
      <c r="V1044" s="7"/>
      <c r="W1044" s="44">
        <v>3.3</v>
      </c>
      <c r="X1044" s="49" t="s">
        <v>2878</v>
      </c>
      <c r="Y1044" s="49" t="s">
        <v>447</v>
      </c>
      <c r="Z1044" s="49" t="s">
        <v>2879</v>
      </c>
      <c r="AA1044" s="61">
        <v>0.59</v>
      </c>
      <c r="AB1044" s="71">
        <v>37290</v>
      </c>
      <c r="AC1044" s="52" t="s">
        <v>13595</v>
      </c>
      <c r="AD1044" s="53" t="str">
        <f t="shared" si="787"/>
        <v>Link</v>
      </c>
      <c r="AE1044" s="54">
        <v>1720</v>
      </c>
      <c r="AF1044" s="55"/>
      <c r="AG1044" s="7"/>
      <c r="AH1044" s="56">
        <v>214166</v>
      </c>
      <c r="AI1044" s="57"/>
      <c r="AJ1044" s="57"/>
    </row>
    <row r="1045" spans="1:36" ht="13" x14ac:dyDescent="0.15">
      <c r="A1045" s="57"/>
      <c r="B1045" s="78" t="s">
        <v>7298</v>
      </c>
      <c r="C1045" s="7" t="s">
        <v>43</v>
      </c>
      <c r="D1045" s="44">
        <v>5</v>
      </c>
      <c r="E1045" s="7" t="s">
        <v>13613</v>
      </c>
      <c r="F1045" s="7"/>
      <c r="G1045" s="7"/>
      <c r="H1045" s="6" t="s">
        <v>13614</v>
      </c>
      <c r="I1045" s="7" t="s">
        <v>539</v>
      </c>
      <c r="J1045" s="7" t="s">
        <v>13615</v>
      </c>
      <c r="K1045" s="7" t="s">
        <v>48</v>
      </c>
      <c r="L1045" s="7" t="s">
        <v>13617</v>
      </c>
      <c r="M1045" s="7" t="s">
        <v>13618</v>
      </c>
      <c r="N1045" s="45" t="str">
        <f t="shared" ref="N1045:N1046" si="788">HYPERLINK("twitter.com/muhl_sball","@muhl_sball")</f>
        <v>@muhl_sball</v>
      </c>
      <c r="O1045" s="45" t="str">
        <f t="shared" ref="O1045:O1046" si="789">HYPERLINK("https://muhlenbergsports.com/sports/2019/3/6/recruit-questionnaires.aspx","Questionnaire")</f>
        <v>Questionnaire</v>
      </c>
      <c r="P1045" s="48" t="s">
        <v>13621</v>
      </c>
      <c r="Q1045" s="60" t="s">
        <v>1231</v>
      </c>
      <c r="R1045" s="48" t="s">
        <v>12482</v>
      </c>
      <c r="S1045" s="48" t="s">
        <v>238</v>
      </c>
      <c r="T1045" s="73" t="s">
        <v>63</v>
      </c>
      <c r="U1045" s="49" t="s">
        <v>318</v>
      </c>
      <c r="V1045" s="7"/>
      <c r="W1045" s="44">
        <v>3.31</v>
      </c>
      <c r="X1045" s="49" t="s">
        <v>677</v>
      </c>
      <c r="Y1045" s="49" t="s">
        <v>1094</v>
      </c>
      <c r="Z1045" s="49" t="s">
        <v>2620</v>
      </c>
      <c r="AA1045" s="61">
        <v>0.48</v>
      </c>
      <c r="AB1045" s="71">
        <v>62360</v>
      </c>
      <c r="AC1045" s="62" t="s">
        <v>13621</v>
      </c>
      <c r="AD1045" s="53" t="str">
        <f t="shared" ref="AD1045:AD1046" si="790">HYPERLINK("https://www.muhlenberg.edu/main/academics/llc/majorsandminors/","Link")</f>
        <v>Link</v>
      </c>
      <c r="AE1045" s="54">
        <v>2408</v>
      </c>
      <c r="AF1045" s="55"/>
      <c r="AG1045" s="44">
        <v>71</v>
      </c>
      <c r="AH1045" s="56">
        <v>214175</v>
      </c>
      <c r="AI1045" s="57"/>
      <c r="AJ1045" s="57"/>
    </row>
    <row r="1046" spans="1:36" ht="13" x14ac:dyDescent="0.15">
      <c r="A1046" s="57"/>
      <c r="B1046" s="78" t="s">
        <v>7298</v>
      </c>
      <c r="C1046" s="7" t="s">
        <v>43</v>
      </c>
      <c r="D1046" s="44">
        <v>5</v>
      </c>
      <c r="E1046" s="7" t="s">
        <v>13622</v>
      </c>
      <c r="F1046" s="7"/>
      <c r="G1046" s="7"/>
      <c r="H1046" s="6" t="s">
        <v>13614</v>
      </c>
      <c r="I1046" s="7" t="s">
        <v>13623</v>
      </c>
      <c r="J1046" s="7" t="s">
        <v>13624</v>
      </c>
      <c r="K1046" s="7" t="s">
        <v>55</v>
      </c>
      <c r="L1046" s="7" t="s">
        <v>13625</v>
      </c>
      <c r="M1046" s="7"/>
      <c r="N1046" s="45" t="str">
        <f t="shared" si="788"/>
        <v>@muhl_sball</v>
      </c>
      <c r="O1046" s="45" t="str">
        <f t="shared" si="789"/>
        <v>Questionnaire</v>
      </c>
      <c r="P1046" s="48" t="s">
        <v>13621</v>
      </c>
      <c r="Q1046" s="60" t="s">
        <v>1231</v>
      </c>
      <c r="R1046" s="48" t="s">
        <v>12482</v>
      </c>
      <c r="S1046" s="48" t="s">
        <v>238</v>
      </c>
      <c r="T1046" s="73" t="s">
        <v>63</v>
      </c>
      <c r="U1046" s="49" t="s">
        <v>318</v>
      </c>
      <c r="V1046" s="7"/>
      <c r="W1046" s="44">
        <v>3.31</v>
      </c>
      <c r="X1046" s="49" t="s">
        <v>677</v>
      </c>
      <c r="Y1046" s="49" t="s">
        <v>1094</v>
      </c>
      <c r="Z1046" s="49" t="s">
        <v>2620</v>
      </c>
      <c r="AA1046" s="61">
        <v>0.48</v>
      </c>
      <c r="AB1046" s="71">
        <v>62360</v>
      </c>
      <c r="AC1046" s="62" t="s">
        <v>13621</v>
      </c>
      <c r="AD1046" s="53" t="str">
        <f t="shared" si="790"/>
        <v>Link</v>
      </c>
      <c r="AE1046" s="54">
        <v>2408</v>
      </c>
      <c r="AF1046" s="55"/>
      <c r="AG1046" s="44">
        <v>71</v>
      </c>
      <c r="AH1046" s="56">
        <v>214175</v>
      </c>
      <c r="AI1046" s="57"/>
      <c r="AJ1046" s="57"/>
    </row>
    <row r="1047" spans="1:36" ht="15" x14ac:dyDescent="0.2">
      <c r="A1047" s="57"/>
      <c r="B1047" s="78" t="s">
        <v>7298</v>
      </c>
      <c r="C1047" s="7" t="s">
        <v>43</v>
      </c>
      <c r="D1047" s="44">
        <v>5</v>
      </c>
      <c r="E1047" s="7" t="s">
        <v>13633</v>
      </c>
      <c r="F1047" s="7"/>
      <c r="G1047" s="7"/>
      <c r="H1047" s="6" t="s">
        <v>13634</v>
      </c>
      <c r="I1047" s="7" t="s">
        <v>2993</v>
      </c>
      <c r="J1047" s="7" t="s">
        <v>3206</v>
      </c>
      <c r="K1047" s="7" t="s">
        <v>48</v>
      </c>
      <c r="L1047" s="7" t="s">
        <v>13635</v>
      </c>
      <c r="M1047" s="7" t="s">
        <v>13636</v>
      </c>
      <c r="N1047" s="45" t="str">
        <f t="shared" ref="N1047:N1048" si="791">HYPERLINK("twitter.com/neumannsb","@neumannsb")</f>
        <v>@neumannsb</v>
      </c>
      <c r="O1047" s="45" t="str">
        <f t="shared" ref="O1047:O1048" si="792">HYPERLINK("https://www.neumannathletics.com/sb_output.aspx?form=3","Questionnaire")</f>
        <v>Questionnaire</v>
      </c>
      <c r="P1047" s="48" t="s">
        <v>13639</v>
      </c>
      <c r="Q1047" s="47" t="s">
        <v>1231</v>
      </c>
      <c r="R1047" s="48" t="s">
        <v>13640</v>
      </c>
      <c r="S1047" s="48" t="s">
        <v>13641</v>
      </c>
      <c r="T1047" s="49" t="s">
        <v>63</v>
      </c>
      <c r="U1047" s="49" t="s">
        <v>343</v>
      </c>
      <c r="V1047" s="7"/>
      <c r="W1047" s="44">
        <v>3.1</v>
      </c>
      <c r="X1047" s="49" t="s">
        <v>13643</v>
      </c>
      <c r="Y1047" s="49" t="s">
        <v>13643</v>
      </c>
      <c r="Z1047" s="49" t="s">
        <v>13644</v>
      </c>
      <c r="AA1047" s="61">
        <v>0.94</v>
      </c>
      <c r="AB1047" s="71">
        <v>44196</v>
      </c>
      <c r="AC1047" s="52" t="s">
        <v>13639</v>
      </c>
      <c r="AD1047" s="53" t="str">
        <f t="shared" ref="AD1047:AD1048" si="793">HYPERLINK("http://catalog.neumann.edu/content.php?catoid=3&amp;navoid=74","Link")</f>
        <v>Link</v>
      </c>
      <c r="AE1047" s="54">
        <v>2278</v>
      </c>
      <c r="AF1047" s="55"/>
      <c r="AG1047" s="7"/>
      <c r="AH1047" s="56">
        <v>214272</v>
      </c>
      <c r="AI1047" s="57"/>
      <c r="AJ1047" s="57"/>
    </row>
    <row r="1048" spans="1:36" ht="15" x14ac:dyDescent="0.2">
      <c r="A1048" s="57"/>
      <c r="B1048" s="78" t="s">
        <v>7298</v>
      </c>
      <c r="C1048" s="7" t="s">
        <v>43</v>
      </c>
      <c r="D1048" s="44">
        <v>5</v>
      </c>
      <c r="E1048" s="7" t="s">
        <v>13647</v>
      </c>
      <c r="F1048" s="7"/>
      <c r="G1048" s="7"/>
      <c r="H1048" s="6" t="s">
        <v>13634</v>
      </c>
      <c r="I1048" s="7" t="s">
        <v>13648</v>
      </c>
      <c r="J1048" s="7" t="s">
        <v>13649</v>
      </c>
      <c r="K1048" s="7" t="s">
        <v>55</v>
      </c>
      <c r="L1048" s="7" t="s">
        <v>13650</v>
      </c>
      <c r="M1048" s="7"/>
      <c r="N1048" s="45" t="str">
        <f t="shared" si="791"/>
        <v>@neumannsb</v>
      </c>
      <c r="O1048" s="45" t="str">
        <f t="shared" si="792"/>
        <v>Questionnaire</v>
      </c>
      <c r="P1048" s="48" t="s">
        <v>13639</v>
      </c>
      <c r="Q1048" s="47" t="s">
        <v>1231</v>
      </c>
      <c r="R1048" s="48" t="s">
        <v>13640</v>
      </c>
      <c r="S1048" s="48" t="s">
        <v>13651</v>
      </c>
      <c r="T1048" s="49" t="s">
        <v>63</v>
      </c>
      <c r="U1048" s="49" t="s">
        <v>343</v>
      </c>
      <c r="V1048" s="7"/>
      <c r="W1048" s="44">
        <v>3.1</v>
      </c>
      <c r="X1048" s="49" t="s">
        <v>13652</v>
      </c>
      <c r="Y1048" s="49" t="s">
        <v>13652</v>
      </c>
      <c r="Z1048" s="49" t="s">
        <v>13653</v>
      </c>
      <c r="AA1048" s="61">
        <v>0.94</v>
      </c>
      <c r="AB1048" s="71">
        <v>44196</v>
      </c>
      <c r="AC1048" s="52" t="s">
        <v>13639</v>
      </c>
      <c r="AD1048" s="53" t="str">
        <f t="shared" si="793"/>
        <v>Link</v>
      </c>
      <c r="AE1048" s="54">
        <v>2278</v>
      </c>
      <c r="AF1048" s="55"/>
      <c r="AG1048" s="7"/>
      <c r="AH1048" s="56">
        <v>214272</v>
      </c>
      <c r="AI1048" s="57"/>
      <c r="AJ1048" s="57"/>
    </row>
    <row r="1049" spans="1:36" ht="13" x14ac:dyDescent="0.15">
      <c r="A1049" s="57"/>
      <c r="B1049" s="78" t="s">
        <v>7298</v>
      </c>
      <c r="C1049" s="7" t="s">
        <v>43</v>
      </c>
      <c r="D1049" s="44">
        <v>5</v>
      </c>
      <c r="E1049" s="7" t="s">
        <v>13658</v>
      </c>
      <c r="F1049" s="7"/>
      <c r="G1049" s="7"/>
      <c r="H1049" s="6" t="s">
        <v>13659</v>
      </c>
      <c r="I1049" s="7" t="s">
        <v>13660</v>
      </c>
      <c r="J1049" s="7" t="s">
        <v>13661</v>
      </c>
      <c r="K1049" s="7" t="s">
        <v>48</v>
      </c>
      <c r="L1049" s="7" t="s">
        <v>13662</v>
      </c>
      <c r="M1049" s="7" t="s">
        <v>13663</v>
      </c>
      <c r="N1049" s="45" t="str">
        <f>HYPERLINK("twitter.com/psabsoftball","@psabsoftball")</f>
        <v>@psabsoftball</v>
      </c>
      <c r="O1049" s="45" t="str">
        <f>HYPERLINK("https://abingtonsports.com/sb_output.aspx?frform=3&amp;path=wcross&amp;","Questionnaire")</f>
        <v>Questionnaire</v>
      </c>
      <c r="P1049" s="48" t="s">
        <v>13668</v>
      </c>
      <c r="Q1049" s="47" t="s">
        <v>1231</v>
      </c>
      <c r="R1049" s="48" t="s">
        <v>13669</v>
      </c>
      <c r="S1049" s="48" t="s">
        <v>186</v>
      </c>
      <c r="T1049" s="49" t="s">
        <v>74</v>
      </c>
      <c r="U1049" s="49" t="s">
        <v>75</v>
      </c>
      <c r="V1049" s="7"/>
      <c r="W1049" s="44">
        <v>3.17</v>
      </c>
      <c r="X1049" s="49" t="s">
        <v>1338</v>
      </c>
      <c r="Y1049" s="49" t="s">
        <v>355</v>
      </c>
      <c r="Z1049" s="49" t="s">
        <v>2190</v>
      </c>
      <c r="AA1049" s="61">
        <v>0.82</v>
      </c>
      <c r="AB1049" s="48" t="s">
        <v>13670</v>
      </c>
      <c r="AC1049" s="62" t="s">
        <v>13668</v>
      </c>
      <c r="AD1049" s="53" t="str">
        <f t="shared" ref="AD1049:AD1050" si="794">HYPERLINK("http://abington.psu.edu/majors-at-abington","Link")</f>
        <v>Link</v>
      </c>
      <c r="AE1049" s="54">
        <v>3950</v>
      </c>
      <c r="AF1049" s="55"/>
      <c r="AG1049" s="7"/>
      <c r="AH1049" s="56">
        <v>214801</v>
      </c>
      <c r="AI1049" s="57"/>
      <c r="AJ1049" s="57"/>
    </row>
    <row r="1050" spans="1:36" ht="13" x14ac:dyDescent="0.15">
      <c r="A1050" s="57"/>
      <c r="B1050" s="78" t="s">
        <v>7298</v>
      </c>
      <c r="C1050" s="7" t="s">
        <v>43</v>
      </c>
      <c r="D1050" s="44">
        <v>5</v>
      </c>
      <c r="E1050" s="7" t="s">
        <v>13674</v>
      </c>
      <c r="F1050" s="7"/>
      <c r="G1050" s="7"/>
      <c r="H1050" s="6" t="s">
        <v>13659</v>
      </c>
      <c r="I1050" s="7" t="s">
        <v>8467</v>
      </c>
      <c r="J1050" s="7" t="s">
        <v>13675</v>
      </c>
      <c r="K1050" s="7" t="s">
        <v>55</v>
      </c>
      <c r="L1050" s="7"/>
      <c r="M1050" s="7"/>
      <c r="N1050" s="7"/>
      <c r="O1050" s="7"/>
      <c r="P1050" s="48" t="s">
        <v>13668</v>
      </c>
      <c r="Q1050" s="47" t="s">
        <v>1231</v>
      </c>
      <c r="R1050" s="48" t="s">
        <v>13669</v>
      </c>
      <c r="S1050" s="48" t="s">
        <v>186</v>
      </c>
      <c r="T1050" s="49" t="s">
        <v>74</v>
      </c>
      <c r="U1050" s="49" t="s">
        <v>75</v>
      </c>
      <c r="V1050" s="7"/>
      <c r="W1050" s="44">
        <v>3.17</v>
      </c>
      <c r="X1050" s="49" t="s">
        <v>1338</v>
      </c>
      <c r="Y1050" s="49" t="s">
        <v>355</v>
      </c>
      <c r="Z1050" s="49" t="s">
        <v>2190</v>
      </c>
      <c r="AA1050" s="61">
        <v>0.82</v>
      </c>
      <c r="AB1050" s="48" t="s">
        <v>13670</v>
      </c>
      <c r="AC1050" s="62" t="s">
        <v>13668</v>
      </c>
      <c r="AD1050" s="53" t="str">
        <f t="shared" si="794"/>
        <v>Link</v>
      </c>
      <c r="AE1050" s="54">
        <v>3950</v>
      </c>
      <c r="AF1050" s="55"/>
      <c r="AG1050" s="7"/>
      <c r="AH1050" s="56">
        <v>214801</v>
      </c>
      <c r="AI1050" s="57"/>
      <c r="AJ1050" s="57"/>
    </row>
    <row r="1051" spans="1:36" ht="13" x14ac:dyDescent="0.15">
      <c r="A1051" s="57"/>
      <c r="B1051" s="78" t="s">
        <v>7298</v>
      </c>
      <c r="C1051" s="7" t="s">
        <v>43</v>
      </c>
      <c r="D1051" s="44">
        <v>5</v>
      </c>
      <c r="E1051" s="7" t="s">
        <v>13682</v>
      </c>
      <c r="F1051" s="7"/>
      <c r="G1051" s="7"/>
      <c r="H1051" s="6" t="s">
        <v>13684</v>
      </c>
      <c r="I1051" s="7" t="s">
        <v>1541</v>
      </c>
      <c r="J1051" s="7" t="s">
        <v>13685</v>
      </c>
      <c r="K1051" s="7" t="s">
        <v>48</v>
      </c>
      <c r="L1051" s="7" t="s">
        <v>13686</v>
      </c>
      <c r="M1051" s="7" t="s">
        <v>13687</v>
      </c>
      <c r="N1051" s="48"/>
      <c r="O1051" s="45" t="str">
        <f t="shared" ref="O1051:O1054" si="795">HYPERLINK("https://www.psaltoonalions.com/information/Prospective/OnlineForms","Questionnaire")</f>
        <v>Questionnaire</v>
      </c>
      <c r="P1051" s="48" t="s">
        <v>13689</v>
      </c>
      <c r="Q1051" s="47" t="s">
        <v>1231</v>
      </c>
      <c r="R1051" s="48" t="s">
        <v>13690</v>
      </c>
      <c r="S1051" s="48" t="s">
        <v>468</v>
      </c>
      <c r="T1051" s="49" t="s">
        <v>74</v>
      </c>
      <c r="U1051" s="49" t="s">
        <v>75</v>
      </c>
      <c r="V1051" s="7"/>
      <c r="W1051" s="44">
        <v>3.09</v>
      </c>
      <c r="X1051" s="49" t="s">
        <v>1145</v>
      </c>
      <c r="Y1051" s="49" t="s">
        <v>720</v>
      </c>
      <c r="Z1051" s="49" t="s">
        <v>240</v>
      </c>
      <c r="AA1051" s="61">
        <v>0.89</v>
      </c>
      <c r="AB1051" s="48" t="s">
        <v>13693</v>
      </c>
      <c r="AC1051" s="62" t="s">
        <v>13689</v>
      </c>
      <c r="AD1051" s="53" t="str">
        <f t="shared" ref="AD1051:AD1054" si="796">HYPERLINK("http://altoona.psu.edu/academics/bachelors-degrees","Link")</f>
        <v>Link</v>
      </c>
      <c r="AE1051" s="54">
        <v>3491</v>
      </c>
      <c r="AF1051" s="55"/>
      <c r="AG1051" s="7"/>
      <c r="AH1051" s="56">
        <v>214689</v>
      </c>
      <c r="AI1051" s="57"/>
      <c r="AJ1051" s="57"/>
    </row>
    <row r="1052" spans="1:36" ht="13" x14ac:dyDescent="0.15">
      <c r="A1052" s="57"/>
      <c r="B1052" s="78" t="s">
        <v>7298</v>
      </c>
      <c r="C1052" s="7" t="s">
        <v>43</v>
      </c>
      <c r="D1052" s="44">
        <v>5</v>
      </c>
      <c r="E1052" s="7" t="s">
        <v>13702</v>
      </c>
      <c r="F1052" s="7"/>
      <c r="G1052" s="7"/>
      <c r="H1052" s="6" t="s">
        <v>13684</v>
      </c>
      <c r="I1052" s="7" t="s">
        <v>94</v>
      </c>
      <c r="J1052" s="7" t="s">
        <v>13703</v>
      </c>
      <c r="K1052" s="7" t="s">
        <v>55</v>
      </c>
      <c r="L1052" s="7"/>
      <c r="M1052" s="7"/>
      <c r="N1052" s="48"/>
      <c r="O1052" s="45" t="str">
        <f t="shared" si="795"/>
        <v>Questionnaire</v>
      </c>
      <c r="P1052" s="48" t="s">
        <v>13689</v>
      </c>
      <c r="Q1052" s="47" t="s">
        <v>1231</v>
      </c>
      <c r="R1052" s="48" t="s">
        <v>13690</v>
      </c>
      <c r="S1052" s="48" t="s">
        <v>468</v>
      </c>
      <c r="T1052" s="49" t="s">
        <v>74</v>
      </c>
      <c r="U1052" s="49" t="s">
        <v>75</v>
      </c>
      <c r="V1052" s="7"/>
      <c r="W1052" s="44">
        <v>3.09</v>
      </c>
      <c r="X1052" s="49" t="s">
        <v>1145</v>
      </c>
      <c r="Y1052" s="49" t="s">
        <v>720</v>
      </c>
      <c r="Z1052" s="49" t="s">
        <v>240</v>
      </c>
      <c r="AA1052" s="61">
        <v>0.89</v>
      </c>
      <c r="AB1052" s="48" t="s">
        <v>13693</v>
      </c>
      <c r="AC1052" s="62" t="s">
        <v>13689</v>
      </c>
      <c r="AD1052" s="53" t="str">
        <f t="shared" si="796"/>
        <v>Link</v>
      </c>
      <c r="AE1052" s="54">
        <v>3491</v>
      </c>
      <c r="AF1052" s="55"/>
      <c r="AG1052" s="7"/>
      <c r="AH1052" s="56">
        <v>214689</v>
      </c>
      <c r="AI1052" s="57"/>
      <c r="AJ1052" s="57"/>
    </row>
    <row r="1053" spans="1:36" ht="13" x14ac:dyDescent="0.15">
      <c r="A1053" s="57"/>
      <c r="B1053" s="78" t="s">
        <v>7298</v>
      </c>
      <c r="C1053" s="7" t="s">
        <v>43</v>
      </c>
      <c r="D1053" s="44">
        <v>5</v>
      </c>
      <c r="E1053" s="7" t="s">
        <v>13708</v>
      </c>
      <c r="F1053" s="7"/>
      <c r="G1053" s="7" t="s">
        <v>126</v>
      </c>
      <c r="H1053" s="6" t="s">
        <v>13684</v>
      </c>
      <c r="I1053" s="7" t="s">
        <v>13710</v>
      </c>
      <c r="J1053" s="7"/>
      <c r="K1053" s="7"/>
      <c r="L1053" s="7"/>
      <c r="M1053" s="7"/>
      <c r="N1053" s="48"/>
      <c r="O1053" s="45" t="str">
        <f t="shared" si="795"/>
        <v>Questionnaire</v>
      </c>
      <c r="P1053" s="48" t="s">
        <v>13689</v>
      </c>
      <c r="Q1053" s="47" t="s">
        <v>1231</v>
      </c>
      <c r="R1053" s="48" t="s">
        <v>13690</v>
      </c>
      <c r="S1053" s="48" t="s">
        <v>468</v>
      </c>
      <c r="T1053" s="49" t="s">
        <v>74</v>
      </c>
      <c r="U1053" s="49" t="s">
        <v>75</v>
      </c>
      <c r="V1053" s="7"/>
      <c r="W1053" s="44">
        <v>3.09</v>
      </c>
      <c r="X1053" s="49" t="s">
        <v>1145</v>
      </c>
      <c r="Y1053" s="49" t="s">
        <v>720</v>
      </c>
      <c r="Z1053" s="49" t="s">
        <v>240</v>
      </c>
      <c r="AA1053" s="61">
        <v>0.89</v>
      </c>
      <c r="AB1053" s="48" t="s">
        <v>13693</v>
      </c>
      <c r="AC1053" s="62" t="s">
        <v>13689</v>
      </c>
      <c r="AD1053" s="53" t="str">
        <f t="shared" si="796"/>
        <v>Link</v>
      </c>
      <c r="AE1053" s="54">
        <v>3491</v>
      </c>
      <c r="AF1053" s="55"/>
      <c r="AG1053" s="7"/>
      <c r="AH1053" s="56">
        <v>214689</v>
      </c>
      <c r="AI1053" s="57"/>
      <c r="AJ1053" s="57"/>
    </row>
    <row r="1054" spans="1:36" ht="13" x14ac:dyDescent="0.15">
      <c r="A1054" s="57"/>
      <c r="B1054" s="78" t="s">
        <v>7298</v>
      </c>
      <c r="C1054" s="7" t="s">
        <v>43</v>
      </c>
      <c r="D1054" s="86">
        <v>5</v>
      </c>
      <c r="E1054" s="7" t="s">
        <v>13717</v>
      </c>
      <c r="F1054" s="7" t="s">
        <v>116</v>
      </c>
      <c r="G1054" s="7"/>
      <c r="H1054" s="6" t="s">
        <v>13684</v>
      </c>
      <c r="I1054" s="7" t="s">
        <v>668</v>
      </c>
      <c r="J1054" s="7" t="s">
        <v>13719</v>
      </c>
      <c r="K1054" s="7" t="s">
        <v>55</v>
      </c>
      <c r="L1054" s="7"/>
      <c r="M1054" s="7"/>
      <c r="N1054" s="48"/>
      <c r="O1054" s="45" t="str">
        <f t="shared" si="795"/>
        <v>Questionnaire</v>
      </c>
      <c r="P1054" s="48" t="s">
        <v>13689</v>
      </c>
      <c r="Q1054" s="47" t="s">
        <v>1231</v>
      </c>
      <c r="R1054" s="48" t="s">
        <v>13690</v>
      </c>
      <c r="S1054" s="48" t="s">
        <v>468</v>
      </c>
      <c r="T1054" s="49" t="s">
        <v>74</v>
      </c>
      <c r="U1054" s="49" t="s">
        <v>75</v>
      </c>
      <c r="V1054" s="7"/>
      <c r="W1054" s="44">
        <v>3.09</v>
      </c>
      <c r="X1054" s="49" t="s">
        <v>1145</v>
      </c>
      <c r="Y1054" s="49" t="s">
        <v>720</v>
      </c>
      <c r="Z1054" s="49" t="s">
        <v>240</v>
      </c>
      <c r="AA1054" s="61">
        <v>0.89</v>
      </c>
      <c r="AB1054" s="48" t="s">
        <v>13693</v>
      </c>
      <c r="AC1054" s="62" t="s">
        <v>13689</v>
      </c>
      <c r="AD1054" s="53" t="str">
        <f t="shared" si="796"/>
        <v>Link</v>
      </c>
      <c r="AE1054" s="54">
        <v>3491</v>
      </c>
      <c r="AF1054" s="55"/>
      <c r="AG1054" s="7"/>
      <c r="AH1054" s="56">
        <v>214689</v>
      </c>
      <c r="AI1054" s="57"/>
      <c r="AJ1054" s="57"/>
    </row>
    <row r="1055" spans="1:36" ht="13" x14ac:dyDescent="0.15">
      <c r="A1055" s="57"/>
      <c r="B1055" s="78" t="s">
        <v>7298</v>
      </c>
      <c r="C1055" s="7" t="s">
        <v>43</v>
      </c>
      <c r="D1055" s="44">
        <v>5</v>
      </c>
      <c r="E1055" s="7" t="s">
        <v>13725</v>
      </c>
      <c r="F1055" s="7"/>
      <c r="G1055" s="7"/>
      <c r="H1055" s="6" t="s">
        <v>13726</v>
      </c>
      <c r="I1055" s="7" t="s">
        <v>981</v>
      </c>
      <c r="J1055" s="7" t="s">
        <v>13727</v>
      </c>
      <c r="K1055" s="7" t="s">
        <v>48</v>
      </c>
      <c r="L1055" s="7" t="s">
        <v>13728</v>
      </c>
      <c r="M1055" s="7" t="s">
        <v>13730</v>
      </c>
      <c r="N1055" s="45" t="str">
        <f t="shared" ref="N1055:N1058" si="797">HYPERLINK("twitter.com/behrendsoftball","@behrendsoftball")</f>
        <v>@behrendsoftball</v>
      </c>
      <c r="O1055" s="45" t="str">
        <f t="shared" ref="O1055:O1058" si="798">HYPERLINK("https://www.psblions.com/information/directory/index","Questionnaire")</f>
        <v>Questionnaire</v>
      </c>
      <c r="P1055" s="48" t="s">
        <v>13739</v>
      </c>
      <c r="Q1055" s="47" t="s">
        <v>1231</v>
      </c>
      <c r="R1055" s="48" t="s">
        <v>9510</v>
      </c>
      <c r="S1055" s="48" t="s">
        <v>238</v>
      </c>
      <c r="T1055" s="49" t="s">
        <v>74</v>
      </c>
      <c r="U1055" s="49" t="s">
        <v>75</v>
      </c>
      <c r="V1055" s="7"/>
      <c r="W1055" s="44">
        <v>3.28</v>
      </c>
      <c r="X1055" s="49" t="s">
        <v>720</v>
      </c>
      <c r="Y1055" s="49" t="s">
        <v>2196</v>
      </c>
      <c r="Z1055" s="49" t="s">
        <v>545</v>
      </c>
      <c r="AA1055" s="61">
        <v>0.88</v>
      </c>
      <c r="AB1055" s="48" t="s">
        <v>13693</v>
      </c>
      <c r="AC1055" s="62" t="s">
        <v>13739</v>
      </c>
      <c r="AD1055" s="53" t="str">
        <f t="shared" ref="AD1055:AD1058" si="799">HYPERLINK("http://behrend.psu.edu/Academics/academic-programs/majors-minors","Link")</f>
        <v>Link</v>
      </c>
      <c r="AE1055" s="54">
        <v>4420</v>
      </c>
      <c r="AF1055" s="7"/>
      <c r="AG1055" s="7"/>
      <c r="AH1055" s="56">
        <v>214591</v>
      </c>
      <c r="AI1055" s="57"/>
      <c r="AJ1055" s="57"/>
    </row>
    <row r="1056" spans="1:36" ht="13" x14ac:dyDescent="0.15">
      <c r="A1056" s="57"/>
      <c r="B1056" s="78" t="s">
        <v>7298</v>
      </c>
      <c r="C1056" s="7" t="s">
        <v>43</v>
      </c>
      <c r="D1056" s="44">
        <v>5</v>
      </c>
      <c r="E1056" s="7" t="s">
        <v>13745</v>
      </c>
      <c r="F1056" s="7"/>
      <c r="G1056" s="7"/>
      <c r="H1056" s="6" t="s">
        <v>13726</v>
      </c>
      <c r="I1056" s="7" t="s">
        <v>1132</v>
      </c>
      <c r="J1056" s="7" t="s">
        <v>3498</v>
      </c>
      <c r="K1056" s="7" t="s">
        <v>55</v>
      </c>
      <c r="L1056" s="7" t="s">
        <v>13747</v>
      </c>
      <c r="M1056" s="7" t="s">
        <v>13730</v>
      </c>
      <c r="N1056" s="45" t="str">
        <f t="shared" si="797"/>
        <v>@behrendsoftball</v>
      </c>
      <c r="O1056" s="45" t="str">
        <f t="shared" si="798"/>
        <v>Questionnaire</v>
      </c>
      <c r="P1056" s="48" t="s">
        <v>13739</v>
      </c>
      <c r="Q1056" s="47" t="s">
        <v>1231</v>
      </c>
      <c r="R1056" s="48" t="s">
        <v>9510</v>
      </c>
      <c r="S1056" s="48" t="s">
        <v>238</v>
      </c>
      <c r="T1056" s="49" t="s">
        <v>74</v>
      </c>
      <c r="U1056" s="49" t="s">
        <v>75</v>
      </c>
      <c r="V1056" s="7"/>
      <c r="W1056" s="44">
        <v>3.28</v>
      </c>
      <c r="X1056" s="49" t="s">
        <v>720</v>
      </c>
      <c r="Y1056" s="49" t="s">
        <v>2196</v>
      </c>
      <c r="Z1056" s="49" t="s">
        <v>545</v>
      </c>
      <c r="AA1056" s="61">
        <v>0.88</v>
      </c>
      <c r="AB1056" s="48" t="s">
        <v>13693</v>
      </c>
      <c r="AC1056" s="62" t="s">
        <v>13739</v>
      </c>
      <c r="AD1056" s="53" t="str">
        <f t="shared" si="799"/>
        <v>Link</v>
      </c>
      <c r="AE1056" s="54">
        <v>4420</v>
      </c>
      <c r="AF1056" s="7"/>
      <c r="AG1056" s="7"/>
      <c r="AH1056" s="56">
        <v>214591</v>
      </c>
      <c r="AI1056" s="57"/>
      <c r="AJ1056" s="57"/>
    </row>
    <row r="1057" spans="1:36" ht="13" x14ac:dyDescent="0.15">
      <c r="A1057" s="57"/>
      <c r="B1057" s="78" t="s">
        <v>7298</v>
      </c>
      <c r="C1057" s="7" t="s">
        <v>43</v>
      </c>
      <c r="D1057" s="44">
        <v>5</v>
      </c>
      <c r="E1057" s="7" t="s">
        <v>13753</v>
      </c>
      <c r="F1057" s="7"/>
      <c r="G1057" s="7"/>
      <c r="H1057" s="6" t="s">
        <v>13726</v>
      </c>
      <c r="I1057" s="7" t="s">
        <v>294</v>
      </c>
      <c r="J1057" s="7" t="s">
        <v>11308</v>
      </c>
      <c r="K1057" s="7" t="s">
        <v>55</v>
      </c>
      <c r="L1057" s="7"/>
      <c r="M1057" s="7"/>
      <c r="N1057" s="45" t="str">
        <f t="shared" si="797"/>
        <v>@behrendsoftball</v>
      </c>
      <c r="O1057" s="45" t="str">
        <f t="shared" si="798"/>
        <v>Questionnaire</v>
      </c>
      <c r="P1057" s="48" t="s">
        <v>13739</v>
      </c>
      <c r="Q1057" s="47" t="s">
        <v>1231</v>
      </c>
      <c r="R1057" s="48" t="s">
        <v>9510</v>
      </c>
      <c r="S1057" s="48" t="s">
        <v>238</v>
      </c>
      <c r="T1057" s="49" t="s">
        <v>74</v>
      </c>
      <c r="U1057" s="49" t="s">
        <v>75</v>
      </c>
      <c r="V1057" s="7"/>
      <c r="W1057" s="44">
        <v>3.28</v>
      </c>
      <c r="X1057" s="49" t="s">
        <v>720</v>
      </c>
      <c r="Y1057" s="49" t="s">
        <v>2196</v>
      </c>
      <c r="Z1057" s="49" t="s">
        <v>545</v>
      </c>
      <c r="AA1057" s="61">
        <v>0.88</v>
      </c>
      <c r="AB1057" s="48" t="s">
        <v>13693</v>
      </c>
      <c r="AC1057" s="62" t="s">
        <v>13739</v>
      </c>
      <c r="AD1057" s="53" t="str">
        <f t="shared" si="799"/>
        <v>Link</v>
      </c>
      <c r="AE1057" s="54">
        <v>4420</v>
      </c>
      <c r="AF1057" s="7"/>
      <c r="AG1057" s="7"/>
      <c r="AH1057" s="56">
        <v>214591</v>
      </c>
      <c r="AI1057" s="57"/>
      <c r="AJ1057" s="57"/>
    </row>
    <row r="1058" spans="1:36" ht="13" x14ac:dyDescent="0.15">
      <c r="A1058" s="57"/>
      <c r="B1058" s="78" t="s">
        <v>7298</v>
      </c>
      <c r="C1058" s="7" t="s">
        <v>43</v>
      </c>
      <c r="D1058" s="44">
        <v>5</v>
      </c>
      <c r="E1058" s="7" t="s">
        <v>13760</v>
      </c>
      <c r="F1058" s="7"/>
      <c r="G1058" s="7"/>
      <c r="H1058" s="6" t="s">
        <v>13726</v>
      </c>
      <c r="I1058" s="7" t="s">
        <v>130</v>
      </c>
      <c r="J1058" s="7" t="s">
        <v>3213</v>
      </c>
      <c r="K1058" s="7" t="s">
        <v>55</v>
      </c>
      <c r="L1058" s="7"/>
      <c r="M1058" s="7"/>
      <c r="N1058" s="45" t="str">
        <f t="shared" si="797"/>
        <v>@behrendsoftball</v>
      </c>
      <c r="O1058" s="45" t="str">
        <f t="shared" si="798"/>
        <v>Questionnaire</v>
      </c>
      <c r="P1058" s="48" t="s">
        <v>13739</v>
      </c>
      <c r="Q1058" s="47" t="s">
        <v>1231</v>
      </c>
      <c r="R1058" s="48" t="s">
        <v>9510</v>
      </c>
      <c r="S1058" s="48" t="s">
        <v>238</v>
      </c>
      <c r="T1058" s="49" t="s">
        <v>74</v>
      </c>
      <c r="U1058" s="49" t="s">
        <v>75</v>
      </c>
      <c r="V1058" s="7"/>
      <c r="W1058" s="44">
        <v>3.28</v>
      </c>
      <c r="X1058" s="49" t="s">
        <v>720</v>
      </c>
      <c r="Y1058" s="49" t="s">
        <v>2196</v>
      </c>
      <c r="Z1058" s="49" t="s">
        <v>545</v>
      </c>
      <c r="AA1058" s="61">
        <v>0.88</v>
      </c>
      <c r="AB1058" s="48" t="s">
        <v>13693</v>
      </c>
      <c r="AC1058" s="62" t="s">
        <v>13739</v>
      </c>
      <c r="AD1058" s="53" t="str">
        <f t="shared" si="799"/>
        <v>Link</v>
      </c>
      <c r="AE1058" s="54">
        <v>4420</v>
      </c>
      <c r="AF1058" s="7"/>
      <c r="AG1058" s="7"/>
      <c r="AH1058" s="56">
        <v>214591</v>
      </c>
      <c r="AI1058" s="57"/>
      <c r="AJ1058" s="57"/>
    </row>
    <row r="1059" spans="1:36" ht="13" x14ac:dyDescent="0.15">
      <c r="A1059" s="57"/>
      <c r="B1059" s="78" t="s">
        <v>7298</v>
      </c>
      <c r="C1059" s="7" t="s">
        <v>43</v>
      </c>
      <c r="D1059" s="44">
        <v>5</v>
      </c>
      <c r="E1059" s="7" t="s">
        <v>13765</v>
      </c>
      <c r="F1059" s="7"/>
      <c r="G1059" s="7"/>
      <c r="H1059" s="6" t="s">
        <v>13766</v>
      </c>
      <c r="I1059" s="7" t="s">
        <v>819</v>
      </c>
      <c r="J1059" s="7" t="s">
        <v>13767</v>
      </c>
      <c r="K1059" s="7" t="s">
        <v>48</v>
      </c>
      <c r="L1059" s="7" t="s">
        <v>13768</v>
      </c>
      <c r="M1059" s="7" t="s">
        <v>13769</v>
      </c>
      <c r="N1059" s="48"/>
      <c r="O1059" s="45" t="str">
        <f t="shared" ref="O1059:O1062" si="800">HYPERLINK("https://psuberksathletics.com/sb_output.aspx?form=3","Questionnaire")</f>
        <v>Questionnaire</v>
      </c>
      <c r="P1059" s="48" t="s">
        <v>13772</v>
      </c>
      <c r="Q1059" s="47" t="s">
        <v>1231</v>
      </c>
      <c r="R1059" s="48" t="s">
        <v>12244</v>
      </c>
      <c r="S1059" s="48" t="s">
        <v>238</v>
      </c>
      <c r="T1059" s="49" t="s">
        <v>74</v>
      </c>
      <c r="U1059" s="49" t="s">
        <v>75</v>
      </c>
      <c r="V1059" s="7"/>
      <c r="W1059" s="44">
        <v>3.07</v>
      </c>
      <c r="X1059" s="49" t="s">
        <v>1453</v>
      </c>
      <c r="Y1059" s="49" t="s">
        <v>3520</v>
      </c>
      <c r="Z1059" s="49" t="s">
        <v>125</v>
      </c>
      <c r="AA1059" s="61">
        <v>0.87</v>
      </c>
      <c r="AB1059" s="48" t="s">
        <v>13693</v>
      </c>
      <c r="AC1059" s="62" t="s">
        <v>13772</v>
      </c>
      <c r="AD1059" s="53" t="str">
        <f t="shared" ref="AD1059:AD1062" si="801">HYPERLINK("http://berks.psu.edu/baccalaureate-degrees","Link")</f>
        <v>Link</v>
      </c>
      <c r="AE1059" s="54">
        <v>2888</v>
      </c>
      <c r="AF1059" s="55"/>
      <c r="AG1059" s="7"/>
      <c r="AH1059" s="56">
        <v>214704</v>
      </c>
      <c r="AI1059" s="57"/>
      <c r="AJ1059" s="57"/>
    </row>
    <row r="1060" spans="1:36" ht="13" x14ac:dyDescent="0.15">
      <c r="A1060" s="57"/>
      <c r="B1060" s="78" t="s">
        <v>7298</v>
      </c>
      <c r="C1060" s="7" t="s">
        <v>43</v>
      </c>
      <c r="D1060" s="44">
        <v>5</v>
      </c>
      <c r="E1060" s="7" t="s">
        <v>13780</v>
      </c>
      <c r="F1060" s="7"/>
      <c r="G1060" s="7"/>
      <c r="H1060" s="6" t="s">
        <v>13766</v>
      </c>
      <c r="I1060" s="7" t="s">
        <v>3503</v>
      </c>
      <c r="J1060" s="7" t="s">
        <v>13781</v>
      </c>
      <c r="K1060" s="7" t="s">
        <v>55</v>
      </c>
      <c r="L1060" s="7" t="s">
        <v>13782</v>
      </c>
      <c r="M1060" s="7"/>
      <c r="N1060" s="48"/>
      <c r="O1060" s="45" t="str">
        <f t="shared" si="800"/>
        <v>Questionnaire</v>
      </c>
      <c r="P1060" s="48" t="s">
        <v>13772</v>
      </c>
      <c r="Q1060" s="47" t="s">
        <v>1231</v>
      </c>
      <c r="R1060" s="48" t="s">
        <v>12244</v>
      </c>
      <c r="S1060" s="48" t="s">
        <v>238</v>
      </c>
      <c r="T1060" s="49" t="s">
        <v>74</v>
      </c>
      <c r="U1060" s="49" t="s">
        <v>75</v>
      </c>
      <c r="V1060" s="7"/>
      <c r="W1060" s="44">
        <v>3.07</v>
      </c>
      <c r="X1060" s="49" t="s">
        <v>1453</v>
      </c>
      <c r="Y1060" s="49" t="s">
        <v>3520</v>
      </c>
      <c r="Z1060" s="49" t="s">
        <v>125</v>
      </c>
      <c r="AA1060" s="61">
        <v>0.87</v>
      </c>
      <c r="AB1060" s="48" t="s">
        <v>13693</v>
      </c>
      <c r="AC1060" s="62" t="s">
        <v>13772</v>
      </c>
      <c r="AD1060" s="53" t="str">
        <f t="shared" si="801"/>
        <v>Link</v>
      </c>
      <c r="AE1060" s="54">
        <v>2888</v>
      </c>
      <c r="AF1060" s="55"/>
      <c r="AG1060" s="7"/>
      <c r="AH1060" s="56">
        <v>214704</v>
      </c>
      <c r="AI1060" s="57"/>
      <c r="AJ1060" s="57"/>
    </row>
    <row r="1061" spans="1:36" ht="13" x14ac:dyDescent="0.15">
      <c r="A1061" s="57"/>
      <c r="B1061" s="78" t="s">
        <v>7298</v>
      </c>
      <c r="C1061" s="7" t="s">
        <v>43</v>
      </c>
      <c r="D1061" s="44">
        <v>5</v>
      </c>
      <c r="E1061" s="7" t="s">
        <v>13790</v>
      </c>
      <c r="F1061" s="7"/>
      <c r="G1061" s="7"/>
      <c r="H1061" s="6" t="s">
        <v>13766</v>
      </c>
      <c r="I1061" s="7" t="s">
        <v>2658</v>
      </c>
      <c r="J1061" s="7" t="s">
        <v>13767</v>
      </c>
      <c r="K1061" s="7" t="s">
        <v>55</v>
      </c>
      <c r="L1061" s="7"/>
      <c r="M1061" s="7"/>
      <c r="N1061" s="48"/>
      <c r="O1061" s="45" t="str">
        <f t="shared" si="800"/>
        <v>Questionnaire</v>
      </c>
      <c r="P1061" s="48" t="s">
        <v>13772</v>
      </c>
      <c r="Q1061" s="47" t="s">
        <v>1231</v>
      </c>
      <c r="R1061" s="48" t="s">
        <v>12244</v>
      </c>
      <c r="S1061" s="48" t="s">
        <v>238</v>
      </c>
      <c r="T1061" s="49" t="s">
        <v>74</v>
      </c>
      <c r="U1061" s="49" t="s">
        <v>75</v>
      </c>
      <c r="V1061" s="7"/>
      <c r="W1061" s="44">
        <v>3.07</v>
      </c>
      <c r="X1061" s="49" t="s">
        <v>1453</v>
      </c>
      <c r="Y1061" s="49" t="s">
        <v>3520</v>
      </c>
      <c r="Z1061" s="49" t="s">
        <v>125</v>
      </c>
      <c r="AA1061" s="61">
        <v>0.87</v>
      </c>
      <c r="AB1061" s="48" t="s">
        <v>13693</v>
      </c>
      <c r="AC1061" s="62" t="s">
        <v>13772</v>
      </c>
      <c r="AD1061" s="53" t="str">
        <f t="shared" si="801"/>
        <v>Link</v>
      </c>
      <c r="AE1061" s="54">
        <v>2888</v>
      </c>
      <c r="AF1061" s="55"/>
      <c r="AG1061" s="7"/>
      <c r="AH1061" s="56">
        <v>214704</v>
      </c>
      <c r="AI1061" s="57"/>
      <c r="AJ1061" s="57"/>
    </row>
    <row r="1062" spans="1:36" ht="13" x14ac:dyDescent="0.15">
      <c r="A1062" s="57"/>
      <c r="B1062" s="78" t="s">
        <v>7298</v>
      </c>
      <c r="C1062" s="7" t="s">
        <v>43</v>
      </c>
      <c r="D1062" s="44">
        <v>5</v>
      </c>
      <c r="E1062" s="7" t="s">
        <v>13801</v>
      </c>
      <c r="F1062" s="7"/>
      <c r="G1062" s="7"/>
      <c r="H1062" s="6" t="s">
        <v>13766</v>
      </c>
      <c r="I1062" s="7" t="s">
        <v>1351</v>
      </c>
      <c r="J1062" s="7" t="s">
        <v>13767</v>
      </c>
      <c r="K1062" s="7" t="s">
        <v>55</v>
      </c>
      <c r="L1062" s="7"/>
      <c r="M1062" s="7"/>
      <c r="N1062" s="48"/>
      <c r="O1062" s="45" t="str">
        <f t="shared" si="800"/>
        <v>Questionnaire</v>
      </c>
      <c r="P1062" s="48" t="s">
        <v>13772</v>
      </c>
      <c r="Q1062" s="47" t="s">
        <v>1231</v>
      </c>
      <c r="R1062" s="48" t="s">
        <v>12244</v>
      </c>
      <c r="S1062" s="48" t="s">
        <v>238</v>
      </c>
      <c r="T1062" s="49" t="s">
        <v>74</v>
      </c>
      <c r="U1062" s="49" t="s">
        <v>75</v>
      </c>
      <c r="V1062" s="7"/>
      <c r="W1062" s="44">
        <v>3.07</v>
      </c>
      <c r="X1062" s="49" t="s">
        <v>1453</v>
      </c>
      <c r="Y1062" s="49" t="s">
        <v>3520</v>
      </c>
      <c r="Z1062" s="49" t="s">
        <v>125</v>
      </c>
      <c r="AA1062" s="61">
        <v>0.87</v>
      </c>
      <c r="AB1062" s="48" t="s">
        <v>13693</v>
      </c>
      <c r="AC1062" s="62" t="s">
        <v>13772</v>
      </c>
      <c r="AD1062" s="53" t="str">
        <f t="shared" si="801"/>
        <v>Link</v>
      </c>
      <c r="AE1062" s="54">
        <v>2888</v>
      </c>
      <c r="AF1062" s="55"/>
      <c r="AG1062" s="7"/>
      <c r="AH1062" s="56">
        <v>214704</v>
      </c>
      <c r="AI1062" s="57"/>
      <c r="AJ1062" s="57"/>
    </row>
    <row r="1063" spans="1:36" ht="13" x14ac:dyDescent="0.15">
      <c r="A1063" s="57"/>
      <c r="B1063" s="78" t="s">
        <v>7298</v>
      </c>
      <c r="C1063" s="7" t="s">
        <v>43</v>
      </c>
      <c r="D1063" s="44">
        <v>5</v>
      </c>
      <c r="E1063" s="7" t="s">
        <v>13806</v>
      </c>
      <c r="F1063" s="7"/>
      <c r="G1063" s="7"/>
      <c r="H1063" s="6" t="s">
        <v>13808</v>
      </c>
      <c r="I1063" s="7" t="s">
        <v>13809</v>
      </c>
      <c r="J1063" s="7" t="s">
        <v>13336</v>
      </c>
      <c r="K1063" s="7" t="s">
        <v>48</v>
      </c>
      <c r="L1063" s="7" t="s">
        <v>13810</v>
      </c>
      <c r="M1063" s="7" t="s">
        <v>13811</v>
      </c>
      <c r="N1063" s="45" t="str">
        <f t="shared" ref="N1063:N1064" si="802">HYPERLINK("twitter.com/pshbgsoftball","@pshbgsoftball")</f>
        <v>@pshbgsoftball</v>
      </c>
      <c r="O1063" s="45" t="str">
        <f t="shared" ref="O1063:O1064" si="803">HYPERLINK("http://athletics.hbg.psu.edu/prospectiveAthletes/Recruiting_Form","Questionnaire")</f>
        <v>Questionnaire</v>
      </c>
      <c r="P1063" s="48" t="s">
        <v>13820</v>
      </c>
      <c r="Q1063" s="47" t="s">
        <v>1231</v>
      </c>
      <c r="R1063" s="48" t="s">
        <v>1103</v>
      </c>
      <c r="S1063" s="60" t="s">
        <v>205</v>
      </c>
      <c r="T1063" s="49" t="s">
        <v>74</v>
      </c>
      <c r="U1063" s="49" t="s">
        <v>75</v>
      </c>
      <c r="V1063" s="7"/>
      <c r="W1063" s="44">
        <v>3.2</v>
      </c>
      <c r="X1063" s="49" t="s">
        <v>1144</v>
      </c>
      <c r="Y1063" s="49" t="s">
        <v>5959</v>
      </c>
      <c r="Z1063" s="49" t="s">
        <v>320</v>
      </c>
      <c r="AA1063" s="61">
        <v>0.85</v>
      </c>
      <c r="AB1063" s="48" t="s">
        <v>13693</v>
      </c>
      <c r="AC1063" s="62" t="s">
        <v>13820</v>
      </c>
      <c r="AD1063" s="53" t="str">
        <f t="shared" ref="AD1063:AD1064" si="804">HYPERLINK("https://admissions.psu.edu/academics/majors/4year/?displayBy=campus&amp;campus=9","Link")</f>
        <v>Link</v>
      </c>
      <c r="AE1063" s="54">
        <v>4200</v>
      </c>
      <c r="AF1063" s="55"/>
      <c r="AG1063" s="7"/>
      <c r="AH1063" s="56">
        <v>214713</v>
      </c>
      <c r="AI1063" s="57"/>
      <c r="AJ1063" s="57"/>
    </row>
    <row r="1064" spans="1:36" ht="13" x14ac:dyDescent="0.15">
      <c r="A1064" s="57"/>
      <c r="B1064" s="78" t="s">
        <v>7298</v>
      </c>
      <c r="C1064" s="7" t="s">
        <v>43</v>
      </c>
      <c r="D1064" s="44">
        <v>5</v>
      </c>
      <c r="E1064" s="7" t="s">
        <v>13830</v>
      </c>
      <c r="F1064" s="7"/>
      <c r="G1064" s="7"/>
      <c r="H1064" s="6" t="s">
        <v>13808</v>
      </c>
      <c r="I1064" s="7" t="s">
        <v>2348</v>
      </c>
      <c r="J1064" s="7" t="s">
        <v>13831</v>
      </c>
      <c r="K1064" s="7" t="s">
        <v>55</v>
      </c>
      <c r="L1064" s="7" t="s">
        <v>13833</v>
      </c>
      <c r="M1064" s="7" t="s">
        <v>13811</v>
      </c>
      <c r="N1064" s="45" t="str">
        <f t="shared" si="802"/>
        <v>@pshbgsoftball</v>
      </c>
      <c r="O1064" s="45" t="str">
        <f t="shared" si="803"/>
        <v>Questionnaire</v>
      </c>
      <c r="P1064" s="48" t="s">
        <v>13820</v>
      </c>
      <c r="Q1064" s="47" t="s">
        <v>1231</v>
      </c>
      <c r="R1064" s="48" t="s">
        <v>1103</v>
      </c>
      <c r="S1064" s="60" t="s">
        <v>205</v>
      </c>
      <c r="T1064" s="49" t="s">
        <v>74</v>
      </c>
      <c r="U1064" s="49" t="s">
        <v>75</v>
      </c>
      <c r="V1064" s="7"/>
      <c r="W1064" s="44">
        <v>3.2</v>
      </c>
      <c r="X1064" s="49" t="s">
        <v>1144</v>
      </c>
      <c r="Y1064" s="49" t="s">
        <v>5959</v>
      </c>
      <c r="Z1064" s="49" t="s">
        <v>320</v>
      </c>
      <c r="AA1064" s="61">
        <v>0.85</v>
      </c>
      <c r="AB1064" s="48" t="s">
        <v>13693</v>
      </c>
      <c r="AC1064" s="62" t="s">
        <v>13820</v>
      </c>
      <c r="AD1064" s="53" t="str">
        <f t="shared" si="804"/>
        <v>Link</v>
      </c>
      <c r="AE1064" s="54">
        <v>4200</v>
      </c>
      <c r="AF1064" s="55"/>
      <c r="AG1064" s="7"/>
      <c r="AH1064" s="56">
        <v>214713</v>
      </c>
      <c r="AI1064" s="57"/>
      <c r="AJ1064" s="57"/>
    </row>
    <row r="1065" spans="1:36" ht="13" x14ac:dyDescent="0.15">
      <c r="A1065" s="57"/>
      <c r="B1065" s="78" t="s">
        <v>7298</v>
      </c>
      <c r="C1065" s="7" t="s">
        <v>43</v>
      </c>
      <c r="D1065" s="44">
        <v>5</v>
      </c>
      <c r="E1065" s="7" t="s">
        <v>13842</v>
      </c>
      <c r="F1065" s="7"/>
      <c r="G1065" s="7" t="s">
        <v>126</v>
      </c>
      <c r="H1065" s="6" t="s">
        <v>13843</v>
      </c>
      <c r="I1065" s="7" t="s">
        <v>13844</v>
      </c>
      <c r="J1065" s="7"/>
      <c r="K1065" s="7"/>
      <c r="L1065" s="7"/>
      <c r="M1065" s="7"/>
      <c r="N1065" s="45" t="str">
        <f>HYPERLINK("twitter.com/pctsoftball","@pctsoftball")</f>
        <v>@pctsoftball</v>
      </c>
      <c r="O1065" s="45" t="str">
        <f>HYPERLINK("https://pctwildcats.com/sb_output.aspx?form=3","Questionnaire")</f>
        <v>Questionnaire</v>
      </c>
      <c r="P1065" s="48" t="s">
        <v>13847</v>
      </c>
      <c r="Q1065" s="47" t="s">
        <v>1231</v>
      </c>
      <c r="R1065" s="48" t="s">
        <v>13300</v>
      </c>
      <c r="S1065" s="48" t="s">
        <v>468</v>
      </c>
      <c r="T1065" s="49" t="s">
        <v>74</v>
      </c>
      <c r="U1065" s="49" t="s">
        <v>75</v>
      </c>
      <c r="V1065" s="7"/>
      <c r="W1065" s="44">
        <v>3.05</v>
      </c>
      <c r="X1065" s="49" t="s">
        <v>214</v>
      </c>
      <c r="Y1065" s="49" t="s">
        <v>214</v>
      </c>
      <c r="Z1065" s="49" t="s">
        <v>214</v>
      </c>
      <c r="AA1065" s="55" t="s">
        <v>214</v>
      </c>
      <c r="AB1065" s="48" t="s">
        <v>214</v>
      </c>
      <c r="AC1065" s="62" t="s">
        <v>13847</v>
      </c>
      <c r="AD1065" s="53" t="str">
        <f t="shared" ref="AD1065:AD1066" si="805">HYPERLINK("https://www.pit.edu/Academic-Programs","Link")</f>
        <v>Link</v>
      </c>
      <c r="AE1065" s="54">
        <v>492</v>
      </c>
      <c r="AF1065" s="55"/>
      <c r="AG1065" s="7"/>
      <c r="AH1065" s="56">
        <v>214582</v>
      </c>
      <c r="AI1065" s="57"/>
      <c r="AJ1065" s="57"/>
    </row>
    <row r="1066" spans="1:36" ht="13" x14ac:dyDescent="0.15">
      <c r="A1066" s="57"/>
      <c r="B1066" s="78" t="s">
        <v>7298</v>
      </c>
      <c r="C1066" s="7" t="s">
        <v>43</v>
      </c>
      <c r="D1066" s="44">
        <v>5</v>
      </c>
      <c r="E1066" s="7" t="s">
        <v>13853</v>
      </c>
      <c r="F1066" s="7"/>
      <c r="G1066" s="7"/>
      <c r="H1066" s="6" t="s">
        <v>13843</v>
      </c>
      <c r="I1066" s="7" t="s">
        <v>1594</v>
      </c>
      <c r="J1066" s="7" t="s">
        <v>13855</v>
      </c>
      <c r="K1066" s="7" t="s">
        <v>48</v>
      </c>
      <c r="L1066" s="7" t="s">
        <v>13856</v>
      </c>
      <c r="M1066" s="7" t="s">
        <v>13858</v>
      </c>
      <c r="N1066" s="7"/>
      <c r="O1066" s="7"/>
      <c r="P1066" s="48" t="s">
        <v>13847</v>
      </c>
      <c r="Q1066" s="47" t="s">
        <v>1231</v>
      </c>
      <c r="R1066" s="48" t="s">
        <v>13300</v>
      </c>
      <c r="S1066" s="48" t="s">
        <v>468</v>
      </c>
      <c r="T1066" s="49" t="s">
        <v>74</v>
      </c>
      <c r="U1066" s="49" t="s">
        <v>75</v>
      </c>
      <c r="V1066" s="7"/>
      <c r="W1066" s="44">
        <v>3.05</v>
      </c>
      <c r="X1066" s="49" t="s">
        <v>214</v>
      </c>
      <c r="Y1066" s="49" t="s">
        <v>214</v>
      </c>
      <c r="Z1066" s="49" t="s">
        <v>214</v>
      </c>
      <c r="AA1066" s="55" t="s">
        <v>214</v>
      </c>
      <c r="AB1066" s="48" t="s">
        <v>214</v>
      </c>
      <c r="AC1066" s="62" t="s">
        <v>13847</v>
      </c>
      <c r="AD1066" s="53" t="str">
        <f t="shared" si="805"/>
        <v>Link</v>
      </c>
      <c r="AE1066" s="54">
        <v>492</v>
      </c>
      <c r="AF1066" s="55"/>
      <c r="AG1066" s="7"/>
      <c r="AH1066" s="56">
        <v>214582</v>
      </c>
      <c r="AI1066" s="57"/>
      <c r="AJ1066" s="57"/>
    </row>
    <row r="1067" spans="1:36" ht="15" x14ac:dyDescent="0.2">
      <c r="A1067" s="57"/>
      <c r="B1067" s="78" t="s">
        <v>7298</v>
      </c>
      <c r="C1067" s="7" t="s">
        <v>43</v>
      </c>
      <c r="D1067" s="44">
        <v>5</v>
      </c>
      <c r="E1067" s="7" t="s">
        <v>13864</v>
      </c>
      <c r="F1067" s="7"/>
      <c r="G1067" s="7"/>
      <c r="H1067" s="6" t="s">
        <v>13865</v>
      </c>
      <c r="I1067" s="7" t="s">
        <v>948</v>
      </c>
      <c r="J1067" s="7" t="s">
        <v>8372</v>
      </c>
      <c r="K1067" s="7" t="s">
        <v>48</v>
      </c>
      <c r="L1067" s="7" t="s">
        <v>13866</v>
      </c>
      <c r="M1067" s="7" t="s">
        <v>13867</v>
      </c>
      <c r="N1067" s="45" t="str">
        <f>HYPERLINK("twitter.com/upbsoftball","@upbsoftball")</f>
        <v>@upbsoftball</v>
      </c>
      <c r="O1067" s="45" t="str">
        <f>HYPERLINK("http://athletics.pittbradford.org/recruits/Baseball_Questionnaire","Questionnaire")</f>
        <v>Questionnaire</v>
      </c>
      <c r="P1067" s="48" t="s">
        <v>13872</v>
      </c>
      <c r="Q1067" s="47" t="s">
        <v>1231</v>
      </c>
      <c r="R1067" s="48" t="s">
        <v>13873</v>
      </c>
      <c r="S1067" s="60" t="s">
        <v>205</v>
      </c>
      <c r="T1067" s="49" t="s">
        <v>74</v>
      </c>
      <c r="U1067" s="49" t="s">
        <v>75</v>
      </c>
      <c r="V1067" s="7"/>
      <c r="W1067" s="44">
        <v>3.22</v>
      </c>
      <c r="X1067" s="49" t="s">
        <v>1453</v>
      </c>
      <c r="Y1067" s="49" t="s">
        <v>1144</v>
      </c>
      <c r="Z1067" s="49" t="s">
        <v>3842</v>
      </c>
      <c r="AA1067" s="61">
        <v>0.53</v>
      </c>
      <c r="AB1067" s="48" t="s">
        <v>13874</v>
      </c>
      <c r="AC1067" s="52" t="s">
        <v>13872</v>
      </c>
      <c r="AD1067" s="53" t="str">
        <f>HYPERLINK("http://www.upb.pitt.edu/academicprograms/","Link")</f>
        <v>Link</v>
      </c>
      <c r="AE1067" s="54">
        <v>1465</v>
      </c>
      <c r="AF1067" s="55"/>
      <c r="AG1067" s="7"/>
      <c r="AH1067" s="56">
        <v>215266</v>
      </c>
      <c r="AI1067" s="57"/>
      <c r="AJ1067" s="57"/>
    </row>
    <row r="1068" spans="1:36" ht="15" x14ac:dyDescent="0.2">
      <c r="A1068" s="57"/>
      <c r="B1068" s="78" t="s">
        <v>7298</v>
      </c>
      <c r="C1068" s="7" t="s">
        <v>43</v>
      </c>
      <c r="D1068" s="44">
        <v>5</v>
      </c>
      <c r="E1068" s="7" t="s">
        <v>13881</v>
      </c>
      <c r="F1068" s="7"/>
      <c r="G1068" s="7"/>
      <c r="H1068" s="6" t="s">
        <v>13882</v>
      </c>
      <c r="I1068" s="7" t="s">
        <v>421</v>
      </c>
      <c r="J1068" s="7"/>
      <c r="K1068" s="7" t="s">
        <v>48</v>
      </c>
      <c r="L1068" s="7"/>
      <c r="M1068" s="7"/>
      <c r="N1068" s="48"/>
      <c r="O1068" s="45" t="str">
        <f t="shared" ref="O1068:O1073" si="806">HYPERLINK("https://pitt.co1.qualtrics.com/jfe/form/SV_3a7iAr3sdhG05k9","Questionnaire")</f>
        <v>Questionnaire</v>
      </c>
      <c r="P1068" s="48" t="s">
        <v>13890</v>
      </c>
      <c r="Q1068" s="47" t="s">
        <v>1231</v>
      </c>
      <c r="R1068" s="48" t="s">
        <v>9893</v>
      </c>
      <c r="S1068" s="48" t="s">
        <v>172</v>
      </c>
      <c r="T1068" s="49" t="s">
        <v>74</v>
      </c>
      <c r="U1068" s="49" t="s">
        <v>75</v>
      </c>
      <c r="V1068" s="7"/>
      <c r="W1068" s="44">
        <v>3.54</v>
      </c>
      <c r="X1068" s="49" t="s">
        <v>521</v>
      </c>
      <c r="Y1068" s="49" t="s">
        <v>13891</v>
      </c>
      <c r="Z1068" s="49" t="s">
        <v>1994</v>
      </c>
      <c r="AA1068" s="61">
        <v>0.75</v>
      </c>
      <c r="AB1068" s="48" t="s">
        <v>13893</v>
      </c>
      <c r="AC1068" s="52" t="s">
        <v>13890</v>
      </c>
      <c r="AD1068" s="53" t="str">
        <f t="shared" ref="AD1068:AD1073" si="807">HYPERLINK("http://www.greensburg.pitt.edu/academics/programs","Link")</f>
        <v>Link</v>
      </c>
      <c r="AE1068" s="54">
        <v>1520</v>
      </c>
      <c r="AF1068" s="55"/>
      <c r="AG1068" s="7"/>
      <c r="AH1068" s="56">
        <v>215275</v>
      </c>
      <c r="AI1068" s="57"/>
      <c r="AJ1068" s="57"/>
    </row>
    <row r="1069" spans="1:36" ht="15" x14ac:dyDescent="0.2">
      <c r="A1069" s="57"/>
      <c r="B1069" s="78" t="s">
        <v>7298</v>
      </c>
      <c r="C1069" s="7" t="s">
        <v>43</v>
      </c>
      <c r="D1069" s="44">
        <v>5</v>
      </c>
      <c r="E1069" s="7" t="s">
        <v>13896</v>
      </c>
      <c r="F1069" s="7"/>
      <c r="G1069" s="7"/>
      <c r="H1069" s="6" t="s">
        <v>13882</v>
      </c>
      <c r="I1069" s="7" t="s">
        <v>2549</v>
      </c>
      <c r="J1069" s="7" t="s">
        <v>13897</v>
      </c>
      <c r="K1069" s="7" t="s">
        <v>55</v>
      </c>
      <c r="L1069" s="7"/>
      <c r="M1069" s="7"/>
      <c r="N1069" s="48"/>
      <c r="O1069" s="45" t="str">
        <f t="shared" si="806"/>
        <v>Questionnaire</v>
      </c>
      <c r="P1069" s="48" t="s">
        <v>13890</v>
      </c>
      <c r="Q1069" s="47" t="s">
        <v>1231</v>
      </c>
      <c r="R1069" s="48" t="s">
        <v>9893</v>
      </c>
      <c r="S1069" s="48" t="s">
        <v>172</v>
      </c>
      <c r="T1069" s="49" t="s">
        <v>74</v>
      </c>
      <c r="U1069" s="49" t="s">
        <v>75</v>
      </c>
      <c r="V1069" s="7"/>
      <c r="W1069" s="44">
        <v>3.54</v>
      </c>
      <c r="X1069" s="49" t="s">
        <v>521</v>
      </c>
      <c r="Y1069" s="49" t="s">
        <v>13891</v>
      </c>
      <c r="Z1069" s="49" t="s">
        <v>1994</v>
      </c>
      <c r="AA1069" s="61">
        <v>0.75</v>
      </c>
      <c r="AB1069" s="48" t="s">
        <v>13893</v>
      </c>
      <c r="AC1069" s="52" t="s">
        <v>13890</v>
      </c>
      <c r="AD1069" s="53" t="str">
        <f t="shared" si="807"/>
        <v>Link</v>
      </c>
      <c r="AE1069" s="54">
        <v>1520</v>
      </c>
      <c r="AF1069" s="55"/>
      <c r="AG1069" s="7"/>
      <c r="AH1069" s="56">
        <v>215275</v>
      </c>
      <c r="AI1069" s="57"/>
      <c r="AJ1069" s="57"/>
    </row>
    <row r="1070" spans="1:36" ht="15" x14ac:dyDescent="0.2">
      <c r="A1070" s="57"/>
      <c r="B1070" s="78" t="s">
        <v>7298</v>
      </c>
      <c r="C1070" s="7" t="s">
        <v>43</v>
      </c>
      <c r="D1070" s="44">
        <v>5</v>
      </c>
      <c r="E1070" s="7" t="s">
        <v>13903</v>
      </c>
      <c r="F1070" s="7"/>
      <c r="G1070" s="7"/>
      <c r="H1070" s="6" t="s">
        <v>13882</v>
      </c>
      <c r="I1070" s="7" t="s">
        <v>4710</v>
      </c>
      <c r="J1070" s="7" t="s">
        <v>13897</v>
      </c>
      <c r="K1070" s="7" t="s">
        <v>55</v>
      </c>
      <c r="L1070" s="7"/>
      <c r="M1070" s="7"/>
      <c r="N1070" s="48"/>
      <c r="O1070" s="45" t="str">
        <f t="shared" si="806"/>
        <v>Questionnaire</v>
      </c>
      <c r="P1070" s="48" t="s">
        <v>13890</v>
      </c>
      <c r="Q1070" s="47" t="s">
        <v>1231</v>
      </c>
      <c r="R1070" s="48" t="s">
        <v>9893</v>
      </c>
      <c r="S1070" s="48" t="s">
        <v>172</v>
      </c>
      <c r="T1070" s="49" t="s">
        <v>74</v>
      </c>
      <c r="U1070" s="49" t="s">
        <v>75</v>
      </c>
      <c r="V1070" s="7"/>
      <c r="W1070" s="44">
        <v>3.54</v>
      </c>
      <c r="X1070" s="49" t="s">
        <v>521</v>
      </c>
      <c r="Y1070" s="49" t="s">
        <v>13891</v>
      </c>
      <c r="Z1070" s="49" t="s">
        <v>1994</v>
      </c>
      <c r="AA1070" s="61">
        <v>0.75</v>
      </c>
      <c r="AB1070" s="48" t="s">
        <v>13893</v>
      </c>
      <c r="AC1070" s="52" t="s">
        <v>13890</v>
      </c>
      <c r="AD1070" s="53" t="str">
        <f t="shared" si="807"/>
        <v>Link</v>
      </c>
      <c r="AE1070" s="54">
        <v>1520</v>
      </c>
      <c r="AF1070" s="55"/>
      <c r="AG1070" s="7"/>
      <c r="AH1070" s="56">
        <v>215275</v>
      </c>
      <c r="AI1070" s="57"/>
      <c r="AJ1070" s="57"/>
    </row>
    <row r="1071" spans="1:36" ht="15" x14ac:dyDescent="0.2">
      <c r="A1071" s="57"/>
      <c r="B1071" s="78" t="s">
        <v>7298</v>
      </c>
      <c r="C1071" s="7" t="s">
        <v>43</v>
      </c>
      <c r="D1071" s="44">
        <v>5</v>
      </c>
      <c r="E1071" s="7" t="s">
        <v>13910</v>
      </c>
      <c r="F1071" s="7"/>
      <c r="G1071" s="7"/>
      <c r="H1071" s="6" t="s">
        <v>13882</v>
      </c>
      <c r="I1071" s="7" t="s">
        <v>13911</v>
      </c>
      <c r="J1071" s="7" t="s">
        <v>13912</v>
      </c>
      <c r="K1071" s="7" t="s">
        <v>55</v>
      </c>
      <c r="L1071" s="7"/>
      <c r="M1071" s="7"/>
      <c r="N1071" s="48"/>
      <c r="O1071" s="45" t="str">
        <f t="shared" si="806"/>
        <v>Questionnaire</v>
      </c>
      <c r="P1071" s="48" t="s">
        <v>13890</v>
      </c>
      <c r="Q1071" s="47" t="s">
        <v>1231</v>
      </c>
      <c r="R1071" s="48" t="s">
        <v>9893</v>
      </c>
      <c r="S1071" s="48" t="s">
        <v>172</v>
      </c>
      <c r="T1071" s="49" t="s">
        <v>74</v>
      </c>
      <c r="U1071" s="49" t="s">
        <v>75</v>
      </c>
      <c r="V1071" s="7"/>
      <c r="W1071" s="44">
        <v>3.54</v>
      </c>
      <c r="X1071" s="49" t="s">
        <v>521</v>
      </c>
      <c r="Y1071" s="49" t="s">
        <v>13891</v>
      </c>
      <c r="Z1071" s="49" t="s">
        <v>1994</v>
      </c>
      <c r="AA1071" s="61">
        <v>0.75</v>
      </c>
      <c r="AB1071" s="48" t="s">
        <v>13893</v>
      </c>
      <c r="AC1071" s="52" t="s">
        <v>13890</v>
      </c>
      <c r="AD1071" s="53" t="str">
        <f t="shared" si="807"/>
        <v>Link</v>
      </c>
      <c r="AE1071" s="54">
        <v>1520</v>
      </c>
      <c r="AF1071" s="55"/>
      <c r="AG1071" s="7"/>
      <c r="AH1071" s="56">
        <v>215275</v>
      </c>
      <c r="AI1071" s="57"/>
      <c r="AJ1071" s="57"/>
    </row>
    <row r="1072" spans="1:36" ht="15" x14ac:dyDescent="0.2">
      <c r="A1072" s="57"/>
      <c r="B1072" s="78" t="s">
        <v>7298</v>
      </c>
      <c r="C1072" s="7" t="s">
        <v>43</v>
      </c>
      <c r="D1072" s="44">
        <v>5</v>
      </c>
      <c r="E1072" s="7" t="s">
        <v>13919</v>
      </c>
      <c r="F1072" s="7"/>
      <c r="G1072" s="7"/>
      <c r="H1072" s="6" t="s">
        <v>13882</v>
      </c>
      <c r="I1072" s="7" t="s">
        <v>2402</v>
      </c>
      <c r="J1072" s="7" t="s">
        <v>13920</v>
      </c>
      <c r="K1072" s="7" t="s">
        <v>55</v>
      </c>
      <c r="L1072" s="7"/>
      <c r="M1072" s="7"/>
      <c r="N1072" s="48"/>
      <c r="O1072" s="45" t="str">
        <f t="shared" si="806"/>
        <v>Questionnaire</v>
      </c>
      <c r="P1072" s="48" t="s">
        <v>13890</v>
      </c>
      <c r="Q1072" s="47" t="s">
        <v>1231</v>
      </c>
      <c r="R1072" s="48" t="s">
        <v>9893</v>
      </c>
      <c r="S1072" s="48" t="s">
        <v>172</v>
      </c>
      <c r="T1072" s="49" t="s">
        <v>74</v>
      </c>
      <c r="U1072" s="49" t="s">
        <v>75</v>
      </c>
      <c r="V1072" s="7"/>
      <c r="W1072" s="44">
        <v>3.54</v>
      </c>
      <c r="X1072" s="49" t="s">
        <v>521</v>
      </c>
      <c r="Y1072" s="49" t="s">
        <v>13891</v>
      </c>
      <c r="Z1072" s="49" t="s">
        <v>1994</v>
      </c>
      <c r="AA1072" s="61">
        <v>0.75</v>
      </c>
      <c r="AB1072" s="48" t="s">
        <v>13893</v>
      </c>
      <c r="AC1072" s="52" t="s">
        <v>13890</v>
      </c>
      <c r="AD1072" s="53" t="str">
        <f t="shared" si="807"/>
        <v>Link</v>
      </c>
      <c r="AE1072" s="54">
        <v>1520</v>
      </c>
      <c r="AF1072" s="55"/>
      <c r="AG1072" s="7"/>
      <c r="AH1072" s="56">
        <v>215275</v>
      </c>
      <c r="AI1072" s="57"/>
      <c r="AJ1072" s="57"/>
    </row>
    <row r="1073" spans="1:36" ht="15" x14ac:dyDescent="0.2">
      <c r="A1073" s="57"/>
      <c r="B1073" s="78" t="s">
        <v>7298</v>
      </c>
      <c r="C1073" s="7" t="s">
        <v>43</v>
      </c>
      <c r="D1073" s="86">
        <v>5</v>
      </c>
      <c r="E1073" s="7" t="s">
        <v>13928</v>
      </c>
      <c r="F1073" s="7" t="s">
        <v>116</v>
      </c>
      <c r="G1073" s="7"/>
      <c r="H1073" s="6" t="s">
        <v>13882</v>
      </c>
      <c r="I1073" s="7" t="s">
        <v>2780</v>
      </c>
      <c r="J1073" s="7" t="s">
        <v>13931</v>
      </c>
      <c r="K1073" s="7" t="s">
        <v>48</v>
      </c>
      <c r="L1073" s="7" t="s">
        <v>13932</v>
      </c>
      <c r="M1073" s="7" t="s">
        <v>13933</v>
      </c>
      <c r="N1073" s="48"/>
      <c r="O1073" s="45" t="str">
        <f t="shared" si="806"/>
        <v>Questionnaire</v>
      </c>
      <c r="P1073" s="48" t="s">
        <v>13890</v>
      </c>
      <c r="Q1073" s="47" t="s">
        <v>1231</v>
      </c>
      <c r="R1073" s="48" t="s">
        <v>9893</v>
      </c>
      <c r="S1073" s="48" t="s">
        <v>172</v>
      </c>
      <c r="T1073" s="49" t="s">
        <v>74</v>
      </c>
      <c r="U1073" s="49" t="s">
        <v>75</v>
      </c>
      <c r="V1073" s="7"/>
      <c r="W1073" s="44">
        <v>3.54</v>
      </c>
      <c r="X1073" s="49" t="s">
        <v>521</v>
      </c>
      <c r="Y1073" s="49" t="s">
        <v>13891</v>
      </c>
      <c r="Z1073" s="49" t="s">
        <v>1994</v>
      </c>
      <c r="AA1073" s="61">
        <v>0.75</v>
      </c>
      <c r="AB1073" s="48" t="s">
        <v>13893</v>
      </c>
      <c r="AC1073" s="52" t="s">
        <v>13890</v>
      </c>
      <c r="AD1073" s="53" t="str">
        <f t="shared" si="807"/>
        <v>Link</v>
      </c>
      <c r="AE1073" s="54">
        <v>1520</v>
      </c>
      <c r="AF1073" s="55"/>
      <c r="AG1073" s="7"/>
      <c r="AH1073" s="56">
        <v>215275</v>
      </c>
      <c r="AI1073" s="57"/>
      <c r="AJ1073" s="57"/>
    </row>
    <row r="1074" spans="1:36" ht="13" x14ac:dyDescent="0.15">
      <c r="A1074" s="57"/>
      <c r="B1074" s="78" t="s">
        <v>7298</v>
      </c>
      <c r="C1074" s="7" t="s">
        <v>43</v>
      </c>
      <c r="D1074" s="44">
        <v>5</v>
      </c>
      <c r="E1074" s="7" t="s">
        <v>13936</v>
      </c>
      <c r="F1074" s="7"/>
      <c r="G1074" s="7"/>
      <c r="H1074" s="6" t="s">
        <v>13938</v>
      </c>
      <c r="I1074" s="7" t="s">
        <v>421</v>
      </c>
      <c r="J1074" s="7"/>
      <c r="K1074" s="7" t="s">
        <v>13940</v>
      </c>
      <c r="L1074" s="7"/>
      <c r="M1074" s="7"/>
      <c r="N1074" s="48"/>
      <c r="O1074" s="45" t="str">
        <f t="shared" ref="O1074:O1078" si="808">HYPERLINK("https://rosemont-ravens.com/index.aspx?path=softball","Questionnaire")</f>
        <v>Questionnaire</v>
      </c>
      <c r="P1074" s="48" t="s">
        <v>13944</v>
      </c>
      <c r="Q1074" s="60" t="s">
        <v>1231</v>
      </c>
      <c r="R1074" s="48" t="s">
        <v>13945</v>
      </c>
      <c r="S1074" s="60" t="s">
        <v>205</v>
      </c>
      <c r="T1074" s="4" t="s">
        <v>63</v>
      </c>
      <c r="U1074" s="2" t="s">
        <v>343</v>
      </c>
      <c r="V1074" s="7"/>
      <c r="W1074" s="37">
        <v>3.05</v>
      </c>
      <c r="X1074" s="49" t="s">
        <v>1947</v>
      </c>
      <c r="Y1074" s="49" t="s">
        <v>8138</v>
      </c>
      <c r="Z1074" s="49" t="s">
        <v>1400</v>
      </c>
      <c r="AA1074" s="65">
        <v>0.69</v>
      </c>
      <c r="AB1074" s="39">
        <v>33998</v>
      </c>
      <c r="AC1074" s="90" t="s">
        <v>13944</v>
      </c>
      <c r="AD1074" s="53" t="str">
        <f t="shared" ref="AD1074:AD1078" si="809">HYPERLINK("http://www.rosemont.edu/academics/undergraduate/majors/","Link")</f>
        <v>Link</v>
      </c>
      <c r="AE1074" s="42">
        <v>646</v>
      </c>
      <c r="AF1074" s="55"/>
      <c r="AG1074" s="7"/>
      <c r="AH1074" s="56">
        <v>215691</v>
      </c>
      <c r="AI1074" s="57"/>
      <c r="AJ1074" s="57"/>
    </row>
    <row r="1075" spans="1:36" ht="13" x14ac:dyDescent="0.15">
      <c r="A1075" s="57"/>
      <c r="B1075" s="78" t="s">
        <v>7298</v>
      </c>
      <c r="C1075" s="7" t="s">
        <v>43</v>
      </c>
      <c r="D1075" s="44">
        <v>5</v>
      </c>
      <c r="E1075" s="7" t="s">
        <v>13962</v>
      </c>
      <c r="F1075" s="7"/>
      <c r="G1075" s="7" t="s">
        <v>126</v>
      </c>
      <c r="H1075" s="6" t="s">
        <v>13938</v>
      </c>
      <c r="I1075" s="7" t="s">
        <v>13964</v>
      </c>
      <c r="J1075" s="7"/>
      <c r="K1075" s="7"/>
      <c r="L1075" s="7"/>
      <c r="M1075" s="7"/>
      <c r="N1075" s="48"/>
      <c r="O1075" s="45" t="str">
        <f t="shared" si="808"/>
        <v>Questionnaire</v>
      </c>
      <c r="P1075" s="48" t="s">
        <v>13944</v>
      </c>
      <c r="Q1075" s="60" t="s">
        <v>1231</v>
      </c>
      <c r="R1075" s="48" t="s">
        <v>13945</v>
      </c>
      <c r="S1075" s="60" t="s">
        <v>205</v>
      </c>
      <c r="T1075" s="4" t="s">
        <v>63</v>
      </c>
      <c r="U1075" s="2" t="s">
        <v>343</v>
      </c>
      <c r="V1075" s="7"/>
      <c r="W1075" s="37">
        <v>3.05</v>
      </c>
      <c r="X1075" s="49" t="s">
        <v>1947</v>
      </c>
      <c r="Y1075" s="49" t="s">
        <v>8138</v>
      </c>
      <c r="Z1075" s="49" t="s">
        <v>1400</v>
      </c>
      <c r="AA1075" s="65">
        <v>0.69</v>
      </c>
      <c r="AB1075" s="39">
        <v>33998</v>
      </c>
      <c r="AC1075" s="90" t="s">
        <v>13944</v>
      </c>
      <c r="AD1075" s="53" t="str">
        <f t="shared" si="809"/>
        <v>Link</v>
      </c>
      <c r="AE1075" s="42">
        <v>646</v>
      </c>
      <c r="AF1075" s="55"/>
      <c r="AG1075" s="7"/>
      <c r="AH1075" s="56">
        <v>215691</v>
      </c>
      <c r="AI1075" s="57"/>
      <c r="AJ1075" s="57"/>
    </row>
    <row r="1076" spans="1:36" ht="13" x14ac:dyDescent="0.15">
      <c r="A1076" s="57"/>
      <c r="B1076" s="78" t="s">
        <v>7298</v>
      </c>
      <c r="C1076" s="7" t="s">
        <v>43</v>
      </c>
      <c r="D1076" s="44">
        <v>5</v>
      </c>
      <c r="E1076" s="7" t="s">
        <v>13975</v>
      </c>
      <c r="F1076" s="7"/>
      <c r="G1076" s="7" t="s">
        <v>126</v>
      </c>
      <c r="H1076" s="6" t="s">
        <v>13938</v>
      </c>
      <c r="I1076" s="7" t="s">
        <v>13978</v>
      </c>
      <c r="J1076" s="7"/>
      <c r="K1076" s="7"/>
      <c r="L1076" s="7"/>
      <c r="M1076" s="7"/>
      <c r="N1076" s="48"/>
      <c r="O1076" s="45" t="str">
        <f t="shared" si="808"/>
        <v>Questionnaire</v>
      </c>
      <c r="P1076" s="48" t="s">
        <v>13944</v>
      </c>
      <c r="Q1076" s="60" t="s">
        <v>1231</v>
      </c>
      <c r="R1076" s="48" t="s">
        <v>13945</v>
      </c>
      <c r="S1076" s="60" t="s">
        <v>205</v>
      </c>
      <c r="T1076" s="4" t="s">
        <v>63</v>
      </c>
      <c r="U1076" s="2" t="s">
        <v>343</v>
      </c>
      <c r="V1076" s="7"/>
      <c r="W1076" s="37">
        <v>3.05</v>
      </c>
      <c r="X1076" s="49" t="s">
        <v>1947</v>
      </c>
      <c r="Y1076" s="49" t="s">
        <v>8138</v>
      </c>
      <c r="Z1076" s="49" t="s">
        <v>1400</v>
      </c>
      <c r="AA1076" s="65">
        <v>0.69</v>
      </c>
      <c r="AB1076" s="39">
        <v>33998</v>
      </c>
      <c r="AC1076" s="90" t="s">
        <v>13944</v>
      </c>
      <c r="AD1076" s="53" t="str">
        <f t="shared" si="809"/>
        <v>Link</v>
      </c>
      <c r="AE1076" s="42">
        <v>646</v>
      </c>
      <c r="AF1076" s="55"/>
      <c r="AG1076" s="7"/>
      <c r="AH1076" s="56">
        <v>215691</v>
      </c>
      <c r="AI1076" s="57"/>
      <c r="AJ1076" s="57"/>
    </row>
    <row r="1077" spans="1:36" ht="13" x14ac:dyDescent="0.15">
      <c r="A1077" s="57"/>
      <c r="B1077" s="78" t="s">
        <v>7298</v>
      </c>
      <c r="C1077" s="7" t="s">
        <v>43</v>
      </c>
      <c r="D1077" s="44">
        <v>5</v>
      </c>
      <c r="E1077" s="7" t="s">
        <v>13983</v>
      </c>
      <c r="F1077" s="7"/>
      <c r="G1077" s="7" t="s">
        <v>126</v>
      </c>
      <c r="H1077" s="6" t="s">
        <v>13938</v>
      </c>
      <c r="I1077" s="7" t="s">
        <v>13984</v>
      </c>
      <c r="J1077" s="7"/>
      <c r="K1077" s="7"/>
      <c r="L1077" s="7"/>
      <c r="M1077" s="7"/>
      <c r="N1077" s="48"/>
      <c r="O1077" s="45" t="str">
        <f t="shared" si="808"/>
        <v>Questionnaire</v>
      </c>
      <c r="P1077" s="48" t="s">
        <v>13944</v>
      </c>
      <c r="Q1077" s="60" t="s">
        <v>1231</v>
      </c>
      <c r="R1077" s="48" t="s">
        <v>13945</v>
      </c>
      <c r="S1077" s="60" t="s">
        <v>205</v>
      </c>
      <c r="T1077" s="4" t="s">
        <v>63</v>
      </c>
      <c r="U1077" s="2" t="s">
        <v>343</v>
      </c>
      <c r="V1077" s="7"/>
      <c r="W1077" s="37">
        <v>3.05</v>
      </c>
      <c r="X1077" s="49" t="s">
        <v>1947</v>
      </c>
      <c r="Y1077" s="49" t="s">
        <v>8138</v>
      </c>
      <c r="Z1077" s="49" t="s">
        <v>1400</v>
      </c>
      <c r="AA1077" s="65">
        <v>0.69</v>
      </c>
      <c r="AB1077" s="39">
        <v>33998</v>
      </c>
      <c r="AC1077" s="90" t="s">
        <v>13944</v>
      </c>
      <c r="AD1077" s="53" t="str">
        <f t="shared" si="809"/>
        <v>Link</v>
      </c>
      <c r="AE1077" s="42">
        <v>646</v>
      </c>
      <c r="AF1077" s="55"/>
      <c r="AG1077" s="7"/>
      <c r="AH1077" s="56">
        <v>215691</v>
      </c>
      <c r="AI1077" s="57"/>
      <c r="AJ1077" s="57"/>
    </row>
    <row r="1078" spans="1:36" ht="13" x14ac:dyDescent="0.15">
      <c r="A1078" s="57"/>
      <c r="B1078" s="78" t="s">
        <v>7298</v>
      </c>
      <c r="C1078" s="7" t="s">
        <v>43</v>
      </c>
      <c r="D1078" s="86">
        <v>5</v>
      </c>
      <c r="E1078" s="7" t="s">
        <v>13988</v>
      </c>
      <c r="F1078" s="7" t="s">
        <v>116</v>
      </c>
      <c r="G1078" s="7"/>
      <c r="H1078" s="6" t="s">
        <v>13938</v>
      </c>
      <c r="I1078" s="7" t="s">
        <v>2806</v>
      </c>
      <c r="J1078" s="7" t="s">
        <v>13989</v>
      </c>
      <c r="K1078" s="7" t="s">
        <v>13990</v>
      </c>
      <c r="L1078" s="7" t="s">
        <v>13991</v>
      </c>
      <c r="M1078" s="7" t="s">
        <v>13992</v>
      </c>
      <c r="N1078" s="48"/>
      <c r="O1078" s="45" t="str">
        <f t="shared" si="808"/>
        <v>Questionnaire</v>
      </c>
      <c r="P1078" s="48" t="s">
        <v>13944</v>
      </c>
      <c r="Q1078" s="60" t="s">
        <v>1231</v>
      </c>
      <c r="R1078" s="48" t="s">
        <v>13945</v>
      </c>
      <c r="S1078" s="60" t="s">
        <v>205</v>
      </c>
      <c r="T1078" s="4" t="s">
        <v>63</v>
      </c>
      <c r="U1078" s="4" t="s">
        <v>343</v>
      </c>
      <c r="V1078" s="7"/>
      <c r="W1078" s="37">
        <v>3.05</v>
      </c>
      <c r="X1078" s="49" t="s">
        <v>1947</v>
      </c>
      <c r="Y1078" s="49" t="s">
        <v>8138</v>
      </c>
      <c r="Z1078" s="49" t="s">
        <v>1400</v>
      </c>
      <c r="AA1078" s="65">
        <v>0.69</v>
      </c>
      <c r="AB1078" s="39">
        <v>33998</v>
      </c>
      <c r="AC1078" s="90" t="s">
        <v>13944</v>
      </c>
      <c r="AD1078" s="53" t="str">
        <f t="shared" si="809"/>
        <v>Link</v>
      </c>
      <c r="AE1078" s="42">
        <v>646</v>
      </c>
      <c r="AF1078" s="55"/>
      <c r="AG1078" s="7"/>
      <c r="AH1078" s="56">
        <v>215691</v>
      </c>
      <c r="AI1078" s="57"/>
      <c r="AJ1078" s="57"/>
    </row>
    <row r="1079" spans="1:36" ht="13" x14ac:dyDescent="0.15">
      <c r="A1079" s="57"/>
      <c r="B1079" s="78" t="s">
        <v>7298</v>
      </c>
      <c r="C1079" s="7" t="s">
        <v>43</v>
      </c>
      <c r="D1079" s="44">
        <v>5</v>
      </c>
      <c r="E1079" s="7" t="s">
        <v>13996</v>
      </c>
      <c r="F1079" s="7"/>
      <c r="G1079" s="7"/>
      <c r="H1079" s="6" t="s">
        <v>13998</v>
      </c>
      <c r="I1079" s="7" t="s">
        <v>4644</v>
      </c>
      <c r="J1079" s="7" t="s">
        <v>13999</v>
      </c>
      <c r="K1079" s="7" t="s">
        <v>48</v>
      </c>
      <c r="L1079" s="7" t="s">
        <v>14001</v>
      </c>
      <c r="M1079" s="7" t="s">
        <v>14002</v>
      </c>
      <c r="N1079" s="48"/>
      <c r="O1079" s="45" t="str">
        <f t="shared" ref="O1079:O1081" si="810">HYPERLINK("https://athletics.scranton.edu/Sports_Information/Recruiting_Questionnaire","Questionnaire")</f>
        <v>Questionnaire</v>
      </c>
      <c r="P1079" s="48" t="s">
        <v>13366</v>
      </c>
      <c r="Q1079" s="60" t="s">
        <v>1231</v>
      </c>
      <c r="R1079" s="48" t="s">
        <v>13366</v>
      </c>
      <c r="S1079" s="48" t="s">
        <v>238</v>
      </c>
      <c r="T1079" s="49" t="s">
        <v>63</v>
      </c>
      <c r="U1079" s="49" t="s">
        <v>343</v>
      </c>
      <c r="V1079" s="7"/>
      <c r="W1079" s="44">
        <v>3.49</v>
      </c>
      <c r="X1079" s="49" t="s">
        <v>5022</v>
      </c>
      <c r="Y1079" s="49" t="s">
        <v>1230</v>
      </c>
      <c r="Z1079" s="49" t="s">
        <v>78</v>
      </c>
      <c r="AA1079" s="61">
        <v>0.75</v>
      </c>
      <c r="AB1079" s="71">
        <v>59594</v>
      </c>
      <c r="AC1079" s="62" t="s">
        <v>13366</v>
      </c>
      <c r="AD1079" s="53" t="str">
        <f t="shared" ref="AD1079:AD1081" si="811">HYPERLINK("http://admissions.scranton.edu/academic-programs/majors-minors/index.shtml","Link")</f>
        <v>Link</v>
      </c>
      <c r="AE1079" s="54">
        <v>3867</v>
      </c>
      <c r="AF1079" s="55"/>
      <c r="AG1079" s="7"/>
      <c r="AH1079" s="56">
        <v>215929</v>
      </c>
      <c r="AI1079" s="57"/>
      <c r="AJ1079" s="57"/>
    </row>
    <row r="1080" spans="1:36" ht="13" x14ac:dyDescent="0.15">
      <c r="A1080" s="57"/>
      <c r="B1080" s="78" t="s">
        <v>7298</v>
      </c>
      <c r="C1080" s="7" t="s">
        <v>43</v>
      </c>
      <c r="D1080" s="44">
        <v>5</v>
      </c>
      <c r="E1080" s="7" t="s">
        <v>14013</v>
      </c>
      <c r="F1080" s="7"/>
      <c r="G1080" s="7"/>
      <c r="H1080" s="6" t="s">
        <v>13998</v>
      </c>
      <c r="I1080" s="7" t="s">
        <v>10332</v>
      </c>
      <c r="J1080" s="7" t="s">
        <v>263</v>
      </c>
      <c r="K1080" s="7" t="s">
        <v>55</v>
      </c>
      <c r="L1080" s="7" t="s">
        <v>14014</v>
      </c>
      <c r="M1080" s="7" t="s">
        <v>14015</v>
      </c>
      <c r="N1080" s="48"/>
      <c r="O1080" s="45" t="str">
        <f t="shared" si="810"/>
        <v>Questionnaire</v>
      </c>
      <c r="P1080" s="48" t="s">
        <v>13366</v>
      </c>
      <c r="Q1080" s="60" t="s">
        <v>1231</v>
      </c>
      <c r="R1080" s="48" t="s">
        <v>13366</v>
      </c>
      <c r="S1080" s="48" t="s">
        <v>238</v>
      </c>
      <c r="T1080" s="49" t="s">
        <v>63</v>
      </c>
      <c r="U1080" s="49" t="s">
        <v>343</v>
      </c>
      <c r="V1080" s="7"/>
      <c r="W1080" s="44">
        <v>3.49</v>
      </c>
      <c r="X1080" s="49" t="s">
        <v>5022</v>
      </c>
      <c r="Y1080" s="49" t="s">
        <v>1230</v>
      </c>
      <c r="Z1080" s="49" t="s">
        <v>78</v>
      </c>
      <c r="AA1080" s="61">
        <v>0.75</v>
      </c>
      <c r="AB1080" s="71">
        <v>59594</v>
      </c>
      <c r="AC1080" s="62" t="s">
        <v>13366</v>
      </c>
      <c r="AD1080" s="53" t="str">
        <f t="shared" si="811"/>
        <v>Link</v>
      </c>
      <c r="AE1080" s="54">
        <v>3867</v>
      </c>
      <c r="AF1080" s="55"/>
      <c r="AG1080" s="7"/>
      <c r="AH1080" s="56">
        <v>215929</v>
      </c>
      <c r="AI1080" s="57"/>
      <c r="AJ1080" s="57"/>
    </row>
    <row r="1081" spans="1:36" ht="13" x14ac:dyDescent="0.15">
      <c r="A1081" s="57"/>
      <c r="B1081" s="78" t="s">
        <v>7298</v>
      </c>
      <c r="C1081" s="7" t="s">
        <v>43</v>
      </c>
      <c r="D1081" s="44">
        <v>5</v>
      </c>
      <c r="E1081" s="7" t="s">
        <v>14022</v>
      </c>
      <c r="F1081" s="7"/>
      <c r="G1081" s="7"/>
      <c r="H1081" s="6" t="s">
        <v>13998</v>
      </c>
      <c r="I1081" s="7" t="s">
        <v>1954</v>
      </c>
      <c r="J1081" s="7" t="s">
        <v>3567</v>
      </c>
      <c r="K1081" s="7" t="s">
        <v>55</v>
      </c>
      <c r="L1081" s="7" t="s">
        <v>14025</v>
      </c>
      <c r="M1081" s="7" t="s">
        <v>14002</v>
      </c>
      <c r="N1081" s="48"/>
      <c r="O1081" s="45" t="str">
        <f t="shared" si="810"/>
        <v>Questionnaire</v>
      </c>
      <c r="P1081" s="48" t="s">
        <v>13366</v>
      </c>
      <c r="Q1081" s="60" t="s">
        <v>1231</v>
      </c>
      <c r="R1081" s="48" t="s">
        <v>13366</v>
      </c>
      <c r="S1081" s="48" t="s">
        <v>238</v>
      </c>
      <c r="T1081" s="49" t="s">
        <v>63</v>
      </c>
      <c r="U1081" s="49" t="s">
        <v>343</v>
      </c>
      <c r="V1081" s="7"/>
      <c r="W1081" s="44">
        <v>3.49</v>
      </c>
      <c r="X1081" s="49" t="s">
        <v>5022</v>
      </c>
      <c r="Y1081" s="49" t="s">
        <v>1230</v>
      </c>
      <c r="Z1081" s="49" t="s">
        <v>78</v>
      </c>
      <c r="AA1081" s="61">
        <v>0.75</v>
      </c>
      <c r="AB1081" s="71">
        <v>59594</v>
      </c>
      <c r="AC1081" s="62" t="s">
        <v>13366</v>
      </c>
      <c r="AD1081" s="53" t="str">
        <f t="shared" si="811"/>
        <v>Link</v>
      </c>
      <c r="AE1081" s="54">
        <v>3867</v>
      </c>
      <c r="AF1081" s="55"/>
      <c r="AG1081" s="7"/>
      <c r="AH1081" s="56">
        <v>215929</v>
      </c>
      <c r="AI1081" s="57"/>
      <c r="AJ1081" s="57"/>
    </row>
    <row r="1082" spans="1:36" ht="13" x14ac:dyDescent="0.15">
      <c r="A1082" s="57"/>
      <c r="B1082" s="78" t="s">
        <v>7298</v>
      </c>
      <c r="C1082" s="7" t="s">
        <v>43</v>
      </c>
      <c r="D1082" s="44">
        <v>5</v>
      </c>
      <c r="E1082" s="7" t="s">
        <v>14032</v>
      </c>
      <c r="F1082" s="7"/>
      <c r="G1082" s="7"/>
      <c r="H1082" s="6" t="s">
        <v>14034</v>
      </c>
      <c r="I1082" s="7" t="s">
        <v>1052</v>
      </c>
      <c r="J1082" s="7" t="s">
        <v>14035</v>
      </c>
      <c r="K1082" s="7" t="s">
        <v>48</v>
      </c>
      <c r="L1082" s="7" t="s">
        <v>14036</v>
      </c>
      <c r="M1082" s="7" t="s">
        <v>14037</v>
      </c>
      <c r="N1082" s="45" t="str">
        <f t="shared" ref="N1082:N1083" si="812">HYPERLINK("twitter.com/softballstvm","@softballstvm")</f>
        <v>@softballstvm</v>
      </c>
      <c r="O1082" s="45" t="str">
        <f t="shared" ref="O1082:O1083" si="813">HYPERLINK("https://athletics.stvincent.edu/sb_output.aspx?form=3&amp;path=wsoc","Questionnaire")</f>
        <v>Questionnaire</v>
      </c>
      <c r="P1082" s="48" t="s">
        <v>14043</v>
      </c>
      <c r="Q1082" s="47" t="s">
        <v>1231</v>
      </c>
      <c r="R1082" s="48" t="s">
        <v>14044</v>
      </c>
      <c r="S1082" s="60" t="s">
        <v>205</v>
      </c>
      <c r="T1082" s="73" t="s">
        <v>63</v>
      </c>
      <c r="U1082" s="49" t="s">
        <v>343</v>
      </c>
      <c r="V1082" s="7"/>
      <c r="W1082" s="44">
        <v>3.56</v>
      </c>
      <c r="X1082" s="49" t="s">
        <v>2341</v>
      </c>
      <c r="Y1082" s="49" t="s">
        <v>2341</v>
      </c>
      <c r="Z1082" s="49" t="s">
        <v>278</v>
      </c>
      <c r="AA1082" s="61">
        <v>0.66</v>
      </c>
      <c r="AB1082" s="71">
        <v>47581</v>
      </c>
      <c r="AC1082" s="62" t="s">
        <v>14043</v>
      </c>
      <c r="AD1082" s="53" t="str">
        <f t="shared" ref="AD1082:AD1083" si="814">HYPERLINK("http://www.stvincent.edu/academics/majors-and-programs","Link")</f>
        <v>Link</v>
      </c>
      <c r="AE1082" s="54">
        <v>1646</v>
      </c>
      <c r="AF1082" s="55"/>
      <c r="AG1082" s="44">
        <v>147</v>
      </c>
      <c r="AH1082" s="56">
        <v>215798</v>
      </c>
      <c r="AI1082" s="57"/>
      <c r="AJ1082" s="57"/>
    </row>
    <row r="1083" spans="1:36" ht="13" x14ac:dyDescent="0.15">
      <c r="A1083" s="57"/>
      <c r="B1083" s="78" t="s">
        <v>7298</v>
      </c>
      <c r="C1083" s="7" t="s">
        <v>43</v>
      </c>
      <c r="D1083" s="44">
        <v>5</v>
      </c>
      <c r="E1083" s="7" t="s">
        <v>14053</v>
      </c>
      <c r="F1083" s="7"/>
      <c r="G1083" s="7"/>
      <c r="H1083" s="6" t="s">
        <v>14034</v>
      </c>
      <c r="I1083" s="7" t="s">
        <v>2739</v>
      </c>
      <c r="J1083" s="7" t="s">
        <v>14056</v>
      </c>
      <c r="K1083" s="7" t="s">
        <v>55</v>
      </c>
      <c r="L1083" s="7" t="s">
        <v>14057</v>
      </c>
      <c r="M1083" s="7" t="s">
        <v>14037</v>
      </c>
      <c r="N1083" s="45" t="str">
        <f t="shared" si="812"/>
        <v>@softballstvm</v>
      </c>
      <c r="O1083" s="45" t="str">
        <f t="shared" si="813"/>
        <v>Questionnaire</v>
      </c>
      <c r="P1083" s="48" t="s">
        <v>14043</v>
      </c>
      <c r="Q1083" s="47" t="s">
        <v>1231</v>
      </c>
      <c r="R1083" s="48" t="s">
        <v>14044</v>
      </c>
      <c r="S1083" s="60" t="s">
        <v>205</v>
      </c>
      <c r="T1083" s="73" t="s">
        <v>63</v>
      </c>
      <c r="U1083" s="49" t="s">
        <v>343</v>
      </c>
      <c r="V1083" s="7"/>
      <c r="W1083" s="44">
        <v>3.56</v>
      </c>
      <c r="X1083" s="49" t="s">
        <v>2341</v>
      </c>
      <c r="Y1083" s="49" t="s">
        <v>2341</v>
      </c>
      <c r="Z1083" s="49" t="s">
        <v>278</v>
      </c>
      <c r="AA1083" s="61">
        <v>0.66</v>
      </c>
      <c r="AB1083" s="71">
        <v>47581</v>
      </c>
      <c r="AC1083" s="62" t="s">
        <v>14043</v>
      </c>
      <c r="AD1083" s="53" t="str">
        <f t="shared" si="814"/>
        <v>Link</v>
      </c>
      <c r="AE1083" s="54">
        <v>1646</v>
      </c>
      <c r="AF1083" s="55"/>
      <c r="AG1083" s="44">
        <v>147</v>
      </c>
      <c r="AH1083" s="56">
        <v>215798</v>
      </c>
      <c r="AI1083" s="57"/>
      <c r="AJ1083" s="57"/>
    </row>
    <row r="1084" spans="1:36" ht="13" x14ac:dyDescent="0.15">
      <c r="A1084" s="57"/>
      <c r="B1084" s="78" t="s">
        <v>7298</v>
      </c>
      <c r="C1084" s="7" t="s">
        <v>43</v>
      </c>
      <c r="D1084" s="44">
        <v>5</v>
      </c>
      <c r="E1084" s="7" t="s">
        <v>14065</v>
      </c>
      <c r="F1084" s="7"/>
      <c r="G1084" s="7"/>
      <c r="H1084" s="6" t="s">
        <v>14066</v>
      </c>
      <c r="I1084" s="7" t="s">
        <v>2705</v>
      </c>
      <c r="J1084" s="7" t="s">
        <v>14068</v>
      </c>
      <c r="K1084" s="7" t="s">
        <v>48</v>
      </c>
      <c r="L1084" s="7" t="s">
        <v>14069</v>
      </c>
      <c r="M1084" s="7" t="s">
        <v>14071</v>
      </c>
      <c r="N1084" s="45" t="str">
        <f t="shared" ref="N1084:N1086" si="815">HYPERLINK("twitter.com/susqusoftball","@susqusoftball")</f>
        <v>@susqusoftball</v>
      </c>
      <c r="O1084" s="45" t="str">
        <f t="shared" ref="O1084:O1086" si="816">HYPERLINK("https://www.frontrush.com/FR_Web_App/Player/PlayerSubmit.aspx?sid=811&amp;ptype=recruit","Questionnaire")</f>
        <v>Questionnaire</v>
      </c>
      <c r="P1084" s="48" t="s">
        <v>14078</v>
      </c>
      <c r="Q1084" s="47" t="s">
        <v>1231</v>
      </c>
      <c r="R1084" s="48" t="s">
        <v>14079</v>
      </c>
      <c r="S1084" s="60" t="s">
        <v>205</v>
      </c>
      <c r="T1084" s="73" t="s">
        <v>63</v>
      </c>
      <c r="U1084" s="49" t="s">
        <v>318</v>
      </c>
      <c r="V1084" s="7"/>
      <c r="W1084" s="44">
        <v>3.49</v>
      </c>
      <c r="X1084" s="49" t="s">
        <v>76</v>
      </c>
      <c r="Y1084" s="49" t="s">
        <v>5022</v>
      </c>
      <c r="Z1084" s="49" t="s">
        <v>3287</v>
      </c>
      <c r="AA1084" s="61">
        <v>0.68</v>
      </c>
      <c r="AB1084" s="71">
        <v>57580</v>
      </c>
      <c r="AC1084" s="62" t="s">
        <v>14078</v>
      </c>
      <c r="AD1084" s="53" t="str">
        <f t="shared" ref="AD1084:AD1086" si="817">HYPERLINK("https://www.susqu.edu/academics/majors-and-minors","Link")</f>
        <v>Link</v>
      </c>
      <c r="AE1084" s="54">
        <v>2195</v>
      </c>
      <c r="AF1084" s="55"/>
      <c r="AG1084" s="44">
        <v>141</v>
      </c>
      <c r="AH1084" s="56">
        <v>216278</v>
      </c>
      <c r="AI1084" s="57"/>
      <c r="AJ1084" s="57"/>
    </row>
    <row r="1085" spans="1:36" ht="13" x14ac:dyDescent="0.15">
      <c r="A1085" s="57"/>
      <c r="B1085" s="78" t="s">
        <v>7298</v>
      </c>
      <c r="C1085" s="7" t="s">
        <v>43</v>
      </c>
      <c r="D1085" s="44">
        <v>5</v>
      </c>
      <c r="E1085" s="7" t="s">
        <v>14086</v>
      </c>
      <c r="F1085" s="7"/>
      <c r="G1085" s="7" t="s">
        <v>126</v>
      </c>
      <c r="H1085" s="6" t="s">
        <v>14066</v>
      </c>
      <c r="I1085" s="7" t="s">
        <v>14087</v>
      </c>
      <c r="J1085" s="7"/>
      <c r="K1085" s="7"/>
      <c r="L1085" s="7"/>
      <c r="M1085" s="7"/>
      <c r="N1085" s="45" t="str">
        <f t="shared" si="815"/>
        <v>@susqusoftball</v>
      </c>
      <c r="O1085" s="45" t="str">
        <f t="shared" si="816"/>
        <v>Questionnaire</v>
      </c>
      <c r="P1085" s="48" t="s">
        <v>14078</v>
      </c>
      <c r="Q1085" s="47" t="s">
        <v>1231</v>
      </c>
      <c r="R1085" s="48" t="s">
        <v>14079</v>
      </c>
      <c r="S1085" s="60" t="s">
        <v>205</v>
      </c>
      <c r="T1085" s="73" t="s">
        <v>63</v>
      </c>
      <c r="U1085" s="49" t="s">
        <v>318</v>
      </c>
      <c r="V1085" s="7"/>
      <c r="W1085" s="44">
        <v>3.49</v>
      </c>
      <c r="X1085" s="49" t="s">
        <v>76</v>
      </c>
      <c r="Y1085" s="49" t="s">
        <v>5022</v>
      </c>
      <c r="Z1085" s="49" t="s">
        <v>3287</v>
      </c>
      <c r="AA1085" s="61">
        <v>0.68</v>
      </c>
      <c r="AB1085" s="71">
        <v>57580</v>
      </c>
      <c r="AC1085" s="62" t="s">
        <v>14078</v>
      </c>
      <c r="AD1085" s="53" t="str">
        <f t="shared" si="817"/>
        <v>Link</v>
      </c>
      <c r="AE1085" s="54">
        <v>2195</v>
      </c>
      <c r="AF1085" s="55"/>
      <c r="AG1085" s="44">
        <v>141</v>
      </c>
      <c r="AH1085" s="56">
        <v>216278</v>
      </c>
      <c r="AI1085" s="57"/>
      <c r="AJ1085" s="57"/>
    </row>
    <row r="1086" spans="1:36" ht="13" x14ac:dyDescent="0.15">
      <c r="A1086" s="57"/>
      <c r="B1086" s="78" t="s">
        <v>7298</v>
      </c>
      <c r="C1086" s="7" t="s">
        <v>43</v>
      </c>
      <c r="D1086" s="44">
        <v>5</v>
      </c>
      <c r="E1086" s="7" t="s">
        <v>14095</v>
      </c>
      <c r="F1086" s="7"/>
      <c r="G1086" s="7"/>
      <c r="H1086" s="6" t="s">
        <v>14066</v>
      </c>
      <c r="I1086" s="7" t="s">
        <v>6840</v>
      </c>
      <c r="J1086" s="7" t="s">
        <v>3701</v>
      </c>
      <c r="K1086" s="7" t="s">
        <v>919</v>
      </c>
      <c r="L1086" s="7" t="s">
        <v>14096</v>
      </c>
      <c r="M1086" s="7"/>
      <c r="N1086" s="45" t="str">
        <f t="shared" si="815"/>
        <v>@susqusoftball</v>
      </c>
      <c r="O1086" s="45" t="str">
        <f t="shared" si="816"/>
        <v>Questionnaire</v>
      </c>
      <c r="P1086" s="48" t="s">
        <v>14078</v>
      </c>
      <c r="Q1086" s="47" t="s">
        <v>1231</v>
      </c>
      <c r="R1086" s="48" t="s">
        <v>14079</v>
      </c>
      <c r="S1086" s="60" t="s">
        <v>205</v>
      </c>
      <c r="T1086" s="73" t="s">
        <v>63</v>
      </c>
      <c r="U1086" s="49" t="s">
        <v>318</v>
      </c>
      <c r="V1086" s="7"/>
      <c r="W1086" s="44">
        <v>3.49</v>
      </c>
      <c r="X1086" s="49" t="s">
        <v>76</v>
      </c>
      <c r="Y1086" s="49" t="s">
        <v>5022</v>
      </c>
      <c r="Z1086" s="49" t="s">
        <v>3287</v>
      </c>
      <c r="AA1086" s="61">
        <v>0.68</v>
      </c>
      <c r="AB1086" s="71">
        <v>57580</v>
      </c>
      <c r="AC1086" s="62" t="s">
        <v>14078</v>
      </c>
      <c r="AD1086" s="53" t="str">
        <f t="shared" si="817"/>
        <v>Link</v>
      </c>
      <c r="AE1086" s="54">
        <v>2195</v>
      </c>
      <c r="AF1086" s="55"/>
      <c r="AG1086" s="44">
        <v>141</v>
      </c>
      <c r="AH1086" s="56">
        <v>216278</v>
      </c>
      <c r="AI1086" s="57"/>
      <c r="AJ1086" s="57"/>
    </row>
    <row r="1087" spans="1:36" ht="13" x14ac:dyDescent="0.15">
      <c r="A1087" s="57"/>
      <c r="B1087" s="78" t="s">
        <v>7298</v>
      </c>
      <c r="C1087" s="7" t="s">
        <v>43</v>
      </c>
      <c r="D1087" s="44">
        <v>5</v>
      </c>
      <c r="E1087" s="7" t="s">
        <v>14102</v>
      </c>
      <c r="F1087" s="7"/>
      <c r="G1087" s="7"/>
      <c r="H1087" s="6" t="s">
        <v>14103</v>
      </c>
      <c r="I1087" s="7" t="s">
        <v>1163</v>
      </c>
      <c r="J1087" s="7" t="s">
        <v>14104</v>
      </c>
      <c r="K1087" s="7" t="s">
        <v>48</v>
      </c>
      <c r="L1087" s="7" t="s">
        <v>14105</v>
      </c>
      <c r="M1087" s="7" t="s">
        <v>14106</v>
      </c>
      <c r="N1087" s="45" t="str">
        <f t="shared" ref="N1087:N1090" si="818">HYPERLINK("twitter.com/swatsoftball_","@swatsoftball_")</f>
        <v>@swatsoftball_</v>
      </c>
      <c r="O1087" s="45" t="str">
        <f t="shared" ref="O1087:O1090" si="819">HYPERLINK("https://swarthmoreathletics.com/sb_output.aspx?frform=12&amp;path=softball","Questionnaire")</f>
        <v>Questionnaire</v>
      </c>
      <c r="P1087" s="48" t="s">
        <v>14109</v>
      </c>
      <c r="Q1087" s="60" t="s">
        <v>1231</v>
      </c>
      <c r="R1087" s="48" t="s">
        <v>14109</v>
      </c>
      <c r="S1087" s="60" t="s">
        <v>205</v>
      </c>
      <c r="T1087" s="49" t="s">
        <v>63</v>
      </c>
      <c r="U1087" s="49" t="s">
        <v>75</v>
      </c>
      <c r="V1087" s="7"/>
      <c r="W1087" s="44">
        <v>4.04</v>
      </c>
      <c r="X1087" s="49" t="s">
        <v>14113</v>
      </c>
      <c r="Y1087" s="49" t="s">
        <v>1539</v>
      </c>
      <c r="Z1087" s="49" t="s">
        <v>889</v>
      </c>
      <c r="AA1087" s="61">
        <v>0.13</v>
      </c>
      <c r="AB1087" s="71">
        <v>66549</v>
      </c>
      <c r="AC1087" s="62" t="s">
        <v>14109</v>
      </c>
      <c r="AD1087" s="53" t="str">
        <f t="shared" ref="AD1087:AD1090" si="820">HYPERLINK("https://www.swarthmore.edu/academics","Link")</f>
        <v>Link</v>
      </c>
      <c r="AE1087" s="54">
        <v>1543</v>
      </c>
      <c r="AF1087" s="55"/>
      <c r="AG1087" s="44">
        <v>3</v>
      </c>
      <c r="AH1087" s="56">
        <v>216287</v>
      </c>
      <c r="AI1087" s="57"/>
      <c r="AJ1087" s="57"/>
    </row>
    <row r="1088" spans="1:36" ht="13" x14ac:dyDescent="0.15">
      <c r="A1088" s="57"/>
      <c r="B1088" s="78" t="s">
        <v>7298</v>
      </c>
      <c r="C1088" s="7" t="s">
        <v>43</v>
      </c>
      <c r="D1088" s="44">
        <v>5</v>
      </c>
      <c r="E1088" s="7" t="s">
        <v>14116</v>
      </c>
      <c r="F1088" s="7"/>
      <c r="G1088" s="7"/>
      <c r="H1088" s="6" t="s">
        <v>14103</v>
      </c>
      <c r="I1088" s="7" t="s">
        <v>754</v>
      </c>
      <c r="J1088" s="7" t="s">
        <v>14118</v>
      </c>
      <c r="K1088" s="7" t="s">
        <v>55</v>
      </c>
      <c r="L1088" s="7"/>
      <c r="M1088" s="7"/>
      <c r="N1088" s="45" t="str">
        <f t="shared" si="818"/>
        <v>@swatsoftball_</v>
      </c>
      <c r="O1088" s="45" t="str">
        <f t="shared" si="819"/>
        <v>Questionnaire</v>
      </c>
      <c r="P1088" s="48" t="s">
        <v>14109</v>
      </c>
      <c r="Q1088" s="60" t="s">
        <v>1231</v>
      </c>
      <c r="R1088" s="48" t="s">
        <v>14109</v>
      </c>
      <c r="S1088" s="60" t="s">
        <v>205</v>
      </c>
      <c r="T1088" s="49" t="s">
        <v>63</v>
      </c>
      <c r="U1088" s="49" t="s">
        <v>75</v>
      </c>
      <c r="V1088" s="7"/>
      <c r="W1088" s="44">
        <v>4.04</v>
      </c>
      <c r="X1088" s="49" t="s">
        <v>14113</v>
      </c>
      <c r="Y1088" s="49" t="s">
        <v>1539</v>
      </c>
      <c r="Z1088" s="49" t="s">
        <v>889</v>
      </c>
      <c r="AA1088" s="61">
        <v>0.13</v>
      </c>
      <c r="AB1088" s="71">
        <v>66549</v>
      </c>
      <c r="AC1088" s="62" t="s">
        <v>14109</v>
      </c>
      <c r="AD1088" s="53" t="str">
        <f t="shared" si="820"/>
        <v>Link</v>
      </c>
      <c r="AE1088" s="54">
        <v>1543</v>
      </c>
      <c r="AF1088" s="55"/>
      <c r="AG1088" s="44">
        <v>3</v>
      </c>
      <c r="AH1088" s="56">
        <v>216287</v>
      </c>
      <c r="AI1088" s="57"/>
      <c r="AJ1088" s="57"/>
    </row>
    <row r="1089" spans="1:36" ht="13" x14ac:dyDescent="0.15">
      <c r="A1089" s="57"/>
      <c r="B1089" s="78" t="s">
        <v>7298</v>
      </c>
      <c r="C1089" s="7" t="s">
        <v>43</v>
      </c>
      <c r="D1089" s="44">
        <v>5</v>
      </c>
      <c r="E1089" s="7" t="s">
        <v>14123</v>
      </c>
      <c r="F1089" s="7"/>
      <c r="G1089" s="7"/>
      <c r="H1089" s="6" t="s">
        <v>14103</v>
      </c>
      <c r="I1089" s="7" t="s">
        <v>1092</v>
      </c>
      <c r="J1089" s="7" t="s">
        <v>423</v>
      </c>
      <c r="K1089" s="7" t="s">
        <v>55</v>
      </c>
      <c r="L1089" s="7"/>
      <c r="M1089" s="7"/>
      <c r="N1089" s="45" t="str">
        <f t="shared" si="818"/>
        <v>@swatsoftball_</v>
      </c>
      <c r="O1089" s="45" t="str">
        <f t="shared" si="819"/>
        <v>Questionnaire</v>
      </c>
      <c r="P1089" s="48" t="s">
        <v>14109</v>
      </c>
      <c r="Q1089" s="60" t="s">
        <v>1231</v>
      </c>
      <c r="R1089" s="48" t="s">
        <v>14109</v>
      </c>
      <c r="S1089" s="60" t="s">
        <v>205</v>
      </c>
      <c r="T1089" s="49" t="s">
        <v>63</v>
      </c>
      <c r="U1089" s="49" t="s">
        <v>75</v>
      </c>
      <c r="V1089" s="7"/>
      <c r="W1089" s="44">
        <v>4.04</v>
      </c>
      <c r="X1089" s="49" t="s">
        <v>14113</v>
      </c>
      <c r="Y1089" s="49" t="s">
        <v>1539</v>
      </c>
      <c r="Z1089" s="49" t="s">
        <v>889</v>
      </c>
      <c r="AA1089" s="61">
        <v>0.13</v>
      </c>
      <c r="AB1089" s="71">
        <v>66549</v>
      </c>
      <c r="AC1089" s="62" t="s">
        <v>14109</v>
      </c>
      <c r="AD1089" s="53" t="str">
        <f t="shared" si="820"/>
        <v>Link</v>
      </c>
      <c r="AE1089" s="54">
        <v>1543</v>
      </c>
      <c r="AF1089" s="55"/>
      <c r="AG1089" s="44">
        <v>3</v>
      </c>
      <c r="AH1089" s="56">
        <v>216287</v>
      </c>
      <c r="AI1089" s="57"/>
      <c r="AJ1089" s="57"/>
    </row>
    <row r="1090" spans="1:36" ht="13" x14ac:dyDescent="0.15">
      <c r="A1090" s="57"/>
      <c r="B1090" s="78" t="s">
        <v>7298</v>
      </c>
      <c r="C1090" s="7" t="s">
        <v>43</v>
      </c>
      <c r="D1090" s="44">
        <v>5</v>
      </c>
      <c r="E1090" s="7" t="s">
        <v>14127</v>
      </c>
      <c r="F1090" s="7"/>
      <c r="G1090" s="7"/>
      <c r="H1090" s="6" t="s">
        <v>14103</v>
      </c>
      <c r="I1090" s="7" t="s">
        <v>14130</v>
      </c>
      <c r="J1090" s="7" t="s">
        <v>14131</v>
      </c>
      <c r="K1090" s="7" t="s">
        <v>55</v>
      </c>
      <c r="L1090" s="7"/>
      <c r="M1090" s="7"/>
      <c r="N1090" s="45" t="str">
        <f t="shared" si="818"/>
        <v>@swatsoftball_</v>
      </c>
      <c r="O1090" s="45" t="str">
        <f t="shared" si="819"/>
        <v>Questionnaire</v>
      </c>
      <c r="P1090" s="48" t="s">
        <v>14109</v>
      </c>
      <c r="Q1090" s="60" t="s">
        <v>1231</v>
      </c>
      <c r="R1090" s="48" t="s">
        <v>14109</v>
      </c>
      <c r="S1090" s="60" t="s">
        <v>205</v>
      </c>
      <c r="T1090" s="49" t="s">
        <v>63</v>
      </c>
      <c r="U1090" s="49" t="s">
        <v>75</v>
      </c>
      <c r="V1090" s="7"/>
      <c r="W1090" s="44">
        <v>4.04</v>
      </c>
      <c r="X1090" s="49" t="s">
        <v>14113</v>
      </c>
      <c r="Y1090" s="49" t="s">
        <v>1539</v>
      </c>
      <c r="Z1090" s="49" t="s">
        <v>889</v>
      </c>
      <c r="AA1090" s="61">
        <v>0.13</v>
      </c>
      <c r="AB1090" s="71">
        <v>66549</v>
      </c>
      <c r="AC1090" s="62" t="s">
        <v>14109</v>
      </c>
      <c r="AD1090" s="53" t="str">
        <f t="shared" si="820"/>
        <v>Link</v>
      </c>
      <c r="AE1090" s="54">
        <v>1543</v>
      </c>
      <c r="AF1090" s="55"/>
      <c r="AG1090" s="44">
        <v>3</v>
      </c>
      <c r="AH1090" s="56">
        <v>216287</v>
      </c>
      <c r="AI1090" s="57"/>
      <c r="AJ1090" s="57"/>
    </row>
    <row r="1091" spans="1:36" ht="13" x14ac:dyDescent="0.15">
      <c r="A1091" s="57"/>
      <c r="B1091" s="78" t="s">
        <v>7298</v>
      </c>
      <c r="C1091" s="7" t="s">
        <v>43</v>
      </c>
      <c r="D1091" s="44">
        <v>5</v>
      </c>
      <c r="E1091" s="7" t="s">
        <v>14139</v>
      </c>
      <c r="F1091" s="7"/>
      <c r="G1091" s="7"/>
      <c r="H1091" s="6" t="s">
        <v>14141</v>
      </c>
      <c r="I1091" s="7" t="s">
        <v>1258</v>
      </c>
      <c r="J1091" s="7" t="s">
        <v>14142</v>
      </c>
      <c r="K1091" s="7" t="s">
        <v>48</v>
      </c>
      <c r="L1091" s="7" t="s">
        <v>14143</v>
      </c>
      <c r="M1091" s="7" t="s">
        <v>14145</v>
      </c>
      <c r="N1091" s="45" t="str">
        <f t="shared" ref="N1091:N1092" si="821">HYPERLINK("twitter.com/thielcollegesb","@thielcollegesb")</f>
        <v>@thielcollegesb</v>
      </c>
      <c r="O1091" s="45" t="str">
        <f t="shared" ref="O1091:O1092" si="822">HYPERLINK("https://thielathletics.com/sports/2009/10/26/GEN_1026090803.aspx","Questionnaire")</f>
        <v>Questionnaire</v>
      </c>
      <c r="P1091" s="48" t="s">
        <v>14155</v>
      </c>
      <c r="Q1091" s="60" t="s">
        <v>1231</v>
      </c>
      <c r="R1091" s="48" t="s">
        <v>237</v>
      </c>
      <c r="S1091" s="60" t="s">
        <v>205</v>
      </c>
      <c r="T1091" s="49" t="s">
        <v>63</v>
      </c>
      <c r="U1091" s="49" t="s">
        <v>318</v>
      </c>
      <c r="V1091" s="7"/>
      <c r="W1091" s="44">
        <v>3.1</v>
      </c>
      <c r="X1091" s="49" t="s">
        <v>5268</v>
      </c>
      <c r="Y1091" s="49" t="s">
        <v>8509</v>
      </c>
      <c r="Z1091" s="49" t="s">
        <v>5269</v>
      </c>
      <c r="AA1091" s="61">
        <v>0.74</v>
      </c>
      <c r="AB1091" s="71">
        <v>45540</v>
      </c>
      <c r="AC1091" s="90" t="s">
        <v>14155</v>
      </c>
      <c r="AD1091" s="53" t="str">
        <f t="shared" ref="AD1091:AD1092" si="823">HYPERLINK("https://www.thiel.edu/academics/majors-areas-of-study","Link")</f>
        <v>Link</v>
      </c>
      <c r="AE1091" s="54">
        <v>894</v>
      </c>
      <c r="AF1091" s="55"/>
      <c r="AG1091" s="7"/>
      <c r="AH1091" s="56">
        <v>216357</v>
      </c>
      <c r="AI1091" s="57"/>
      <c r="AJ1091" s="57"/>
    </row>
    <row r="1092" spans="1:36" ht="13" x14ac:dyDescent="0.15">
      <c r="A1092" s="57"/>
      <c r="B1092" s="78" t="s">
        <v>7298</v>
      </c>
      <c r="C1092" s="7" t="s">
        <v>43</v>
      </c>
      <c r="D1092" s="44">
        <v>5</v>
      </c>
      <c r="E1092" s="7" t="s">
        <v>14161</v>
      </c>
      <c r="F1092" s="7"/>
      <c r="G1092" s="7"/>
      <c r="H1092" s="6" t="s">
        <v>14141</v>
      </c>
      <c r="I1092" s="7" t="s">
        <v>981</v>
      </c>
      <c r="J1092" s="7" t="s">
        <v>304</v>
      </c>
      <c r="K1092" s="7" t="s">
        <v>55</v>
      </c>
      <c r="L1092" s="7" t="s">
        <v>14163</v>
      </c>
      <c r="M1092" s="7" t="s">
        <v>14164</v>
      </c>
      <c r="N1092" s="45" t="str">
        <f t="shared" si="821"/>
        <v>@thielcollegesb</v>
      </c>
      <c r="O1092" s="45" t="str">
        <f t="shared" si="822"/>
        <v>Questionnaire</v>
      </c>
      <c r="P1092" s="48" t="s">
        <v>14155</v>
      </c>
      <c r="Q1092" s="60" t="s">
        <v>1231</v>
      </c>
      <c r="R1092" s="48" t="s">
        <v>237</v>
      </c>
      <c r="S1092" s="60" t="s">
        <v>205</v>
      </c>
      <c r="T1092" s="49" t="s">
        <v>63</v>
      </c>
      <c r="U1092" s="49" t="s">
        <v>318</v>
      </c>
      <c r="V1092" s="7"/>
      <c r="W1092" s="44">
        <v>3.1</v>
      </c>
      <c r="X1092" s="49" t="s">
        <v>5268</v>
      </c>
      <c r="Y1092" s="49" t="s">
        <v>8509</v>
      </c>
      <c r="Z1092" s="49" t="s">
        <v>5269</v>
      </c>
      <c r="AA1092" s="61">
        <v>0.74</v>
      </c>
      <c r="AB1092" s="71">
        <v>45540</v>
      </c>
      <c r="AC1092" s="90" t="s">
        <v>14155</v>
      </c>
      <c r="AD1092" s="53" t="str">
        <f t="shared" si="823"/>
        <v>Link</v>
      </c>
      <c r="AE1092" s="54">
        <v>894</v>
      </c>
      <c r="AF1092" s="55"/>
      <c r="AG1092" s="7"/>
      <c r="AH1092" s="56">
        <v>216357</v>
      </c>
      <c r="AI1092" s="57"/>
      <c r="AJ1092" s="57"/>
    </row>
    <row r="1093" spans="1:36" ht="13" x14ac:dyDescent="0.15">
      <c r="A1093" s="57"/>
      <c r="B1093" s="78" t="s">
        <v>7298</v>
      </c>
      <c r="C1093" s="7" t="s">
        <v>43</v>
      </c>
      <c r="D1093" s="44">
        <v>5</v>
      </c>
      <c r="E1093" s="7" t="s">
        <v>14169</v>
      </c>
      <c r="F1093" s="7"/>
      <c r="G1093" s="7"/>
      <c r="H1093" s="6" t="s">
        <v>14170</v>
      </c>
      <c r="I1093" s="7" t="s">
        <v>2289</v>
      </c>
      <c r="J1093" s="7" t="s">
        <v>14172</v>
      </c>
      <c r="K1093" s="7" t="s">
        <v>48</v>
      </c>
      <c r="L1093" s="7" t="s">
        <v>14173</v>
      </c>
      <c r="M1093" s="7" t="s">
        <v>14175</v>
      </c>
      <c r="N1093" s="45" t="str">
        <f t="shared" ref="N1093:N1096" si="824">HYPERLINK("twitter.com/ursinussball","@ursinussball")</f>
        <v>@ursinussball</v>
      </c>
      <c r="O1093" s="45" t="str">
        <f t="shared" ref="O1093:O1096" si="825">HYPERLINK("https://www.ursinusathletics.com/sports/sball/sballrecruitform","Questionnaire")</f>
        <v>Questionnaire</v>
      </c>
      <c r="P1093" s="48" t="s">
        <v>14184</v>
      </c>
      <c r="Q1093" s="60" t="s">
        <v>1231</v>
      </c>
      <c r="R1093" s="48" t="s">
        <v>7110</v>
      </c>
      <c r="S1093" s="60" t="s">
        <v>205</v>
      </c>
      <c r="T1093" s="49" t="s">
        <v>63</v>
      </c>
      <c r="U1093" s="49" t="s">
        <v>75</v>
      </c>
      <c r="V1093" s="7"/>
      <c r="W1093" s="44">
        <v>3.21</v>
      </c>
      <c r="X1093" s="49" t="s">
        <v>14187</v>
      </c>
      <c r="Y1093" s="49" t="s">
        <v>3454</v>
      </c>
      <c r="Z1093" s="49" t="s">
        <v>2734</v>
      </c>
      <c r="AA1093" s="61">
        <v>0.82</v>
      </c>
      <c r="AB1093" s="71">
        <v>65012</v>
      </c>
      <c r="AC1093" s="62" t="s">
        <v>14184</v>
      </c>
      <c r="AD1093" s="53" t="str">
        <f t="shared" ref="AD1093:AD1096" si="826">HYPERLINK("https://www.ursinus.edu/academics/majors-and-minors/","Link")</f>
        <v>Link</v>
      </c>
      <c r="AE1093" s="54">
        <v>1556</v>
      </c>
      <c r="AF1093" s="55"/>
      <c r="AG1093" s="44">
        <v>93</v>
      </c>
      <c r="AH1093" s="56">
        <v>216524</v>
      </c>
      <c r="AI1093" s="57"/>
      <c r="AJ1093" s="57"/>
    </row>
    <row r="1094" spans="1:36" ht="13" x14ac:dyDescent="0.15">
      <c r="A1094" s="57"/>
      <c r="B1094" s="78" t="s">
        <v>7298</v>
      </c>
      <c r="C1094" s="7" t="s">
        <v>43</v>
      </c>
      <c r="D1094" s="44">
        <v>5</v>
      </c>
      <c r="E1094" s="7" t="s">
        <v>14195</v>
      </c>
      <c r="F1094" s="7"/>
      <c r="G1094" s="7"/>
      <c r="H1094" s="6" t="s">
        <v>14170</v>
      </c>
      <c r="I1094" s="7" t="s">
        <v>1124</v>
      </c>
      <c r="J1094" s="7" t="s">
        <v>14196</v>
      </c>
      <c r="K1094" s="7" t="s">
        <v>55</v>
      </c>
      <c r="L1094" s="7" t="s">
        <v>14197</v>
      </c>
      <c r="M1094" s="7"/>
      <c r="N1094" s="45" t="str">
        <f t="shared" si="824"/>
        <v>@ursinussball</v>
      </c>
      <c r="O1094" s="45" t="str">
        <f t="shared" si="825"/>
        <v>Questionnaire</v>
      </c>
      <c r="P1094" s="48" t="s">
        <v>14184</v>
      </c>
      <c r="Q1094" s="60" t="s">
        <v>1231</v>
      </c>
      <c r="R1094" s="48" t="s">
        <v>7110</v>
      </c>
      <c r="S1094" s="60" t="s">
        <v>205</v>
      </c>
      <c r="T1094" s="49" t="s">
        <v>63</v>
      </c>
      <c r="U1094" s="49" t="s">
        <v>75</v>
      </c>
      <c r="V1094" s="7"/>
      <c r="W1094" s="44">
        <v>3.21</v>
      </c>
      <c r="X1094" s="49" t="s">
        <v>14187</v>
      </c>
      <c r="Y1094" s="49" t="s">
        <v>3454</v>
      </c>
      <c r="Z1094" s="49" t="s">
        <v>2734</v>
      </c>
      <c r="AA1094" s="61">
        <v>0.82</v>
      </c>
      <c r="AB1094" s="71">
        <v>65012</v>
      </c>
      <c r="AC1094" s="62" t="s">
        <v>14184</v>
      </c>
      <c r="AD1094" s="53" t="str">
        <f t="shared" si="826"/>
        <v>Link</v>
      </c>
      <c r="AE1094" s="54">
        <v>1556</v>
      </c>
      <c r="AF1094" s="55"/>
      <c r="AG1094" s="44">
        <v>93</v>
      </c>
      <c r="AH1094" s="56">
        <v>216524</v>
      </c>
      <c r="AI1094" s="57"/>
      <c r="AJ1094" s="57"/>
    </row>
    <row r="1095" spans="1:36" ht="13" x14ac:dyDescent="0.15">
      <c r="A1095" s="57"/>
      <c r="B1095" s="78" t="s">
        <v>7298</v>
      </c>
      <c r="C1095" s="7" t="s">
        <v>43</v>
      </c>
      <c r="D1095" s="44">
        <v>5</v>
      </c>
      <c r="E1095" s="7" t="s">
        <v>14201</v>
      </c>
      <c r="F1095" s="7"/>
      <c r="G1095" s="7"/>
      <c r="H1095" s="6" t="s">
        <v>14170</v>
      </c>
      <c r="I1095" s="7" t="s">
        <v>206</v>
      </c>
      <c r="J1095" s="7" t="s">
        <v>1530</v>
      </c>
      <c r="K1095" s="7" t="s">
        <v>55</v>
      </c>
      <c r="L1095" s="7"/>
      <c r="M1095" s="7"/>
      <c r="N1095" s="45" t="str">
        <f t="shared" si="824"/>
        <v>@ursinussball</v>
      </c>
      <c r="O1095" s="45" t="str">
        <f t="shared" si="825"/>
        <v>Questionnaire</v>
      </c>
      <c r="P1095" s="48" t="s">
        <v>14184</v>
      </c>
      <c r="Q1095" s="60" t="s">
        <v>1231</v>
      </c>
      <c r="R1095" s="48" t="s">
        <v>7110</v>
      </c>
      <c r="S1095" s="60" t="s">
        <v>205</v>
      </c>
      <c r="T1095" s="49" t="s">
        <v>63</v>
      </c>
      <c r="U1095" s="49" t="s">
        <v>75</v>
      </c>
      <c r="V1095" s="7"/>
      <c r="W1095" s="44">
        <v>3.21</v>
      </c>
      <c r="X1095" s="49" t="s">
        <v>14187</v>
      </c>
      <c r="Y1095" s="49" t="s">
        <v>3454</v>
      </c>
      <c r="Z1095" s="49" t="s">
        <v>2734</v>
      </c>
      <c r="AA1095" s="61">
        <v>0.82</v>
      </c>
      <c r="AB1095" s="71">
        <v>65012</v>
      </c>
      <c r="AC1095" s="62" t="s">
        <v>14184</v>
      </c>
      <c r="AD1095" s="53" t="str">
        <f t="shared" si="826"/>
        <v>Link</v>
      </c>
      <c r="AE1095" s="54">
        <v>1556</v>
      </c>
      <c r="AF1095" s="55"/>
      <c r="AG1095" s="44">
        <v>93</v>
      </c>
      <c r="AH1095" s="56">
        <v>216524</v>
      </c>
      <c r="AI1095" s="57"/>
      <c r="AJ1095" s="57"/>
    </row>
    <row r="1096" spans="1:36" ht="13" x14ac:dyDescent="0.15">
      <c r="A1096" s="57"/>
      <c r="B1096" s="78" t="s">
        <v>7298</v>
      </c>
      <c r="C1096" s="7" t="s">
        <v>43</v>
      </c>
      <c r="D1096" s="44">
        <v>5</v>
      </c>
      <c r="E1096" s="7" t="s">
        <v>14210</v>
      </c>
      <c r="F1096" s="7"/>
      <c r="G1096" s="7"/>
      <c r="H1096" s="6" t="s">
        <v>14170</v>
      </c>
      <c r="I1096" s="7" t="s">
        <v>6305</v>
      </c>
      <c r="J1096" s="7" t="s">
        <v>2482</v>
      </c>
      <c r="K1096" s="7" t="s">
        <v>55</v>
      </c>
      <c r="L1096" s="7" t="s">
        <v>14214</v>
      </c>
      <c r="M1096" s="7"/>
      <c r="N1096" s="45" t="str">
        <f t="shared" si="824"/>
        <v>@ursinussball</v>
      </c>
      <c r="O1096" s="45" t="str">
        <f t="shared" si="825"/>
        <v>Questionnaire</v>
      </c>
      <c r="P1096" s="48" t="s">
        <v>14184</v>
      </c>
      <c r="Q1096" s="60" t="s">
        <v>1231</v>
      </c>
      <c r="R1096" s="48" t="s">
        <v>7110</v>
      </c>
      <c r="S1096" s="60" t="s">
        <v>205</v>
      </c>
      <c r="T1096" s="49" t="s">
        <v>63</v>
      </c>
      <c r="U1096" s="49" t="s">
        <v>75</v>
      </c>
      <c r="V1096" s="7"/>
      <c r="W1096" s="44">
        <v>3.21</v>
      </c>
      <c r="X1096" s="49" t="s">
        <v>14187</v>
      </c>
      <c r="Y1096" s="49" t="s">
        <v>3454</v>
      </c>
      <c r="Z1096" s="49" t="s">
        <v>2734</v>
      </c>
      <c r="AA1096" s="61">
        <v>0.82</v>
      </c>
      <c r="AB1096" s="71">
        <v>65012</v>
      </c>
      <c r="AC1096" s="62" t="s">
        <v>14184</v>
      </c>
      <c r="AD1096" s="53" t="str">
        <f t="shared" si="826"/>
        <v>Link</v>
      </c>
      <c r="AE1096" s="54">
        <v>1556</v>
      </c>
      <c r="AF1096" s="55"/>
      <c r="AG1096" s="44">
        <v>93</v>
      </c>
      <c r="AH1096" s="56">
        <v>216524</v>
      </c>
      <c r="AI1096" s="57"/>
      <c r="AJ1096" s="57"/>
    </row>
    <row r="1097" spans="1:36" ht="13" x14ac:dyDescent="0.15">
      <c r="A1097" s="57"/>
      <c r="B1097" s="78" t="s">
        <v>7298</v>
      </c>
      <c r="C1097" s="7" t="s">
        <v>43</v>
      </c>
      <c r="D1097" s="44">
        <v>5</v>
      </c>
      <c r="E1097" s="7" t="s">
        <v>14222</v>
      </c>
      <c r="F1097" s="7"/>
      <c r="G1097" s="7"/>
      <c r="H1097" s="6" t="s">
        <v>14224</v>
      </c>
      <c r="I1097" s="7" t="s">
        <v>3139</v>
      </c>
      <c r="J1097" s="7" t="s">
        <v>14226</v>
      </c>
      <c r="K1097" s="7" t="s">
        <v>48</v>
      </c>
      <c r="L1097" s="7" t="s">
        <v>14228</v>
      </c>
      <c r="M1097" s="7"/>
      <c r="N1097" s="45" t="str">
        <f t="shared" ref="N1097:N1099" si="827">HYPERLINK("twitter.com/SoftballVf","@SoftballVf")</f>
        <v>@SoftballVf</v>
      </c>
      <c r="O1097" s="45" t="str">
        <f t="shared" ref="O1097:O1099" si="828">HYPERLINK("https://go.valleyforge.edu/prospectiveathleteform/inquiryform","Questionnaire")</f>
        <v>Questionnaire</v>
      </c>
      <c r="P1097" s="48" t="s">
        <v>14240</v>
      </c>
      <c r="Q1097" s="47" t="s">
        <v>1231</v>
      </c>
      <c r="R1097" s="48" t="s">
        <v>14241</v>
      </c>
      <c r="S1097" s="48" t="s">
        <v>172</v>
      </c>
      <c r="T1097" s="73" t="s">
        <v>63</v>
      </c>
      <c r="U1097" s="49" t="s">
        <v>7034</v>
      </c>
      <c r="V1097" s="7"/>
      <c r="W1097" s="44">
        <v>2.96</v>
      </c>
      <c r="X1097" s="49" t="s">
        <v>3151</v>
      </c>
      <c r="Y1097" s="49" t="s">
        <v>14243</v>
      </c>
      <c r="Z1097" s="49" t="s">
        <v>357</v>
      </c>
      <c r="AA1097" s="61">
        <v>0.94</v>
      </c>
      <c r="AB1097" s="71">
        <v>47375</v>
      </c>
      <c r="AC1097" s="62" t="s">
        <v>14240</v>
      </c>
      <c r="AD1097" s="53" t="str">
        <f t="shared" ref="AD1097:AD1099" si="829">HYPERLINK("http://www.valleyforge.edu/academics/bachelors-degrees","Link")</f>
        <v>Link</v>
      </c>
      <c r="AE1097" s="54">
        <v>249</v>
      </c>
      <c r="AF1097" s="55"/>
      <c r="AG1097" s="7"/>
      <c r="AH1097" s="56">
        <v>216551</v>
      </c>
      <c r="AI1097" s="57"/>
      <c r="AJ1097" s="57"/>
    </row>
    <row r="1098" spans="1:36" ht="13" x14ac:dyDescent="0.15">
      <c r="A1098" s="57"/>
      <c r="B1098" s="78" t="s">
        <v>7298</v>
      </c>
      <c r="C1098" s="7" t="s">
        <v>43</v>
      </c>
      <c r="D1098" s="44">
        <v>5</v>
      </c>
      <c r="E1098" s="7" t="s">
        <v>14248</v>
      </c>
      <c r="F1098" s="7"/>
      <c r="G1098" s="7"/>
      <c r="H1098" s="6" t="s">
        <v>14224</v>
      </c>
      <c r="I1098" s="7" t="s">
        <v>14249</v>
      </c>
      <c r="J1098" s="7" t="s">
        <v>14250</v>
      </c>
      <c r="K1098" s="7" t="s">
        <v>55</v>
      </c>
      <c r="L1098" s="7" t="s">
        <v>14251</v>
      </c>
      <c r="M1098" s="7"/>
      <c r="N1098" s="45" t="str">
        <f t="shared" si="827"/>
        <v>@SoftballVf</v>
      </c>
      <c r="O1098" s="45" t="str">
        <f t="shared" si="828"/>
        <v>Questionnaire</v>
      </c>
      <c r="P1098" s="48" t="s">
        <v>14240</v>
      </c>
      <c r="Q1098" s="47" t="s">
        <v>1231</v>
      </c>
      <c r="R1098" s="48" t="s">
        <v>14241</v>
      </c>
      <c r="S1098" s="48" t="s">
        <v>172</v>
      </c>
      <c r="T1098" s="73" t="s">
        <v>63</v>
      </c>
      <c r="U1098" s="49" t="s">
        <v>7034</v>
      </c>
      <c r="V1098" s="7"/>
      <c r="W1098" s="44">
        <v>2.96</v>
      </c>
      <c r="X1098" s="49" t="s">
        <v>3151</v>
      </c>
      <c r="Y1098" s="49" t="s">
        <v>14243</v>
      </c>
      <c r="Z1098" s="49" t="s">
        <v>357</v>
      </c>
      <c r="AA1098" s="61">
        <v>0.94</v>
      </c>
      <c r="AB1098" s="71">
        <v>47375</v>
      </c>
      <c r="AC1098" s="62" t="s">
        <v>14240</v>
      </c>
      <c r="AD1098" s="53" t="str">
        <f t="shared" si="829"/>
        <v>Link</v>
      </c>
      <c r="AE1098" s="54">
        <v>249</v>
      </c>
      <c r="AF1098" s="55"/>
      <c r="AG1098" s="7"/>
      <c r="AH1098" s="56">
        <v>216551</v>
      </c>
      <c r="AI1098" s="57"/>
      <c r="AJ1098" s="57"/>
    </row>
    <row r="1099" spans="1:36" ht="13" x14ac:dyDescent="0.15">
      <c r="A1099" s="57"/>
      <c r="B1099" s="78" t="s">
        <v>7298</v>
      </c>
      <c r="C1099" s="7" t="s">
        <v>43</v>
      </c>
      <c r="D1099" s="44">
        <v>5</v>
      </c>
      <c r="E1099" s="7" t="s">
        <v>14259</v>
      </c>
      <c r="F1099" s="7"/>
      <c r="G1099" s="7"/>
      <c r="H1099" s="6" t="s">
        <v>14224</v>
      </c>
      <c r="I1099" s="7" t="s">
        <v>294</v>
      </c>
      <c r="J1099" s="7" t="s">
        <v>14261</v>
      </c>
      <c r="K1099" s="7" t="s">
        <v>55</v>
      </c>
      <c r="L1099" s="7" t="s">
        <v>14263</v>
      </c>
      <c r="M1099" s="7" t="s">
        <v>14264</v>
      </c>
      <c r="N1099" s="45" t="str">
        <f t="shared" si="827"/>
        <v>@SoftballVf</v>
      </c>
      <c r="O1099" s="45" t="str">
        <f t="shared" si="828"/>
        <v>Questionnaire</v>
      </c>
      <c r="P1099" s="48" t="s">
        <v>14240</v>
      </c>
      <c r="Q1099" s="47" t="s">
        <v>1231</v>
      </c>
      <c r="R1099" s="48" t="s">
        <v>14241</v>
      </c>
      <c r="S1099" s="48" t="s">
        <v>172</v>
      </c>
      <c r="T1099" s="73" t="s">
        <v>63</v>
      </c>
      <c r="U1099" s="49" t="s">
        <v>7034</v>
      </c>
      <c r="V1099" s="7"/>
      <c r="W1099" s="44">
        <v>2.96</v>
      </c>
      <c r="X1099" s="49" t="s">
        <v>3151</v>
      </c>
      <c r="Y1099" s="49" t="s">
        <v>14243</v>
      </c>
      <c r="Z1099" s="49" t="s">
        <v>357</v>
      </c>
      <c r="AA1099" s="61">
        <v>0.94</v>
      </c>
      <c r="AB1099" s="71">
        <v>47375</v>
      </c>
      <c r="AC1099" s="62" t="s">
        <v>14240</v>
      </c>
      <c r="AD1099" s="53" t="str">
        <f t="shared" si="829"/>
        <v>Link</v>
      </c>
      <c r="AE1099" s="54">
        <v>249</v>
      </c>
      <c r="AF1099" s="55"/>
      <c r="AG1099" s="7"/>
      <c r="AH1099" s="56">
        <v>216551</v>
      </c>
      <c r="AI1099" s="57"/>
      <c r="AJ1099" s="57"/>
    </row>
    <row r="1100" spans="1:36" ht="13" x14ac:dyDescent="0.15">
      <c r="A1100" s="57"/>
      <c r="B1100" s="78" t="s">
        <v>7298</v>
      </c>
      <c r="C1100" s="7" t="s">
        <v>43</v>
      </c>
      <c r="D1100" s="44">
        <v>5</v>
      </c>
      <c r="E1100" s="7" t="s">
        <v>14273</v>
      </c>
      <c r="F1100" s="7"/>
      <c r="G1100" s="7"/>
      <c r="H1100" s="6" t="s">
        <v>14274</v>
      </c>
      <c r="I1100" s="7" t="s">
        <v>750</v>
      </c>
      <c r="J1100" s="7" t="s">
        <v>7723</v>
      </c>
      <c r="K1100" s="7" t="s">
        <v>48</v>
      </c>
      <c r="L1100" s="7" t="s">
        <v>14275</v>
      </c>
      <c r="M1100" s="7" t="s">
        <v>14276</v>
      </c>
      <c r="N1100" s="45" t="str">
        <f t="shared" ref="N1100:N1101" si="830">HYPERLINK("twitter.com/washjeffsb","@washjeffsb")</f>
        <v>@washjeffsb</v>
      </c>
      <c r="O1100" s="45" t="str">
        <f t="shared" ref="O1100:O1101" si="831">HYPERLINK("https://gopresidents.com/sports/2018/1/22/recruiting.aspx","Questionnaire")</f>
        <v>Questionnaire</v>
      </c>
      <c r="P1100" s="48" t="s">
        <v>14281</v>
      </c>
      <c r="Q1100" s="60" t="s">
        <v>1231</v>
      </c>
      <c r="R1100" s="48" t="s">
        <v>1434</v>
      </c>
      <c r="S1100" s="48" t="s">
        <v>172</v>
      </c>
      <c r="T1100" s="49" t="s">
        <v>63</v>
      </c>
      <c r="U1100" s="49" t="s">
        <v>75</v>
      </c>
      <c r="V1100" s="7"/>
      <c r="W1100" s="44">
        <v>3.66</v>
      </c>
      <c r="X1100" s="49" t="s">
        <v>214</v>
      </c>
      <c r="Y1100" s="49" t="s">
        <v>214</v>
      </c>
      <c r="Z1100" s="49" t="s">
        <v>214</v>
      </c>
      <c r="AA1100" s="61">
        <v>0.47</v>
      </c>
      <c r="AB1100" s="71">
        <v>58212</v>
      </c>
      <c r="AC1100" s="62" t="s">
        <v>14281</v>
      </c>
      <c r="AD1100" s="53" t="str">
        <f t="shared" ref="AD1100:AD1101" si="832">HYPERLINK("http://www.washjeff.edu/areas-of-study","Link")</f>
        <v>Link</v>
      </c>
      <c r="AE1100" s="54">
        <v>1396</v>
      </c>
      <c r="AF1100" s="55"/>
      <c r="AG1100" s="44">
        <v>106</v>
      </c>
      <c r="AH1100" s="56">
        <v>216667</v>
      </c>
      <c r="AI1100" s="57"/>
      <c r="AJ1100" s="57"/>
    </row>
    <row r="1101" spans="1:36" ht="13" x14ac:dyDescent="0.15">
      <c r="A1101" s="57"/>
      <c r="B1101" s="78" t="s">
        <v>7298</v>
      </c>
      <c r="C1101" s="7" t="s">
        <v>43</v>
      </c>
      <c r="D1101" s="44">
        <v>5</v>
      </c>
      <c r="E1101" s="7" t="s">
        <v>14284</v>
      </c>
      <c r="F1101" s="7"/>
      <c r="G1101" s="7"/>
      <c r="H1101" s="6" t="s">
        <v>14274</v>
      </c>
      <c r="I1101" s="7" t="s">
        <v>537</v>
      </c>
      <c r="J1101" s="7" t="s">
        <v>263</v>
      </c>
      <c r="K1101" s="7" t="s">
        <v>55</v>
      </c>
      <c r="L1101" s="7"/>
      <c r="M1101" s="7" t="s">
        <v>14286</v>
      </c>
      <c r="N1101" s="45" t="str">
        <f t="shared" si="830"/>
        <v>@washjeffsb</v>
      </c>
      <c r="O1101" s="45" t="str">
        <f t="shared" si="831"/>
        <v>Questionnaire</v>
      </c>
      <c r="P1101" s="48" t="s">
        <v>14281</v>
      </c>
      <c r="Q1101" s="60" t="s">
        <v>1231</v>
      </c>
      <c r="R1101" s="48" t="s">
        <v>1434</v>
      </c>
      <c r="S1101" s="48" t="s">
        <v>172</v>
      </c>
      <c r="T1101" s="49" t="s">
        <v>63</v>
      </c>
      <c r="U1101" s="49" t="s">
        <v>75</v>
      </c>
      <c r="V1101" s="7"/>
      <c r="W1101" s="44">
        <v>3.66</v>
      </c>
      <c r="X1101" s="49" t="s">
        <v>214</v>
      </c>
      <c r="Y1101" s="49" t="s">
        <v>214</v>
      </c>
      <c r="Z1101" s="49" t="s">
        <v>214</v>
      </c>
      <c r="AA1101" s="61">
        <v>0.47</v>
      </c>
      <c r="AB1101" s="71">
        <v>58212</v>
      </c>
      <c r="AC1101" s="62" t="s">
        <v>14281</v>
      </c>
      <c r="AD1101" s="53" t="str">
        <f t="shared" si="832"/>
        <v>Link</v>
      </c>
      <c r="AE1101" s="54">
        <v>1396</v>
      </c>
      <c r="AF1101" s="55"/>
      <c r="AG1101" s="44">
        <v>106</v>
      </c>
      <c r="AH1101" s="56">
        <v>216667</v>
      </c>
      <c r="AI1101" s="57"/>
      <c r="AJ1101" s="57"/>
    </row>
    <row r="1102" spans="1:36" ht="13" x14ac:dyDescent="0.15">
      <c r="A1102" s="57"/>
      <c r="B1102" s="78" t="s">
        <v>7298</v>
      </c>
      <c r="C1102" s="7" t="s">
        <v>43</v>
      </c>
      <c r="D1102" s="44">
        <v>5</v>
      </c>
      <c r="E1102" s="7" t="s">
        <v>14293</v>
      </c>
      <c r="F1102" s="7"/>
      <c r="G1102" s="7"/>
      <c r="H1102" s="6" t="s">
        <v>14294</v>
      </c>
      <c r="I1102" s="7" t="s">
        <v>14295</v>
      </c>
      <c r="J1102" s="7" t="s">
        <v>14296</v>
      </c>
      <c r="K1102" s="7" t="s">
        <v>48</v>
      </c>
      <c r="L1102" s="7" t="s">
        <v>14297</v>
      </c>
      <c r="M1102" s="7" t="s">
        <v>14298</v>
      </c>
      <c r="N1102" s="45" t="str">
        <f t="shared" ref="N1102:N1103" si="833">HYPERLINK("twitter.com/wusoftball16","@wusoftball16")</f>
        <v>@wusoftball16</v>
      </c>
      <c r="O1102" s="45" t="str">
        <f t="shared" ref="O1102:O1103" si="834">HYPERLINK("https://waynesburgsports.com/sb_output.aspx?form=3","Questionnaire")</f>
        <v>Questionnaire</v>
      </c>
      <c r="P1102" s="48" t="s">
        <v>14303</v>
      </c>
      <c r="Q1102" s="47" t="s">
        <v>1231</v>
      </c>
      <c r="R1102" s="48" t="s">
        <v>14303</v>
      </c>
      <c r="S1102" s="60" t="s">
        <v>205</v>
      </c>
      <c r="T1102" s="73" t="s">
        <v>63</v>
      </c>
      <c r="U1102" s="49" t="s">
        <v>248</v>
      </c>
      <c r="V1102" s="7"/>
      <c r="W1102" s="44">
        <v>3.52</v>
      </c>
      <c r="X1102" s="49" t="s">
        <v>1453</v>
      </c>
      <c r="Y1102" s="49" t="s">
        <v>253</v>
      </c>
      <c r="Z1102" s="49" t="s">
        <v>746</v>
      </c>
      <c r="AA1102" s="61">
        <v>0.94</v>
      </c>
      <c r="AB1102" s="71">
        <v>34800</v>
      </c>
      <c r="AC1102" s="62" t="s">
        <v>14303</v>
      </c>
      <c r="AD1102" s="53" t="str">
        <f t="shared" ref="AD1102:AD1103" si="835">HYPERLINK("http://www.waynesburg.edu/majors","Link")</f>
        <v>Link</v>
      </c>
      <c r="AE1102" s="54">
        <v>1400</v>
      </c>
      <c r="AF1102" s="55"/>
      <c r="AG1102" s="7"/>
      <c r="AH1102" s="56">
        <v>216694</v>
      </c>
      <c r="AI1102" s="57"/>
      <c r="AJ1102" s="57"/>
    </row>
    <row r="1103" spans="1:36" ht="13" x14ac:dyDescent="0.15">
      <c r="A1103" s="57"/>
      <c r="B1103" s="78" t="s">
        <v>7298</v>
      </c>
      <c r="C1103" s="7" t="s">
        <v>43</v>
      </c>
      <c r="D1103" s="44">
        <v>5</v>
      </c>
      <c r="E1103" s="7" t="s">
        <v>14310</v>
      </c>
      <c r="F1103" s="7"/>
      <c r="G1103" s="7"/>
      <c r="H1103" s="6" t="s">
        <v>14294</v>
      </c>
      <c r="I1103" s="7" t="s">
        <v>644</v>
      </c>
      <c r="J1103" s="7" t="s">
        <v>14311</v>
      </c>
      <c r="K1103" s="7" t="s">
        <v>55</v>
      </c>
      <c r="L1103" s="7" t="s">
        <v>14312</v>
      </c>
      <c r="M1103" s="7" t="s">
        <v>14298</v>
      </c>
      <c r="N1103" s="45" t="str">
        <f t="shared" si="833"/>
        <v>@wusoftball16</v>
      </c>
      <c r="O1103" s="45" t="str">
        <f t="shared" si="834"/>
        <v>Questionnaire</v>
      </c>
      <c r="P1103" s="48" t="s">
        <v>14303</v>
      </c>
      <c r="Q1103" s="47" t="s">
        <v>1231</v>
      </c>
      <c r="R1103" s="48" t="s">
        <v>14303</v>
      </c>
      <c r="S1103" s="60" t="s">
        <v>205</v>
      </c>
      <c r="T1103" s="73" t="s">
        <v>63</v>
      </c>
      <c r="U1103" s="49" t="s">
        <v>248</v>
      </c>
      <c r="V1103" s="7"/>
      <c r="W1103" s="44">
        <v>3.52</v>
      </c>
      <c r="X1103" s="49" t="s">
        <v>1453</v>
      </c>
      <c r="Y1103" s="49" t="s">
        <v>253</v>
      </c>
      <c r="Z1103" s="49" t="s">
        <v>746</v>
      </c>
      <c r="AA1103" s="61">
        <v>0.94</v>
      </c>
      <c r="AB1103" s="71">
        <v>34800</v>
      </c>
      <c r="AC1103" s="62" t="s">
        <v>14303</v>
      </c>
      <c r="AD1103" s="53" t="str">
        <f t="shared" si="835"/>
        <v>Link</v>
      </c>
      <c r="AE1103" s="54">
        <v>1400</v>
      </c>
      <c r="AF1103" s="55"/>
      <c r="AG1103" s="7"/>
      <c r="AH1103" s="56">
        <v>216694</v>
      </c>
      <c r="AI1103" s="57"/>
      <c r="AJ1103" s="57"/>
    </row>
    <row r="1104" spans="1:36" ht="13" x14ac:dyDescent="0.15">
      <c r="A1104" s="57"/>
      <c r="B1104" s="78" t="s">
        <v>7298</v>
      </c>
      <c r="C1104" s="7" t="s">
        <v>43</v>
      </c>
      <c r="D1104" s="44">
        <v>5</v>
      </c>
      <c r="E1104" s="7" t="s">
        <v>14320</v>
      </c>
      <c r="F1104" s="7"/>
      <c r="G1104" s="7"/>
      <c r="H1104" s="6" t="s">
        <v>14321</v>
      </c>
      <c r="I1104" s="7" t="s">
        <v>14322</v>
      </c>
      <c r="J1104" s="7" t="s">
        <v>14323</v>
      </c>
      <c r="K1104" s="7" t="s">
        <v>48</v>
      </c>
      <c r="L1104" s="7" t="s">
        <v>14324</v>
      </c>
      <c r="M1104" s="7" t="s">
        <v>14325</v>
      </c>
      <c r="N1104" s="48"/>
      <c r="O1104" s="45" t="str">
        <f>HYPERLINK("https://athletics.westminster.edu/sb_output.aspx?frform=6&amp;path=softball&amp;","Questionnaire")</f>
        <v>Questionnaire</v>
      </c>
      <c r="P1104" s="48" t="s">
        <v>14329</v>
      </c>
      <c r="Q1104" s="47" t="s">
        <v>1231</v>
      </c>
      <c r="R1104" s="48" t="s">
        <v>14330</v>
      </c>
      <c r="S1104" s="60" t="s">
        <v>205</v>
      </c>
      <c r="T1104" s="49" t="s">
        <v>63</v>
      </c>
      <c r="U1104" s="49" t="s">
        <v>248</v>
      </c>
      <c r="V1104" s="7"/>
      <c r="W1104" s="44">
        <v>3.53</v>
      </c>
      <c r="X1104" s="49" t="s">
        <v>2341</v>
      </c>
      <c r="Y1104" s="49" t="s">
        <v>2341</v>
      </c>
      <c r="Z1104" s="49" t="s">
        <v>278</v>
      </c>
      <c r="AA1104" s="61">
        <v>0.74</v>
      </c>
      <c r="AB1104" s="71">
        <v>48150</v>
      </c>
      <c r="AC1104" s="90" t="s">
        <v>14329</v>
      </c>
      <c r="AD1104" s="53" t="str">
        <f>HYPERLINK("https://www.westminster.edu/academics/","Link")</f>
        <v>Link</v>
      </c>
      <c r="AE1104" s="54">
        <v>1174</v>
      </c>
      <c r="AF1104" s="55"/>
      <c r="AG1104" s="44">
        <v>128</v>
      </c>
      <c r="AH1104" s="56">
        <v>216807</v>
      </c>
      <c r="AI1104" s="57"/>
      <c r="AJ1104" s="57"/>
    </row>
    <row r="1105" spans="1:36" ht="13" x14ac:dyDescent="0.15">
      <c r="A1105" s="57"/>
      <c r="B1105" s="78" t="s">
        <v>7298</v>
      </c>
      <c r="C1105" s="7" t="s">
        <v>43</v>
      </c>
      <c r="D1105" s="44">
        <v>5</v>
      </c>
      <c r="E1105" s="7" t="s">
        <v>14333</v>
      </c>
      <c r="F1105" s="7"/>
      <c r="G1105" s="7"/>
      <c r="H1105" s="6" t="s">
        <v>14335</v>
      </c>
      <c r="I1105" s="7" t="s">
        <v>4243</v>
      </c>
      <c r="J1105" s="7" t="s">
        <v>14337</v>
      </c>
      <c r="K1105" s="7" t="s">
        <v>48</v>
      </c>
      <c r="L1105" s="7" t="s">
        <v>14339</v>
      </c>
      <c r="M1105" s="7" t="s">
        <v>14340</v>
      </c>
      <c r="N1105" s="45" t="str">
        <f t="shared" ref="N1105:N1111" si="836">HYPERLINK("twitter.com/widenersoftball","@widenersoftball")</f>
        <v>@widenersoftball</v>
      </c>
      <c r="O1105" s="45" t="str">
        <f t="shared" ref="O1105:O1111" si="837">HYPERLINK("https://www.widenerpride.com/sports/2008/8/13/GEN_0813082030.aspx?id=12","Questionnaire")</f>
        <v>Questionnaire</v>
      </c>
      <c r="P1105" s="48" t="s">
        <v>14345</v>
      </c>
      <c r="Q1105" s="47" t="s">
        <v>1231</v>
      </c>
      <c r="R1105" s="48" t="s">
        <v>14348</v>
      </c>
      <c r="S1105" s="48" t="s">
        <v>468</v>
      </c>
      <c r="T1105" s="73" t="s">
        <v>63</v>
      </c>
      <c r="U1105" s="49" t="s">
        <v>75</v>
      </c>
      <c r="V1105" s="7"/>
      <c r="W1105" s="44">
        <v>3.52</v>
      </c>
      <c r="X1105" s="49" t="s">
        <v>8175</v>
      </c>
      <c r="Y1105" s="49" t="s">
        <v>2341</v>
      </c>
      <c r="Z1105" s="49" t="s">
        <v>1650</v>
      </c>
      <c r="AA1105" s="61">
        <v>0.7</v>
      </c>
      <c r="AB1105" s="71">
        <v>60322</v>
      </c>
      <c r="AC1105" s="90" t="s">
        <v>14345</v>
      </c>
      <c r="AD1105" s="53" t="str">
        <f t="shared" ref="AD1105:AD1111" si="838">HYPERLINK("http://www.widener.edu/academics/undergraduate/majors.aspx","Link")</f>
        <v>Link</v>
      </c>
      <c r="AE1105" s="54">
        <v>3597</v>
      </c>
      <c r="AF1105" s="54">
        <v>192</v>
      </c>
      <c r="AG1105" s="7"/>
      <c r="AH1105" s="56">
        <v>216852</v>
      </c>
      <c r="AI1105" s="57"/>
      <c r="AJ1105" s="57"/>
    </row>
    <row r="1106" spans="1:36" ht="13" x14ac:dyDescent="0.15">
      <c r="A1106" s="57"/>
      <c r="B1106" s="78" t="s">
        <v>7298</v>
      </c>
      <c r="C1106" s="7" t="s">
        <v>43</v>
      </c>
      <c r="D1106" s="44">
        <v>5</v>
      </c>
      <c r="E1106" s="7" t="s">
        <v>14359</v>
      </c>
      <c r="F1106" s="7"/>
      <c r="G1106" s="7" t="s">
        <v>126</v>
      </c>
      <c r="H1106" s="6" t="s">
        <v>14335</v>
      </c>
      <c r="I1106" s="7" t="s">
        <v>5093</v>
      </c>
      <c r="J1106" s="7"/>
      <c r="K1106" s="7"/>
      <c r="L1106" s="7"/>
      <c r="M1106" s="7"/>
      <c r="N1106" s="45" t="str">
        <f t="shared" si="836"/>
        <v>@widenersoftball</v>
      </c>
      <c r="O1106" s="45" t="str">
        <f t="shared" si="837"/>
        <v>Questionnaire</v>
      </c>
      <c r="P1106" s="48" t="s">
        <v>14345</v>
      </c>
      <c r="Q1106" s="47" t="s">
        <v>1231</v>
      </c>
      <c r="R1106" s="48" t="s">
        <v>14348</v>
      </c>
      <c r="S1106" s="48" t="s">
        <v>468</v>
      </c>
      <c r="T1106" s="73" t="s">
        <v>63</v>
      </c>
      <c r="U1106" s="49" t="s">
        <v>75</v>
      </c>
      <c r="V1106" s="7"/>
      <c r="W1106" s="44">
        <v>3.52</v>
      </c>
      <c r="X1106" s="49" t="s">
        <v>8175</v>
      </c>
      <c r="Y1106" s="49" t="s">
        <v>2341</v>
      </c>
      <c r="Z1106" s="49" t="s">
        <v>1650</v>
      </c>
      <c r="AA1106" s="61">
        <v>0.7</v>
      </c>
      <c r="AB1106" s="71">
        <v>60322</v>
      </c>
      <c r="AC1106" s="90" t="s">
        <v>14345</v>
      </c>
      <c r="AD1106" s="53" t="str">
        <f t="shared" si="838"/>
        <v>Link</v>
      </c>
      <c r="AE1106" s="54">
        <v>3597</v>
      </c>
      <c r="AF1106" s="54">
        <v>192</v>
      </c>
      <c r="AG1106" s="7"/>
      <c r="AH1106" s="56">
        <v>216852</v>
      </c>
      <c r="AI1106" s="57"/>
      <c r="AJ1106" s="57"/>
    </row>
    <row r="1107" spans="1:36" ht="13" x14ac:dyDescent="0.15">
      <c r="A1107" s="57"/>
      <c r="B1107" s="78" t="s">
        <v>7298</v>
      </c>
      <c r="C1107" s="7" t="s">
        <v>43</v>
      </c>
      <c r="D1107" s="44">
        <v>5</v>
      </c>
      <c r="E1107" s="7" t="s">
        <v>14365</v>
      </c>
      <c r="F1107" s="7"/>
      <c r="G1107" s="7"/>
      <c r="H1107" s="6" t="s">
        <v>14335</v>
      </c>
      <c r="I1107" s="7" t="s">
        <v>6124</v>
      </c>
      <c r="J1107" s="7" t="s">
        <v>12977</v>
      </c>
      <c r="K1107" s="7" t="s">
        <v>55</v>
      </c>
      <c r="L1107" s="7" t="s">
        <v>14366</v>
      </c>
      <c r="M1107" s="7"/>
      <c r="N1107" s="45" t="str">
        <f t="shared" si="836"/>
        <v>@widenersoftball</v>
      </c>
      <c r="O1107" s="45" t="str">
        <f t="shared" si="837"/>
        <v>Questionnaire</v>
      </c>
      <c r="P1107" s="48" t="s">
        <v>14345</v>
      </c>
      <c r="Q1107" s="47" t="s">
        <v>1231</v>
      </c>
      <c r="R1107" s="48" t="s">
        <v>14348</v>
      </c>
      <c r="S1107" s="48" t="s">
        <v>468</v>
      </c>
      <c r="T1107" s="73" t="s">
        <v>63</v>
      </c>
      <c r="U1107" s="49" t="s">
        <v>75</v>
      </c>
      <c r="V1107" s="7"/>
      <c r="W1107" s="44">
        <v>3.52</v>
      </c>
      <c r="X1107" s="49" t="s">
        <v>8175</v>
      </c>
      <c r="Y1107" s="49" t="s">
        <v>2341</v>
      </c>
      <c r="Z1107" s="49" t="s">
        <v>1650</v>
      </c>
      <c r="AA1107" s="61">
        <v>0.7</v>
      </c>
      <c r="AB1107" s="71">
        <v>60322</v>
      </c>
      <c r="AC1107" s="90" t="s">
        <v>14345</v>
      </c>
      <c r="AD1107" s="53" t="str">
        <f t="shared" si="838"/>
        <v>Link</v>
      </c>
      <c r="AE1107" s="54">
        <v>3597</v>
      </c>
      <c r="AF1107" s="54">
        <v>192</v>
      </c>
      <c r="AG1107" s="7"/>
      <c r="AH1107" s="56">
        <v>216852</v>
      </c>
      <c r="AI1107" s="57"/>
      <c r="AJ1107" s="57"/>
    </row>
    <row r="1108" spans="1:36" ht="13" x14ac:dyDescent="0.15">
      <c r="A1108" s="57"/>
      <c r="B1108" s="78" t="s">
        <v>7298</v>
      </c>
      <c r="C1108" s="7" t="s">
        <v>43</v>
      </c>
      <c r="D1108" s="44">
        <v>5</v>
      </c>
      <c r="E1108" s="7" t="s">
        <v>14372</v>
      </c>
      <c r="F1108" s="7"/>
      <c r="G1108" s="7"/>
      <c r="H1108" s="6" t="s">
        <v>14335</v>
      </c>
      <c r="I1108" s="7" t="s">
        <v>306</v>
      </c>
      <c r="J1108" s="7" t="s">
        <v>10287</v>
      </c>
      <c r="K1108" s="7" t="s">
        <v>55</v>
      </c>
      <c r="L1108" s="7"/>
      <c r="M1108" s="7"/>
      <c r="N1108" s="45" t="str">
        <f t="shared" si="836"/>
        <v>@widenersoftball</v>
      </c>
      <c r="O1108" s="45" t="str">
        <f t="shared" si="837"/>
        <v>Questionnaire</v>
      </c>
      <c r="P1108" s="48" t="s">
        <v>14345</v>
      </c>
      <c r="Q1108" s="47" t="s">
        <v>1231</v>
      </c>
      <c r="R1108" s="48" t="s">
        <v>14348</v>
      </c>
      <c r="S1108" s="48" t="s">
        <v>468</v>
      </c>
      <c r="T1108" s="73" t="s">
        <v>63</v>
      </c>
      <c r="U1108" s="49" t="s">
        <v>75</v>
      </c>
      <c r="V1108" s="7"/>
      <c r="W1108" s="44">
        <v>3.52</v>
      </c>
      <c r="X1108" s="49" t="s">
        <v>8175</v>
      </c>
      <c r="Y1108" s="49" t="s">
        <v>2341</v>
      </c>
      <c r="Z1108" s="49" t="s">
        <v>1650</v>
      </c>
      <c r="AA1108" s="61">
        <v>0.7</v>
      </c>
      <c r="AB1108" s="71">
        <v>60322</v>
      </c>
      <c r="AC1108" s="90" t="s">
        <v>14345</v>
      </c>
      <c r="AD1108" s="53" t="str">
        <f t="shared" si="838"/>
        <v>Link</v>
      </c>
      <c r="AE1108" s="54">
        <v>3597</v>
      </c>
      <c r="AF1108" s="54">
        <v>192</v>
      </c>
      <c r="AG1108" s="7"/>
      <c r="AH1108" s="56">
        <v>216852</v>
      </c>
      <c r="AI1108" s="57"/>
      <c r="AJ1108" s="57"/>
    </row>
    <row r="1109" spans="1:36" ht="13" x14ac:dyDescent="0.15">
      <c r="A1109" s="57"/>
      <c r="B1109" s="78" t="s">
        <v>7298</v>
      </c>
      <c r="C1109" s="7" t="s">
        <v>43</v>
      </c>
      <c r="D1109" s="44">
        <v>5</v>
      </c>
      <c r="E1109" s="7" t="s">
        <v>14375</v>
      </c>
      <c r="F1109" s="7"/>
      <c r="G1109" s="7"/>
      <c r="H1109" s="6" t="s">
        <v>14335</v>
      </c>
      <c r="I1109" s="7" t="s">
        <v>2829</v>
      </c>
      <c r="J1109" s="7" t="s">
        <v>14378</v>
      </c>
      <c r="K1109" s="7" t="s">
        <v>55</v>
      </c>
      <c r="L1109" s="7"/>
      <c r="M1109" s="7"/>
      <c r="N1109" s="45" t="str">
        <f t="shared" si="836"/>
        <v>@widenersoftball</v>
      </c>
      <c r="O1109" s="45" t="str">
        <f t="shared" si="837"/>
        <v>Questionnaire</v>
      </c>
      <c r="P1109" s="48" t="s">
        <v>14345</v>
      </c>
      <c r="Q1109" s="47" t="s">
        <v>1231</v>
      </c>
      <c r="R1109" s="48" t="s">
        <v>14348</v>
      </c>
      <c r="S1109" s="48" t="s">
        <v>468</v>
      </c>
      <c r="T1109" s="73" t="s">
        <v>63</v>
      </c>
      <c r="U1109" s="49" t="s">
        <v>75</v>
      </c>
      <c r="V1109" s="7"/>
      <c r="W1109" s="44">
        <v>3.52</v>
      </c>
      <c r="X1109" s="49" t="s">
        <v>8175</v>
      </c>
      <c r="Y1109" s="49" t="s">
        <v>2341</v>
      </c>
      <c r="Z1109" s="49" t="s">
        <v>1650</v>
      </c>
      <c r="AA1109" s="61">
        <v>0.7</v>
      </c>
      <c r="AB1109" s="71">
        <v>60322</v>
      </c>
      <c r="AC1109" s="90" t="s">
        <v>14345</v>
      </c>
      <c r="AD1109" s="53" t="str">
        <f t="shared" si="838"/>
        <v>Link</v>
      </c>
      <c r="AE1109" s="54">
        <v>3597</v>
      </c>
      <c r="AF1109" s="54">
        <v>192</v>
      </c>
      <c r="AG1109" s="7"/>
      <c r="AH1109" s="56">
        <v>216852</v>
      </c>
      <c r="AI1109" s="57"/>
      <c r="AJ1109" s="57"/>
    </row>
    <row r="1110" spans="1:36" ht="13" x14ac:dyDescent="0.15">
      <c r="A1110" s="57"/>
      <c r="B1110" s="78" t="s">
        <v>7298</v>
      </c>
      <c r="C1110" s="7" t="s">
        <v>43</v>
      </c>
      <c r="D1110" s="86">
        <v>5</v>
      </c>
      <c r="E1110" s="7" t="s">
        <v>14382</v>
      </c>
      <c r="F1110" s="7" t="s">
        <v>116</v>
      </c>
      <c r="G1110" s="7"/>
      <c r="H1110" s="6" t="s">
        <v>14335</v>
      </c>
      <c r="I1110" s="7" t="s">
        <v>1124</v>
      </c>
      <c r="J1110" s="7" t="s">
        <v>3020</v>
      </c>
      <c r="K1110" s="7" t="s">
        <v>55</v>
      </c>
      <c r="L1110" s="7"/>
      <c r="M1110" s="7"/>
      <c r="N1110" s="45" t="str">
        <f t="shared" si="836"/>
        <v>@widenersoftball</v>
      </c>
      <c r="O1110" s="45" t="str">
        <f t="shared" si="837"/>
        <v>Questionnaire</v>
      </c>
      <c r="P1110" s="48" t="s">
        <v>14345</v>
      </c>
      <c r="Q1110" s="47" t="s">
        <v>1231</v>
      </c>
      <c r="R1110" s="48" t="s">
        <v>14348</v>
      </c>
      <c r="S1110" s="48" t="s">
        <v>468</v>
      </c>
      <c r="T1110" s="73" t="s">
        <v>63</v>
      </c>
      <c r="U1110" s="49" t="s">
        <v>75</v>
      </c>
      <c r="V1110" s="7"/>
      <c r="W1110" s="44">
        <v>3.52</v>
      </c>
      <c r="X1110" s="49" t="s">
        <v>8175</v>
      </c>
      <c r="Y1110" s="49" t="s">
        <v>2341</v>
      </c>
      <c r="Z1110" s="49" t="s">
        <v>1650</v>
      </c>
      <c r="AA1110" s="61">
        <v>0.7</v>
      </c>
      <c r="AB1110" s="71">
        <v>60322</v>
      </c>
      <c r="AC1110" s="90" t="s">
        <v>14345</v>
      </c>
      <c r="AD1110" s="53" t="str">
        <f t="shared" si="838"/>
        <v>Link</v>
      </c>
      <c r="AE1110" s="54">
        <v>3597</v>
      </c>
      <c r="AF1110" s="54">
        <v>192</v>
      </c>
      <c r="AG1110" s="7"/>
      <c r="AH1110" s="56">
        <v>216852</v>
      </c>
      <c r="AI1110" s="57"/>
      <c r="AJ1110" s="57"/>
    </row>
    <row r="1111" spans="1:36" ht="13" x14ac:dyDescent="0.15">
      <c r="A1111" s="57"/>
      <c r="B1111" s="78" t="s">
        <v>7298</v>
      </c>
      <c r="C1111" s="7" t="s">
        <v>43</v>
      </c>
      <c r="D1111" s="86">
        <v>5</v>
      </c>
      <c r="E1111" s="7" t="s">
        <v>14391</v>
      </c>
      <c r="F1111" s="7" t="s">
        <v>116</v>
      </c>
      <c r="G1111" s="7"/>
      <c r="H1111" s="6" t="s">
        <v>14335</v>
      </c>
      <c r="I1111" s="7" t="s">
        <v>234</v>
      </c>
      <c r="J1111" s="7" t="s">
        <v>14394</v>
      </c>
      <c r="K1111" s="7" t="s">
        <v>55</v>
      </c>
      <c r="L1111" s="7"/>
      <c r="M1111" s="7"/>
      <c r="N1111" s="45" t="str">
        <f t="shared" si="836"/>
        <v>@widenersoftball</v>
      </c>
      <c r="O1111" s="45" t="str">
        <f t="shared" si="837"/>
        <v>Questionnaire</v>
      </c>
      <c r="P1111" s="48" t="s">
        <v>14345</v>
      </c>
      <c r="Q1111" s="47" t="s">
        <v>1231</v>
      </c>
      <c r="R1111" s="48" t="s">
        <v>14348</v>
      </c>
      <c r="S1111" s="48" t="s">
        <v>468</v>
      </c>
      <c r="T1111" s="73" t="s">
        <v>63</v>
      </c>
      <c r="U1111" s="49" t="s">
        <v>75</v>
      </c>
      <c r="V1111" s="7"/>
      <c r="W1111" s="44">
        <v>3.52</v>
      </c>
      <c r="X1111" s="49" t="s">
        <v>8175</v>
      </c>
      <c r="Y1111" s="49" t="s">
        <v>2341</v>
      </c>
      <c r="Z1111" s="49" t="s">
        <v>1650</v>
      </c>
      <c r="AA1111" s="61">
        <v>0.7</v>
      </c>
      <c r="AB1111" s="71">
        <v>60322</v>
      </c>
      <c r="AC1111" s="90" t="s">
        <v>14345</v>
      </c>
      <c r="AD1111" s="53" t="str">
        <f t="shared" si="838"/>
        <v>Link</v>
      </c>
      <c r="AE1111" s="54">
        <v>3597</v>
      </c>
      <c r="AF1111" s="54">
        <v>192</v>
      </c>
      <c r="AG1111" s="7"/>
      <c r="AH1111" s="56">
        <v>216852</v>
      </c>
      <c r="AI1111" s="57"/>
      <c r="AJ1111" s="57"/>
    </row>
    <row r="1112" spans="1:36" ht="13" x14ac:dyDescent="0.15">
      <c r="A1112" s="57"/>
      <c r="B1112" s="78" t="s">
        <v>7298</v>
      </c>
      <c r="C1112" s="7" t="s">
        <v>43</v>
      </c>
      <c r="D1112" s="44">
        <v>5</v>
      </c>
      <c r="E1112" s="7" t="s">
        <v>14406</v>
      </c>
      <c r="F1112" s="7"/>
      <c r="G1112" s="7"/>
      <c r="H1112" s="6" t="s">
        <v>14407</v>
      </c>
      <c r="I1112" s="7" t="s">
        <v>2829</v>
      </c>
      <c r="J1112" s="7" t="s">
        <v>14409</v>
      </c>
      <c r="K1112" s="7" t="s">
        <v>48</v>
      </c>
      <c r="L1112" s="7" t="s">
        <v>14410</v>
      </c>
      <c r="M1112" s="7" t="s">
        <v>14411</v>
      </c>
      <c r="N1112" s="45" t="str">
        <f t="shared" ref="N1112:N1113" si="839">HYPERLINK("twitter.com/wilkessoftball","@wilkessoftball")</f>
        <v>@wilkessoftball</v>
      </c>
      <c r="O1112" s="45" t="str">
        <f t="shared" ref="O1112:O1113" si="840">HYPERLINK("https://gowilkesu.com/sb_output.aspx?frform=9","Questionnaire")</f>
        <v>Questionnaire</v>
      </c>
      <c r="P1112" s="48" t="s">
        <v>14418</v>
      </c>
      <c r="Q1112" s="47" t="s">
        <v>1231</v>
      </c>
      <c r="R1112" s="48" t="s">
        <v>13112</v>
      </c>
      <c r="S1112" s="48" t="s">
        <v>468</v>
      </c>
      <c r="T1112" s="49" t="s">
        <v>63</v>
      </c>
      <c r="U1112" s="49" t="s">
        <v>75</v>
      </c>
      <c r="V1112" s="7"/>
      <c r="W1112" s="44">
        <v>3.52</v>
      </c>
      <c r="X1112" s="49" t="s">
        <v>4458</v>
      </c>
      <c r="Y1112" s="49" t="s">
        <v>1622</v>
      </c>
      <c r="Z1112" s="49" t="s">
        <v>1994</v>
      </c>
      <c r="AA1112" s="61">
        <v>0.76</v>
      </c>
      <c r="AB1112" s="71">
        <v>51814</v>
      </c>
      <c r="AC1112" s="62" t="s">
        <v>14418</v>
      </c>
      <c r="AD1112" s="53" t="str">
        <f t="shared" ref="AD1112:AD1113" si="841">HYPERLINK("https://www.wilkes.edu/academics/majors-minors.aspx","Link")</f>
        <v>Link</v>
      </c>
      <c r="AE1112" s="54">
        <v>2561</v>
      </c>
      <c r="AF1112" s="55"/>
      <c r="AG1112" s="7"/>
      <c r="AH1112" s="56">
        <v>216931</v>
      </c>
      <c r="AI1112" s="57"/>
      <c r="AJ1112" s="57"/>
    </row>
    <row r="1113" spans="1:36" ht="13" x14ac:dyDescent="0.15">
      <c r="A1113" s="57"/>
      <c r="B1113" s="78" t="s">
        <v>7298</v>
      </c>
      <c r="C1113" s="7" t="s">
        <v>43</v>
      </c>
      <c r="D1113" s="44">
        <v>5</v>
      </c>
      <c r="E1113" s="7" t="s">
        <v>14426</v>
      </c>
      <c r="F1113" s="7"/>
      <c r="G1113" s="7"/>
      <c r="H1113" s="6" t="s">
        <v>14407</v>
      </c>
      <c r="I1113" s="7" t="s">
        <v>635</v>
      </c>
      <c r="J1113" s="7" t="s">
        <v>14429</v>
      </c>
      <c r="K1113" s="7" t="s">
        <v>120</v>
      </c>
      <c r="L1113" s="7" t="s">
        <v>14430</v>
      </c>
      <c r="M1113" s="7"/>
      <c r="N1113" s="45" t="str">
        <f t="shared" si="839"/>
        <v>@wilkessoftball</v>
      </c>
      <c r="O1113" s="45" t="str">
        <f t="shared" si="840"/>
        <v>Questionnaire</v>
      </c>
      <c r="P1113" s="48" t="s">
        <v>14418</v>
      </c>
      <c r="Q1113" s="47" t="s">
        <v>1231</v>
      </c>
      <c r="R1113" s="48" t="s">
        <v>13112</v>
      </c>
      <c r="S1113" s="48" t="s">
        <v>468</v>
      </c>
      <c r="T1113" s="49" t="s">
        <v>63</v>
      </c>
      <c r="U1113" s="49" t="s">
        <v>75</v>
      </c>
      <c r="V1113" s="7"/>
      <c r="W1113" s="44">
        <v>3.52</v>
      </c>
      <c r="X1113" s="49" t="s">
        <v>4458</v>
      </c>
      <c r="Y1113" s="49" t="s">
        <v>1622</v>
      </c>
      <c r="Z1113" s="49" t="s">
        <v>1994</v>
      </c>
      <c r="AA1113" s="61">
        <v>0.76</v>
      </c>
      <c r="AB1113" s="71">
        <v>51814</v>
      </c>
      <c r="AC1113" s="62" t="s">
        <v>14418</v>
      </c>
      <c r="AD1113" s="53" t="str">
        <f t="shared" si="841"/>
        <v>Link</v>
      </c>
      <c r="AE1113" s="54">
        <v>2561</v>
      </c>
      <c r="AF1113" s="55"/>
      <c r="AG1113" s="7"/>
      <c r="AH1113" s="56">
        <v>216931</v>
      </c>
      <c r="AI1113" s="57"/>
      <c r="AJ1113" s="57"/>
    </row>
    <row r="1114" spans="1:36" ht="13" x14ac:dyDescent="0.15">
      <c r="A1114" s="57"/>
      <c r="B1114" s="78" t="s">
        <v>7298</v>
      </c>
      <c r="C1114" s="7" t="s">
        <v>43</v>
      </c>
      <c r="D1114" s="44">
        <v>5</v>
      </c>
      <c r="E1114" s="7" t="s">
        <v>14436</v>
      </c>
      <c r="F1114" s="7"/>
      <c r="G1114" s="7"/>
      <c r="H1114" s="6" t="s">
        <v>14437</v>
      </c>
      <c r="I1114" s="7" t="s">
        <v>14295</v>
      </c>
      <c r="J1114" s="7" t="s">
        <v>14438</v>
      </c>
      <c r="K1114" s="7" t="s">
        <v>48</v>
      </c>
      <c r="L1114" s="7" t="s">
        <v>14439</v>
      </c>
      <c r="M1114" s="7" t="s">
        <v>14440</v>
      </c>
      <c r="N1114" s="45" t="str">
        <f t="shared" ref="N1114:N1116" si="842">HYPERLINK("twitter.com/wcphoenixsb","@wcphoenixsb")</f>
        <v>@wcphoenixsb</v>
      </c>
      <c r="O1114" s="45" t="str">
        <f t="shared" ref="O1114:O1116" si="843">HYPERLINK("https://wilsonphoenix.com/sports/2013/11/6/GEN_1106131552.aspx","Questionnaire")</f>
        <v>Questionnaire</v>
      </c>
      <c r="P1114" s="48" t="s">
        <v>14444</v>
      </c>
      <c r="Q1114" s="47" t="s">
        <v>1231</v>
      </c>
      <c r="R1114" s="48" t="s">
        <v>14445</v>
      </c>
      <c r="S1114" s="48" t="s">
        <v>172</v>
      </c>
      <c r="T1114" s="73" t="s">
        <v>63</v>
      </c>
      <c r="U1114" s="49" t="s">
        <v>248</v>
      </c>
      <c r="V1114" s="7"/>
      <c r="W1114" s="44">
        <v>3.45</v>
      </c>
      <c r="X1114" s="49" t="s">
        <v>3892</v>
      </c>
      <c r="Y1114" s="49" t="s">
        <v>7200</v>
      </c>
      <c r="Z1114" s="49" t="s">
        <v>278</v>
      </c>
      <c r="AA1114" s="61">
        <v>0.57999999999999996</v>
      </c>
      <c r="AB1114" s="71">
        <v>38420</v>
      </c>
      <c r="AC1114" s="62" t="s">
        <v>14444</v>
      </c>
      <c r="AD1114" s="53" t="str">
        <f t="shared" ref="AD1114:AD1116" si="844">HYPERLINK("https://www.wilson.edu/areas-study","Link")</f>
        <v>Link</v>
      </c>
      <c r="AE1114" s="54">
        <v>747</v>
      </c>
      <c r="AF1114" s="55"/>
      <c r="AG1114" s="7"/>
      <c r="AH1114" s="56">
        <v>217013</v>
      </c>
      <c r="AI1114" s="57"/>
      <c r="AJ1114" s="57"/>
    </row>
    <row r="1115" spans="1:36" ht="13" x14ac:dyDescent="0.15">
      <c r="A1115" s="57"/>
      <c r="B1115" s="78" t="s">
        <v>7298</v>
      </c>
      <c r="C1115" s="7" t="s">
        <v>43</v>
      </c>
      <c r="D1115" s="44">
        <v>5</v>
      </c>
      <c r="E1115" s="7" t="s">
        <v>14450</v>
      </c>
      <c r="F1115" s="7"/>
      <c r="G1115" s="7"/>
      <c r="H1115" s="6" t="s">
        <v>14437</v>
      </c>
      <c r="I1115" s="7" t="s">
        <v>14452</v>
      </c>
      <c r="J1115" s="7" t="s">
        <v>14453</v>
      </c>
      <c r="K1115" s="7" t="s">
        <v>55</v>
      </c>
      <c r="L1115" s="7" t="s">
        <v>14455</v>
      </c>
      <c r="M1115" s="7"/>
      <c r="N1115" s="45" t="str">
        <f t="shared" si="842"/>
        <v>@wcphoenixsb</v>
      </c>
      <c r="O1115" s="45" t="str">
        <f t="shared" si="843"/>
        <v>Questionnaire</v>
      </c>
      <c r="P1115" s="48" t="s">
        <v>14444</v>
      </c>
      <c r="Q1115" s="47" t="s">
        <v>1231</v>
      </c>
      <c r="R1115" s="48" t="s">
        <v>14445</v>
      </c>
      <c r="S1115" s="48" t="s">
        <v>172</v>
      </c>
      <c r="T1115" s="73" t="s">
        <v>63</v>
      </c>
      <c r="U1115" s="49" t="s">
        <v>248</v>
      </c>
      <c r="V1115" s="7"/>
      <c r="W1115" s="44">
        <v>3.45</v>
      </c>
      <c r="X1115" s="49" t="s">
        <v>3892</v>
      </c>
      <c r="Y1115" s="49" t="s">
        <v>7200</v>
      </c>
      <c r="Z1115" s="49" t="s">
        <v>278</v>
      </c>
      <c r="AA1115" s="61">
        <v>0.57999999999999996</v>
      </c>
      <c r="AB1115" s="71">
        <v>38420</v>
      </c>
      <c r="AC1115" s="62" t="s">
        <v>14444</v>
      </c>
      <c r="AD1115" s="53" t="str">
        <f t="shared" si="844"/>
        <v>Link</v>
      </c>
      <c r="AE1115" s="54">
        <v>747</v>
      </c>
      <c r="AF1115" s="55"/>
      <c r="AG1115" s="7"/>
      <c r="AH1115" s="56">
        <v>217013</v>
      </c>
      <c r="AI1115" s="57"/>
      <c r="AJ1115" s="57"/>
    </row>
    <row r="1116" spans="1:36" ht="13" x14ac:dyDescent="0.15">
      <c r="A1116" s="57"/>
      <c r="B1116" s="78" t="s">
        <v>7298</v>
      </c>
      <c r="C1116" s="7" t="s">
        <v>43</v>
      </c>
      <c r="D1116" s="44">
        <v>5</v>
      </c>
      <c r="E1116" s="7" t="s">
        <v>14461</v>
      </c>
      <c r="F1116" s="7"/>
      <c r="G1116" s="7"/>
      <c r="H1116" s="6" t="s">
        <v>14437</v>
      </c>
      <c r="I1116" s="7" t="s">
        <v>1610</v>
      </c>
      <c r="J1116" s="7" t="s">
        <v>834</v>
      </c>
      <c r="K1116" s="7" t="s">
        <v>55</v>
      </c>
      <c r="L1116" s="7" t="s">
        <v>14462</v>
      </c>
      <c r="M1116" s="7" t="s">
        <v>14464</v>
      </c>
      <c r="N1116" s="45" t="str">
        <f t="shared" si="842"/>
        <v>@wcphoenixsb</v>
      </c>
      <c r="O1116" s="45" t="str">
        <f t="shared" si="843"/>
        <v>Questionnaire</v>
      </c>
      <c r="P1116" s="48" t="s">
        <v>14444</v>
      </c>
      <c r="Q1116" s="47" t="s">
        <v>1231</v>
      </c>
      <c r="R1116" s="48" t="s">
        <v>14445</v>
      </c>
      <c r="S1116" s="48" t="s">
        <v>172</v>
      </c>
      <c r="T1116" s="73" t="s">
        <v>63</v>
      </c>
      <c r="U1116" s="49" t="s">
        <v>248</v>
      </c>
      <c r="V1116" s="7"/>
      <c r="W1116" s="44">
        <v>3.45</v>
      </c>
      <c r="X1116" s="49" t="s">
        <v>3892</v>
      </c>
      <c r="Y1116" s="49" t="s">
        <v>7200</v>
      </c>
      <c r="Z1116" s="49" t="s">
        <v>278</v>
      </c>
      <c r="AA1116" s="61">
        <v>0.57999999999999996</v>
      </c>
      <c r="AB1116" s="71">
        <v>38420</v>
      </c>
      <c r="AC1116" s="62" t="s">
        <v>14444</v>
      </c>
      <c r="AD1116" s="53" t="str">
        <f t="shared" si="844"/>
        <v>Link</v>
      </c>
      <c r="AE1116" s="54">
        <v>747</v>
      </c>
      <c r="AF1116" s="55"/>
      <c r="AG1116" s="7"/>
      <c r="AH1116" s="56">
        <v>217013</v>
      </c>
      <c r="AI1116" s="57"/>
      <c r="AJ1116" s="57"/>
    </row>
    <row r="1117" spans="1:36" ht="13" x14ac:dyDescent="0.15">
      <c r="A1117" s="57"/>
      <c r="B1117" s="78" t="s">
        <v>7298</v>
      </c>
      <c r="C1117" s="7" t="s">
        <v>43</v>
      </c>
      <c r="D1117" s="44">
        <v>5</v>
      </c>
      <c r="E1117" s="7" t="s">
        <v>14467</v>
      </c>
      <c r="F1117" s="7"/>
      <c r="G1117" s="7"/>
      <c r="H1117" s="6" t="s">
        <v>14468</v>
      </c>
      <c r="I1117" s="7" t="s">
        <v>4123</v>
      </c>
      <c r="J1117" s="7" t="s">
        <v>14469</v>
      </c>
      <c r="K1117" s="7" t="s">
        <v>48</v>
      </c>
      <c r="L1117" s="7" t="s">
        <v>14470</v>
      </c>
      <c r="M1117" s="7" t="s">
        <v>14471</v>
      </c>
      <c r="N1117" s="45" t="str">
        <f t="shared" ref="N1117:N1118" si="845">HYPERLINK("twitter.com/ycpsoftball","@ycpsoftball")</f>
        <v>@ycpsoftball</v>
      </c>
      <c r="O1117" s="45" t="str">
        <f t="shared" ref="O1117:O1118" si="846">HYPERLINK("https://www.ycpspartans.com/information/forms","Questionnaire")</f>
        <v>Questionnaire</v>
      </c>
      <c r="P1117" s="48" t="s">
        <v>14482</v>
      </c>
      <c r="Q1117" s="47" t="s">
        <v>1231</v>
      </c>
      <c r="R1117" s="48" t="s">
        <v>13678</v>
      </c>
      <c r="S1117" s="48" t="s">
        <v>468</v>
      </c>
      <c r="T1117" s="49" t="s">
        <v>63</v>
      </c>
      <c r="U1117" s="49" t="s">
        <v>75</v>
      </c>
      <c r="V1117" s="7"/>
      <c r="W1117" s="44">
        <v>3.52</v>
      </c>
      <c r="X1117" s="49" t="s">
        <v>3013</v>
      </c>
      <c r="Y1117" s="49" t="s">
        <v>2341</v>
      </c>
      <c r="Z1117" s="49" t="s">
        <v>1994</v>
      </c>
      <c r="AA1117" s="61">
        <v>0.61</v>
      </c>
      <c r="AB1117" s="71">
        <v>32440</v>
      </c>
      <c r="AC1117" s="62" t="s">
        <v>14482</v>
      </c>
      <c r="AD1117" s="53" t="str">
        <f t="shared" ref="AD1117:AD1118" si="847">HYPERLINK("https://www.ycp.edu/academics/majors-and-minors/","Link")</f>
        <v>Link</v>
      </c>
      <c r="AE1117" s="54">
        <v>4288</v>
      </c>
      <c r="AF1117" s="55"/>
      <c r="AG1117" s="7"/>
      <c r="AH1117" s="56">
        <v>217059</v>
      </c>
      <c r="AI1117" s="57"/>
      <c r="AJ1117" s="57"/>
    </row>
    <row r="1118" spans="1:36" ht="13" x14ac:dyDescent="0.15">
      <c r="A1118" s="57"/>
      <c r="B1118" s="78" t="s">
        <v>7298</v>
      </c>
      <c r="C1118" s="7" t="s">
        <v>43</v>
      </c>
      <c r="D1118" s="44">
        <v>5</v>
      </c>
      <c r="E1118" s="7" t="s">
        <v>14486</v>
      </c>
      <c r="F1118" s="7"/>
      <c r="G1118" s="7"/>
      <c r="H1118" s="6" t="s">
        <v>14468</v>
      </c>
      <c r="I1118" s="7" t="s">
        <v>173</v>
      </c>
      <c r="J1118" s="7" t="s">
        <v>14488</v>
      </c>
      <c r="K1118" s="7" t="s">
        <v>55</v>
      </c>
      <c r="L1118" s="7" t="s">
        <v>14491</v>
      </c>
      <c r="M1118" s="7"/>
      <c r="N1118" s="45" t="str">
        <f t="shared" si="845"/>
        <v>@ycpsoftball</v>
      </c>
      <c r="O1118" s="45" t="str">
        <f t="shared" si="846"/>
        <v>Questionnaire</v>
      </c>
      <c r="P1118" s="48" t="s">
        <v>14482</v>
      </c>
      <c r="Q1118" s="47" t="s">
        <v>1231</v>
      </c>
      <c r="R1118" s="48" t="s">
        <v>13678</v>
      </c>
      <c r="S1118" s="48" t="s">
        <v>468</v>
      </c>
      <c r="T1118" s="49" t="s">
        <v>63</v>
      </c>
      <c r="U1118" s="49" t="s">
        <v>75</v>
      </c>
      <c r="V1118" s="7"/>
      <c r="W1118" s="44">
        <v>3.52</v>
      </c>
      <c r="X1118" s="49" t="s">
        <v>3013</v>
      </c>
      <c r="Y1118" s="49" t="s">
        <v>2341</v>
      </c>
      <c r="Z1118" s="49" t="s">
        <v>1994</v>
      </c>
      <c r="AA1118" s="61">
        <v>0.61</v>
      </c>
      <c r="AB1118" s="71">
        <v>32440</v>
      </c>
      <c r="AC1118" s="62" t="s">
        <v>14482</v>
      </c>
      <c r="AD1118" s="53" t="str">
        <f t="shared" si="847"/>
        <v>Link</v>
      </c>
      <c r="AE1118" s="54">
        <v>4288</v>
      </c>
      <c r="AF1118" s="55"/>
      <c r="AG1118" s="7"/>
      <c r="AH1118" s="56">
        <v>217059</v>
      </c>
      <c r="AI1118" s="57"/>
      <c r="AJ1118" s="57"/>
    </row>
    <row r="1119" spans="1:36" ht="13" x14ac:dyDescent="0.15">
      <c r="A1119" s="57"/>
      <c r="B1119" s="78" t="s">
        <v>2139</v>
      </c>
      <c r="C1119" s="7" t="s">
        <v>43</v>
      </c>
      <c r="D1119" s="44">
        <v>5</v>
      </c>
      <c r="E1119" s="7" t="s">
        <v>14497</v>
      </c>
      <c r="F1119" s="7"/>
      <c r="G1119" s="7"/>
      <c r="H1119" s="6" t="s">
        <v>14498</v>
      </c>
      <c r="I1119" s="7" t="s">
        <v>1159</v>
      </c>
      <c r="J1119" s="7" t="s">
        <v>14499</v>
      </c>
      <c r="K1119" s="7" t="s">
        <v>48</v>
      </c>
      <c r="L1119" s="7" t="s">
        <v>14500</v>
      </c>
      <c r="M1119" s="7" t="s">
        <v>14501</v>
      </c>
      <c r="N1119" s="45" t="str">
        <f t="shared" ref="N1119:N1121" si="848">HYPERLINK("twitter.com/jwu_softball","@jwu_softball")</f>
        <v>@jwu_softball</v>
      </c>
      <c r="O1119" s="74" t="str">
        <f t="shared" ref="O1119:O1121" si="849">HYPERLINK("https://providence.jwuathletics.com/admissions/recruit","Questionnaire")</f>
        <v>Questionnaire</v>
      </c>
      <c r="P1119" s="7" t="s">
        <v>14511</v>
      </c>
      <c r="Q1119" s="57" t="s">
        <v>2123</v>
      </c>
      <c r="R1119" s="7" t="s">
        <v>3234</v>
      </c>
      <c r="S1119" s="48" t="s">
        <v>62</v>
      </c>
      <c r="T1119" s="49" t="s">
        <v>63</v>
      </c>
      <c r="U1119" s="7" t="s">
        <v>75</v>
      </c>
      <c r="V1119" s="7"/>
      <c r="W1119" s="44">
        <v>3.12</v>
      </c>
      <c r="X1119" s="7" t="s">
        <v>214</v>
      </c>
      <c r="Y1119" s="7" t="s">
        <v>214</v>
      </c>
      <c r="Z1119" s="7" t="s">
        <v>214</v>
      </c>
      <c r="AA1119" s="61">
        <v>0.88</v>
      </c>
      <c r="AB1119" s="71">
        <v>46918</v>
      </c>
      <c r="AC1119" s="78" t="s">
        <v>14511</v>
      </c>
      <c r="AD1119" s="74" t="str">
        <f t="shared" ref="AD1119:AD1121" si="850">HYPERLINK("https://www.jwu.edu/academics/find-your-major-or-degree.html","Link")</f>
        <v>Link</v>
      </c>
      <c r="AE1119" s="54">
        <v>8459</v>
      </c>
      <c r="AF1119" s="55"/>
      <c r="AG1119" s="7"/>
      <c r="AH1119" s="56">
        <v>217235</v>
      </c>
      <c r="AI1119" s="56"/>
    </row>
    <row r="1120" spans="1:36" ht="13" x14ac:dyDescent="0.15">
      <c r="A1120" s="57"/>
      <c r="B1120" s="78" t="s">
        <v>2139</v>
      </c>
      <c r="C1120" s="7" t="s">
        <v>43</v>
      </c>
      <c r="D1120" s="44">
        <v>5</v>
      </c>
      <c r="E1120" s="7" t="s">
        <v>14517</v>
      </c>
      <c r="F1120" s="7"/>
      <c r="G1120" s="7"/>
      <c r="H1120" s="6" t="s">
        <v>14498</v>
      </c>
      <c r="I1120" s="7" t="s">
        <v>981</v>
      </c>
      <c r="J1120" s="7" t="s">
        <v>3082</v>
      </c>
      <c r="K1120" s="7" t="s">
        <v>55</v>
      </c>
      <c r="L1120" s="7" t="s">
        <v>14521</v>
      </c>
      <c r="M1120" s="7" t="s">
        <v>14501</v>
      </c>
      <c r="N1120" s="45" t="str">
        <f t="shared" si="848"/>
        <v>@jwu_softball</v>
      </c>
      <c r="O1120" s="74" t="str">
        <f t="shared" si="849"/>
        <v>Questionnaire</v>
      </c>
      <c r="P1120" s="7" t="s">
        <v>14511</v>
      </c>
      <c r="Q1120" s="57" t="s">
        <v>2123</v>
      </c>
      <c r="R1120" s="7" t="s">
        <v>3234</v>
      </c>
      <c r="S1120" s="48" t="s">
        <v>62</v>
      </c>
      <c r="T1120" s="49" t="s">
        <v>63</v>
      </c>
      <c r="U1120" s="7" t="s">
        <v>75</v>
      </c>
      <c r="V1120" s="7"/>
      <c r="W1120" s="44">
        <v>3.12</v>
      </c>
      <c r="X1120" s="7" t="s">
        <v>214</v>
      </c>
      <c r="Y1120" s="7" t="s">
        <v>214</v>
      </c>
      <c r="Z1120" s="7" t="s">
        <v>214</v>
      </c>
      <c r="AA1120" s="61">
        <v>0.88</v>
      </c>
      <c r="AB1120" s="71">
        <v>46918</v>
      </c>
      <c r="AC1120" s="78" t="s">
        <v>14511</v>
      </c>
      <c r="AD1120" s="74" t="str">
        <f t="shared" si="850"/>
        <v>Link</v>
      </c>
      <c r="AE1120" s="54">
        <v>8459</v>
      </c>
      <c r="AF1120" s="55"/>
      <c r="AG1120" s="7"/>
      <c r="AH1120" s="56">
        <v>217235</v>
      </c>
      <c r="AI1120" s="56"/>
    </row>
    <row r="1121" spans="1:35" ht="13" x14ac:dyDescent="0.15">
      <c r="A1121" s="57"/>
      <c r="B1121" s="78" t="s">
        <v>2139</v>
      </c>
      <c r="C1121" s="7" t="s">
        <v>43</v>
      </c>
      <c r="D1121" s="44">
        <v>5</v>
      </c>
      <c r="E1121" s="7" t="s">
        <v>14530</v>
      </c>
      <c r="F1121" s="7"/>
      <c r="G1121" s="7"/>
      <c r="H1121" s="6" t="s">
        <v>14498</v>
      </c>
      <c r="I1121" s="7" t="s">
        <v>4402</v>
      </c>
      <c r="J1121" s="7" t="s">
        <v>14531</v>
      </c>
      <c r="K1121" s="7" t="s">
        <v>55</v>
      </c>
      <c r="L1121" s="7"/>
      <c r="M1121" s="7"/>
      <c r="N1121" s="45" t="str">
        <f t="shared" si="848"/>
        <v>@jwu_softball</v>
      </c>
      <c r="O1121" s="74" t="str">
        <f t="shared" si="849"/>
        <v>Questionnaire</v>
      </c>
      <c r="P1121" s="7" t="s">
        <v>14511</v>
      </c>
      <c r="Q1121" s="57" t="s">
        <v>2123</v>
      </c>
      <c r="R1121" s="7" t="s">
        <v>3234</v>
      </c>
      <c r="S1121" s="48" t="s">
        <v>62</v>
      </c>
      <c r="T1121" s="49" t="s">
        <v>63</v>
      </c>
      <c r="U1121" s="7" t="s">
        <v>75</v>
      </c>
      <c r="V1121" s="7"/>
      <c r="W1121" s="44">
        <v>3.12</v>
      </c>
      <c r="X1121" s="7" t="s">
        <v>214</v>
      </c>
      <c r="Y1121" s="7" t="s">
        <v>214</v>
      </c>
      <c r="Z1121" s="7" t="s">
        <v>214</v>
      </c>
      <c r="AA1121" s="61">
        <v>0.88</v>
      </c>
      <c r="AB1121" s="71">
        <v>46918</v>
      </c>
      <c r="AC1121" s="78" t="s">
        <v>14511</v>
      </c>
      <c r="AD1121" s="74" t="str">
        <f t="shared" si="850"/>
        <v>Link</v>
      </c>
      <c r="AE1121" s="54">
        <v>8459</v>
      </c>
      <c r="AF1121" s="55"/>
      <c r="AG1121" s="7"/>
      <c r="AH1121" s="56">
        <v>217235</v>
      </c>
      <c r="AI1121" s="56"/>
    </row>
    <row r="1122" spans="1:35" ht="13" x14ac:dyDescent="0.15">
      <c r="A1122" s="57"/>
      <c r="B1122" s="78" t="s">
        <v>2139</v>
      </c>
      <c r="C1122" s="7" t="s">
        <v>43</v>
      </c>
      <c r="D1122" s="44">
        <v>5</v>
      </c>
      <c r="E1122" s="7" t="s">
        <v>14536</v>
      </c>
      <c r="F1122" s="7"/>
      <c r="G1122" s="7"/>
      <c r="H1122" s="6" t="s">
        <v>14537</v>
      </c>
      <c r="I1122" s="7" t="s">
        <v>2790</v>
      </c>
      <c r="J1122" s="7" t="s">
        <v>14539</v>
      </c>
      <c r="K1122" s="7" t="s">
        <v>48</v>
      </c>
      <c r="L1122" s="7" t="s">
        <v>14541</v>
      </c>
      <c r="M1122" s="7" t="s">
        <v>14543</v>
      </c>
      <c r="N1122" s="45" t="str">
        <f t="shared" ref="N1122:N1124" si="851">HYPERLINK("twitter.com/rhodysoftball","@rhodysoftball")</f>
        <v>@rhodysoftball</v>
      </c>
      <c r="O1122" s="7" t="s">
        <v>22</v>
      </c>
      <c r="P1122" s="7" t="s">
        <v>14537</v>
      </c>
      <c r="Q1122" s="36" t="s">
        <v>2123</v>
      </c>
      <c r="R1122" s="7" t="s">
        <v>3234</v>
      </c>
      <c r="S1122" s="48" t="s">
        <v>62</v>
      </c>
      <c r="T1122" s="49" t="s">
        <v>74</v>
      </c>
      <c r="U1122" s="7" t="s">
        <v>75</v>
      </c>
      <c r="V1122" s="7"/>
      <c r="W1122" s="44">
        <v>3.11</v>
      </c>
      <c r="X1122" s="7" t="s">
        <v>1947</v>
      </c>
      <c r="Y1122" s="7" t="s">
        <v>8238</v>
      </c>
      <c r="Z1122" s="7" t="s">
        <v>1400</v>
      </c>
      <c r="AA1122" s="61">
        <v>0.75</v>
      </c>
      <c r="AB1122" s="71" t="s">
        <v>14549</v>
      </c>
      <c r="AC1122" s="82" t="s">
        <v>14537</v>
      </c>
      <c r="AD1122" s="74" t="str">
        <f t="shared" ref="AD1122:AD1124" si="852">HYPERLINK("http://www.ric.edu/admissions/Pages/Majors-and-Programs.aspx","Link")</f>
        <v>Link</v>
      </c>
      <c r="AE1122" s="54">
        <v>7398</v>
      </c>
      <c r="AF1122" s="55"/>
      <c r="AG1122" s="7"/>
      <c r="AH1122" s="56">
        <v>217420</v>
      </c>
      <c r="AI1122" s="56"/>
    </row>
    <row r="1123" spans="1:35" ht="13" x14ac:dyDescent="0.15">
      <c r="A1123" s="57"/>
      <c r="B1123" s="78" t="s">
        <v>2139</v>
      </c>
      <c r="C1123" s="7" t="s">
        <v>43</v>
      </c>
      <c r="D1123" s="44">
        <v>5</v>
      </c>
      <c r="E1123" s="7" t="s">
        <v>14556</v>
      </c>
      <c r="F1123" s="7"/>
      <c r="G1123" s="7"/>
      <c r="H1123" s="6" t="s">
        <v>14537</v>
      </c>
      <c r="I1123" s="7" t="s">
        <v>439</v>
      </c>
      <c r="J1123" s="7" t="s">
        <v>14557</v>
      </c>
      <c r="K1123" s="7" t="s">
        <v>55</v>
      </c>
      <c r="L1123" s="7" t="s">
        <v>14558</v>
      </c>
      <c r="M1123" s="7" t="s">
        <v>14543</v>
      </c>
      <c r="N1123" s="45" t="str">
        <f t="shared" si="851"/>
        <v>@rhodysoftball</v>
      </c>
      <c r="O1123" s="7" t="s">
        <v>22</v>
      </c>
      <c r="P1123" s="7" t="s">
        <v>14537</v>
      </c>
      <c r="Q1123" s="36" t="s">
        <v>2123</v>
      </c>
      <c r="R1123" s="7" t="s">
        <v>3234</v>
      </c>
      <c r="S1123" s="48" t="s">
        <v>62</v>
      </c>
      <c r="T1123" s="49" t="s">
        <v>74</v>
      </c>
      <c r="U1123" s="7" t="s">
        <v>75</v>
      </c>
      <c r="V1123" s="7"/>
      <c r="W1123" s="44">
        <v>3.11</v>
      </c>
      <c r="X1123" s="7" t="s">
        <v>1947</v>
      </c>
      <c r="Y1123" s="7" t="s">
        <v>8238</v>
      </c>
      <c r="Z1123" s="7" t="s">
        <v>1400</v>
      </c>
      <c r="AA1123" s="61">
        <v>0.75</v>
      </c>
      <c r="AB1123" s="71" t="s">
        <v>14549</v>
      </c>
      <c r="AC1123" s="82" t="s">
        <v>14537</v>
      </c>
      <c r="AD1123" s="74" t="str">
        <f t="shared" si="852"/>
        <v>Link</v>
      </c>
      <c r="AE1123" s="54">
        <v>7398</v>
      </c>
      <c r="AF1123" s="55"/>
      <c r="AG1123" s="7"/>
      <c r="AH1123" s="56">
        <v>217420</v>
      </c>
      <c r="AI1123" s="56"/>
    </row>
    <row r="1124" spans="1:35" ht="13" x14ac:dyDescent="0.15">
      <c r="A1124" s="57"/>
      <c r="B1124" s="78" t="s">
        <v>2139</v>
      </c>
      <c r="C1124" s="7" t="s">
        <v>43</v>
      </c>
      <c r="D1124" s="44">
        <v>5</v>
      </c>
      <c r="E1124" s="7" t="s">
        <v>14562</v>
      </c>
      <c r="F1124" s="7"/>
      <c r="G1124" s="7"/>
      <c r="H1124" s="6" t="s">
        <v>14537</v>
      </c>
      <c r="I1124" s="7" t="s">
        <v>234</v>
      </c>
      <c r="J1124" s="7" t="s">
        <v>14563</v>
      </c>
      <c r="K1124" s="7" t="s">
        <v>55</v>
      </c>
      <c r="L1124" s="7" t="s">
        <v>14564</v>
      </c>
      <c r="M1124" s="7" t="s">
        <v>14543</v>
      </c>
      <c r="N1124" s="45" t="str">
        <f t="shared" si="851"/>
        <v>@rhodysoftball</v>
      </c>
      <c r="O1124" s="7" t="s">
        <v>22</v>
      </c>
      <c r="P1124" s="7" t="s">
        <v>14537</v>
      </c>
      <c r="Q1124" s="36" t="s">
        <v>2123</v>
      </c>
      <c r="R1124" s="7" t="s">
        <v>3234</v>
      </c>
      <c r="S1124" s="48" t="s">
        <v>62</v>
      </c>
      <c r="T1124" s="49" t="s">
        <v>74</v>
      </c>
      <c r="U1124" s="7" t="s">
        <v>75</v>
      </c>
      <c r="V1124" s="7"/>
      <c r="W1124" s="44">
        <v>3.11</v>
      </c>
      <c r="X1124" s="7" t="s">
        <v>1947</v>
      </c>
      <c r="Y1124" s="7" t="s">
        <v>8238</v>
      </c>
      <c r="Z1124" s="7" t="s">
        <v>1400</v>
      </c>
      <c r="AA1124" s="61">
        <v>0.75</v>
      </c>
      <c r="AB1124" s="71" t="s">
        <v>14549</v>
      </c>
      <c r="AC1124" s="82" t="s">
        <v>14537</v>
      </c>
      <c r="AD1124" s="74" t="str">
        <f t="shared" si="852"/>
        <v>Link</v>
      </c>
      <c r="AE1124" s="54">
        <v>7398</v>
      </c>
      <c r="AF1124" s="55"/>
      <c r="AG1124" s="7"/>
      <c r="AH1124" s="56">
        <v>217420</v>
      </c>
      <c r="AI1124" s="56"/>
    </row>
    <row r="1125" spans="1:35" ht="13" x14ac:dyDescent="0.15">
      <c r="A1125" s="57"/>
      <c r="B1125" s="78" t="s">
        <v>2139</v>
      </c>
      <c r="C1125" s="7" t="s">
        <v>43</v>
      </c>
      <c r="D1125" s="44">
        <v>5</v>
      </c>
      <c r="E1125" s="7" t="s">
        <v>14574</v>
      </c>
      <c r="F1125" s="7"/>
      <c r="G1125" s="7"/>
      <c r="H1125" s="6" t="s">
        <v>14575</v>
      </c>
      <c r="I1125" s="7" t="s">
        <v>6009</v>
      </c>
      <c r="J1125" s="7" t="s">
        <v>14577</v>
      </c>
      <c r="K1125" s="7" t="s">
        <v>48</v>
      </c>
      <c r="L1125" s="7" t="s">
        <v>14579</v>
      </c>
      <c r="M1125" s="7" t="s">
        <v>14580</v>
      </c>
      <c r="N1125" s="45" t="str">
        <f t="shared" ref="N1125:N1127" si="853">HYPERLINK("twitter.com/rwu_softball","@rwu_softball")</f>
        <v>@rwu_softball</v>
      </c>
      <c r="O1125" s="74" t="str">
        <f t="shared" ref="O1125:O1127" si="854">HYPERLINK("https://rwuhawks.com/sports/2015/10/8/prospective_athlete_forms.aspx","Questionnaire")</f>
        <v>Questionnaire</v>
      </c>
      <c r="P1125" s="7" t="s">
        <v>14588</v>
      </c>
      <c r="Q1125" s="57" t="s">
        <v>2123</v>
      </c>
      <c r="R1125" s="7" t="s">
        <v>10725</v>
      </c>
      <c r="S1125" s="48" t="s">
        <v>172</v>
      </c>
      <c r="T1125" s="49" t="s">
        <v>63</v>
      </c>
      <c r="U1125" s="7" t="s">
        <v>75</v>
      </c>
      <c r="V1125" s="7"/>
      <c r="W1125" s="44">
        <v>3.34</v>
      </c>
      <c r="X1125" s="7" t="s">
        <v>1509</v>
      </c>
      <c r="Y1125" s="7" t="s">
        <v>344</v>
      </c>
      <c r="Z1125" s="7" t="s">
        <v>3287</v>
      </c>
      <c r="AA1125" s="61">
        <v>0.79</v>
      </c>
      <c r="AB1125" s="71">
        <v>50896</v>
      </c>
      <c r="AC1125" s="78" t="s">
        <v>14588</v>
      </c>
      <c r="AD1125" s="74" t="str">
        <f t="shared" ref="AD1125:AD1127" si="855">HYPERLINK("https://www.rwu.edu/undergraduate/academics/programs","Link")</f>
        <v>Link</v>
      </c>
      <c r="AE1125" s="54">
        <v>4902</v>
      </c>
      <c r="AF1125" s="55"/>
      <c r="AG1125" s="7"/>
      <c r="AH1125" s="56">
        <v>217518</v>
      </c>
      <c r="AI1125" s="56"/>
    </row>
    <row r="1126" spans="1:35" ht="13" x14ac:dyDescent="0.15">
      <c r="A1126" s="57"/>
      <c r="B1126" s="78" t="s">
        <v>2139</v>
      </c>
      <c r="C1126" s="7" t="s">
        <v>43</v>
      </c>
      <c r="D1126" s="44">
        <v>5</v>
      </c>
      <c r="E1126" s="7" t="s">
        <v>14595</v>
      </c>
      <c r="F1126" s="7"/>
      <c r="G1126" s="7"/>
      <c r="H1126" s="6" t="s">
        <v>14575</v>
      </c>
      <c r="I1126" s="7" t="s">
        <v>84</v>
      </c>
      <c r="J1126" s="7" t="s">
        <v>14596</v>
      </c>
      <c r="K1126" s="7" t="s">
        <v>55</v>
      </c>
      <c r="L1126" s="7" t="s">
        <v>14597</v>
      </c>
      <c r="M1126" s="7"/>
      <c r="N1126" s="45" t="str">
        <f t="shared" si="853"/>
        <v>@rwu_softball</v>
      </c>
      <c r="O1126" s="74" t="str">
        <f t="shared" si="854"/>
        <v>Questionnaire</v>
      </c>
      <c r="P1126" s="7" t="s">
        <v>14588</v>
      </c>
      <c r="Q1126" s="57" t="s">
        <v>2123</v>
      </c>
      <c r="R1126" s="7" t="s">
        <v>10725</v>
      </c>
      <c r="S1126" s="48" t="s">
        <v>172</v>
      </c>
      <c r="T1126" s="49" t="s">
        <v>63</v>
      </c>
      <c r="U1126" s="7" t="s">
        <v>75</v>
      </c>
      <c r="V1126" s="7"/>
      <c r="W1126" s="44">
        <v>3.34</v>
      </c>
      <c r="X1126" s="7" t="s">
        <v>1509</v>
      </c>
      <c r="Y1126" s="7" t="s">
        <v>344</v>
      </c>
      <c r="Z1126" s="7" t="s">
        <v>3287</v>
      </c>
      <c r="AA1126" s="61">
        <v>0.79</v>
      </c>
      <c r="AB1126" s="71">
        <v>50896</v>
      </c>
      <c r="AC1126" s="78" t="s">
        <v>14588</v>
      </c>
      <c r="AD1126" s="74" t="str">
        <f t="shared" si="855"/>
        <v>Link</v>
      </c>
      <c r="AE1126" s="54">
        <v>4902</v>
      </c>
      <c r="AF1126" s="55"/>
      <c r="AG1126" s="7"/>
      <c r="AH1126" s="56">
        <v>217518</v>
      </c>
      <c r="AI1126" s="56"/>
    </row>
    <row r="1127" spans="1:35" ht="13" x14ac:dyDescent="0.15">
      <c r="A1127" s="57"/>
      <c r="B1127" s="78" t="s">
        <v>2139</v>
      </c>
      <c r="C1127" s="7" t="s">
        <v>43</v>
      </c>
      <c r="D1127" s="44">
        <v>5</v>
      </c>
      <c r="E1127" s="7" t="s">
        <v>14604</v>
      </c>
      <c r="F1127" s="7"/>
      <c r="G1127" s="7"/>
      <c r="H1127" s="6" t="s">
        <v>14575</v>
      </c>
      <c r="I1127" s="7" t="s">
        <v>361</v>
      </c>
      <c r="J1127" s="7" t="s">
        <v>14605</v>
      </c>
      <c r="K1127" s="7" t="s">
        <v>14606</v>
      </c>
      <c r="L1127" s="7" t="s">
        <v>14607</v>
      </c>
      <c r="M1127" s="7"/>
      <c r="N1127" s="45" t="str">
        <f t="shared" si="853"/>
        <v>@rwu_softball</v>
      </c>
      <c r="O1127" s="74" t="str">
        <f t="shared" si="854"/>
        <v>Questionnaire</v>
      </c>
      <c r="P1127" s="7" t="s">
        <v>14588</v>
      </c>
      <c r="Q1127" s="57" t="s">
        <v>2123</v>
      </c>
      <c r="R1127" s="7" t="s">
        <v>10725</v>
      </c>
      <c r="S1127" s="48" t="s">
        <v>172</v>
      </c>
      <c r="T1127" s="49" t="s">
        <v>63</v>
      </c>
      <c r="U1127" s="7" t="s">
        <v>75</v>
      </c>
      <c r="V1127" s="7"/>
      <c r="W1127" s="44">
        <v>3.34</v>
      </c>
      <c r="X1127" s="7" t="s">
        <v>1509</v>
      </c>
      <c r="Y1127" s="7" t="s">
        <v>344</v>
      </c>
      <c r="Z1127" s="7" t="s">
        <v>3287</v>
      </c>
      <c r="AA1127" s="61">
        <v>0.79</v>
      </c>
      <c r="AB1127" s="71">
        <v>50896</v>
      </c>
      <c r="AC1127" s="78" t="s">
        <v>14588</v>
      </c>
      <c r="AD1127" s="74" t="str">
        <f t="shared" si="855"/>
        <v>Link</v>
      </c>
      <c r="AE1127" s="54">
        <v>4902</v>
      </c>
      <c r="AF1127" s="55"/>
      <c r="AG1127" s="7"/>
      <c r="AH1127" s="56">
        <v>217518</v>
      </c>
      <c r="AI1127" s="56"/>
    </row>
    <row r="1128" spans="1:35" ht="13" x14ac:dyDescent="0.15">
      <c r="A1128" s="57"/>
      <c r="B1128" s="78" t="s">
        <v>2139</v>
      </c>
      <c r="C1128" s="7" t="s">
        <v>43</v>
      </c>
      <c r="D1128" s="44">
        <v>5</v>
      </c>
      <c r="E1128" s="7" t="s">
        <v>14616</v>
      </c>
      <c r="F1128" s="7"/>
      <c r="G1128" s="7"/>
      <c r="H1128" s="6" t="s">
        <v>14617</v>
      </c>
      <c r="I1128" s="7" t="s">
        <v>14618</v>
      </c>
      <c r="J1128" s="7" t="s">
        <v>14619</v>
      </c>
      <c r="K1128" s="7" t="s">
        <v>48</v>
      </c>
      <c r="L1128" s="7" t="s">
        <v>14620</v>
      </c>
      <c r="M1128" s="7" t="s">
        <v>14621</v>
      </c>
      <c r="N1128" s="48"/>
      <c r="O1128" s="74" t="str">
        <f t="shared" ref="O1128:O1130" si="856">HYPERLINK("https://www.salveathletics.com/recruit/form","Questionnaire")</f>
        <v>Questionnaire</v>
      </c>
      <c r="P1128" s="7" t="s">
        <v>14623</v>
      </c>
      <c r="Q1128" s="57" t="s">
        <v>2123</v>
      </c>
      <c r="R1128" s="7" t="s">
        <v>14624</v>
      </c>
      <c r="S1128" s="48" t="s">
        <v>172</v>
      </c>
      <c r="T1128" s="49" t="s">
        <v>63</v>
      </c>
      <c r="U1128" s="7" t="s">
        <v>343</v>
      </c>
      <c r="V1128" s="7"/>
      <c r="W1128" s="44">
        <v>3.25</v>
      </c>
      <c r="X1128" s="7" t="s">
        <v>10088</v>
      </c>
      <c r="Y1128" s="7" t="s">
        <v>10088</v>
      </c>
      <c r="Z1128" s="7" t="s">
        <v>214</v>
      </c>
      <c r="AA1128" s="61">
        <v>0.68</v>
      </c>
      <c r="AB1128" s="71">
        <v>55170</v>
      </c>
      <c r="AC1128" s="78" t="s">
        <v>14623</v>
      </c>
      <c r="AD1128" s="74" t="str">
        <f t="shared" ref="AD1128:AD1131" si="857">HYPERLINK("http://www.salve.edu/degree-finder","Link")</f>
        <v>Link</v>
      </c>
      <c r="AE1128" s="54">
        <v>2124</v>
      </c>
      <c r="AF1128" s="55"/>
      <c r="AG1128" s="7"/>
      <c r="AH1128" s="56">
        <v>217536</v>
      </c>
      <c r="AI1128" s="56"/>
    </row>
    <row r="1129" spans="1:35" ht="13" x14ac:dyDescent="0.15">
      <c r="A1129" s="57"/>
      <c r="B1129" s="78" t="s">
        <v>2139</v>
      </c>
      <c r="C1129" s="7" t="s">
        <v>43</v>
      </c>
      <c r="D1129" s="44">
        <v>5</v>
      </c>
      <c r="E1129" s="7" t="s">
        <v>14629</v>
      </c>
      <c r="F1129" s="7"/>
      <c r="G1129" s="7"/>
      <c r="H1129" s="6" t="s">
        <v>14617</v>
      </c>
      <c r="I1129" s="7" t="s">
        <v>3909</v>
      </c>
      <c r="J1129" s="7" t="s">
        <v>14630</v>
      </c>
      <c r="K1129" s="7" t="s">
        <v>55</v>
      </c>
      <c r="L1129" s="7" t="s">
        <v>14632</v>
      </c>
      <c r="M1129" s="7" t="s">
        <v>14621</v>
      </c>
      <c r="N1129" s="48"/>
      <c r="O1129" s="74" t="str">
        <f t="shared" si="856"/>
        <v>Questionnaire</v>
      </c>
      <c r="P1129" s="7" t="s">
        <v>14623</v>
      </c>
      <c r="Q1129" s="57" t="s">
        <v>2123</v>
      </c>
      <c r="R1129" s="7" t="s">
        <v>14624</v>
      </c>
      <c r="S1129" s="48" t="s">
        <v>172</v>
      </c>
      <c r="T1129" s="49" t="s">
        <v>63</v>
      </c>
      <c r="U1129" s="7" t="s">
        <v>343</v>
      </c>
      <c r="V1129" s="7"/>
      <c r="W1129" s="44">
        <v>3.25</v>
      </c>
      <c r="X1129" s="7" t="s">
        <v>10088</v>
      </c>
      <c r="Y1129" s="7" t="s">
        <v>10088</v>
      </c>
      <c r="Z1129" s="7" t="s">
        <v>214</v>
      </c>
      <c r="AA1129" s="61">
        <v>0.68</v>
      </c>
      <c r="AB1129" s="71">
        <v>55170</v>
      </c>
      <c r="AC1129" s="78" t="s">
        <v>14623</v>
      </c>
      <c r="AD1129" s="74" t="str">
        <f t="shared" si="857"/>
        <v>Link</v>
      </c>
      <c r="AE1129" s="54">
        <v>2124</v>
      </c>
      <c r="AF1129" s="55"/>
      <c r="AG1129" s="7"/>
      <c r="AH1129" s="56">
        <v>217536</v>
      </c>
      <c r="AI1129" s="56"/>
    </row>
    <row r="1130" spans="1:35" ht="13" x14ac:dyDescent="0.15">
      <c r="A1130" s="57"/>
      <c r="B1130" s="78" t="s">
        <v>2139</v>
      </c>
      <c r="C1130" s="7" t="s">
        <v>43</v>
      </c>
      <c r="D1130" s="44">
        <v>5</v>
      </c>
      <c r="E1130" s="7" t="s">
        <v>14634</v>
      </c>
      <c r="F1130" s="7"/>
      <c r="G1130" s="7"/>
      <c r="H1130" s="6" t="s">
        <v>14617</v>
      </c>
      <c r="I1130" s="7" t="s">
        <v>130</v>
      </c>
      <c r="J1130" s="7" t="s">
        <v>14636</v>
      </c>
      <c r="K1130" s="7" t="s">
        <v>55</v>
      </c>
      <c r="L1130" s="7" t="s">
        <v>14637</v>
      </c>
      <c r="M1130" s="7" t="s">
        <v>14621</v>
      </c>
      <c r="N1130" s="48"/>
      <c r="O1130" s="74" t="str">
        <f t="shared" si="856"/>
        <v>Questionnaire</v>
      </c>
      <c r="P1130" s="7" t="s">
        <v>14623</v>
      </c>
      <c r="Q1130" s="57" t="s">
        <v>2123</v>
      </c>
      <c r="R1130" s="7" t="s">
        <v>14624</v>
      </c>
      <c r="S1130" s="48" t="s">
        <v>172</v>
      </c>
      <c r="T1130" s="49" t="s">
        <v>63</v>
      </c>
      <c r="U1130" s="7" t="s">
        <v>343</v>
      </c>
      <c r="V1130" s="7"/>
      <c r="W1130" s="44">
        <v>3.25</v>
      </c>
      <c r="X1130" s="7" t="s">
        <v>10088</v>
      </c>
      <c r="Y1130" s="7" t="s">
        <v>10088</v>
      </c>
      <c r="Z1130" s="7" t="s">
        <v>214</v>
      </c>
      <c r="AA1130" s="61">
        <v>0.68</v>
      </c>
      <c r="AB1130" s="71">
        <v>55170</v>
      </c>
      <c r="AC1130" s="78" t="s">
        <v>14623</v>
      </c>
      <c r="AD1130" s="74" t="str">
        <f t="shared" si="857"/>
        <v>Link</v>
      </c>
      <c r="AE1130" s="54">
        <v>2124</v>
      </c>
      <c r="AF1130" s="55"/>
      <c r="AG1130" s="7"/>
      <c r="AH1130" s="56">
        <v>217536</v>
      </c>
      <c r="AI1130" s="56"/>
    </row>
    <row r="1131" spans="1:35" ht="13" x14ac:dyDescent="0.15">
      <c r="A1131" s="57"/>
      <c r="B1131" s="78" t="s">
        <v>2139</v>
      </c>
      <c r="C1131" s="7" t="s">
        <v>43</v>
      </c>
      <c r="D1131" s="44">
        <v>5</v>
      </c>
      <c r="E1131" s="7" t="s">
        <v>14647</v>
      </c>
      <c r="F1131" s="7"/>
      <c r="G1131" s="7"/>
      <c r="H1131" s="6" t="s">
        <v>14617</v>
      </c>
      <c r="I1131" s="7" t="s">
        <v>939</v>
      </c>
      <c r="J1131" s="7" t="s">
        <v>14648</v>
      </c>
      <c r="K1131" s="7" t="s">
        <v>55</v>
      </c>
      <c r="L1131" s="7" t="s">
        <v>14650</v>
      </c>
      <c r="M1131" s="7" t="s">
        <v>14621</v>
      </c>
      <c r="N1131" s="7"/>
      <c r="O1131" s="7"/>
      <c r="P1131" s="7" t="s">
        <v>14623</v>
      </c>
      <c r="Q1131" s="57" t="s">
        <v>2123</v>
      </c>
      <c r="R1131" s="48" t="s">
        <v>14624</v>
      </c>
      <c r="S1131" s="48" t="s">
        <v>172</v>
      </c>
      <c r="T1131" s="49" t="s">
        <v>63</v>
      </c>
      <c r="U1131" s="49" t="s">
        <v>343</v>
      </c>
      <c r="V1131" s="7"/>
      <c r="W1131" s="44">
        <v>3.25</v>
      </c>
      <c r="X1131" s="7" t="s">
        <v>10088</v>
      </c>
      <c r="Y1131" s="7" t="s">
        <v>10088</v>
      </c>
      <c r="Z1131" s="49" t="s">
        <v>214</v>
      </c>
      <c r="AA1131" s="61">
        <v>0.68</v>
      </c>
      <c r="AB1131" s="71">
        <v>55170</v>
      </c>
      <c r="AC1131" s="62" t="s">
        <v>14623</v>
      </c>
      <c r="AD1131" s="53" t="str">
        <f t="shared" si="857"/>
        <v>Link</v>
      </c>
      <c r="AE1131" s="54">
        <v>2124</v>
      </c>
      <c r="AF1131" s="55"/>
      <c r="AG1131" s="7"/>
      <c r="AH1131" s="56">
        <v>217536</v>
      </c>
      <c r="AI1131" s="56"/>
    </row>
    <row r="1132" spans="1:35" ht="13" x14ac:dyDescent="0.15">
      <c r="A1132" s="57"/>
      <c r="B1132" s="78" t="s">
        <v>10627</v>
      </c>
      <c r="C1132" s="7" t="s">
        <v>43</v>
      </c>
      <c r="D1132" s="44">
        <v>5</v>
      </c>
      <c r="E1132" s="7" t="s">
        <v>14655</v>
      </c>
      <c r="F1132" s="7"/>
      <c r="G1132" s="7"/>
      <c r="H1132" s="6" t="s">
        <v>14657</v>
      </c>
      <c r="I1132" s="7" t="s">
        <v>2580</v>
      </c>
      <c r="J1132" s="7" t="s">
        <v>6634</v>
      </c>
      <c r="K1132" s="7" t="s">
        <v>48</v>
      </c>
      <c r="L1132" s="7" t="s">
        <v>14660</v>
      </c>
      <c r="M1132" s="7" t="s">
        <v>14661</v>
      </c>
      <c r="N1132" s="45" t="str">
        <f t="shared" ref="N1132:N1133" si="858">HYPERLINK("twitter.com/maryvillesb","@maryvillesb")</f>
        <v>@maryvillesb</v>
      </c>
      <c r="O1132" s="74" t="str">
        <f t="shared" ref="O1132:O1133" si="859">HYPERLINK("https://www.mcscots.com/recruits/generalinvitation","Questionnaire")</f>
        <v>Questionnaire</v>
      </c>
      <c r="P1132" s="7" t="s">
        <v>14674</v>
      </c>
      <c r="Q1132" s="7" t="s">
        <v>346</v>
      </c>
      <c r="R1132" s="36" t="s">
        <v>6556</v>
      </c>
      <c r="S1132" s="48" t="s">
        <v>468</v>
      </c>
      <c r="T1132" s="49" t="s">
        <v>63</v>
      </c>
      <c r="U1132" s="7" t="s">
        <v>248</v>
      </c>
      <c r="V1132" s="7"/>
      <c r="W1132" s="44">
        <v>3.46</v>
      </c>
      <c r="X1132" s="7" t="s">
        <v>2439</v>
      </c>
      <c r="Y1132" s="7" t="s">
        <v>356</v>
      </c>
      <c r="Z1132" s="7" t="s">
        <v>545</v>
      </c>
      <c r="AA1132" s="61">
        <v>0.57999999999999996</v>
      </c>
      <c r="AB1132" s="71">
        <v>48108</v>
      </c>
      <c r="AC1132" s="78" t="s">
        <v>14674</v>
      </c>
      <c r="AD1132" s="74" t="str">
        <f t="shared" ref="AD1132:AD1133" si="860">HYPERLINK("https://www.maryvillecollege.edu/academics/programs-of-study/","Link")</f>
        <v>Link</v>
      </c>
      <c r="AE1132" s="54">
        <v>1196</v>
      </c>
      <c r="AF1132" s="55"/>
      <c r="AG1132" s="7"/>
      <c r="AH1132" s="56">
        <v>220710</v>
      </c>
      <c r="AI1132" s="56"/>
    </row>
    <row r="1133" spans="1:35" ht="13" x14ac:dyDescent="0.15">
      <c r="A1133" s="57"/>
      <c r="B1133" s="78" t="s">
        <v>10627</v>
      </c>
      <c r="C1133" s="7" t="s">
        <v>43</v>
      </c>
      <c r="D1133" s="44">
        <v>5</v>
      </c>
      <c r="E1133" s="7" t="s">
        <v>14678</v>
      </c>
      <c r="F1133" s="7"/>
      <c r="G1133" s="7"/>
      <c r="H1133" s="6" t="s">
        <v>14657</v>
      </c>
      <c r="I1133" s="7" t="s">
        <v>14679</v>
      </c>
      <c r="J1133" s="7" t="s">
        <v>578</v>
      </c>
      <c r="K1133" s="7" t="s">
        <v>55</v>
      </c>
      <c r="L1133" s="7" t="s">
        <v>14680</v>
      </c>
      <c r="M1133" s="7" t="s">
        <v>14681</v>
      </c>
      <c r="N1133" s="45" t="str">
        <f t="shared" si="858"/>
        <v>@maryvillesb</v>
      </c>
      <c r="O1133" s="74" t="str">
        <f t="shared" si="859"/>
        <v>Questionnaire</v>
      </c>
      <c r="P1133" s="7" t="s">
        <v>14674</v>
      </c>
      <c r="Q1133" s="7" t="s">
        <v>346</v>
      </c>
      <c r="R1133" s="36" t="s">
        <v>6556</v>
      </c>
      <c r="S1133" s="48" t="s">
        <v>468</v>
      </c>
      <c r="T1133" s="49" t="s">
        <v>63</v>
      </c>
      <c r="U1133" s="7" t="s">
        <v>248</v>
      </c>
      <c r="V1133" s="7"/>
      <c r="W1133" s="44">
        <v>3.46</v>
      </c>
      <c r="X1133" s="7" t="s">
        <v>2439</v>
      </c>
      <c r="Y1133" s="7" t="s">
        <v>356</v>
      </c>
      <c r="Z1133" s="7" t="s">
        <v>545</v>
      </c>
      <c r="AA1133" s="61">
        <v>0.57999999999999996</v>
      </c>
      <c r="AB1133" s="71">
        <v>48108</v>
      </c>
      <c r="AC1133" s="78" t="s">
        <v>14674</v>
      </c>
      <c r="AD1133" s="74" t="str">
        <f t="shared" si="860"/>
        <v>Link</v>
      </c>
      <c r="AE1133" s="54">
        <v>1196</v>
      </c>
      <c r="AF1133" s="55"/>
      <c r="AG1133" s="7"/>
      <c r="AH1133" s="56">
        <v>220710</v>
      </c>
      <c r="AI1133" s="56"/>
    </row>
    <row r="1134" spans="1:35" ht="13" x14ac:dyDescent="0.15">
      <c r="A1134" s="57"/>
      <c r="B1134" s="78" t="s">
        <v>10627</v>
      </c>
      <c r="C1134" s="7" t="s">
        <v>43</v>
      </c>
      <c r="D1134" s="44">
        <v>5</v>
      </c>
      <c r="E1134" s="7" t="s">
        <v>14687</v>
      </c>
      <c r="F1134" s="7"/>
      <c r="G1134" s="7"/>
      <c r="H1134" s="6" t="s">
        <v>14689</v>
      </c>
      <c r="I1134" s="7" t="s">
        <v>8646</v>
      </c>
      <c r="J1134" s="7" t="s">
        <v>3303</v>
      </c>
      <c r="K1134" s="7" t="s">
        <v>48</v>
      </c>
      <c r="L1134" s="7" t="s">
        <v>14692</v>
      </c>
      <c r="M1134" s="7" t="s">
        <v>14693</v>
      </c>
      <c r="N1134" s="45" t="str">
        <f t="shared" ref="N1134:N1135" si="861">HYPERLINK("twitter.com/rhodessoftball","@rhodessoftball")</f>
        <v>@rhodessoftball</v>
      </c>
      <c r="O1134" s="74" t="str">
        <f t="shared" ref="O1134:O1135" si="862">HYPERLINK("https://admission.rhodes.edu/register/athletics","Questionnaire")</f>
        <v>Questionnaire</v>
      </c>
      <c r="P1134" s="7" t="s">
        <v>14696</v>
      </c>
      <c r="Q1134" s="36" t="s">
        <v>346</v>
      </c>
      <c r="R1134" s="7" t="s">
        <v>353</v>
      </c>
      <c r="S1134" s="48" t="s">
        <v>354</v>
      </c>
      <c r="T1134" s="73" t="s">
        <v>63</v>
      </c>
      <c r="U1134" s="7" t="s">
        <v>248</v>
      </c>
      <c r="V1134" s="7"/>
      <c r="W1134" s="44">
        <v>3.87</v>
      </c>
      <c r="X1134" s="7" t="s">
        <v>14699</v>
      </c>
      <c r="Y1134" s="7" t="s">
        <v>1899</v>
      </c>
      <c r="Z1134" s="7" t="s">
        <v>1900</v>
      </c>
      <c r="AA1134" s="61">
        <v>0.54</v>
      </c>
      <c r="AB1134" s="71">
        <v>59754</v>
      </c>
      <c r="AC1134" s="82" t="s">
        <v>14696</v>
      </c>
      <c r="AD1134" s="74" t="str">
        <f t="shared" ref="AD1134:AD1135" si="863">HYPERLINK("https://www.rhodes.edu/content/majors-minors","Link")</f>
        <v>Link</v>
      </c>
      <c r="AE1134" s="54">
        <v>1999</v>
      </c>
      <c r="AF1134" s="55"/>
      <c r="AG1134" s="44">
        <v>51</v>
      </c>
      <c r="AH1134" s="56">
        <v>221351</v>
      </c>
      <c r="AI1134" s="56"/>
    </row>
    <row r="1135" spans="1:35" ht="13" x14ac:dyDescent="0.15">
      <c r="A1135" s="57"/>
      <c r="B1135" s="78" t="s">
        <v>10627</v>
      </c>
      <c r="C1135" s="7" t="s">
        <v>43</v>
      </c>
      <c r="D1135" s="44">
        <v>5</v>
      </c>
      <c r="E1135" s="7" t="s">
        <v>14703</v>
      </c>
      <c r="F1135" s="7"/>
      <c r="G1135" s="7"/>
      <c r="H1135" s="6" t="s">
        <v>14689</v>
      </c>
      <c r="I1135" s="7" t="s">
        <v>2975</v>
      </c>
      <c r="J1135" s="7" t="s">
        <v>2501</v>
      </c>
      <c r="K1135" s="7" t="s">
        <v>55</v>
      </c>
      <c r="L1135" s="7" t="s">
        <v>14704</v>
      </c>
      <c r="M1135" s="7" t="s">
        <v>14705</v>
      </c>
      <c r="N1135" s="45" t="str">
        <f t="shared" si="861"/>
        <v>@rhodessoftball</v>
      </c>
      <c r="O1135" s="74" t="str">
        <f t="shared" si="862"/>
        <v>Questionnaire</v>
      </c>
      <c r="P1135" s="7" t="s">
        <v>14696</v>
      </c>
      <c r="Q1135" s="36" t="s">
        <v>346</v>
      </c>
      <c r="R1135" s="7" t="s">
        <v>353</v>
      </c>
      <c r="S1135" s="48" t="s">
        <v>354</v>
      </c>
      <c r="T1135" s="73" t="s">
        <v>63</v>
      </c>
      <c r="U1135" s="7" t="s">
        <v>248</v>
      </c>
      <c r="V1135" s="7"/>
      <c r="W1135" s="44">
        <v>3.87</v>
      </c>
      <c r="X1135" s="7" t="s">
        <v>14699</v>
      </c>
      <c r="Y1135" s="7" t="s">
        <v>1899</v>
      </c>
      <c r="Z1135" s="7" t="s">
        <v>1900</v>
      </c>
      <c r="AA1135" s="61">
        <v>0.54</v>
      </c>
      <c r="AB1135" s="71">
        <v>59754</v>
      </c>
      <c r="AC1135" s="82" t="s">
        <v>14696</v>
      </c>
      <c r="AD1135" s="74" t="str">
        <f t="shared" si="863"/>
        <v>Link</v>
      </c>
      <c r="AE1135" s="54">
        <v>1999</v>
      </c>
      <c r="AF1135" s="55"/>
      <c r="AG1135" s="44">
        <v>51</v>
      </c>
      <c r="AH1135" s="56">
        <v>221351</v>
      </c>
      <c r="AI1135" s="56"/>
    </row>
    <row r="1136" spans="1:35" ht="13" x14ac:dyDescent="0.15">
      <c r="A1136" s="57"/>
      <c r="B1136" s="78" t="s">
        <v>10627</v>
      </c>
      <c r="C1136" s="7" t="s">
        <v>43</v>
      </c>
      <c r="D1136" s="44">
        <v>5</v>
      </c>
      <c r="E1136" s="7" t="s">
        <v>14712</v>
      </c>
      <c r="F1136" s="7"/>
      <c r="G1136" s="7"/>
      <c r="H1136" s="6" t="s">
        <v>14714</v>
      </c>
      <c r="I1136" s="7" t="s">
        <v>14716</v>
      </c>
      <c r="J1136" s="7" t="s">
        <v>14717</v>
      </c>
      <c r="K1136" s="7" t="s">
        <v>48</v>
      </c>
      <c r="L1136" s="7" t="s">
        <v>14722</v>
      </c>
      <c r="M1136" s="7" t="s">
        <v>14723</v>
      </c>
      <c r="N1136" s="45" t="str">
        <f t="shared" ref="N1136:N1137" si="864">HYPERLINK("twitter.com/softballsewanee","@softballsewanee")</f>
        <v>@softballsewanee</v>
      </c>
      <c r="O1136" s="74" t="str">
        <f t="shared" ref="O1136:O1137" si="865">HYPERLINK("https://www.sewaneetigers.com/questionnaires/index","Questionnaire")</f>
        <v>Questionnaire</v>
      </c>
      <c r="P1136" s="7" t="s">
        <v>14725</v>
      </c>
      <c r="Q1136" s="36" t="s">
        <v>346</v>
      </c>
      <c r="R1136" s="7" t="s">
        <v>14728</v>
      </c>
      <c r="S1136" s="60" t="s">
        <v>205</v>
      </c>
      <c r="T1136" s="49" t="s">
        <v>63</v>
      </c>
      <c r="U1136" s="7" t="s">
        <v>8176</v>
      </c>
      <c r="V1136" s="7"/>
      <c r="W1136" s="44">
        <v>3.69</v>
      </c>
      <c r="X1136" s="7" t="s">
        <v>11306</v>
      </c>
      <c r="Y1136" s="7" t="s">
        <v>1685</v>
      </c>
      <c r="Z1136" s="7" t="s">
        <v>1900</v>
      </c>
      <c r="AA1136" s="61">
        <v>0.44</v>
      </c>
      <c r="AB1136" s="71">
        <v>57450</v>
      </c>
      <c r="AC1136" s="78" t="s">
        <v>14725</v>
      </c>
      <c r="AD1136" s="74" t="str">
        <f t="shared" ref="AD1136:AD1138" si="866">HYPERLINK("http://academics.sewanee.edu/","Link")</f>
        <v>Link</v>
      </c>
      <c r="AE1136" s="54">
        <v>1731</v>
      </c>
      <c r="AF1136" s="55"/>
      <c r="AG1136" s="44">
        <v>41</v>
      </c>
      <c r="AH1136" s="56">
        <v>221519</v>
      </c>
      <c r="AI1136" s="56"/>
    </row>
    <row r="1137" spans="1:35" ht="13" x14ac:dyDescent="0.15">
      <c r="A1137" s="57"/>
      <c r="B1137" s="78" t="s">
        <v>10627</v>
      </c>
      <c r="C1137" s="7" t="s">
        <v>43</v>
      </c>
      <c r="D1137" s="44">
        <v>5</v>
      </c>
      <c r="E1137" s="7" t="s">
        <v>14734</v>
      </c>
      <c r="F1137" s="7"/>
      <c r="G1137" s="7"/>
      <c r="H1137" s="6" t="s">
        <v>14714</v>
      </c>
      <c r="I1137" s="7" t="s">
        <v>14735</v>
      </c>
      <c r="J1137" s="7"/>
      <c r="K1137" s="7" t="s">
        <v>55</v>
      </c>
      <c r="L1137" s="7"/>
      <c r="M1137" s="7"/>
      <c r="N1137" s="45" t="str">
        <f t="shared" si="864"/>
        <v>@softballsewanee</v>
      </c>
      <c r="O1137" s="74" t="str">
        <f t="shared" si="865"/>
        <v>Questionnaire</v>
      </c>
      <c r="P1137" s="7" t="s">
        <v>14725</v>
      </c>
      <c r="Q1137" s="36" t="s">
        <v>346</v>
      </c>
      <c r="R1137" s="7" t="s">
        <v>14728</v>
      </c>
      <c r="S1137" s="60" t="s">
        <v>205</v>
      </c>
      <c r="T1137" s="49" t="s">
        <v>63</v>
      </c>
      <c r="U1137" s="7" t="s">
        <v>8176</v>
      </c>
      <c r="V1137" s="7"/>
      <c r="W1137" s="44">
        <v>3.69</v>
      </c>
      <c r="X1137" s="7" t="s">
        <v>11306</v>
      </c>
      <c r="Y1137" s="7" t="s">
        <v>1685</v>
      </c>
      <c r="Z1137" s="7" t="s">
        <v>1900</v>
      </c>
      <c r="AA1137" s="61">
        <v>0.44</v>
      </c>
      <c r="AB1137" s="71">
        <v>57450</v>
      </c>
      <c r="AC1137" s="78" t="s">
        <v>14725</v>
      </c>
      <c r="AD1137" s="74" t="str">
        <f t="shared" si="866"/>
        <v>Link</v>
      </c>
      <c r="AE1137" s="54">
        <v>1731</v>
      </c>
      <c r="AF1137" s="55"/>
      <c r="AG1137" s="44">
        <v>41</v>
      </c>
      <c r="AH1137" s="56">
        <v>221519</v>
      </c>
      <c r="AI1137" s="56"/>
    </row>
    <row r="1138" spans="1:35" ht="13" x14ac:dyDescent="0.15">
      <c r="A1138" s="57"/>
      <c r="B1138" s="78" t="s">
        <v>10627</v>
      </c>
      <c r="C1138" s="7" t="s">
        <v>43</v>
      </c>
      <c r="D1138" s="44">
        <v>5</v>
      </c>
      <c r="E1138" s="7" t="s">
        <v>14747</v>
      </c>
      <c r="F1138" s="7"/>
      <c r="G1138" s="7"/>
      <c r="H1138" s="6" t="s">
        <v>14714</v>
      </c>
      <c r="I1138" s="7" t="s">
        <v>93</v>
      </c>
      <c r="J1138" s="7" t="s">
        <v>14748</v>
      </c>
      <c r="K1138" s="7" t="s">
        <v>55</v>
      </c>
      <c r="L1138" s="7" t="s">
        <v>14750</v>
      </c>
      <c r="M1138" s="7" t="s">
        <v>14751</v>
      </c>
      <c r="N1138" s="7"/>
      <c r="O1138" s="7"/>
      <c r="P1138" s="7" t="s">
        <v>14725</v>
      </c>
      <c r="Q1138" s="36" t="s">
        <v>346</v>
      </c>
      <c r="R1138" s="48" t="s">
        <v>14728</v>
      </c>
      <c r="S1138" s="60" t="s">
        <v>205</v>
      </c>
      <c r="T1138" s="49" t="s">
        <v>63</v>
      </c>
      <c r="U1138" s="49" t="s">
        <v>8176</v>
      </c>
      <c r="V1138" s="7"/>
      <c r="W1138" s="44">
        <v>3.69</v>
      </c>
      <c r="X1138" s="7" t="s">
        <v>11306</v>
      </c>
      <c r="Y1138" s="7" t="s">
        <v>1685</v>
      </c>
      <c r="Z1138" s="49" t="s">
        <v>1900</v>
      </c>
      <c r="AA1138" s="61">
        <v>0.44</v>
      </c>
      <c r="AB1138" s="71">
        <v>57450</v>
      </c>
      <c r="AC1138" s="62" t="s">
        <v>14725</v>
      </c>
      <c r="AD1138" s="53" t="str">
        <f t="shared" si="866"/>
        <v>Link</v>
      </c>
      <c r="AE1138" s="54">
        <v>1731</v>
      </c>
      <c r="AF1138" s="55"/>
      <c r="AG1138" s="44">
        <v>41</v>
      </c>
      <c r="AH1138" s="56">
        <v>221519</v>
      </c>
      <c r="AI1138" s="56"/>
    </row>
    <row r="1139" spans="1:35" ht="13" x14ac:dyDescent="0.15">
      <c r="A1139" s="57"/>
      <c r="B1139" s="78" t="s">
        <v>2922</v>
      </c>
      <c r="C1139" s="7" t="s">
        <v>43</v>
      </c>
      <c r="D1139" s="44">
        <v>5</v>
      </c>
      <c r="E1139" s="7" t="s">
        <v>14754</v>
      </c>
      <c r="F1139" s="7"/>
      <c r="G1139" s="7"/>
      <c r="H1139" s="6" t="s">
        <v>14755</v>
      </c>
      <c r="I1139" s="7" t="s">
        <v>484</v>
      </c>
      <c r="J1139" s="7" t="s">
        <v>5137</v>
      </c>
      <c r="K1139" s="7" t="s">
        <v>48</v>
      </c>
      <c r="L1139" s="7" t="s">
        <v>14759</v>
      </c>
      <c r="M1139" s="7" t="s">
        <v>14760</v>
      </c>
      <c r="N1139" s="45" t="str">
        <f>HYPERLINK("twitter.com/acroossoftball","@acroossoftball")</f>
        <v>@acroossoftball</v>
      </c>
      <c r="O1139" s="74" t="str">
        <f>HYPERLINK("https://austin.prestosports.com/navbar-recruits","Questionnaire")</f>
        <v>Questionnaire</v>
      </c>
      <c r="P1139" s="7" t="s">
        <v>14763</v>
      </c>
      <c r="Q1139" s="57" t="s">
        <v>280</v>
      </c>
      <c r="R1139" s="7" t="s">
        <v>5303</v>
      </c>
      <c r="S1139" s="48" t="s">
        <v>468</v>
      </c>
      <c r="T1139" s="49" t="s">
        <v>63</v>
      </c>
      <c r="U1139" s="7" t="s">
        <v>248</v>
      </c>
      <c r="V1139" s="7"/>
      <c r="W1139" s="44">
        <v>3.52</v>
      </c>
      <c r="X1139" s="7" t="s">
        <v>2260</v>
      </c>
      <c r="Y1139" s="7" t="s">
        <v>1777</v>
      </c>
      <c r="Z1139" s="7" t="s">
        <v>2734</v>
      </c>
      <c r="AA1139" s="51">
        <v>0.5343</v>
      </c>
      <c r="AB1139" s="71">
        <v>52047</v>
      </c>
      <c r="AC1139" s="79" t="s">
        <v>14763</v>
      </c>
      <c r="AD1139" s="74" t="str">
        <f>HYPERLINK("http://www.austincollege.edu/academics/majors-and-minors/","Link")</f>
        <v>Link</v>
      </c>
      <c r="AE1139" s="54">
        <v>1262</v>
      </c>
      <c r="AF1139" s="55"/>
      <c r="AG1139" s="44">
        <v>93</v>
      </c>
      <c r="AH1139" s="56">
        <v>222983</v>
      </c>
      <c r="AI1139" s="56"/>
    </row>
    <row r="1140" spans="1:35" ht="15" x14ac:dyDescent="0.2">
      <c r="A1140" s="57"/>
      <c r="B1140" s="78" t="s">
        <v>2922</v>
      </c>
      <c r="C1140" s="7" t="s">
        <v>43</v>
      </c>
      <c r="D1140" s="44">
        <v>5</v>
      </c>
      <c r="E1140" s="7" t="s">
        <v>14777</v>
      </c>
      <c r="F1140" s="7"/>
      <c r="G1140" s="7"/>
      <c r="H1140" s="6" t="s">
        <v>14778</v>
      </c>
      <c r="I1140" s="7" t="s">
        <v>94</v>
      </c>
      <c r="J1140" s="7" t="s">
        <v>14779</v>
      </c>
      <c r="K1140" s="7" t="s">
        <v>48</v>
      </c>
      <c r="L1140" s="7" t="s">
        <v>14780</v>
      </c>
      <c r="M1140" s="7" t="s">
        <v>14781</v>
      </c>
      <c r="N1140" s="48"/>
      <c r="O1140" s="74" t="str">
        <f t="shared" ref="O1140:O1145" si="867">HYPERLINK("https://athletics.concordia.edu/sports/2008/8/19/recruit.aspx","Questionnaire")</f>
        <v>Questionnaire</v>
      </c>
      <c r="P1140" s="7" t="s">
        <v>14786</v>
      </c>
      <c r="Q1140" s="57" t="s">
        <v>280</v>
      </c>
      <c r="R1140" s="7" t="s">
        <v>2924</v>
      </c>
      <c r="S1140" s="48" t="s">
        <v>354</v>
      </c>
      <c r="T1140" s="49" t="s">
        <v>63</v>
      </c>
      <c r="U1140" s="7" t="s">
        <v>1620</v>
      </c>
      <c r="V1140" s="7"/>
      <c r="W1140" s="44">
        <v>3.3</v>
      </c>
      <c r="X1140" s="7" t="s">
        <v>253</v>
      </c>
      <c r="Y1140" s="7" t="s">
        <v>3338</v>
      </c>
      <c r="Z1140" s="7" t="s">
        <v>841</v>
      </c>
      <c r="AA1140" s="61">
        <v>0.83</v>
      </c>
      <c r="AB1140" s="71">
        <v>43510</v>
      </c>
      <c r="AC1140" s="40" t="s">
        <v>14786</v>
      </c>
      <c r="AD1140" s="74" t="str">
        <f t="shared" ref="AD1140:AD1146" si="868">HYPERLINK("http://www.concordia.edu/academics/majors-and-programs/","Link")</f>
        <v>Link</v>
      </c>
      <c r="AE1140" s="54">
        <v>1779</v>
      </c>
      <c r="AF1140" s="55"/>
      <c r="AG1140" s="7"/>
      <c r="AH1140" s="7" t="s">
        <v>14789</v>
      </c>
      <c r="AI1140" s="7"/>
    </row>
    <row r="1141" spans="1:35" ht="15" x14ac:dyDescent="0.2">
      <c r="A1141" s="57"/>
      <c r="B1141" s="78" t="s">
        <v>2922</v>
      </c>
      <c r="C1141" s="7" t="s">
        <v>43</v>
      </c>
      <c r="D1141" s="44">
        <v>5</v>
      </c>
      <c r="E1141" s="7" t="s">
        <v>14791</v>
      </c>
      <c r="F1141" s="7"/>
      <c r="G1141" s="7"/>
      <c r="H1141" s="6" t="s">
        <v>14778</v>
      </c>
      <c r="I1141" s="7" t="s">
        <v>6278</v>
      </c>
      <c r="J1141" s="7" t="s">
        <v>14794</v>
      </c>
      <c r="K1141" s="7" t="s">
        <v>120</v>
      </c>
      <c r="L1141" s="7" t="s">
        <v>14796</v>
      </c>
      <c r="M1141" s="7"/>
      <c r="N1141" s="48"/>
      <c r="O1141" s="74" t="str">
        <f t="shared" si="867"/>
        <v>Questionnaire</v>
      </c>
      <c r="P1141" s="7" t="s">
        <v>14786</v>
      </c>
      <c r="Q1141" s="57" t="s">
        <v>280</v>
      </c>
      <c r="R1141" s="7" t="s">
        <v>2924</v>
      </c>
      <c r="S1141" s="48" t="s">
        <v>354</v>
      </c>
      <c r="T1141" s="49" t="s">
        <v>63</v>
      </c>
      <c r="U1141" s="7" t="s">
        <v>1620</v>
      </c>
      <c r="V1141" s="7"/>
      <c r="W1141" s="44">
        <v>3.3</v>
      </c>
      <c r="X1141" s="7" t="s">
        <v>253</v>
      </c>
      <c r="Y1141" s="7" t="s">
        <v>3338</v>
      </c>
      <c r="Z1141" s="7" t="s">
        <v>841</v>
      </c>
      <c r="AA1141" s="61">
        <v>0.83</v>
      </c>
      <c r="AB1141" s="71">
        <v>43510</v>
      </c>
      <c r="AC1141" s="40" t="s">
        <v>14786</v>
      </c>
      <c r="AD1141" s="74" t="str">
        <f t="shared" si="868"/>
        <v>Link</v>
      </c>
      <c r="AE1141" s="54">
        <v>1779</v>
      </c>
      <c r="AF1141" s="55"/>
      <c r="AG1141" s="7"/>
      <c r="AH1141" s="7" t="s">
        <v>14789</v>
      </c>
      <c r="AI1141" s="7"/>
    </row>
    <row r="1142" spans="1:35" ht="15" x14ac:dyDescent="0.2">
      <c r="A1142" s="57"/>
      <c r="B1142" s="78" t="s">
        <v>2922</v>
      </c>
      <c r="C1142" s="7" t="s">
        <v>43</v>
      </c>
      <c r="D1142" s="44">
        <v>5</v>
      </c>
      <c r="E1142" s="7" t="s">
        <v>14801</v>
      </c>
      <c r="F1142" s="7"/>
      <c r="G1142" s="7"/>
      <c r="H1142" s="6" t="s">
        <v>14778</v>
      </c>
      <c r="I1142" s="7" t="s">
        <v>1052</v>
      </c>
      <c r="J1142" s="7" t="s">
        <v>14802</v>
      </c>
      <c r="K1142" s="7" t="s">
        <v>55</v>
      </c>
      <c r="L1142" s="7" t="s">
        <v>14803</v>
      </c>
      <c r="M1142" s="7" t="s">
        <v>14781</v>
      </c>
      <c r="N1142" s="48"/>
      <c r="O1142" s="74" t="str">
        <f t="shared" si="867"/>
        <v>Questionnaire</v>
      </c>
      <c r="P1142" s="7" t="s">
        <v>14786</v>
      </c>
      <c r="Q1142" s="57" t="s">
        <v>280</v>
      </c>
      <c r="R1142" s="7" t="s">
        <v>2924</v>
      </c>
      <c r="S1142" s="48" t="s">
        <v>354</v>
      </c>
      <c r="T1142" s="49" t="s">
        <v>63</v>
      </c>
      <c r="U1142" s="7" t="s">
        <v>1620</v>
      </c>
      <c r="V1142" s="7"/>
      <c r="W1142" s="44">
        <v>3.3</v>
      </c>
      <c r="X1142" s="7" t="s">
        <v>253</v>
      </c>
      <c r="Y1142" s="7" t="s">
        <v>3338</v>
      </c>
      <c r="Z1142" s="7" t="s">
        <v>841</v>
      </c>
      <c r="AA1142" s="61">
        <v>0.83</v>
      </c>
      <c r="AB1142" s="71">
        <v>43510</v>
      </c>
      <c r="AC1142" s="40" t="s">
        <v>14786</v>
      </c>
      <c r="AD1142" s="74" t="str">
        <f t="shared" si="868"/>
        <v>Link</v>
      </c>
      <c r="AE1142" s="54">
        <v>1779</v>
      </c>
      <c r="AF1142" s="55"/>
      <c r="AG1142" s="7"/>
      <c r="AH1142" s="7" t="s">
        <v>14789</v>
      </c>
      <c r="AI1142" s="7"/>
    </row>
    <row r="1143" spans="1:35" ht="15" x14ac:dyDescent="0.2">
      <c r="A1143" s="57"/>
      <c r="B1143" s="78" t="s">
        <v>2922</v>
      </c>
      <c r="C1143" s="7" t="s">
        <v>43</v>
      </c>
      <c r="D1143" s="44">
        <v>5</v>
      </c>
      <c r="E1143" s="7" t="s">
        <v>14810</v>
      </c>
      <c r="F1143" s="7"/>
      <c r="G1143" s="7"/>
      <c r="H1143" s="6" t="s">
        <v>14778</v>
      </c>
      <c r="I1143" s="7" t="s">
        <v>878</v>
      </c>
      <c r="J1143" s="7" t="s">
        <v>812</v>
      </c>
      <c r="K1143" s="7" t="s">
        <v>139</v>
      </c>
      <c r="L1143" s="7" t="s">
        <v>14812</v>
      </c>
      <c r="M1143" s="7" t="s">
        <v>14781</v>
      </c>
      <c r="N1143" s="48"/>
      <c r="O1143" s="74" t="str">
        <f t="shared" si="867"/>
        <v>Questionnaire</v>
      </c>
      <c r="P1143" s="7" t="s">
        <v>14786</v>
      </c>
      <c r="Q1143" s="57" t="s">
        <v>280</v>
      </c>
      <c r="R1143" s="7" t="s">
        <v>2924</v>
      </c>
      <c r="S1143" s="48" t="s">
        <v>354</v>
      </c>
      <c r="T1143" s="49" t="s">
        <v>63</v>
      </c>
      <c r="U1143" s="7" t="s">
        <v>1620</v>
      </c>
      <c r="V1143" s="7"/>
      <c r="W1143" s="44">
        <v>3.3</v>
      </c>
      <c r="X1143" s="7" t="s">
        <v>253</v>
      </c>
      <c r="Y1143" s="7" t="s">
        <v>3338</v>
      </c>
      <c r="Z1143" s="7" t="s">
        <v>841</v>
      </c>
      <c r="AA1143" s="61">
        <v>0.83</v>
      </c>
      <c r="AB1143" s="71">
        <v>43510</v>
      </c>
      <c r="AC1143" s="40" t="s">
        <v>14786</v>
      </c>
      <c r="AD1143" s="74" t="str">
        <f t="shared" si="868"/>
        <v>Link</v>
      </c>
      <c r="AE1143" s="54">
        <v>1779</v>
      </c>
      <c r="AF1143" s="55"/>
      <c r="AG1143" s="7"/>
      <c r="AH1143" s="7" t="s">
        <v>14789</v>
      </c>
      <c r="AI1143" s="7"/>
    </row>
    <row r="1144" spans="1:35" ht="15" x14ac:dyDescent="0.2">
      <c r="A1144" s="57"/>
      <c r="B1144" s="78" t="s">
        <v>2922</v>
      </c>
      <c r="C1144" s="7" t="s">
        <v>43</v>
      </c>
      <c r="D1144" s="44">
        <v>5</v>
      </c>
      <c r="E1144" s="7" t="s">
        <v>14815</v>
      </c>
      <c r="F1144" s="7"/>
      <c r="G1144" s="7"/>
      <c r="H1144" s="6" t="s">
        <v>14778</v>
      </c>
      <c r="I1144" s="7" t="s">
        <v>14816</v>
      </c>
      <c r="J1144" s="7" t="s">
        <v>14817</v>
      </c>
      <c r="K1144" s="7" t="s">
        <v>139</v>
      </c>
      <c r="L1144" s="7" t="s">
        <v>14818</v>
      </c>
      <c r="M1144" s="7"/>
      <c r="N1144" s="48"/>
      <c r="O1144" s="74" t="str">
        <f t="shared" si="867"/>
        <v>Questionnaire</v>
      </c>
      <c r="P1144" s="7" t="s">
        <v>14786</v>
      </c>
      <c r="Q1144" s="57" t="s">
        <v>280</v>
      </c>
      <c r="R1144" s="7" t="s">
        <v>2924</v>
      </c>
      <c r="S1144" s="48" t="s">
        <v>354</v>
      </c>
      <c r="T1144" s="49" t="s">
        <v>63</v>
      </c>
      <c r="U1144" s="7" t="s">
        <v>1620</v>
      </c>
      <c r="V1144" s="7"/>
      <c r="W1144" s="44">
        <v>3.3</v>
      </c>
      <c r="X1144" s="7" t="s">
        <v>253</v>
      </c>
      <c r="Y1144" s="7" t="s">
        <v>3338</v>
      </c>
      <c r="Z1144" s="7" t="s">
        <v>841</v>
      </c>
      <c r="AA1144" s="61">
        <v>0.83</v>
      </c>
      <c r="AB1144" s="71">
        <v>43510</v>
      </c>
      <c r="AC1144" s="40" t="s">
        <v>14786</v>
      </c>
      <c r="AD1144" s="74" t="str">
        <f t="shared" si="868"/>
        <v>Link</v>
      </c>
      <c r="AE1144" s="54">
        <v>1779</v>
      </c>
      <c r="AF1144" s="55"/>
      <c r="AG1144" s="7"/>
      <c r="AH1144" s="7" t="s">
        <v>14789</v>
      </c>
      <c r="AI1144" s="7"/>
    </row>
    <row r="1145" spans="1:35" ht="15" x14ac:dyDescent="0.2">
      <c r="A1145" s="57"/>
      <c r="B1145" s="78" t="s">
        <v>2922</v>
      </c>
      <c r="C1145" s="7" t="s">
        <v>43</v>
      </c>
      <c r="D1145" s="44">
        <v>5</v>
      </c>
      <c r="E1145" s="7" t="s">
        <v>14824</v>
      </c>
      <c r="F1145" s="7"/>
      <c r="G1145" s="7"/>
      <c r="H1145" s="6" t="s">
        <v>14778</v>
      </c>
      <c r="I1145" s="7" t="s">
        <v>1541</v>
      </c>
      <c r="J1145" s="7" t="s">
        <v>14827</v>
      </c>
      <c r="K1145" s="7" t="s">
        <v>3703</v>
      </c>
      <c r="L1145" s="7"/>
      <c r="M1145" s="7"/>
      <c r="N1145" s="7"/>
      <c r="O1145" s="74" t="str">
        <f t="shared" si="867"/>
        <v>Questionnaire</v>
      </c>
      <c r="P1145" s="7" t="s">
        <v>14786</v>
      </c>
      <c r="Q1145" s="57" t="s">
        <v>280</v>
      </c>
      <c r="R1145" s="7" t="s">
        <v>2924</v>
      </c>
      <c r="S1145" s="48" t="s">
        <v>354</v>
      </c>
      <c r="T1145" s="49" t="s">
        <v>63</v>
      </c>
      <c r="U1145" s="7" t="s">
        <v>1620</v>
      </c>
      <c r="V1145" s="7"/>
      <c r="W1145" s="44">
        <v>3.3</v>
      </c>
      <c r="X1145" s="7" t="s">
        <v>253</v>
      </c>
      <c r="Y1145" s="7" t="s">
        <v>3338</v>
      </c>
      <c r="Z1145" s="7" t="s">
        <v>841</v>
      </c>
      <c r="AA1145" s="61">
        <v>0.83</v>
      </c>
      <c r="AB1145" s="71">
        <v>43510</v>
      </c>
      <c r="AC1145" s="40" t="s">
        <v>14786</v>
      </c>
      <c r="AD1145" s="74" t="str">
        <f t="shared" si="868"/>
        <v>Link</v>
      </c>
      <c r="AE1145" s="54">
        <v>1779</v>
      </c>
      <c r="AF1145" s="55"/>
      <c r="AG1145" s="7"/>
      <c r="AH1145" s="7" t="s">
        <v>14789</v>
      </c>
      <c r="AI1145" s="7"/>
    </row>
    <row r="1146" spans="1:35" ht="15" x14ac:dyDescent="0.2">
      <c r="A1146" s="57"/>
      <c r="B1146" s="78" t="s">
        <v>2922</v>
      </c>
      <c r="C1146" s="7" t="s">
        <v>43</v>
      </c>
      <c r="D1146" s="44">
        <v>5</v>
      </c>
      <c r="E1146" s="7" t="s">
        <v>14834</v>
      </c>
      <c r="F1146" s="7"/>
      <c r="G1146" s="7"/>
      <c r="H1146" s="6" t="s">
        <v>14778</v>
      </c>
      <c r="I1146" s="7" t="s">
        <v>3315</v>
      </c>
      <c r="J1146" s="7" t="s">
        <v>14835</v>
      </c>
      <c r="K1146" s="7" t="s">
        <v>55</v>
      </c>
      <c r="L1146" s="7"/>
      <c r="M1146" s="7"/>
      <c r="N1146" s="7"/>
      <c r="O1146" s="7"/>
      <c r="P1146" s="7" t="s">
        <v>14786</v>
      </c>
      <c r="Q1146" s="57" t="s">
        <v>280</v>
      </c>
      <c r="R1146" s="48" t="s">
        <v>2924</v>
      </c>
      <c r="S1146" s="48" t="s">
        <v>354</v>
      </c>
      <c r="T1146" s="49" t="s">
        <v>63</v>
      </c>
      <c r="U1146" s="49" t="s">
        <v>1620</v>
      </c>
      <c r="V1146" s="7"/>
      <c r="W1146" s="44">
        <v>3.3</v>
      </c>
      <c r="X1146" s="7" t="s">
        <v>253</v>
      </c>
      <c r="Y1146" s="7" t="s">
        <v>3338</v>
      </c>
      <c r="Z1146" s="49" t="s">
        <v>841</v>
      </c>
      <c r="AA1146" s="61">
        <v>0.83</v>
      </c>
      <c r="AB1146" s="71">
        <v>43510</v>
      </c>
      <c r="AC1146" s="52" t="s">
        <v>14786</v>
      </c>
      <c r="AD1146" s="53" t="str">
        <f t="shared" si="868"/>
        <v>Link</v>
      </c>
      <c r="AE1146" s="54">
        <v>1779</v>
      </c>
      <c r="AF1146" s="55"/>
      <c r="AG1146" s="7"/>
      <c r="AH1146" s="85" t="s">
        <v>14789</v>
      </c>
      <c r="AI1146" s="85"/>
    </row>
    <row r="1147" spans="1:35" ht="13" x14ac:dyDescent="0.15">
      <c r="A1147" s="57"/>
      <c r="B1147" s="78" t="s">
        <v>2922</v>
      </c>
      <c r="C1147" s="7" t="s">
        <v>43</v>
      </c>
      <c r="D1147" s="44">
        <v>5</v>
      </c>
      <c r="E1147" s="7" t="s">
        <v>14846</v>
      </c>
      <c r="F1147" s="7"/>
      <c r="G1147" s="7"/>
      <c r="H1147" s="6" t="s">
        <v>14847</v>
      </c>
      <c r="I1147" s="7" t="s">
        <v>14849</v>
      </c>
      <c r="J1147" s="7" t="s">
        <v>14851</v>
      </c>
      <c r="K1147" s="7" t="s">
        <v>48</v>
      </c>
      <c r="L1147" s="7" t="s">
        <v>14852</v>
      </c>
      <c r="M1147" s="7" t="s">
        <v>14853</v>
      </c>
      <c r="N1147" s="45" t="str">
        <f>HYPERLINK("twitter.com/udallassoftball","@udallassoftball")</f>
        <v>@udallassoftball</v>
      </c>
      <c r="O1147" s="74" t="str">
        <f>HYPERLINK("https://www.udallasathletics.com/recruiting/University_of_Dallas_Recruiting_Questionnaires","Questionnaire")</f>
        <v>Questionnaire</v>
      </c>
      <c r="P1147" s="7" t="s">
        <v>13491</v>
      </c>
      <c r="Q1147" s="36" t="s">
        <v>280</v>
      </c>
      <c r="R1147" s="7" t="s">
        <v>14857</v>
      </c>
      <c r="S1147" s="48" t="s">
        <v>62</v>
      </c>
      <c r="T1147" s="49" t="s">
        <v>63</v>
      </c>
      <c r="U1147" s="7" t="s">
        <v>343</v>
      </c>
      <c r="V1147" s="7"/>
      <c r="W1147" s="44">
        <v>3.82</v>
      </c>
      <c r="X1147" s="7" t="s">
        <v>9047</v>
      </c>
      <c r="Y1147" s="7" t="s">
        <v>5008</v>
      </c>
      <c r="Z1147" s="7" t="s">
        <v>1373</v>
      </c>
      <c r="AA1147" s="61">
        <v>0.64</v>
      </c>
      <c r="AB1147" s="71">
        <v>54976</v>
      </c>
      <c r="AC1147" s="78" t="s">
        <v>13491</v>
      </c>
      <c r="AD1147" s="74" t="str">
        <f>HYPERLINK("https://udallas.edu/academics/undergraduate-programs.php","Link")</f>
        <v>Link</v>
      </c>
      <c r="AE1147" s="54">
        <v>1342</v>
      </c>
      <c r="AF1147" s="55"/>
      <c r="AG1147" s="7"/>
      <c r="AH1147" s="56">
        <v>224323</v>
      </c>
      <c r="AI1147" s="56"/>
    </row>
    <row r="1148" spans="1:35" ht="15" x14ac:dyDescent="0.2">
      <c r="A1148" s="57"/>
      <c r="B1148" s="78" t="s">
        <v>2922</v>
      </c>
      <c r="C1148" s="7" t="s">
        <v>43</v>
      </c>
      <c r="D1148" s="44">
        <v>5</v>
      </c>
      <c r="E1148" s="7" t="s">
        <v>14864</v>
      </c>
      <c r="F1148" s="7"/>
      <c r="G1148" s="7"/>
      <c r="H1148" s="6" t="s">
        <v>14865</v>
      </c>
      <c r="I1148" s="7" t="s">
        <v>14685</v>
      </c>
      <c r="J1148" s="7" t="s">
        <v>14866</v>
      </c>
      <c r="K1148" s="7" t="s">
        <v>48</v>
      </c>
      <c r="L1148" s="7" t="s">
        <v>14867</v>
      </c>
      <c r="M1148" s="7" t="s">
        <v>14868</v>
      </c>
      <c r="N1148" s="45" t="str">
        <f t="shared" ref="N1148:N1153" si="869">HYPERLINK("twitter.com/etbu_softball","@etbu_softball")</f>
        <v>@etbu_softball</v>
      </c>
      <c r="O1148" s="74" t="str">
        <f t="shared" ref="O1148:O1153" si="870">HYPERLINK("https://goetbutigers.com/sb_output.aspx?form=3","Questionnaire")</f>
        <v>Questionnaire</v>
      </c>
      <c r="P1148" s="7" t="s">
        <v>14872</v>
      </c>
      <c r="Q1148" s="57" t="s">
        <v>280</v>
      </c>
      <c r="R1148" s="7" t="s">
        <v>2428</v>
      </c>
      <c r="S1148" s="48" t="s">
        <v>172</v>
      </c>
      <c r="T1148" s="49" t="s">
        <v>63</v>
      </c>
      <c r="U1148" s="7" t="s">
        <v>2619</v>
      </c>
      <c r="V1148" s="7"/>
      <c r="W1148" s="44">
        <v>3.38</v>
      </c>
      <c r="X1148" s="7" t="s">
        <v>1452</v>
      </c>
      <c r="Y1148" s="7" t="s">
        <v>2257</v>
      </c>
      <c r="Z1148" s="7" t="s">
        <v>2307</v>
      </c>
      <c r="AA1148" s="61">
        <v>0.51</v>
      </c>
      <c r="AB1148" s="71">
        <v>36825</v>
      </c>
      <c r="AC1148" s="40" t="s">
        <v>14872</v>
      </c>
      <c r="AD1148" s="74" t="str">
        <f t="shared" ref="AD1148:AD1153" si="871">HYPERLINK("https://www.etbu.edu/academics/academic-programs/majors-and-degree-plans/","Link")</f>
        <v>Link</v>
      </c>
      <c r="AE1148" s="54">
        <v>1339</v>
      </c>
      <c r="AF1148" s="55"/>
      <c r="AG1148" s="7"/>
      <c r="AH1148" s="56">
        <v>224527</v>
      </c>
      <c r="AI1148" s="56"/>
    </row>
    <row r="1149" spans="1:35" ht="15" x14ac:dyDescent="0.2">
      <c r="A1149" s="57"/>
      <c r="B1149" s="78" t="s">
        <v>2922</v>
      </c>
      <c r="C1149" s="7" t="s">
        <v>43</v>
      </c>
      <c r="D1149" s="44">
        <v>5</v>
      </c>
      <c r="E1149" s="7" t="s">
        <v>14878</v>
      </c>
      <c r="F1149" s="7"/>
      <c r="G1149" s="7"/>
      <c r="H1149" s="6" t="s">
        <v>14865</v>
      </c>
      <c r="I1149" s="7" t="s">
        <v>2806</v>
      </c>
      <c r="J1149" s="7" t="s">
        <v>8511</v>
      </c>
      <c r="K1149" s="7" t="s">
        <v>55</v>
      </c>
      <c r="L1149" s="7" t="s">
        <v>14881</v>
      </c>
      <c r="M1149" s="7" t="s">
        <v>14883</v>
      </c>
      <c r="N1149" s="45" t="str">
        <f t="shared" si="869"/>
        <v>@etbu_softball</v>
      </c>
      <c r="O1149" s="74" t="str">
        <f t="shared" si="870"/>
        <v>Questionnaire</v>
      </c>
      <c r="P1149" s="7" t="s">
        <v>14872</v>
      </c>
      <c r="Q1149" s="57" t="s">
        <v>280</v>
      </c>
      <c r="R1149" s="7" t="s">
        <v>2428</v>
      </c>
      <c r="S1149" s="48" t="s">
        <v>172</v>
      </c>
      <c r="T1149" s="49" t="s">
        <v>63</v>
      </c>
      <c r="U1149" s="7" t="s">
        <v>2619</v>
      </c>
      <c r="V1149" s="7"/>
      <c r="W1149" s="44">
        <v>3.38</v>
      </c>
      <c r="X1149" s="7" t="s">
        <v>1452</v>
      </c>
      <c r="Y1149" s="7" t="s">
        <v>2257</v>
      </c>
      <c r="Z1149" s="7" t="s">
        <v>2307</v>
      </c>
      <c r="AA1149" s="61">
        <v>0.51</v>
      </c>
      <c r="AB1149" s="71">
        <v>36825</v>
      </c>
      <c r="AC1149" s="40" t="s">
        <v>14872</v>
      </c>
      <c r="AD1149" s="74" t="str">
        <f t="shared" si="871"/>
        <v>Link</v>
      </c>
      <c r="AE1149" s="54">
        <v>1339</v>
      </c>
      <c r="AF1149" s="55"/>
      <c r="AG1149" s="7"/>
      <c r="AH1149" s="56">
        <v>224527</v>
      </c>
      <c r="AI1149" s="56"/>
    </row>
    <row r="1150" spans="1:35" ht="15" x14ac:dyDescent="0.2">
      <c r="A1150" s="57"/>
      <c r="B1150" s="78" t="s">
        <v>2922</v>
      </c>
      <c r="C1150" s="7" t="s">
        <v>43</v>
      </c>
      <c r="D1150" s="44">
        <v>5</v>
      </c>
      <c r="E1150" s="7" t="s">
        <v>14886</v>
      </c>
      <c r="F1150" s="7"/>
      <c r="G1150" s="7"/>
      <c r="H1150" s="6" t="s">
        <v>14865</v>
      </c>
      <c r="I1150" s="7" t="s">
        <v>986</v>
      </c>
      <c r="J1150" s="7" t="s">
        <v>14866</v>
      </c>
      <c r="K1150" s="7" t="s">
        <v>55</v>
      </c>
      <c r="L1150" s="7" t="s">
        <v>14887</v>
      </c>
      <c r="M1150" s="7" t="s">
        <v>14868</v>
      </c>
      <c r="N1150" s="45" t="str">
        <f t="shared" si="869"/>
        <v>@etbu_softball</v>
      </c>
      <c r="O1150" s="74" t="str">
        <f t="shared" si="870"/>
        <v>Questionnaire</v>
      </c>
      <c r="P1150" s="7" t="s">
        <v>14872</v>
      </c>
      <c r="Q1150" s="57" t="s">
        <v>280</v>
      </c>
      <c r="R1150" s="7" t="s">
        <v>2428</v>
      </c>
      <c r="S1150" s="48" t="s">
        <v>172</v>
      </c>
      <c r="T1150" s="49" t="s">
        <v>63</v>
      </c>
      <c r="U1150" s="7" t="s">
        <v>2619</v>
      </c>
      <c r="V1150" s="7"/>
      <c r="W1150" s="44">
        <v>3.38</v>
      </c>
      <c r="X1150" s="7" t="s">
        <v>1452</v>
      </c>
      <c r="Y1150" s="7" t="s">
        <v>2257</v>
      </c>
      <c r="Z1150" s="7" t="s">
        <v>2307</v>
      </c>
      <c r="AA1150" s="61">
        <v>0.51</v>
      </c>
      <c r="AB1150" s="71">
        <v>36825</v>
      </c>
      <c r="AC1150" s="40" t="s">
        <v>14872</v>
      </c>
      <c r="AD1150" s="74" t="str">
        <f t="shared" si="871"/>
        <v>Link</v>
      </c>
      <c r="AE1150" s="54">
        <v>1339</v>
      </c>
      <c r="AF1150" s="55"/>
      <c r="AG1150" s="7"/>
      <c r="AH1150" s="56">
        <v>224527</v>
      </c>
      <c r="AI1150" s="56"/>
    </row>
    <row r="1151" spans="1:35" ht="15" x14ac:dyDescent="0.2">
      <c r="A1151" s="57"/>
      <c r="B1151" s="78" t="s">
        <v>2922</v>
      </c>
      <c r="C1151" s="7" t="s">
        <v>43</v>
      </c>
      <c r="D1151" s="44">
        <v>5</v>
      </c>
      <c r="E1151" s="7" t="s">
        <v>14891</v>
      </c>
      <c r="F1151" s="7"/>
      <c r="G1151" s="7"/>
      <c r="H1151" s="6" t="s">
        <v>14865</v>
      </c>
      <c r="I1151" s="7" t="s">
        <v>3030</v>
      </c>
      <c r="J1151" s="7" t="s">
        <v>14892</v>
      </c>
      <c r="K1151" s="7" t="s">
        <v>55</v>
      </c>
      <c r="L1151" s="7"/>
      <c r="M1151" s="7"/>
      <c r="N1151" s="45" t="str">
        <f t="shared" si="869"/>
        <v>@etbu_softball</v>
      </c>
      <c r="O1151" s="74" t="str">
        <f t="shared" si="870"/>
        <v>Questionnaire</v>
      </c>
      <c r="P1151" s="7" t="s">
        <v>14872</v>
      </c>
      <c r="Q1151" s="57" t="s">
        <v>280</v>
      </c>
      <c r="R1151" s="7" t="s">
        <v>2428</v>
      </c>
      <c r="S1151" s="48" t="s">
        <v>172</v>
      </c>
      <c r="T1151" s="49" t="s">
        <v>63</v>
      </c>
      <c r="U1151" s="7" t="s">
        <v>2619</v>
      </c>
      <c r="V1151" s="7"/>
      <c r="W1151" s="44">
        <v>3.38</v>
      </c>
      <c r="X1151" s="7" t="s">
        <v>1452</v>
      </c>
      <c r="Y1151" s="7" t="s">
        <v>2257</v>
      </c>
      <c r="Z1151" s="7" t="s">
        <v>2307</v>
      </c>
      <c r="AA1151" s="61">
        <v>0.51</v>
      </c>
      <c r="AB1151" s="71">
        <v>36825</v>
      </c>
      <c r="AC1151" s="40" t="s">
        <v>14872</v>
      </c>
      <c r="AD1151" s="74" t="str">
        <f t="shared" si="871"/>
        <v>Link</v>
      </c>
      <c r="AE1151" s="54">
        <v>1339</v>
      </c>
      <c r="AF1151" s="55"/>
      <c r="AG1151" s="7"/>
      <c r="AH1151" s="56">
        <v>224527</v>
      </c>
      <c r="AI1151" s="56"/>
    </row>
    <row r="1152" spans="1:35" ht="15" x14ac:dyDescent="0.2">
      <c r="A1152" s="57"/>
      <c r="B1152" s="78" t="s">
        <v>2922</v>
      </c>
      <c r="C1152" s="7" t="s">
        <v>43</v>
      </c>
      <c r="D1152" s="44">
        <v>5</v>
      </c>
      <c r="E1152" s="7" t="s">
        <v>14895</v>
      </c>
      <c r="F1152" s="7"/>
      <c r="G1152" s="7" t="s">
        <v>126</v>
      </c>
      <c r="H1152" s="6" t="s">
        <v>14865</v>
      </c>
      <c r="I1152" s="7" t="s">
        <v>14897</v>
      </c>
      <c r="J1152" s="7"/>
      <c r="K1152" s="7"/>
      <c r="L1152" s="7"/>
      <c r="M1152" s="7"/>
      <c r="N1152" s="45" t="str">
        <f t="shared" si="869"/>
        <v>@etbu_softball</v>
      </c>
      <c r="O1152" s="74" t="str">
        <f t="shared" si="870"/>
        <v>Questionnaire</v>
      </c>
      <c r="P1152" s="7" t="s">
        <v>14872</v>
      </c>
      <c r="Q1152" s="57" t="s">
        <v>280</v>
      </c>
      <c r="R1152" s="7" t="s">
        <v>2428</v>
      </c>
      <c r="S1152" s="48" t="s">
        <v>172</v>
      </c>
      <c r="T1152" s="49" t="s">
        <v>63</v>
      </c>
      <c r="U1152" s="7" t="s">
        <v>2619</v>
      </c>
      <c r="V1152" s="7"/>
      <c r="W1152" s="44">
        <v>3.38</v>
      </c>
      <c r="X1152" s="7" t="s">
        <v>1452</v>
      </c>
      <c r="Y1152" s="7" t="s">
        <v>2257</v>
      </c>
      <c r="Z1152" s="7" t="s">
        <v>2307</v>
      </c>
      <c r="AA1152" s="61">
        <v>0.51</v>
      </c>
      <c r="AB1152" s="71">
        <v>36825</v>
      </c>
      <c r="AC1152" s="40" t="s">
        <v>14872</v>
      </c>
      <c r="AD1152" s="74" t="str">
        <f t="shared" si="871"/>
        <v>Link</v>
      </c>
      <c r="AE1152" s="54">
        <v>1339</v>
      </c>
      <c r="AF1152" s="55"/>
      <c r="AG1152" s="7"/>
      <c r="AH1152" s="56">
        <v>224527</v>
      </c>
      <c r="AI1152" s="56"/>
    </row>
    <row r="1153" spans="1:35" ht="15" x14ac:dyDescent="0.2">
      <c r="A1153" s="57"/>
      <c r="B1153" s="78" t="s">
        <v>2922</v>
      </c>
      <c r="C1153" s="7" t="s">
        <v>43</v>
      </c>
      <c r="D1153" s="44">
        <v>5</v>
      </c>
      <c r="E1153" s="7" t="s">
        <v>14902</v>
      </c>
      <c r="F1153" s="7"/>
      <c r="G1153" s="7"/>
      <c r="H1153" s="6" t="s">
        <v>14865</v>
      </c>
      <c r="I1153" s="7" t="s">
        <v>442</v>
      </c>
      <c r="J1153" s="7" t="s">
        <v>14904</v>
      </c>
      <c r="K1153" s="7" t="s">
        <v>154</v>
      </c>
      <c r="L1153" s="7"/>
      <c r="M1153" s="7"/>
      <c r="N1153" s="45" t="str">
        <f t="shared" si="869"/>
        <v>@etbu_softball</v>
      </c>
      <c r="O1153" s="74" t="str">
        <f t="shared" si="870"/>
        <v>Questionnaire</v>
      </c>
      <c r="P1153" s="7" t="s">
        <v>14872</v>
      </c>
      <c r="Q1153" s="57" t="s">
        <v>280</v>
      </c>
      <c r="R1153" s="7" t="s">
        <v>2428</v>
      </c>
      <c r="S1153" s="48" t="s">
        <v>172</v>
      </c>
      <c r="T1153" s="49" t="s">
        <v>63</v>
      </c>
      <c r="U1153" s="7" t="s">
        <v>2619</v>
      </c>
      <c r="V1153" s="7"/>
      <c r="W1153" s="44">
        <v>3.38</v>
      </c>
      <c r="X1153" s="7" t="s">
        <v>1452</v>
      </c>
      <c r="Y1153" s="7" t="s">
        <v>2257</v>
      </c>
      <c r="Z1153" s="7" t="s">
        <v>2307</v>
      </c>
      <c r="AA1153" s="61">
        <v>0.51</v>
      </c>
      <c r="AB1153" s="71">
        <v>36825</v>
      </c>
      <c r="AC1153" s="40" t="s">
        <v>14872</v>
      </c>
      <c r="AD1153" s="74" t="str">
        <f t="shared" si="871"/>
        <v>Link</v>
      </c>
      <c r="AE1153" s="54">
        <v>1339</v>
      </c>
      <c r="AF1153" s="55"/>
      <c r="AG1153" s="7"/>
      <c r="AH1153" s="56">
        <v>224527</v>
      </c>
      <c r="AI1153" s="56"/>
    </row>
    <row r="1154" spans="1:35" ht="13" x14ac:dyDescent="0.15">
      <c r="A1154" s="57"/>
      <c r="B1154" s="78" t="s">
        <v>2922</v>
      </c>
      <c r="C1154" s="7" t="s">
        <v>43</v>
      </c>
      <c r="D1154" s="44">
        <v>5</v>
      </c>
      <c r="E1154" s="7" t="s">
        <v>14908</v>
      </c>
      <c r="F1154" s="7"/>
      <c r="G1154" s="7"/>
      <c r="H1154" s="6" t="s">
        <v>14909</v>
      </c>
      <c r="I1154" s="7" t="s">
        <v>14910</v>
      </c>
      <c r="J1154" s="7" t="s">
        <v>14911</v>
      </c>
      <c r="K1154" s="7" t="s">
        <v>48</v>
      </c>
      <c r="L1154" s="7" t="s">
        <v>14912</v>
      </c>
      <c r="M1154" s="7" t="s">
        <v>14913</v>
      </c>
      <c r="N1154" s="45" t="str">
        <f t="shared" ref="N1154:N1155" si="872">HYPERLINK("twitter.com/cowgirlsoftball","@cowgirlsoftball")</f>
        <v>@cowgirlsoftball</v>
      </c>
      <c r="O1154" s="74" t="str">
        <f t="shared" ref="O1154:O1155" si="873">HYPERLINK("https://www.hsuathletics.com/sports/w-softbl/Softball_Recruit_Form","Questionnaire")</f>
        <v>Questionnaire</v>
      </c>
      <c r="P1154" s="7" t="s">
        <v>14919</v>
      </c>
      <c r="Q1154" s="57" t="s">
        <v>280</v>
      </c>
      <c r="R1154" s="7" t="s">
        <v>12675</v>
      </c>
      <c r="S1154" s="48" t="s">
        <v>238</v>
      </c>
      <c r="T1154" s="49" t="s">
        <v>63</v>
      </c>
      <c r="U1154" s="7" t="s">
        <v>2619</v>
      </c>
      <c r="V1154" s="7"/>
      <c r="W1154" s="44">
        <v>3.63</v>
      </c>
      <c r="X1154" s="7" t="s">
        <v>356</v>
      </c>
      <c r="Y1154" s="7" t="s">
        <v>2341</v>
      </c>
      <c r="Z1154" s="7" t="s">
        <v>125</v>
      </c>
      <c r="AA1154" s="61">
        <v>0.88</v>
      </c>
      <c r="AB1154" s="71">
        <v>37944</v>
      </c>
      <c r="AC1154" s="78" t="s">
        <v>14919</v>
      </c>
      <c r="AD1154" s="74" t="str">
        <f t="shared" ref="AD1154:AD1155" si="874">HYPERLINK("https://www.hsutx.edu/academics/undergraduate/","Link")</f>
        <v>Link</v>
      </c>
      <c r="AE1154" s="54">
        <v>1708</v>
      </c>
      <c r="AF1154" s="55"/>
      <c r="AG1154" s="7"/>
      <c r="AH1154" s="56">
        <v>225247</v>
      </c>
      <c r="AI1154" s="56"/>
    </row>
    <row r="1155" spans="1:35" ht="13" x14ac:dyDescent="0.15">
      <c r="A1155" s="57"/>
      <c r="B1155" s="78" t="s">
        <v>2922</v>
      </c>
      <c r="C1155" s="7" t="s">
        <v>43</v>
      </c>
      <c r="D1155" s="44">
        <v>5</v>
      </c>
      <c r="E1155" s="7" t="s">
        <v>14922</v>
      </c>
      <c r="F1155" s="7"/>
      <c r="G1155" s="7"/>
      <c r="H1155" s="6" t="s">
        <v>14909</v>
      </c>
      <c r="I1155" s="7" t="s">
        <v>14924</v>
      </c>
      <c r="J1155" s="7" t="s">
        <v>14925</v>
      </c>
      <c r="K1155" s="7" t="s">
        <v>55</v>
      </c>
      <c r="L1155" s="7" t="s">
        <v>14926</v>
      </c>
      <c r="M1155" s="7" t="s">
        <v>14927</v>
      </c>
      <c r="N1155" s="45" t="str">
        <f t="shared" si="872"/>
        <v>@cowgirlsoftball</v>
      </c>
      <c r="O1155" s="74" t="str">
        <f t="shared" si="873"/>
        <v>Questionnaire</v>
      </c>
      <c r="P1155" s="7" t="s">
        <v>14919</v>
      </c>
      <c r="Q1155" s="57" t="s">
        <v>280</v>
      </c>
      <c r="R1155" s="7" t="s">
        <v>12675</v>
      </c>
      <c r="S1155" s="48" t="s">
        <v>238</v>
      </c>
      <c r="T1155" s="49" t="s">
        <v>63</v>
      </c>
      <c r="U1155" s="7" t="s">
        <v>2619</v>
      </c>
      <c r="V1155" s="7"/>
      <c r="W1155" s="44">
        <v>3.63</v>
      </c>
      <c r="X1155" s="7" t="s">
        <v>356</v>
      </c>
      <c r="Y1155" s="7" t="s">
        <v>2341</v>
      </c>
      <c r="Z1155" s="7" t="s">
        <v>125</v>
      </c>
      <c r="AA1155" s="61">
        <v>0.88</v>
      </c>
      <c r="AB1155" s="71">
        <v>37944</v>
      </c>
      <c r="AC1155" s="78" t="s">
        <v>14919</v>
      </c>
      <c r="AD1155" s="74" t="str">
        <f t="shared" si="874"/>
        <v>Link</v>
      </c>
      <c r="AE1155" s="54">
        <v>1708</v>
      </c>
      <c r="AF1155" s="55"/>
      <c r="AG1155" s="7"/>
      <c r="AH1155" s="56">
        <v>225247</v>
      </c>
      <c r="AI1155" s="56"/>
    </row>
    <row r="1156" spans="1:35" ht="13" x14ac:dyDescent="0.15">
      <c r="A1156" s="57"/>
      <c r="B1156" s="78" t="s">
        <v>2922</v>
      </c>
      <c r="C1156" s="7" t="s">
        <v>43</v>
      </c>
      <c r="D1156" s="44">
        <v>5</v>
      </c>
      <c r="E1156" s="7" t="s">
        <v>14933</v>
      </c>
      <c r="F1156" s="7"/>
      <c r="G1156" s="7"/>
      <c r="H1156" s="6" t="s">
        <v>14934</v>
      </c>
      <c r="I1156" s="7" t="s">
        <v>659</v>
      </c>
      <c r="J1156" s="7" t="s">
        <v>14937</v>
      </c>
      <c r="K1156" s="7" t="s">
        <v>48</v>
      </c>
      <c r="L1156" s="7" t="s">
        <v>14938</v>
      </c>
      <c r="M1156" s="7" t="s">
        <v>14940</v>
      </c>
      <c r="N1156" s="45" t="str">
        <f t="shared" ref="N1156:N1157" si="875">HYPERLINK("twitter.com/hpusoftball","@hpusoftball")</f>
        <v>@hpusoftball</v>
      </c>
      <c r="O1156" s="74" t="str">
        <f t="shared" ref="O1156:O1157" si="876">HYPERLINK("https://hpusports.com/sports/2012/1/27/Gen_0127123924.aspx","Questionnaire")</f>
        <v>Questionnaire</v>
      </c>
      <c r="P1156" s="7" t="s">
        <v>14943</v>
      </c>
      <c r="Q1156" s="57" t="s">
        <v>280</v>
      </c>
      <c r="R1156" s="7" t="s">
        <v>14944</v>
      </c>
      <c r="S1156" s="48" t="s">
        <v>172</v>
      </c>
      <c r="T1156" s="49" t="s">
        <v>63</v>
      </c>
      <c r="U1156" s="7" t="s">
        <v>2619</v>
      </c>
      <c r="V1156" s="7"/>
      <c r="W1156" s="44">
        <v>3.3</v>
      </c>
      <c r="X1156" s="7" t="s">
        <v>1338</v>
      </c>
      <c r="Y1156" s="7" t="s">
        <v>1452</v>
      </c>
      <c r="Z1156" s="7" t="s">
        <v>2307</v>
      </c>
      <c r="AA1156" s="61">
        <v>0.88</v>
      </c>
      <c r="AB1156" s="71">
        <v>38326</v>
      </c>
      <c r="AC1156" s="78" t="s">
        <v>14943</v>
      </c>
      <c r="AD1156" s="74" t="str">
        <f t="shared" ref="AD1156:AD1157" si="877">HYPERLINK("http://www.hputx.edu/academics/schools/","Link")</f>
        <v>Link</v>
      </c>
      <c r="AE1156" s="54">
        <v>1098</v>
      </c>
      <c r="AF1156" s="55"/>
      <c r="AG1156" s="7"/>
      <c r="AH1156" s="56">
        <v>225548</v>
      </c>
      <c r="AI1156" s="56"/>
    </row>
    <row r="1157" spans="1:35" ht="13" x14ac:dyDescent="0.15">
      <c r="A1157" s="57"/>
      <c r="B1157" s="78" t="s">
        <v>2922</v>
      </c>
      <c r="C1157" s="7" t="s">
        <v>43</v>
      </c>
      <c r="D1157" s="44">
        <v>5</v>
      </c>
      <c r="E1157" s="7" t="s">
        <v>14949</v>
      </c>
      <c r="F1157" s="7"/>
      <c r="G1157" s="7"/>
      <c r="H1157" s="6" t="s">
        <v>14934</v>
      </c>
      <c r="I1157" s="7" t="s">
        <v>728</v>
      </c>
      <c r="J1157" s="7" t="s">
        <v>2095</v>
      </c>
      <c r="K1157" s="7" t="s">
        <v>55</v>
      </c>
      <c r="L1157" s="7" t="s">
        <v>14950</v>
      </c>
      <c r="M1157" s="7" t="s">
        <v>14951</v>
      </c>
      <c r="N1157" s="45" t="str">
        <f t="shared" si="875"/>
        <v>@hpusoftball</v>
      </c>
      <c r="O1157" s="74" t="str">
        <f t="shared" si="876"/>
        <v>Questionnaire</v>
      </c>
      <c r="P1157" s="7" t="s">
        <v>14943</v>
      </c>
      <c r="Q1157" s="57" t="s">
        <v>280</v>
      </c>
      <c r="R1157" s="7" t="s">
        <v>14944</v>
      </c>
      <c r="S1157" s="48" t="s">
        <v>172</v>
      </c>
      <c r="T1157" s="49" t="s">
        <v>63</v>
      </c>
      <c r="U1157" s="7" t="s">
        <v>2619</v>
      </c>
      <c r="V1157" s="7"/>
      <c r="W1157" s="44">
        <v>3.3</v>
      </c>
      <c r="X1157" s="7" t="s">
        <v>1338</v>
      </c>
      <c r="Y1157" s="7" t="s">
        <v>1452</v>
      </c>
      <c r="Z1157" s="7" t="s">
        <v>2307</v>
      </c>
      <c r="AA1157" s="61">
        <v>0.88</v>
      </c>
      <c r="AB1157" s="71">
        <v>38326</v>
      </c>
      <c r="AC1157" s="78" t="s">
        <v>14943</v>
      </c>
      <c r="AD1157" s="74" t="str">
        <f t="shared" si="877"/>
        <v>Link</v>
      </c>
      <c r="AE1157" s="54">
        <v>1098</v>
      </c>
      <c r="AF1157" s="55"/>
      <c r="AG1157" s="7"/>
      <c r="AH1157" s="56">
        <v>225548</v>
      </c>
      <c r="AI1157" s="56"/>
    </row>
    <row r="1158" spans="1:35" ht="13" x14ac:dyDescent="0.15">
      <c r="A1158" s="57"/>
      <c r="B1158" s="78" t="s">
        <v>2922</v>
      </c>
      <c r="C1158" s="7" t="s">
        <v>43</v>
      </c>
      <c r="D1158" s="44">
        <v>5</v>
      </c>
      <c r="E1158" s="7" t="s">
        <v>14954</v>
      </c>
      <c r="F1158" s="7"/>
      <c r="G1158" s="7"/>
      <c r="H1158" s="6" t="s">
        <v>14956</v>
      </c>
      <c r="I1158" s="7" t="s">
        <v>5944</v>
      </c>
      <c r="J1158" s="7" t="s">
        <v>12536</v>
      </c>
      <c r="K1158" s="7" t="s">
        <v>48</v>
      </c>
      <c r="L1158" s="7" t="s">
        <v>14957</v>
      </c>
      <c r="M1158" s="7" t="s">
        <v>14958</v>
      </c>
      <c r="N1158" s="45" t="str">
        <f t="shared" ref="N1158:N1160" si="878">HYPERLINK("twitter.com/letusoftball","@letusoftball")</f>
        <v>@letusoftball</v>
      </c>
      <c r="O1158" s="74" t="str">
        <f t="shared" ref="O1158:O1160" si="879">HYPERLINK("https://letuathletics.com/sb_output.aspx?form=3","Questionnaire")</f>
        <v>Questionnaire</v>
      </c>
      <c r="P1158" s="7" t="s">
        <v>14962</v>
      </c>
      <c r="Q1158" s="57" t="s">
        <v>280</v>
      </c>
      <c r="R1158" s="7" t="s">
        <v>14963</v>
      </c>
      <c r="S1158" s="48" t="s">
        <v>238</v>
      </c>
      <c r="T1158" s="49" t="s">
        <v>63</v>
      </c>
      <c r="U1158" s="7" t="s">
        <v>3252</v>
      </c>
      <c r="V1158" s="7"/>
      <c r="W1158" s="44">
        <v>3.64</v>
      </c>
      <c r="X1158" s="7" t="s">
        <v>2196</v>
      </c>
      <c r="Y1158" s="7" t="s">
        <v>6046</v>
      </c>
      <c r="Z1158" s="7" t="s">
        <v>689</v>
      </c>
      <c r="AA1158" s="61">
        <v>0.44</v>
      </c>
      <c r="AB1158" s="71">
        <v>42408</v>
      </c>
      <c r="AC1158" s="78" t="s">
        <v>14962</v>
      </c>
      <c r="AD1158" s="74" t="str">
        <f t="shared" ref="AD1158:AD1160" si="880">HYPERLINK("http://www.letu.edu/_Admissions/majors-list/index.html","Link")</f>
        <v>Link</v>
      </c>
      <c r="AE1158" s="54">
        <v>2253</v>
      </c>
      <c r="AF1158" s="55"/>
      <c r="AG1158" s="7"/>
      <c r="AH1158" s="56">
        <v>226231</v>
      </c>
      <c r="AI1158" s="56"/>
    </row>
    <row r="1159" spans="1:35" ht="13" x14ac:dyDescent="0.15">
      <c r="A1159" s="57"/>
      <c r="B1159" s="78" t="s">
        <v>2922</v>
      </c>
      <c r="C1159" s="7" t="s">
        <v>43</v>
      </c>
      <c r="D1159" s="44">
        <v>5</v>
      </c>
      <c r="E1159" s="7" t="s">
        <v>14968</v>
      </c>
      <c r="F1159" s="7"/>
      <c r="G1159" s="7"/>
      <c r="H1159" s="6" t="s">
        <v>14956</v>
      </c>
      <c r="I1159" s="7" t="s">
        <v>14969</v>
      </c>
      <c r="J1159" s="7" t="s">
        <v>14970</v>
      </c>
      <c r="K1159" s="7" t="s">
        <v>55</v>
      </c>
      <c r="L1159" s="7" t="s">
        <v>14971</v>
      </c>
      <c r="M1159" s="7" t="s">
        <v>14958</v>
      </c>
      <c r="N1159" s="45" t="str">
        <f t="shared" si="878"/>
        <v>@letusoftball</v>
      </c>
      <c r="O1159" s="74" t="str">
        <f t="shared" si="879"/>
        <v>Questionnaire</v>
      </c>
      <c r="P1159" s="7" t="s">
        <v>14962</v>
      </c>
      <c r="Q1159" s="57" t="s">
        <v>280</v>
      </c>
      <c r="R1159" s="7" t="s">
        <v>14963</v>
      </c>
      <c r="S1159" s="48" t="s">
        <v>238</v>
      </c>
      <c r="T1159" s="49" t="s">
        <v>63</v>
      </c>
      <c r="U1159" s="7" t="s">
        <v>3252</v>
      </c>
      <c r="V1159" s="7"/>
      <c r="W1159" s="44">
        <v>3.64</v>
      </c>
      <c r="X1159" s="7" t="s">
        <v>2196</v>
      </c>
      <c r="Y1159" s="7" t="s">
        <v>6046</v>
      </c>
      <c r="Z1159" s="7" t="s">
        <v>689</v>
      </c>
      <c r="AA1159" s="61">
        <v>0.44</v>
      </c>
      <c r="AB1159" s="71">
        <v>42408</v>
      </c>
      <c r="AC1159" s="78" t="s">
        <v>14962</v>
      </c>
      <c r="AD1159" s="74" t="str">
        <f t="shared" si="880"/>
        <v>Link</v>
      </c>
      <c r="AE1159" s="54">
        <v>2253</v>
      </c>
      <c r="AF1159" s="55"/>
      <c r="AG1159" s="7"/>
      <c r="AH1159" s="56">
        <v>226231</v>
      </c>
      <c r="AI1159" s="56"/>
    </row>
    <row r="1160" spans="1:35" ht="13" x14ac:dyDescent="0.15">
      <c r="A1160" s="57"/>
      <c r="B1160" s="78" t="s">
        <v>2922</v>
      </c>
      <c r="C1160" s="7" t="s">
        <v>43</v>
      </c>
      <c r="D1160" s="44">
        <v>5</v>
      </c>
      <c r="E1160" s="7" t="s">
        <v>14975</v>
      </c>
      <c r="F1160" s="7"/>
      <c r="G1160" s="7"/>
      <c r="H1160" s="6" t="s">
        <v>14956</v>
      </c>
      <c r="I1160" s="7" t="s">
        <v>14978</v>
      </c>
      <c r="J1160" s="7" t="s">
        <v>14980</v>
      </c>
      <c r="K1160" s="7" t="s">
        <v>55</v>
      </c>
      <c r="L1160" s="7" t="s">
        <v>14981</v>
      </c>
      <c r="M1160" s="7" t="s">
        <v>14958</v>
      </c>
      <c r="N1160" s="45" t="str">
        <f t="shared" si="878"/>
        <v>@letusoftball</v>
      </c>
      <c r="O1160" s="74" t="str">
        <f t="shared" si="879"/>
        <v>Questionnaire</v>
      </c>
      <c r="P1160" s="7" t="s">
        <v>14962</v>
      </c>
      <c r="Q1160" s="57" t="s">
        <v>280</v>
      </c>
      <c r="R1160" s="7" t="s">
        <v>14963</v>
      </c>
      <c r="S1160" s="48" t="s">
        <v>238</v>
      </c>
      <c r="T1160" s="49" t="s">
        <v>63</v>
      </c>
      <c r="U1160" s="7" t="s">
        <v>3252</v>
      </c>
      <c r="V1160" s="7"/>
      <c r="W1160" s="44">
        <v>3.64</v>
      </c>
      <c r="X1160" s="7" t="s">
        <v>2196</v>
      </c>
      <c r="Y1160" s="7" t="s">
        <v>6046</v>
      </c>
      <c r="Z1160" s="7" t="s">
        <v>689</v>
      </c>
      <c r="AA1160" s="61">
        <v>0.44</v>
      </c>
      <c r="AB1160" s="71">
        <v>42408</v>
      </c>
      <c r="AC1160" s="78" t="s">
        <v>14962</v>
      </c>
      <c r="AD1160" s="74" t="str">
        <f t="shared" si="880"/>
        <v>Link</v>
      </c>
      <c r="AE1160" s="54">
        <v>2253</v>
      </c>
      <c r="AF1160" s="55"/>
      <c r="AG1160" s="7"/>
      <c r="AH1160" s="56">
        <v>226231</v>
      </c>
      <c r="AI1160" s="56"/>
    </row>
    <row r="1161" spans="1:35" ht="15" x14ac:dyDescent="0.2">
      <c r="A1161" s="57"/>
      <c r="B1161" s="78" t="s">
        <v>2922</v>
      </c>
      <c r="C1161" s="7" t="s">
        <v>43</v>
      </c>
      <c r="D1161" s="44">
        <v>5</v>
      </c>
      <c r="E1161" s="7" t="s">
        <v>14987</v>
      </c>
      <c r="F1161" s="7"/>
      <c r="G1161" s="7"/>
      <c r="H1161" s="6" t="s">
        <v>14989</v>
      </c>
      <c r="I1161" s="7" t="s">
        <v>2157</v>
      </c>
      <c r="J1161" s="7" t="s">
        <v>14990</v>
      </c>
      <c r="K1161" s="7" t="s">
        <v>48</v>
      </c>
      <c r="L1161" s="7" t="s">
        <v>14991</v>
      </c>
      <c r="M1161" s="7" t="s">
        <v>14992</v>
      </c>
      <c r="N1161" s="45" t="str">
        <f t="shared" ref="N1161:N1164" si="881">HYPERLINK("twitter.com/crusoftball","@crusoftball")</f>
        <v>@crusoftball</v>
      </c>
      <c r="O1161" s="74" t="str">
        <f t="shared" ref="O1161:O1164" si="882">HYPERLINK("https://cruathletics.com/sports/2009/8/6/GEN_0806094310.aspx?id=25","Questionnaire")</f>
        <v>Questionnaire</v>
      </c>
      <c r="P1161" s="7" t="s">
        <v>14997</v>
      </c>
      <c r="Q1161" s="57" t="s">
        <v>280</v>
      </c>
      <c r="R1161" s="7" t="s">
        <v>14998</v>
      </c>
      <c r="S1161" s="48" t="s">
        <v>172</v>
      </c>
      <c r="T1161" s="49" t="s">
        <v>63</v>
      </c>
      <c r="U1161" s="7" t="s">
        <v>2619</v>
      </c>
      <c r="V1161" s="7"/>
      <c r="W1161" s="44">
        <v>3.51</v>
      </c>
      <c r="X1161" s="7" t="s">
        <v>356</v>
      </c>
      <c r="Y1161" s="7" t="s">
        <v>3013</v>
      </c>
      <c r="Z1161" s="7" t="s">
        <v>1650</v>
      </c>
      <c r="AA1161" s="61">
        <v>0.79</v>
      </c>
      <c r="AB1161" s="71">
        <v>38470</v>
      </c>
      <c r="AC1161" s="40" t="s">
        <v>14997</v>
      </c>
      <c r="AD1161" s="74" t="str">
        <f t="shared" ref="AD1161:AD1164" si="883">HYPERLINK("http://www.umhb.edu/programs","Link")</f>
        <v>Link</v>
      </c>
      <c r="AE1161" s="54">
        <v>3278</v>
      </c>
      <c r="AF1161" s="55"/>
      <c r="AG1161" s="7"/>
      <c r="AH1161" s="56">
        <v>226471</v>
      </c>
      <c r="AI1161" s="56"/>
    </row>
    <row r="1162" spans="1:35" ht="15" x14ac:dyDescent="0.2">
      <c r="A1162" s="57"/>
      <c r="B1162" s="78" t="s">
        <v>2922</v>
      </c>
      <c r="C1162" s="7" t="s">
        <v>43</v>
      </c>
      <c r="D1162" s="44">
        <v>5</v>
      </c>
      <c r="E1162" s="7" t="s">
        <v>15008</v>
      </c>
      <c r="F1162" s="7"/>
      <c r="G1162" s="7"/>
      <c r="H1162" s="6" t="s">
        <v>14989</v>
      </c>
      <c r="I1162" s="7" t="s">
        <v>1163</v>
      </c>
      <c r="J1162" s="7" t="s">
        <v>15010</v>
      </c>
      <c r="K1162" s="7" t="s">
        <v>55</v>
      </c>
      <c r="L1162" s="7" t="s">
        <v>15011</v>
      </c>
      <c r="M1162" s="7" t="s">
        <v>15012</v>
      </c>
      <c r="N1162" s="45" t="str">
        <f t="shared" si="881"/>
        <v>@crusoftball</v>
      </c>
      <c r="O1162" s="74" t="str">
        <f t="shared" si="882"/>
        <v>Questionnaire</v>
      </c>
      <c r="P1162" s="7" t="s">
        <v>14997</v>
      </c>
      <c r="Q1162" s="57" t="s">
        <v>280</v>
      </c>
      <c r="R1162" s="7" t="s">
        <v>14998</v>
      </c>
      <c r="S1162" s="48" t="s">
        <v>172</v>
      </c>
      <c r="T1162" s="49" t="s">
        <v>63</v>
      </c>
      <c r="U1162" s="7" t="s">
        <v>2619</v>
      </c>
      <c r="V1162" s="7"/>
      <c r="W1162" s="44">
        <v>3.51</v>
      </c>
      <c r="X1162" s="7" t="s">
        <v>356</v>
      </c>
      <c r="Y1162" s="7" t="s">
        <v>3013</v>
      </c>
      <c r="Z1162" s="7" t="s">
        <v>1650</v>
      </c>
      <c r="AA1162" s="61">
        <v>0.79</v>
      </c>
      <c r="AB1162" s="71">
        <v>38470</v>
      </c>
      <c r="AC1162" s="40" t="s">
        <v>14997</v>
      </c>
      <c r="AD1162" s="74" t="str">
        <f t="shared" si="883"/>
        <v>Link</v>
      </c>
      <c r="AE1162" s="54">
        <v>3278</v>
      </c>
      <c r="AF1162" s="55"/>
      <c r="AG1162" s="7"/>
      <c r="AH1162" s="56">
        <v>226471</v>
      </c>
      <c r="AI1162" s="56"/>
    </row>
    <row r="1163" spans="1:35" ht="15" x14ac:dyDescent="0.2">
      <c r="A1163" s="57"/>
      <c r="B1163" s="78" t="s">
        <v>2922</v>
      </c>
      <c r="C1163" s="7" t="s">
        <v>43</v>
      </c>
      <c r="D1163" s="44">
        <v>5</v>
      </c>
      <c r="E1163" s="7" t="s">
        <v>15018</v>
      </c>
      <c r="F1163" s="7"/>
      <c r="G1163" s="7" t="s">
        <v>126</v>
      </c>
      <c r="H1163" s="6" t="s">
        <v>14989</v>
      </c>
      <c r="I1163" s="7" t="s">
        <v>15021</v>
      </c>
      <c r="J1163" s="7"/>
      <c r="K1163" s="7"/>
      <c r="L1163" s="7"/>
      <c r="M1163" s="7"/>
      <c r="N1163" s="45" t="str">
        <f t="shared" si="881"/>
        <v>@crusoftball</v>
      </c>
      <c r="O1163" s="74" t="str">
        <f t="shared" si="882"/>
        <v>Questionnaire</v>
      </c>
      <c r="P1163" s="7" t="s">
        <v>14997</v>
      </c>
      <c r="Q1163" s="57" t="s">
        <v>280</v>
      </c>
      <c r="R1163" s="7" t="s">
        <v>14998</v>
      </c>
      <c r="S1163" s="48" t="s">
        <v>172</v>
      </c>
      <c r="T1163" s="49" t="s">
        <v>63</v>
      </c>
      <c r="U1163" s="7" t="s">
        <v>2619</v>
      </c>
      <c r="V1163" s="7"/>
      <c r="W1163" s="44">
        <v>3.51</v>
      </c>
      <c r="X1163" s="7" t="s">
        <v>356</v>
      </c>
      <c r="Y1163" s="7" t="s">
        <v>3013</v>
      </c>
      <c r="Z1163" s="7" t="s">
        <v>1650</v>
      </c>
      <c r="AA1163" s="61">
        <v>0.79</v>
      </c>
      <c r="AB1163" s="71">
        <v>38470</v>
      </c>
      <c r="AC1163" s="40" t="s">
        <v>14997</v>
      </c>
      <c r="AD1163" s="74" t="str">
        <f t="shared" si="883"/>
        <v>Link</v>
      </c>
      <c r="AE1163" s="54">
        <v>3278</v>
      </c>
      <c r="AF1163" s="55"/>
      <c r="AG1163" s="7"/>
      <c r="AH1163" s="56">
        <v>226471</v>
      </c>
      <c r="AI1163" s="56"/>
    </row>
    <row r="1164" spans="1:35" ht="15" x14ac:dyDescent="0.2">
      <c r="A1164" s="57"/>
      <c r="B1164" s="79" t="s">
        <v>2922</v>
      </c>
      <c r="C1164" s="57" t="s">
        <v>43</v>
      </c>
      <c r="D1164" s="58">
        <v>5</v>
      </c>
      <c r="E1164" s="7" t="s">
        <v>15027</v>
      </c>
      <c r="F1164" s="7" t="s">
        <v>116</v>
      </c>
      <c r="G1164" s="7"/>
      <c r="H1164" s="6" t="s">
        <v>14989</v>
      </c>
      <c r="I1164" s="7" t="s">
        <v>130</v>
      </c>
      <c r="J1164" s="7" t="s">
        <v>15028</v>
      </c>
      <c r="K1164" s="7" t="s">
        <v>139</v>
      </c>
      <c r="L1164" s="7"/>
      <c r="M1164" s="7"/>
      <c r="N1164" s="45" t="str">
        <f t="shared" si="881"/>
        <v>@crusoftball</v>
      </c>
      <c r="O1164" s="74" t="str">
        <f t="shared" si="882"/>
        <v>Questionnaire</v>
      </c>
      <c r="P1164" s="7" t="s">
        <v>14997</v>
      </c>
      <c r="Q1164" s="57" t="s">
        <v>280</v>
      </c>
      <c r="R1164" s="48" t="s">
        <v>14998</v>
      </c>
      <c r="S1164" s="48" t="s">
        <v>172</v>
      </c>
      <c r="T1164" s="49" t="s">
        <v>63</v>
      </c>
      <c r="U1164" s="49" t="s">
        <v>2619</v>
      </c>
      <c r="V1164" s="7"/>
      <c r="W1164" s="44">
        <v>3.51</v>
      </c>
      <c r="X1164" s="7" t="s">
        <v>356</v>
      </c>
      <c r="Y1164" s="7" t="s">
        <v>3013</v>
      </c>
      <c r="Z1164" s="49" t="s">
        <v>1650</v>
      </c>
      <c r="AA1164" s="61">
        <v>0.79</v>
      </c>
      <c r="AB1164" s="71">
        <v>38470</v>
      </c>
      <c r="AC1164" s="52" t="s">
        <v>14997</v>
      </c>
      <c r="AD1164" s="53" t="str">
        <f t="shared" si="883"/>
        <v>Link</v>
      </c>
      <c r="AE1164" s="54">
        <v>3278</v>
      </c>
      <c r="AF1164" s="55"/>
      <c r="AG1164" s="7"/>
      <c r="AH1164" s="56">
        <v>226471</v>
      </c>
      <c r="AI1164" s="56"/>
    </row>
    <row r="1165" spans="1:35" ht="13" x14ac:dyDescent="0.15">
      <c r="A1165" s="57"/>
      <c r="B1165" s="78" t="s">
        <v>2922</v>
      </c>
      <c r="C1165" s="7" t="s">
        <v>43</v>
      </c>
      <c r="D1165" s="44">
        <v>5</v>
      </c>
      <c r="E1165" s="7" t="s">
        <v>15032</v>
      </c>
      <c r="F1165" s="7"/>
      <c r="G1165" s="7"/>
      <c r="H1165" s="6" t="s">
        <v>15033</v>
      </c>
      <c r="I1165" s="7" t="s">
        <v>728</v>
      </c>
      <c r="J1165" s="7" t="s">
        <v>15034</v>
      </c>
      <c r="K1165" s="7" t="s">
        <v>48</v>
      </c>
      <c r="L1165" s="7" t="s">
        <v>15036</v>
      </c>
      <c r="M1165" s="7" t="s">
        <v>15038</v>
      </c>
      <c r="N1165" s="45" t="str">
        <f t="shared" ref="N1165:N1167" si="884">HYPERLINK("twitter.com/mcmurrytribe","@mcmurrytribe")</f>
        <v>@mcmurrytribe</v>
      </c>
      <c r="O1165" s="74" t="str">
        <f t="shared" ref="O1165:O1167" si="885">HYPERLINK("https://mcmurrysports.com/sb_output.aspx?form=3","Questionnaire")</f>
        <v>Questionnaire</v>
      </c>
      <c r="P1165" s="7" t="s">
        <v>15045</v>
      </c>
      <c r="Q1165" s="57" t="s">
        <v>280</v>
      </c>
      <c r="R1165" s="7" t="s">
        <v>12675</v>
      </c>
      <c r="S1165" s="48" t="s">
        <v>238</v>
      </c>
      <c r="T1165" s="49" t="s">
        <v>63</v>
      </c>
      <c r="U1165" s="7" t="s">
        <v>65</v>
      </c>
      <c r="V1165" s="7"/>
      <c r="W1165" s="44">
        <v>3.5</v>
      </c>
      <c r="X1165" s="7" t="s">
        <v>252</v>
      </c>
      <c r="Y1165" s="7" t="s">
        <v>253</v>
      </c>
      <c r="Z1165" s="7" t="s">
        <v>2307</v>
      </c>
      <c r="AA1165" s="61">
        <v>0.48</v>
      </c>
      <c r="AB1165" s="71">
        <v>39873</v>
      </c>
      <c r="AC1165" s="79" t="s">
        <v>15045</v>
      </c>
      <c r="AD1165" s="74" t="str">
        <f t="shared" ref="AD1165:AD1167" si="886">HYPERLINK("http://admissions.mcm.edu/majors/index.html","Link")</f>
        <v>Link</v>
      </c>
      <c r="AE1165" s="54">
        <v>1073</v>
      </c>
      <c r="AF1165" s="55"/>
      <c r="AG1165" s="7"/>
      <c r="AH1165" s="56">
        <v>226587</v>
      </c>
      <c r="AI1165" s="56"/>
    </row>
    <row r="1166" spans="1:35" ht="13" x14ac:dyDescent="0.15">
      <c r="A1166" s="57"/>
      <c r="B1166" s="78" t="s">
        <v>2922</v>
      </c>
      <c r="C1166" s="7" t="s">
        <v>43</v>
      </c>
      <c r="D1166" s="44">
        <v>5</v>
      </c>
      <c r="E1166" s="7" t="s">
        <v>15049</v>
      </c>
      <c r="F1166" s="7"/>
      <c r="G1166" s="7"/>
      <c r="H1166" s="6" t="s">
        <v>15033</v>
      </c>
      <c r="I1166" s="7" t="s">
        <v>1080</v>
      </c>
      <c r="J1166" s="7" t="s">
        <v>812</v>
      </c>
      <c r="K1166" s="7" t="s">
        <v>919</v>
      </c>
      <c r="L1166" s="7"/>
      <c r="M1166" s="7" t="s">
        <v>15038</v>
      </c>
      <c r="N1166" s="45" t="str">
        <f t="shared" si="884"/>
        <v>@mcmurrytribe</v>
      </c>
      <c r="O1166" s="74" t="str">
        <f t="shared" si="885"/>
        <v>Questionnaire</v>
      </c>
      <c r="P1166" s="7" t="s">
        <v>15045</v>
      </c>
      <c r="Q1166" s="57" t="s">
        <v>280</v>
      </c>
      <c r="R1166" s="7" t="s">
        <v>12675</v>
      </c>
      <c r="S1166" s="48" t="s">
        <v>238</v>
      </c>
      <c r="T1166" s="49" t="s">
        <v>63</v>
      </c>
      <c r="U1166" s="7" t="s">
        <v>65</v>
      </c>
      <c r="V1166" s="7"/>
      <c r="W1166" s="44">
        <v>3.5</v>
      </c>
      <c r="X1166" s="7" t="s">
        <v>252</v>
      </c>
      <c r="Y1166" s="7" t="s">
        <v>253</v>
      </c>
      <c r="Z1166" s="7" t="s">
        <v>2307</v>
      </c>
      <c r="AA1166" s="61">
        <v>0.48</v>
      </c>
      <c r="AB1166" s="71">
        <v>39873</v>
      </c>
      <c r="AC1166" s="79" t="s">
        <v>15045</v>
      </c>
      <c r="AD1166" s="74" t="str">
        <f t="shared" si="886"/>
        <v>Link</v>
      </c>
      <c r="AE1166" s="54">
        <v>1073</v>
      </c>
      <c r="AF1166" s="55"/>
      <c r="AG1166" s="7"/>
      <c r="AH1166" s="56">
        <v>226587</v>
      </c>
      <c r="AI1166" s="56"/>
    </row>
    <row r="1167" spans="1:35" ht="13" x14ac:dyDescent="0.15">
      <c r="A1167" s="57"/>
      <c r="B1167" s="78" t="s">
        <v>2922</v>
      </c>
      <c r="C1167" s="7" t="s">
        <v>43</v>
      </c>
      <c r="D1167" s="44">
        <v>5</v>
      </c>
      <c r="E1167" s="7" t="s">
        <v>15057</v>
      </c>
      <c r="F1167" s="7"/>
      <c r="G1167" s="7"/>
      <c r="H1167" s="6" t="s">
        <v>15033</v>
      </c>
      <c r="I1167" s="7" t="s">
        <v>2885</v>
      </c>
      <c r="J1167" s="7" t="s">
        <v>15058</v>
      </c>
      <c r="K1167" s="7" t="s">
        <v>55</v>
      </c>
      <c r="L1167" s="7" t="s">
        <v>15059</v>
      </c>
      <c r="M1167" s="7" t="s">
        <v>15060</v>
      </c>
      <c r="N1167" s="45" t="str">
        <f t="shared" si="884"/>
        <v>@mcmurrytribe</v>
      </c>
      <c r="O1167" s="74" t="str">
        <f t="shared" si="885"/>
        <v>Questionnaire</v>
      </c>
      <c r="P1167" s="7" t="s">
        <v>15045</v>
      </c>
      <c r="Q1167" s="57" t="s">
        <v>280</v>
      </c>
      <c r="R1167" s="7" t="s">
        <v>12675</v>
      </c>
      <c r="S1167" s="48" t="s">
        <v>238</v>
      </c>
      <c r="T1167" s="49" t="s">
        <v>63</v>
      </c>
      <c r="U1167" s="7" t="s">
        <v>65</v>
      </c>
      <c r="V1167" s="7"/>
      <c r="W1167" s="44">
        <v>3.5</v>
      </c>
      <c r="X1167" s="7" t="s">
        <v>252</v>
      </c>
      <c r="Y1167" s="7" t="s">
        <v>253</v>
      </c>
      <c r="Z1167" s="7" t="s">
        <v>2307</v>
      </c>
      <c r="AA1167" s="61">
        <v>0.48</v>
      </c>
      <c r="AB1167" s="71">
        <v>39873</v>
      </c>
      <c r="AC1167" s="79" t="s">
        <v>15045</v>
      </c>
      <c r="AD1167" s="74" t="str">
        <f t="shared" si="886"/>
        <v>Link</v>
      </c>
      <c r="AE1167" s="54">
        <v>1073</v>
      </c>
      <c r="AF1167" s="55"/>
      <c r="AG1167" s="7"/>
      <c r="AH1167" s="56">
        <v>226587</v>
      </c>
      <c r="AI1167" s="56"/>
    </row>
    <row r="1168" spans="1:35" ht="15" x14ac:dyDescent="0.2">
      <c r="A1168" s="57"/>
      <c r="B1168" s="78" t="s">
        <v>2922</v>
      </c>
      <c r="C1168" s="7" t="s">
        <v>43</v>
      </c>
      <c r="D1168" s="44">
        <v>5</v>
      </c>
      <c r="E1168" s="7" t="s">
        <v>15067</v>
      </c>
      <c r="F1168" s="7"/>
      <c r="G1168" s="7"/>
      <c r="H1168" s="6" t="s">
        <v>15068</v>
      </c>
      <c r="I1168" s="7" t="s">
        <v>3966</v>
      </c>
      <c r="J1168" s="7" t="s">
        <v>3179</v>
      </c>
      <c r="K1168" s="7" t="s">
        <v>48</v>
      </c>
      <c r="L1168" s="7" t="s">
        <v>15070</v>
      </c>
      <c r="M1168" s="7" t="s">
        <v>15071</v>
      </c>
      <c r="N1168" s="45" t="str">
        <f t="shared" ref="N1168:N1169" si="887">HYPERLINK("twitter.com/schreinersb","@schreinersb")</f>
        <v>@schreinersb</v>
      </c>
      <c r="O1168" s="74" t="str">
        <f t="shared" ref="O1168:O1169" si="888">HYPERLINK("https://schreiner.secure.force.com/form?formid=217794","Questionnaire")</f>
        <v>Questionnaire</v>
      </c>
      <c r="P1168" s="7" t="s">
        <v>15081</v>
      </c>
      <c r="Q1168" s="57" t="s">
        <v>280</v>
      </c>
      <c r="R1168" s="7" t="s">
        <v>15082</v>
      </c>
      <c r="S1168" s="48" t="s">
        <v>172</v>
      </c>
      <c r="T1168" s="49" t="s">
        <v>63</v>
      </c>
      <c r="U1168" s="7" t="s">
        <v>248</v>
      </c>
      <c r="V1168" s="7"/>
      <c r="W1168" s="44">
        <v>3.63</v>
      </c>
      <c r="X1168" s="7" t="s">
        <v>1145</v>
      </c>
      <c r="Y1168" s="7" t="s">
        <v>1578</v>
      </c>
      <c r="Z1168" s="7" t="s">
        <v>125</v>
      </c>
      <c r="AA1168" s="61">
        <v>0.91</v>
      </c>
      <c r="AB1168" s="71">
        <v>37231</v>
      </c>
      <c r="AC1168" s="40" t="s">
        <v>15081</v>
      </c>
      <c r="AD1168" s="74" t="str">
        <f t="shared" ref="AD1168:AD1169" si="889">HYPERLINK("https://www.schreiner.edu/academics/programs-and-majors.aspx","Link")</f>
        <v>Link</v>
      </c>
      <c r="AE1168" s="54">
        <v>1237</v>
      </c>
      <c r="AF1168" s="55"/>
      <c r="AG1168" s="7"/>
      <c r="AH1168" s="56">
        <v>228042</v>
      </c>
      <c r="AI1168" s="56"/>
    </row>
    <row r="1169" spans="1:35" ht="15" x14ac:dyDescent="0.2">
      <c r="A1169" s="57"/>
      <c r="B1169" s="78" t="s">
        <v>2922</v>
      </c>
      <c r="C1169" s="7" t="s">
        <v>43</v>
      </c>
      <c r="D1169" s="44">
        <v>5</v>
      </c>
      <c r="E1169" s="7" t="s">
        <v>15090</v>
      </c>
      <c r="F1169" s="7"/>
      <c r="G1169" s="7"/>
      <c r="H1169" s="6" t="s">
        <v>15068</v>
      </c>
      <c r="I1169" s="7" t="s">
        <v>306</v>
      </c>
      <c r="J1169" s="7" t="s">
        <v>15091</v>
      </c>
      <c r="K1169" s="7" t="s">
        <v>55</v>
      </c>
      <c r="L1169" s="7" t="s">
        <v>15092</v>
      </c>
      <c r="M1169" s="7" t="s">
        <v>15093</v>
      </c>
      <c r="N1169" s="45" t="str">
        <f t="shared" si="887"/>
        <v>@schreinersb</v>
      </c>
      <c r="O1169" s="74" t="str">
        <f t="shared" si="888"/>
        <v>Questionnaire</v>
      </c>
      <c r="P1169" s="7" t="s">
        <v>15081</v>
      </c>
      <c r="Q1169" s="57" t="s">
        <v>280</v>
      </c>
      <c r="R1169" s="7" t="s">
        <v>15082</v>
      </c>
      <c r="S1169" s="48" t="s">
        <v>172</v>
      </c>
      <c r="T1169" s="49" t="s">
        <v>63</v>
      </c>
      <c r="U1169" s="7" t="s">
        <v>248</v>
      </c>
      <c r="V1169" s="7"/>
      <c r="W1169" s="44">
        <v>3.63</v>
      </c>
      <c r="X1169" s="7" t="s">
        <v>1145</v>
      </c>
      <c r="Y1169" s="7" t="s">
        <v>1578</v>
      </c>
      <c r="Z1169" s="7" t="s">
        <v>125</v>
      </c>
      <c r="AA1169" s="61">
        <v>0.91</v>
      </c>
      <c r="AB1169" s="71">
        <v>37231</v>
      </c>
      <c r="AC1169" s="40" t="s">
        <v>15081</v>
      </c>
      <c r="AD1169" s="74" t="str">
        <f t="shared" si="889"/>
        <v>Link</v>
      </c>
      <c r="AE1169" s="54">
        <v>1237</v>
      </c>
      <c r="AF1169" s="55"/>
      <c r="AG1169" s="7"/>
      <c r="AH1169" s="56">
        <v>228042</v>
      </c>
      <c r="AI1169" s="56"/>
    </row>
    <row r="1170" spans="1:35" ht="13" x14ac:dyDescent="0.15">
      <c r="A1170" s="57"/>
      <c r="B1170" s="78" t="s">
        <v>2922</v>
      </c>
      <c r="C1170" s="7" t="s">
        <v>43</v>
      </c>
      <c r="D1170" s="44">
        <v>5</v>
      </c>
      <c r="E1170" s="7" t="s">
        <v>15097</v>
      </c>
      <c r="F1170" s="7" t="s">
        <v>116</v>
      </c>
      <c r="G1170" s="7"/>
      <c r="H1170" s="6" t="s">
        <v>15098</v>
      </c>
      <c r="I1170" s="7" t="s">
        <v>15099</v>
      </c>
      <c r="J1170" s="7" t="s">
        <v>15100</v>
      </c>
      <c r="K1170" s="7" t="s">
        <v>48</v>
      </c>
      <c r="L1170" s="7" t="s">
        <v>15102</v>
      </c>
      <c r="M1170" s="7" t="s">
        <v>15103</v>
      </c>
      <c r="N1170" s="74" t="str">
        <f t="shared" ref="N1170:N1172" si="890">HYPERLINK("twitter.com/supiratessb","@supiratessb")</f>
        <v>@supiratessb</v>
      </c>
      <c r="O1170" s="74" t="str">
        <f t="shared" ref="O1170:O1172" si="891">HYPERLINK("https://www.southwesternpirates.com/recruitme?utm_source=web&amp;utm_medium=ORG&amp;utm_content=dropdown&amp;utm_campaign=PSAclickDROP","Questionnaire")</f>
        <v>Questionnaire</v>
      </c>
      <c r="P1170" s="7" t="s">
        <v>15109</v>
      </c>
      <c r="Q1170" s="57" t="s">
        <v>280</v>
      </c>
      <c r="R1170" s="7" t="s">
        <v>15110</v>
      </c>
      <c r="S1170" s="48" t="s">
        <v>186</v>
      </c>
      <c r="T1170" s="73" t="s">
        <v>63</v>
      </c>
      <c r="U1170" s="7" t="s">
        <v>65</v>
      </c>
      <c r="V1170" s="7"/>
      <c r="W1170" s="44">
        <v>3.54</v>
      </c>
      <c r="X1170" s="7" t="s">
        <v>3119</v>
      </c>
      <c r="Y1170" s="7" t="s">
        <v>1229</v>
      </c>
      <c r="Z1170" s="7" t="s">
        <v>78</v>
      </c>
      <c r="AA1170" s="61">
        <v>0.45</v>
      </c>
      <c r="AB1170" s="71">
        <v>52650</v>
      </c>
      <c r="AC1170" s="79" t="s">
        <v>15109</v>
      </c>
      <c r="AD1170" s="74" t="str">
        <f t="shared" ref="AD1170:AD1173" si="892">HYPERLINK("https://www.southwestern.edu/academics/majors-minors/","Link")</f>
        <v>Link</v>
      </c>
      <c r="AE1170" s="54">
        <v>1489</v>
      </c>
      <c r="AF1170" s="55"/>
      <c r="AG1170" s="44">
        <v>96</v>
      </c>
      <c r="AH1170" s="56">
        <v>228343</v>
      </c>
      <c r="AI1170" s="56"/>
    </row>
    <row r="1171" spans="1:35" ht="13" x14ac:dyDescent="0.15">
      <c r="A1171" s="57"/>
      <c r="B1171" s="78" t="s">
        <v>2922</v>
      </c>
      <c r="C1171" s="7" t="s">
        <v>43</v>
      </c>
      <c r="D1171" s="44">
        <v>5</v>
      </c>
      <c r="E1171" s="7" t="s">
        <v>15114</v>
      </c>
      <c r="F1171" s="7"/>
      <c r="G1171" s="7"/>
      <c r="H1171" s="6" t="s">
        <v>15098</v>
      </c>
      <c r="I1171" s="7" t="s">
        <v>6745</v>
      </c>
      <c r="J1171" s="7" t="s">
        <v>15115</v>
      </c>
      <c r="K1171" s="7" t="s">
        <v>55</v>
      </c>
      <c r="L1171" s="7" t="s">
        <v>15116</v>
      </c>
      <c r="M1171" s="7" t="s">
        <v>15117</v>
      </c>
      <c r="N1171" s="74" t="str">
        <f t="shared" si="890"/>
        <v>@supiratessb</v>
      </c>
      <c r="O1171" s="74" t="str">
        <f t="shared" si="891"/>
        <v>Questionnaire</v>
      </c>
      <c r="P1171" s="7" t="s">
        <v>15109</v>
      </c>
      <c r="Q1171" s="57" t="s">
        <v>280</v>
      </c>
      <c r="R1171" s="7" t="s">
        <v>15110</v>
      </c>
      <c r="S1171" s="48" t="s">
        <v>186</v>
      </c>
      <c r="T1171" s="73" t="s">
        <v>63</v>
      </c>
      <c r="U1171" s="7" t="s">
        <v>65</v>
      </c>
      <c r="V1171" s="7"/>
      <c r="W1171" s="44">
        <v>3.54</v>
      </c>
      <c r="X1171" s="7" t="s">
        <v>3119</v>
      </c>
      <c r="Y1171" s="7" t="s">
        <v>1229</v>
      </c>
      <c r="Z1171" s="7" t="s">
        <v>78</v>
      </c>
      <c r="AA1171" s="61">
        <v>0.45</v>
      </c>
      <c r="AB1171" s="71">
        <v>52650</v>
      </c>
      <c r="AC1171" s="79" t="s">
        <v>15109</v>
      </c>
      <c r="AD1171" s="74" t="str">
        <f t="shared" si="892"/>
        <v>Link</v>
      </c>
      <c r="AE1171" s="54">
        <v>1489</v>
      </c>
      <c r="AF1171" s="55"/>
      <c r="AG1171" s="44">
        <v>96</v>
      </c>
      <c r="AH1171" s="56">
        <v>228343</v>
      </c>
      <c r="AI1171" s="56"/>
    </row>
    <row r="1172" spans="1:35" ht="13" x14ac:dyDescent="0.15">
      <c r="A1172" s="57"/>
      <c r="B1172" s="78" t="s">
        <v>2922</v>
      </c>
      <c r="C1172" s="7" t="s">
        <v>43</v>
      </c>
      <c r="D1172" s="44">
        <v>5</v>
      </c>
      <c r="E1172" s="7" t="s">
        <v>15124</v>
      </c>
      <c r="F1172" s="7"/>
      <c r="G1172" s="7"/>
      <c r="H1172" s="6" t="s">
        <v>15098</v>
      </c>
      <c r="I1172" s="7" t="s">
        <v>5606</v>
      </c>
      <c r="J1172" s="7" t="s">
        <v>15125</v>
      </c>
      <c r="K1172" s="7" t="s">
        <v>139</v>
      </c>
      <c r="L1172" s="7"/>
      <c r="M1172" s="7"/>
      <c r="N1172" s="74" t="str">
        <f t="shared" si="890"/>
        <v>@supiratessb</v>
      </c>
      <c r="O1172" s="74" t="str">
        <f t="shared" si="891"/>
        <v>Questionnaire</v>
      </c>
      <c r="P1172" s="7" t="s">
        <v>15109</v>
      </c>
      <c r="Q1172" s="57" t="s">
        <v>280</v>
      </c>
      <c r="R1172" s="7" t="s">
        <v>15110</v>
      </c>
      <c r="S1172" s="48" t="s">
        <v>186</v>
      </c>
      <c r="T1172" s="73" t="s">
        <v>63</v>
      </c>
      <c r="U1172" s="7" t="s">
        <v>65</v>
      </c>
      <c r="V1172" s="7"/>
      <c r="W1172" s="44">
        <v>3.54</v>
      </c>
      <c r="X1172" s="7" t="s">
        <v>3119</v>
      </c>
      <c r="Y1172" s="7" t="s">
        <v>1229</v>
      </c>
      <c r="Z1172" s="7" t="s">
        <v>78</v>
      </c>
      <c r="AA1172" s="61">
        <v>0.45</v>
      </c>
      <c r="AB1172" s="71">
        <v>52650</v>
      </c>
      <c r="AC1172" s="79" t="s">
        <v>15109</v>
      </c>
      <c r="AD1172" s="74" t="str">
        <f t="shared" si="892"/>
        <v>Link</v>
      </c>
      <c r="AE1172" s="54">
        <v>1489</v>
      </c>
      <c r="AF1172" s="55"/>
      <c r="AG1172" s="44">
        <v>96</v>
      </c>
      <c r="AH1172" s="56">
        <v>228343</v>
      </c>
      <c r="AI1172" s="56"/>
    </row>
    <row r="1173" spans="1:35" ht="13" x14ac:dyDescent="0.15">
      <c r="A1173" s="57"/>
      <c r="B1173" s="78" t="s">
        <v>2922</v>
      </c>
      <c r="C1173" s="7" t="s">
        <v>43</v>
      </c>
      <c r="D1173" s="44">
        <v>5</v>
      </c>
      <c r="E1173" s="7" t="s">
        <v>15134</v>
      </c>
      <c r="F1173" s="7"/>
      <c r="G1173" s="7"/>
      <c r="H1173" s="6" t="s">
        <v>15098</v>
      </c>
      <c r="I1173" s="7" t="s">
        <v>15135</v>
      </c>
      <c r="J1173" s="7" t="s">
        <v>15137</v>
      </c>
      <c r="K1173" s="7" t="s">
        <v>139</v>
      </c>
      <c r="L1173" s="7"/>
      <c r="M1173" s="7"/>
      <c r="N1173" s="7"/>
      <c r="O1173" s="7"/>
      <c r="P1173" s="7" t="s">
        <v>15109</v>
      </c>
      <c r="Q1173" s="57" t="s">
        <v>280</v>
      </c>
      <c r="R1173" s="48" t="s">
        <v>15110</v>
      </c>
      <c r="S1173" s="48" t="s">
        <v>186</v>
      </c>
      <c r="T1173" s="73" t="s">
        <v>63</v>
      </c>
      <c r="U1173" s="49" t="s">
        <v>65</v>
      </c>
      <c r="V1173" s="7"/>
      <c r="W1173" s="44">
        <v>3.54</v>
      </c>
      <c r="X1173" s="7" t="s">
        <v>3119</v>
      </c>
      <c r="Y1173" s="7" t="s">
        <v>1229</v>
      </c>
      <c r="Z1173" s="49" t="s">
        <v>78</v>
      </c>
      <c r="AA1173" s="61">
        <v>0.45</v>
      </c>
      <c r="AB1173" s="71">
        <v>52650</v>
      </c>
      <c r="AC1173" s="92" t="s">
        <v>15109</v>
      </c>
      <c r="AD1173" s="53" t="str">
        <f t="shared" si="892"/>
        <v>Link</v>
      </c>
      <c r="AE1173" s="54">
        <v>1489</v>
      </c>
      <c r="AF1173" s="55"/>
      <c r="AG1173" s="44">
        <v>96</v>
      </c>
      <c r="AH1173" s="56">
        <v>228343</v>
      </c>
      <c r="AI1173" s="56"/>
    </row>
    <row r="1174" spans="1:35" ht="15" x14ac:dyDescent="0.2">
      <c r="A1174" s="57"/>
      <c r="B1174" s="78" t="s">
        <v>2922</v>
      </c>
      <c r="C1174" s="7" t="s">
        <v>43</v>
      </c>
      <c r="D1174" s="44">
        <v>5</v>
      </c>
      <c r="E1174" s="7" t="s">
        <v>15141</v>
      </c>
      <c r="F1174" s="7"/>
      <c r="G1174" s="7"/>
      <c r="H1174" s="6" t="s">
        <v>15142</v>
      </c>
      <c r="I1174" s="7" t="s">
        <v>855</v>
      </c>
      <c r="J1174" s="7" t="s">
        <v>15144</v>
      </c>
      <c r="K1174" s="7" t="s">
        <v>48</v>
      </c>
      <c r="L1174" s="7" t="s">
        <v>15145</v>
      </c>
      <c r="M1174" s="7" t="s">
        <v>15146</v>
      </c>
      <c r="N1174" s="74" t="str">
        <f t="shared" ref="N1174:N1175" si="893">HYPERLINK("twitter.com/SRSU_Softball","@SRSU_Softball")</f>
        <v>@SRSU_Softball</v>
      </c>
      <c r="O1174" s="74" t="str">
        <f t="shared" ref="O1174:O1175" si="894">HYPERLINK("https://srlobos.com/sb_output.aspx?form=3&amp;&amp;tab=3","Questionnaire")</f>
        <v>Questionnaire</v>
      </c>
      <c r="P1174" s="7" t="s">
        <v>15149</v>
      </c>
      <c r="Q1174" s="57" t="s">
        <v>280</v>
      </c>
      <c r="R1174" s="7" t="s">
        <v>15150</v>
      </c>
      <c r="S1174" s="60" t="s">
        <v>205</v>
      </c>
      <c r="T1174" s="49" t="s">
        <v>74</v>
      </c>
      <c r="U1174" s="7" t="s">
        <v>75</v>
      </c>
      <c r="V1174" s="7"/>
      <c r="W1174" s="44">
        <v>3.17</v>
      </c>
      <c r="X1174" s="7" t="s">
        <v>15152</v>
      </c>
      <c r="Y1174" s="7" t="s">
        <v>8237</v>
      </c>
      <c r="Z1174" s="7" t="s">
        <v>1400</v>
      </c>
      <c r="AA1174" s="61">
        <v>0.92</v>
      </c>
      <c r="AB1174" s="48" t="s">
        <v>15154</v>
      </c>
      <c r="AC1174" s="40" t="s">
        <v>15149</v>
      </c>
      <c r="AD1174" s="74" t="str">
        <f t="shared" ref="AD1174:AD1175" si="895">HYPERLINK("http://www.sulross.edu/section/93/colleges","Link")</f>
        <v>Link</v>
      </c>
      <c r="AE1174" s="54">
        <v>2256</v>
      </c>
      <c r="AF1174" s="55"/>
      <c r="AG1174" s="7"/>
      <c r="AH1174" s="56">
        <v>228501</v>
      </c>
      <c r="AI1174" s="56"/>
    </row>
    <row r="1175" spans="1:35" ht="15" x14ac:dyDescent="0.2">
      <c r="A1175" s="57"/>
      <c r="B1175" s="78" t="s">
        <v>2922</v>
      </c>
      <c r="C1175" s="7" t="s">
        <v>43</v>
      </c>
      <c r="D1175" s="44">
        <v>5</v>
      </c>
      <c r="E1175" s="7" t="s">
        <v>15158</v>
      </c>
      <c r="F1175" s="7"/>
      <c r="G1175" s="7"/>
      <c r="H1175" s="6" t="s">
        <v>15142</v>
      </c>
      <c r="I1175" s="7" t="s">
        <v>270</v>
      </c>
      <c r="J1175" s="7" t="s">
        <v>15160</v>
      </c>
      <c r="K1175" s="7" t="s">
        <v>55</v>
      </c>
      <c r="L1175" s="7" t="s">
        <v>15161</v>
      </c>
      <c r="M1175" s="7" t="s">
        <v>15146</v>
      </c>
      <c r="N1175" s="74" t="str">
        <f t="shared" si="893"/>
        <v>@SRSU_Softball</v>
      </c>
      <c r="O1175" s="74" t="str">
        <f t="shared" si="894"/>
        <v>Questionnaire</v>
      </c>
      <c r="P1175" s="7" t="s">
        <v>15149</v>
      </c>
      <c r="Q1175" s="57" t="s">
        <v>280</v>
      </c>
      <c r="R1175" s="7" t="s">
        <v>15150</v>
      </c>
      <c r="S1175" s="60" t="s">
        <v>205</v>
      </c>
      <c r="T1175" s="49" t="s">
        <v>74</v>
      </c>
      <c r="U1175" s="7" t="s">
        <v>75</v>
      </c>
      <c r="V1175" s="7"/>
      <c r="W1175" s="44">
        <v>3.17</v>
      </c>
      <c r="X1175" s="7" t="s">
        <v>15152</v>
      </c>
      <c r="Y1175" s="7" t="s">
        <v>8237</v>
      </c>
      <c r="Z1175" s="7" t="s">
        <v>1400</v>
      </c>
      <c r="AA1175" s="61">
        <v>0.92</v>
      </c>
      <c r="AB1175" s="48" t="s">
        <v>15154</v>
      </c>
      <c r="AC1175" s="40" t="s">
        <v>15149</v>
      </c>
      <c r="AD1175" s="74" t="str">
        <f t="shared" si="895"/>
        <v>Link</v>
      </c>
      <c r="AE1175" s="54">
        <v>2256</v>
      </c>
      <c r="AF1175" s="55"/>
      <c r="AG1175" s="7"/>
      <c r="AH1175" s="56">
        <v>228501</v>
      </c>
      <c r="AI1175" s="56"/>
    </row>
    <row r="1176" spans="1:35" ht="13" x14ac:dyDescent="0.15">
      <c r="A1176" s="57"/>
      <c r="B1176" s="78" t="s">
        <v>2922</v>
      </c>
      <c r="C1176" s="7" t="s">
        <v>43</v>
      </c>
      <c r="D1176" s="44">
        <v>5</v>
      </c>
      <c r="E1176" s="7" t="s">
        <v>15165</v>
      </c>
      <c r="F1176" s="7"/>
      <c r="G1176" s="7"/>
      <c r="H1176" s="6" t="s">
        <v>15166</v>
      </c>
      <c r="I1176" s="7" t="s">
        <v>5594</v>
      </c>
      <c r="J1176" s="7" t="s">
        <v>805</v>
      </c>
      <c r="K1176" s="7" t="s">
        <v>48</v>
      </c>
      <c r="L1176" s="7" t="s">
        <v>15167</v>
      </c>
      <c r="M1176" s="7" t="s">
        <v>15169</v>
      </c>
      <c r="N1176" s="45" t="str">
        <f>HYPERLINK("twitter.com/tlusoftball","@tlusoftball")</f>
        <v>@tlusoftball</v>
      </c>
      <c r="O1176" s="74" t="str">
        <f t="shared" ref="O1176:O1180" si="896">HYPERLINK("https://tlubulldogs.com/sb_output.aspx?form=3","Questionnaire")</f>
        <v>Questionnaire</v>
      </c>
      <c r="P1176" s="7" t="s">
        <v>15176</v>
      </c>
      <c r="Q1176" s="57" t="s">
        <v>280</v>
      </c>
      <c r="R1176" s="7" t="s">
        <v>15177</v>
      </c>
      <c r="S1176" s="48" t="s">
        <v>468</v>
      </c>
      <c r="T1176" s="49" t="s">
        <v>63</v>
      </c>
      <c r="U1176" s="7" t="s">
        <v>9398</v>
      </c>
      <c r="V1176" s="7"/>
      <c r="W1176" s="44">
        <v>3.32</v>
      </c>
      <c r="X1176" s="7" t="s">
        <v>253</v>
      </c>
      <c r="Y1176" s="7" t="s">
        <v>3338</v>
      </c>
      <c r="Z1176" s="7" t="s">
        <v>449</v>
      </c>
      <c r="AA1176" s="61">
        <v>0.43</v>
      </c>
      <c r="AB1176" s="71">
        <v>41380</v>
      </c>
      <c r="AC1176" s="78" t="s">
        <v>15176</v>
      </c>
      <c r="AD1176" s="74" t="str">
        <f t="shared" ref="AD1176:AD1180" si="897">HYPERLINK("http://www.tlu.edu/academics/programs/major/","Link")</f>
        <v>Link</v>
      </c>
      <c r="AE1176" s="54">
        <v>1279</v>
      </c>
      <c r="AF1176" s="55"/>
      <c r="AG1176" s="7"/>
      <c r="AH1176" s="56">
        <v>228981</v>
      </c>
      <c r="AI1176" s="56"/>
    </row>
    <row r="1177" spans="1:35" ht="13" x14ac:dyDescent="0.15">
      <c r="A1177" s="57"/>
      <c r="B1177" s="78" t="s">
        <v>2922</v>
      </c>
      <c r="C1177" s="7" t="s">
        <v>43</v>
      </c>
      <c r="D1177" s="44">
        <v>5</v>
      </c>
      <c r="E1177" s="7" t="s">
        <v>15180</v>
      </c>
      <c r="F1177" s="7"/>
      <c r="G1177" s="7"/>
      <c r="H1177" s="6" t="s">
        <v>15166</v>
      </c>
      <c r="I1177" s="7" t="s">
        <v>635</v>
      </c>
      <c r="J1177" s="7" t="s">
        <v>15181</v>
      </c>
      <c r="K1177" s="7" t="s">
        <v>55</v>
      </c>
      <c r="L1177" s="7" t="s">
        <v>15182</v>
      </c>
      <c r="M1177" s="7" t="s">
        <v>15183</v>
      </c>
      <c r="N1177" s="48"/>
      <c r="O1177" s="74" t="str">
        <f t="shared" si="896"/>
        <v>Questionnaire</v>
      </c>
      <c r="P1177" s="7" t="s">
        <v>15176</v>
      </c>
      <c r="Q1177" s="57" t="s">
        <v>280</v>
      </c>
      <c r="R1177" s="7" t="s">
        <v>15177</v>
      </c>
      <c r="S1177" s="48" t="s">
        <v>468</v>
      </c>
      <c r="T1177" s="49" t="s">
        <v>63</v>
      </c>
      <c r="U1177" s="7" t="s">
        <v>9398</v>
      </c>
      <c r="V1177" s="7"/>
      <c r="W1177" s="44">
        <v>3.32</v>
      </c>
      <c r="X1177" s="7" t="s">
        <v>253</v>
      </c>
      <c r="Y1177" s="7" t="s">
        <v>3338</v>
      </c>
      <c r="Z1177" s="7" t="s">
        <v>449</v>
      </c>
      <c r="AA1177" s="61">
        <v>0.43</v>
      </c>
      <c r="AB1177" s="71">
        <v>41380</v>
      </c>
      <c r="AC1177" s="78" t="s">
        <v>15176</v>
      </c>
      <c r="AD1177" s="74" t="str">
        <f t="shared" si="897"/>
        <v>Link</v>
      </c>
      <c r="AE1177" s="54">
        <v>1279</v>
      </c>
      <c r="AF1177" s="55"/>
      <c r="AG1177" s="7"/>
      <c r="AH1177" s="56">
        <v>228981</v>
      </c>
      <c r="AI1177" s="56"/>
    </row>
    <row r="1178" spans="1:35" ht="13" x14ac:dyDescent="0.15">
      <c r="A1178" s="57"/>
      <c r="B1178" s="78" t="s">
        <v>2922</v>
      </c>
      <c r="C1178" s="7" t="s">
        <v>43</v>
      </c>
      <c r="D1178" s="44">
        <v>5</v>
      </c>
      <c r="E1178" s="7" t="s">
        <v>15186</v>
      </c>
      <c r="F1178" s="7"/>
      <c r="G1178" s="7"/>
      <c r="H1178" s="6" t="s">
        <v>15166</v>
      </c>
      <c r="I1178" s="7" t="s">
        <v>767</v>
      </c>
      <c r="J1178" s="7" t="s">
        <v>15187</v>
      </c>
      <c r="K1178" s="7" t="s">
        <v>55</v>
      </c>
      <c r="L1178" s="7"/>
      <c r="M1178" s="7" t="s">
        <v>15169</v>
      </c>
      <c r="N1178" s="48"/>
      <c r="O1178" s="74" t="str">
        <f t="shared" si="896"/>
        <v>Questionnaire</v>
      </c>
      <c r="P1178" s="7" t="s">
        <v>15176</v>
      </c>
      <c r="Q1178" s="57" t="s">
        <v>280</v>
      </c>
      <c r="R1178" s="7" t="s">
        <v>15177</v>
      </c>
      <c r="S1178" s="48" t="s">
        <v>468</v>
      </c>
      <c r="T1178" s="49" t="s">
        <v>63</v>
      </c>
      <c r="U1178" s="7" t="s">
        <v>9398</v>
      </c>
      <c r="V1178" s="7"/>
      <c r="W1178" s="44">
        <v>3.32</v>
      </c>
      <c r="X1178" s="7" t="s">
        <v>253</v>
      </c>
      <c r="Y1178" s="7" t="s">
        <v>3338</v>
      </c>
      <c r="Z1178" s="7" t="s">
        <v>449</v>
      </c>
      <c r="AA1178" s="61">
        <v>0.43</v>
      </c>
      <c r="AB1178" s="71">
        <v>41380</v>
      </c>
      <c r="AC1178" s="78" t="s">
        <v>15176</v>
      </c>
      <c r="AD1178" s="74" t="str">
        <f t="shared" si="897"/>
        <v>Link</v>
      </c>
      <c r="AE1178" s="54">
        <v>1279</v>
      </c>
      <c r="AF1178" s="55"/>
      <c r="AG1178" s="7"/>
      <c r="AH1178" s="56">
        <v>228981</v>
      </c>
      <c r="AI1178" s="56"/>
    </row>
    <row r="1179" spans="1:35" ht="13" x14ac:dyDescent="0.15">
      <c r="A1179" s="57"/>
      <c r="B1179" s="79" t="s">
        <v>2922</v>
      </c>
      <c r="C1179" s="57" t="s">
        <v>43</v>
      </c>
      <c r="D1179" s="58">
        <v>5</v>
      </c>
      <c r="E1179" s="7" t="s">
        <v>15189</v>
      </c>
      <c r="F1179" s="7" t="s">
        <v>116</v>
      </c>
      <c r="G1179" s="7"/>
      <c r="H1179" s="6" t="s">
        <v>15166</v>
      </c>
      <c r="I1179" s="7" t="s">
        <v>2816</v>
      </c>
      <c r="J1179" s="7" t="s">
        <v>15190</v>
      </c>
      <c r="K1179" s="7" t="s">
        <v>919</v>
      </c>
      <c r="L1179" s="7"/>
      <c r="M1179" s="7" t="s">
        <v>15169</v>
      </c>
      <c r="N1179" s="45" t="str">
        <f>HYPERLINK("twitter.com/tlusoftball","@tlusoftball")</f>
        <v>@tlusoftball</v>
      </c>
      <c r="O1179" s="74" t="str">
        <f t="shared" si="896"/>
        <v>Questionnaire</v>
      </c>
      <c r="P1179" s="7" t="s">
        <v>15176</v>
      </c>
      <c r="Q1179" s="57" t="s">
        <v>280</v>
      </c>
      <c r="R1179" s="48" t="s">
        <v>15177</v>
      </c>
      <c r="S1179" s="48" t="s">
        <v>468</v>
      </c>
      <c r="T1179" s="49" t="s">
        <v>63</v>
      </c>
      <c r="U1179" s="49" t="s">
        <v>9398</v>
      </c>
      <c r="V1179" s="7"/>
      <c r="W1179" s="44">
        <v>3.32</v>
      </c>
      <c r="X1179" s="7" t="s">
        <v>253</v>
      </c>
      <c r="Y1179" s="7" t="s">
        <v>3338</v>
      </c>
      <c r="Z1179" s="49" t="s">
        <v>449</v>
      </c>
      <c r="AA1179" s="61">
        <v>0.43</v>
      </c>
      <c r="AB1179" s="71">
        <v>41380</v>
      </c>
      <c r="AC1179" s="62" t="s">
        <v>15176</v>
      </c>
      <c r="AD1179" s="53" t="str">
        <f t="shared" si="897"/>
        <v>Link</v>
      </c>
      <c r="AE1179" s="54">
        <v>1279</v>
      </c>
      <c r="AF1179" s="55"/>
      <c r="AG1179" s="7"/>
      <c r="AH1179" s="56">
        <v>228981</v>
      </c>
      <c r="AI1179" s="56"/>
    </row>
    <row r="1180" spans="1:35" ht="13" x14ac:dyDescent="0.15">
      <c r="A1180" s="57"/>
      <c r="B1180" s="79" t="s">
        <v>2922</v>
      </c>
      <c r="C1180" s="57" t="s">
        <v>43</v>
      </c>
      <c r="D1180" s="58">
        <v>5</v>
      </c>
      <c r="E1180" s="7" t="s">
        <v>15194</v>
      </c>
      <c r="F1180" s="7" t="s">
        <v>116</v>
      </c>
      <c r="G1180" s="7"/>
      <c r="H1180" s="6" t="s">
        <v>15166</v>
      </c>
      <c r="I1180" s="7" t="s">
        <v>3983</v>
      </c>
      <c r="J1180" s="7" t="s">
        <v>15195</v>
      </c>
      <c r="K1180" s="7" t="s">
        <v>120</v>
      </c>
      <c r="L1180" s="7"/>
      <c r="M1180" s="7" t="s">
        <v>15169</v>
      </c>
      <c r="N1180" s="48"/>
      <c r="O1180" s="74" t="str">
        <f t="shared" si="896"/>
        <v>Questionnaire</v>
      </c>
      <c r="P1180" s="7" t="s">
        <v>15176</v>
      </c>
      <c r="Q1180" s="57" t="s">
        <v>280</v>
      </c>
      <c r="R1180" s="48" t="s">
        <v>15177</v>
      </c>
      <c r="S1180" s="48" t="s">
        <v>468</v>
      </c>
      <c r="T1180" s="49" t="s">
        <v>63</v>
      </c>
      <c r="U1180" s="49" t="s">
        <v>9398</v>
      </c>
      <c r="V1180" s="7"/>
      <c r="W1180" s="44">
        <v>3.32</v>
      </c>
      <c r="X1180" s="7" t="s">
        <v>253</v>
      </c>
      <c r="Y1180" s="7" t="s">
        <v>3338</v>
      </c>
      <c r="Z1180" s="49" t="s">
        <v>449</v>
      </c>
      <c r="AA1180" s="61">
        <v>0.43</v>
      </c>
      <c r="AB1180" s="71">
        <v>41380</v>
      </c>
      <c r="AC1180" s="62" t="s">
        <v>15176</v>
      </c>
      <c r="AD1180" s="53" t="str">
        <f t="shared" si="897"/>
        <v>Link</v>
      </c>
      <c r="AE1180" s="54">
        <v>1279</v>
      </c>
      <c r="AF1180" s="55"/>
      <c r="AG1180" s="7"/>
      <c r="AH1180" s="56">
        <v>228981</v>
      </c>
      <c r="AI1180" s="56"/>
    </row>
    <row r="1181" spans="1:35" ht="13" x14ac:dyDescent="0.15">
      <c r="A1181" s="57"/>
      <c r="B1181" s="78" t="s">
        <v>2922</v>
      </c>
      <c r="C1181" s="7" t="s">
        <v>43</v>
      </c>
      <c r="D1181" s="44">
        <v>5</v>
      </c>
      <c r="E1181" s="7" t="s">
        <v>15198</v>
      </c>
      <c r="F1181" s="7"/>
      <c r="G1181" s="7"/>
      <c r="H1181" s="6" t="s">
        <v>15199</v>
      </c>
      <c r="I1181" s="7" t="s">
        <v>2816</v>
      </c>
      <c r="J1181" s="7" t="s">
        <v>15200</v>
      </c>
      <c r="K1181" s="7" t="s">
        <v>48</v>
      </c>
      <c r="L1181" s="7" t="s">
        <v>15203</v>
      </c>
      <c r="M1181" s="7" t="s">
        <v>15204</v>
      </c>
      <c r="N1181" s="45" t="str">
        <f t="shared" ref="N1181:N1183" si="898">HYPERLINK("twitter.com/utd_softball","@utd_softball")</f>
        <v>@utd_softball</v>
      </c>
      <c r="O1181" s="74" t="str">
        <f t="shared" ref="O1181:O1183" si="899">HYPERLINK("https://utdcomets.com/sb_output.aspx?form=3","Questionnaire")</f>
        <v>Questionnaire</v>
      </c>
      <c r="P1181" s="7" t="s">
        <v>15207</v>
      </c>
      <c r="Q1181" s="57" t="s">
        <v>280</v>
      </c>
      <c r="R1181" s="7" t="s">
        <v>13491</v>
      </c>
      <c r="S1181" s="48" t="s">
        <v>288</v>
      </c>
      <c r="T1181" s="49" t="s">
        <v>74</v>
      </c>
      <c r="U1181" s="7" t="s">
        <v>75</v>
      </c>
      <c r="V1181" s="7"/>
      <c r="W1181" s="44">
        <v>3.9</v>
      </c>
      <c r="X1181" s="7" t="s">
        <v>190</v>
      </c>
      <c r="Y1181" s="7" t="s">
        <v>2563</v>
      </c>
      <c r="Z1181" s="7" t="s">
        <v>81</v>
      </c>
      <c r="AA1181" s="61">
        <v>0.68</v>
      </c>
      <c r="AB1181" s="48" t="s">
        <v>15209</v>
      </c>
      <c r="AC1181" s="82" t="s">
        <v>15207</v>
      </c>
      <c r="AD1181" s="74" t="str">
        <f t="shared" ref="AD1181:AD1183" si="900">HYPERLINK("http://www.utdallas.edu/academics/majors.html","Link")</f>
        <v>Link</v>
      </c>
      <c r="AE1181" s="54">
        <v>17350</v>
      </c>
      <c r="AF1181" s="54">
        <v>145</v>
      </c>
      <c r="AG1181" s="7"/>
      <c r="AH1181" s="56">
        <v>228787</v>
      </c>
      <c r="AI1181" s="56"/>
    </row>
    <row r="1182" spans="1:35" ht="13" x14ac:dyDescent="0.15">
      <c r="A1182" s="57"/>
      <c r="B1182" s="78" t="s">
        <v>2922</v>
      </c>
      <c r="C1182" s="7" t="s">
        <v>43</v>
      </c>
      <c r="D1182" s="44">
        <v>5</v>
      </c>
      <c r="E1182" s="7" t="s">
        <v>15212</v>
      </c>
      <c r="F1182" s="7"/>
      <c r="G1182" s="7"/>
      <c r="H1182" s="6" t="s">
        <v>15199</v>
      </c>
      <c r="I1182" s="7" t="s">
        <v>539</v>
      </c>
      <c r="J1182" s="7" t="s">
        <v>875</v>
      </c>
      <c r="K1182" s="7" t="s">
        <v>55</v>
      </c>
      <c r="L1182" s="7" t="s">
        <v>15214</v>
      </c>
      <c r="M1182" s="7" t="s">
        <v>15215</v>
      </c>
      <c r="N1182" s="45" t="str">
        <f t="shared" si="898"/>
        <v>@utd_softball</v>
      </c>
      <c r="O1182" s="74" t="str">
        <f t="shared" si="899"/>
        <v>Questionnaire</v>
      </c>
      <c r="P1182" s="7" t="s">
        <v>15207</v>
      </c>
      <c r="Q1182" s="57" t="s">
        <v>280</v>
      </c>
      <c r="R1182" s="7" t="s">
        <v>13491</v>
      </c>
      <c r="S1182" s="48" t="s">
        <v>288</v>
      </c>
      <c r="T1182" s="49" t="s">
        <v>74</v>
      </c>
      <c r="U1182" s="7" t="s">
        <v>75</v>
      </c>
      <c r="V1182" s="7"/>
      <c r="W1182" s="44">
        <v>3.9</v>
      </c>
      <c r="X1182" s="7" t="s">
        <v>190</v>
      </c>
      <c r="Y1182" s="7" t="s">
        <v>2563</v>
      </c>
      <c r="Z1182" s="7" t="s">
        <v>81</v>
      </c>
      <c r="AA1182" s="61">
        <v>0.68</v>
      </c>
      <c r="AB1182" s="48" t="s">
        <v>15209</v>
      </c>
      <c r="AC1182" s="82" t="s">
        <v>15207</v>
      </c>
      <c r="AD1182" s="74" t="str">
        <f t="shared" si="900"/>
        <v>Link</v>
      </c>
      <c r="AE1182" s="54">
        <v>17350</v>
      </c>
      <c r="AF1182" s="54">
        <v>145</v>
      </c>
      <c r="AG1182" s="7"/>
      <c r="AH1182" s="56">
        <v>228787</v>
      </c>
      <c r="AI1182" s="56"/>
    </row>
    <row r="1183" spans="1:35" ht="13" x14ac:dyDescent="0.15">
      <c r="A1183" s="57"/>
      <c r="B1183" s="78" t="s">
        <v>2922</v>
      </c>
      <c r="C1183" s="7" t="s">
        <v>43</v>
      </c>
      <c r="D1183" s="44">
        <v>5</v>
      </c>
      <c r="E1183" s="7" t="s">
        <v>15222</v>
      </c>
      <c r="F1183" s="7"/>
      <c r="G1183" s="7"/>
      <c r="H1183" s="6" t="s">
        <v>15199</v>
      </c>
      <c r="I1183" s="7" t="s">
        <v>4695</v>
      </c>
      <c r="J1183" s="7" t="s">
        <v>3206</v>
      </c>
      <c r="K1183" s="7" t="s">
        <v>139</v>
      </c>
      <c r="L1183" s="7"/>
      <c r="M1183" s="7"/>
      <c r="N1183" s="45" t="str">
        <f t="shared" si="898"/>
        <v>@utd_softball</v>
      </c>
      <c r="O1183" s="74" t="str">
        <f t="shared" si="899"/>
        <v>Questionnaire</v>
      </c>
      <c r="P1183" s="7" t="s">
        <v>15207</v>
      </c>
      <c r="Q1183" s="57" t="s">
        <v>280</v>
      </c>
      <c r="R1183" s="7" t="s">
        <v>13491</v>
      </c>
      <c r="S1183" s="48" t="s">
        <v>288</v>
      </c>
      <c r="T1183" s="49" t="s">
        <v>74</v>
      </c>
      <c r="U1183" s="7" t="s">
        <v>75</v>
      </c>
      <c r="V1183" s="7"/>
      <c r="W1183" s="44">
        <v>3.9</v>
      </c>
      <c r="X1183" s="7" t="s">
        <v>190</v>
      </c>
      <c r="Y1183" s="7" t="s">
        <v>2563</v>
      </c>
      <c r="Z1183" s="7" t="s">
        <v>81</v>
      </c>
      <c r="AA1183" s="61">
        <v>0.68</v>
      </c>
      <c r="AB1183" s="48" t="s">
        <v>15209</v>
      </c>
      <c r="AC1183" s="82" t="s">
        <v>15207</v>
      </c>
      <c r="AD1183" s="74" t="str">
        <f t="shared" si="900"/>
        <v>Link</v>
      </c>
      <c r="AE1183" s="54">
        <v>17350</v>
      </c>
      <c r="AF1183" s="54">
        <v>145</v>
      </c>
      <c r="AG1183" s="7"/>
      <c r="AH1183" s="56">
        <v>228787</v>
      </c>
      <c r="AI1183" s="56"/>
    </row>
    <row r="1184" spans="1:35" ht="13" x14ac:dyDescent="0.15">
      <c r="A1184" s="57"/>
      <c r="B1184" s="78" t="s">
        <v>2922</v>
      </c>
      <c r="C1184" s="7" t="s">
        <v>43</v>
      </c>
      <c r="D1184" s="44">
        <v>5</v>
      </c>
      <c r="E1184" s="7" t="s">
        <v>15224</v>
      </c>
      <c r="F1184" s="7"/>
      <c r="G1184" s="7"/>
      <c r="H1184" s="6" t="s">
        <v>15225</v>
      </c>
      <c r="I1184" s="7" t="s">
        <v>754</v>
      </c>
      <c r="J1184" s="7" t="s">
        <v>3046</v>
      </c>
      <c r="K1184" s="7" t="s">
        <v>48</v>
      </c>
      <c r="L1184" s="7" t="s">
        <v>15228</v>
      </c>
      <c r="M1184" s="7" t="s">
        <v>15229</v>
      </c>
      <c r="N1184" s="45" t="str">
        <f t="shared" ref="N1184:N1186" si="901">HYPERLINK("twitter.com/patriot_sb","@patriot_sb")</f>
        <v>@patriot_sb</v>
      </c>
      <c r="O1184" s="74" t="str">
        <f t="shared" ref="O1184:O1186" si="902">HYPERLINK("https://questionnaires.armssoftware.com/6919e39004cb","Questionnaire")</f>
        <v>Questionnaire</v>
      </c>
      <c r="P1184" s="7" t="s">
        <v>15233</v>
      </c>
      <c r="Q1184" s="57" t="s">
        <v>280</v>
      </c>
      <c r="R1184" s="7" t="s">
        <v>7130</v>
      </c>
      <c r="S1184" s="48" t="s">
        <v>238</v>
      </c>
      <c r="T1184" s="73" t="s">
        <v>74</v>
      </c>
      <c r="U1184" s="7" t="s">
        <v>75</v>
      </c>
      <c r="V1184" s="7"/>
      <c r="W1184" s="44">
        <v>3.38</v>
      </c>
      <c r="X1184" s="7" t="s">
        <v>2341</v>
      </c>
      <c r="Y1184" s="7" t="s">
        <v>895</v>
      </c>
      <c r="Z1184" s="7" t="s">
        <v>1994</v>
      </c>
      <c r="AA1184" s="61">
        <v>0.69</v>
      </c>
      <c r="AB1184" s="48" t="s">
        <v>15234</v>
      </c>
      <c r="AC1184" s="82" t="s">
        <v>15233</v>
      </c>
      <c r="AD1184" s="74" t="str">
        <f t="shared" ref="AD1184:AD1186" si="903">HYPERLINK("http://www.uttyler.edu/academics/undergraduate-majors/","Link")</f>
        <v>Link</v>
      </c>
      <c r="AE1184" s="54">
        <v>7032</v>
      </c>
      <c r="AF1184" s="55"/>
      <c r="AG1184" s="7"/>
      <c r="AH1184" s="56">
        <v>228802</v>
      </c>
      <c r="AI1184" s="56"/>
    </row>
    <row r="1185" spans="1:35" ht="13" x14ac:dyDescent="0.15">
      <c r="A1185" s="57"/>
      <c r="B1185" s="78" t="s">
        <v>2922</v>
      </c>
      <c r="C1185" s="7" t="s">
        <v>43</v>
      </c>
      <c r="D1185" s="44">
        <v>5</v>
      </c>
      <c r="E1185" s="7" t="s">
        <v>15236</v>
      </c>
      <c r="F1185" s="7"/>
      <c r="G1185" s="7"/>
      <c r="H1185" s="6" t="s">
        <v>15225</v>
      </c>
      <c r="I1185" s="7" t="s">
        <v>577</v>
      </c>
      <c r="J1185" s="7" t="s">
        <v>15237</v>
      </c>
      <c r="K1185" s="7" t="s">
        <v>55</v>
      </c>
      <c r="L1185" s="7" t="s">
        <v>15238</v>
      </c>
      <c r="M1185" s="7" t="s">
        <v>15239</v>
      </c>
      <c r="N1185" s="45" t="str">
        <f t="shared" si="901"/>
        <v>@patriot_sb</v>
      </c>
      <c r="O1185" s="74" t="str">
        <f t="shared" si="902"/>
        <v>Questionnaire</v>
      </c>
      <c r="P1185" s="7" t="s">
        <v>15233</v>
      </c>
      <c r="Q1185" s="57" t="s">
        <v>280</v>
      </c>
      <c r="R1185" s="7" t="s">
        <v>7130</v>
      </c>
      <c r="S1185" s="48" t="s">
        <v>238</v>
      </c>
      <c r="T1185" s="73" t="s">
        <v>74</v>
      </c>
      <c r="U1185" s="7" t="s">
        <v>75</v>
      </c>
      <c r="V1185" s="7"/>
      <c r="W1185" s="44">
        <v>3.38</v>
      </c>
      <c r="X1185" s="7" t="s">
        <v>2341</v>
      </c>
      <c r="Y1185" s="7" t="s">
        <v>895</v>
      </c>
      <c r="Z1185" s="7" t="s">
        <v>1994</v>
      </c>
      <c r="AA1185" s="61">
        <v>0.69</v>
      </c>
      <c r="AB1185" s="48" t="s">
        <v>15234</v>
      </c>
      <c r="AC1185" s="82" t="s">
        <v>15233</v>
      </c>
      <c r="AD1185" s="74" t="str">
        <f t="shared" si="903"/>
        <v>Link</v>
      </c>
      <c r="AE1185" s="54">
        <v>7032</v>
      </c>
      <c r="AF1185" s="55"/>
      <c r="AG1185" s="7"/>
      <c r="AH1185" s="56">
        <v>228802</v>
      </c>
      <c r="AI1185" s="56"/>
    </row>
    <row r="1186" spans="1:35" ht="13" x14ac:dyDescent="0.15">
      <c r="A1186" s="57"/>
      <c r="B1186" s="78" t="s">
        <v>2922</v>
      </c>
      <c r="C1186" s="7" t="s">
        <v>43</v>
      </c>
      <c r="D1186" s="44">
        <v>5</v>
      </c>
      <c r="E1186" s="7" t="s">
        <v>15240</v>
      </c>
      <c r="F1186" s="7"/>
      <c r="G1186" s="7"/>
      <c r="H1186" s="6" t="s">
        <v>15225</v>
      </c>
      <c r="I1186" s="7" t="s">
        <v>5933</v>
      </c>
      <c r="J1186" s="7" t="s">
        <v>15241</v>
      </c>
      <c r="K1186" s="7" t="s">
        <v>55</v>
      </c>
      <c r="L1186" s="7"/>
      <c r="M1186" s="7"/>
      <c r="N1186" s="45" t="str">
        <f t="shared" si="901"/>
        <v>@patriot_sb</v>
      </c>
      <c r="O1186" s="74" t="str">
        <f t="shared" si="902"/>
        <v>Questionnaire</v>
      </c>
      <c r="P1186" s="7" t="s">
        <v>15233</v>
      </c>
      <c r="Q1186" s="57" t="s">
        <v>280</v>
      </c>
      <c r="R1186" s="7" t="s">
        <v>7130</v>
      </c>
      <c r="S1186" s="48" t="s">
        <v>238</v>
      </c>
      <c r="T1186" s="73" t="s">
        <v>74</v>
      </c>
      <c r="U1186" s="7" t="s">
        <v>75</v>
      </c>
      <c r="V1186" s="7"/>
      <c r="W1186" s="44">
        <v>3.38</v>
      </c>
      <c r="X1186" s="7" t="s">
        <v>2341</v>
      </c>
      <c r="Y1186" s="7" t="s">
        <v>895</v>
      </c>
      <c r="Z1186" s="7" t="s">
        <v>1994</v>
      </c>
      <c r="AA1186" s="61">
        <v>0.69</v>
      </c>
      <c r="AB1186" s="48" t="s">
        <v>15234</v>
      </c>
      <c r="AC1186" s="82" t="s">
        <v>15233</v>
      </c>
      <c r="AD1186" s="74" t="str">
        <f t="shared" si="903"/>
        <v>Link</v>
      </c>
      <c r="AE1186" s="54">
        <v>7032</v>
      </c>
      <c r="AF1186" s="55"/>
      <c r="AG1186" s="7"/>
      <c r="AH1186" s="56">
        <v>228802</v>
      </c>
      <c r="AI1186" s="56"/>
    </row>
    <row r="1187" spans="1:35" ht="15" x14ac:dyDescent="0.2">
      <c r="A1187" s="57"/>
      <c r="B1187" s="78" t="s">
        <v>2922</v>
      </c>
      <c r="C1187" s="7" t="s">
        <v>43</v>
      </c>
      <c r="D1187" s="44">
        <v>5</v>
      </c>
      <c r="E1187" s="7" t="s">
        <v>15245</v>
      </c>
      <c r="F1187" s="7"/>
      <c r="G1187" s="7"/>
      <c r="H1187" s="6" t="s">
        <v>15246</v>
      </c>
      <c r="I1187" s="7" t="s">
        <v>7674</v>
      </c>
      <c r="J1187" s="7" t="s">
        <v>1611</v>
      </c>
      <c r="K1187" s="7" t="s">
        <v>48</v>
      </c>
      <c r="L1187" s="7" t="s">
        <v>15247</v>
      </c>
      <c r="M1187" s="7" t="s">
        <v>15248</v>
      </c>
      <c r="N1187" s="45" t="str">
        <f t="shared" ref="N1187:N1188" si="904">HYPERLINK("twitter.com/tusbtigers","@tusbtigers")</f>
        <v>@tusbtigers</v>
      </c>
      <c r="O1187" s="74" t="str">
        <f t="shared" ref="O1187:O1188" si="905">HYPERLINK("https://www.trinitytigers.com/landing/prospectivestudents","Questionnaire")</f>
        <v>Questionnaire</v>
      </c>
      <c r="P1187" s="7" t="s">
        <v>15250</v>
      </c>
      <c r="Q1187" s="57" t="s">
        <v>280</v>
      </c>
      <c r="R1187" s="7" t="s">
        <v>6568</v>
      </c>
      <c r="S1187" s="48" t="s">
        <v>288</v>
      </c>
      <c r="T1187" s="49" t="s">
        <v>63</v>
      </c>
      <c r="U1187" s="7" t="s">
        <v>248</v>
      </c>
      <c r="V1187" s="7"/>
      <c r="W1187" s="44">
        <v>3.56</v>
      </c>
      <c r="X1187" s="7" t="s">
        <v>2565</v>
      </c>
      <c r="Y1187" s="7" t="s">
        <v>1898</v>
      </c>
      <c r="Z1187" s="7" t="s">
        <v>1900</v>
      </c>
      <c r="AA1187" s="61">
        <v>0.41</v>
      </c>
      <c r="AB1187" s="71">
        <v>54714</v>
      </c>
      <c r="AC1187" s="40" t="s">
        <v>15250</v>
      </c>
      <c r="AD1187" s="74" t="str">
        <f t="shared" ref="AD1187:AD1188" si="906">HYPERLINK("https://new.trinity.edu/academics/majors-minors","Link")</f>
        <v>Link</v>
      </c>
      <c r="AE1187" s="54">
        <v>2298</v>
      </c>
      <c r="AF1187" s="55"/>
      <c r="AG1187" s="7"/>
      <c r="AH1187" s="56">
        <v>229267</v>
      </c>
      <c r="AI1187" s="56"/>
    </row>
    <row r="1188" spans="1:35" ht="15" x14ac:dyDescent="0.2">
      <c r="A1188" s="57"/>
      <c r="B1188" s="78" t="s">
        <v>2922</v>
      </c>
      <c r="C1188" s="7" t="s">
        <v>43</v>
      </c>
      <c r="D1188" s="44">
        <v>5</v>
      </c>
      <c r="E1188" s="7" t="s">
        <v>15253</v>
      </c>
      <c r="F1188" s="7"/>
      <c r="G1188" s="7"/>
      <c r="H1188" s="6" t="s">
        <v>15246</v>
      </c>
      <c r="I1188" s="7" t="s">
        <v>1052</v>
      </c>
      <c r="J1188" s="7" t="s">
        <v>15254</v>
      </c>
      <c r="K1188" s="7" t="s">
        <v>55</v>
      </c>
      <c r="L1188" s="7" t="s">
        <v>15255</v>
      </c>
      <c r="M1188" s="7" t="s">
        <v>15256</v>
      </c>
      <c r="N1188" s="45" t="str">
        <f t="shared" si="904"/>
        <v>@tusbtigers</v>
      </c>
      <c r="O1188" s="74" t="str">
        <f t="shared" si="905"/>
        <v>Questionnaire</v>
      </c>
      <c r="P1188" s="7" t="s">
        <v>15250</v>
      </c>
      <c r="Q1188" s="57" t="s">
        <v>280</v>
      </c>
      <c r="R1188" s="7" t="s">
        <v>6568</v>
      </c>
      <c r="S1188" s="48" t="s">
        <v>288</v>
      </c>
      <c r="T1188" s="49" t="s">
        <v>63</v>
      </c>
      <c r="U1188" s="7" t="s">
        <v>248</v>
      </c>
      <c r="V1188" s="7"/>
      <c r="W1188" s="44">
        <v>3.56</v>
      </c>
      <c r="X1188" s="7" t="s">
        <v>2565</v>
      </c>
      <c r="Y1188" s="7" t="s">
        <v>1898</v>
      </c>
      <c r="Z1188" s="7" t="s">
        <v>1900</v>
      </c>
      <c r="AA1188" s="61">
        <v>0.41</v>
      </c>
      <c r="AB1188" s="71">
        <v>54714</v>
      </c>
      <c r="AC1188" s="40" t="s">
        <v>15250</v>
      </c>
      <c r="AD1188" s="74" t="str">
        <f t="shared" si="906"/>
        <v>Link</v>
      </c>
      <c r="AE1188" s="54">
        <v>2298</v>
      </c>
      <c r="AF1188" s="55"/>
      <c r="AG1188" s="7"/>
      <c r="AH1188" s="56">
        <v>229267</v>
      </c>
      <c r="AI1188" s="56"/>
    </row>
    <row r="1189" spans="1:35" ht="13" x14ac:dyDescent="0.15">
      <c r="A1189" s="57"/>
      <c r="B1189" s="78" t="s">
        <v>11575</v>
      </c>
      <c r="C1189" s="7" t="s">
        <v>43</v>
      </c>
      <c r="D1189" s="44">
        <v>5</v>
      </c>
      <c r="E1189" s="7" t="s">
        <v>15257</v>
      </c>
      <c r="F1189" s="7"/>
      <c r="G1189" s="7"/>
      <c r="H1189" s="6" t="s">
        <v>15258</v>
      </c>
      <c r="I1189" s="7" t="s">
        <v>173</v>
      </c>
      <c r="J1189" s="7" t="s">
        <v>15259</v>
      </c>
      <c r="K1189" s="7" t="s">
        <v>48</v>
      </c>
      <c r="L1189" s="7" t="s">
        <v>15260</v>
      </c>
      <c r="M1189" s="7" t="s">
        <v>15261</v>
      </c>
      <c r="N1189" s="45" t="str">
        <f t="shared" ref="N1189:N1194" si="907">HYPERLINK("twitter.com/castletonsb","@castletonsb")</f>
        <v>@castletonsb</v>
      </c>
      <c r="O1189" s="74" t="str">
        <f t="shared" ref="O1189:O1194" si="908">HYPERLINK("http://www.castletonsports.com/information/recruiting/questionnaires","Questionnaire")</f>
        <v>Questionnaire</v>
      </c>
      <c r="P1189" s="7" t="s">
        <v>15264</v>
      </c>
      <c r="Q1189" s="36" t="s">
        <v>11589</v>
      </c>
      <c r="R1189" s="7" t="s">
        <v>15264</v>
      </c>
      <c r="S1189" s="60" t="s">
        <v>205</v>
      </c>
      <c r="T1189" s="49" t="s">
        <v>74</v>
      </c>
      <c r="U1189" s="7" t="s">
        <v>75</v>
      </c>
      <c r="V1189" s="7"/>
      <c r="W1189" s="44">
        <v>3</v>
      </c>
      <c r="X1189" s="7" t="s">
        <v>15265</v>
      </c>
      <c r="Y1189" s="7" t="s">
        <v>1453</v>
      </c>
      <c r="Z1189" s="7" t="s">
        <v>4743</v>
      </c>
      <c r="AA1189" s="51">
        <v>0.95320000000000005</v>
      </c>
      <c r="AB1189" s="48" t="s">
        <v>15266</v>
      </c>
      <c r="AC1189" s="82" t="s">
        <v>15264</v>
      </c>
      <c r="AD1189" s="74" t="str">
        <f t="shared" ref="AD1189:AD1194" si="909">HYPERLINK("http://catalog.castleton.edu/content.php?catoid=4&amp;navoid=85","Link")</f>
        <v>Link</v>
      </c>
      <c r="AE1189" s="54">
        <v>1969</v>
      </c>
      <c r="AF1189" s="55"/>
      <c r="AG1189" s="7"/>
      <c r="AH1189" s="56">
        <v>230834</v>
      </c>
      <c r="AI1189" s="56"/>
    </row>
    <row r="1190" spans="1:35" ht="13" x14ac:dyDescent="0.15">
      <c r="A1190" s="57"/>
      <c r="B1190" s="78" t="s">
        <v>11575</v>
      </c>
      <c r="C1190" s="7" t="s">
        <v>43</v>
      </c>
      <c r="D1190" s="44">
        <v>5</v>
      </c>
      <c r="E1190" s="7" t="s">
        <v>15269</v>
      </c>
      <c r="F1190" s="7"/>
      <c r="G1190" s="7"/>
      <c r="H1190" s="6" t="s">
        <v>15258</v>
      </c>
      <c r="I1190" s="7" t="s">
        <v>6702</v>
      </c>
      <c r="J1190" s="7" t="s">
        <v>15270</v>
      </c>
      <c r="K1190" s="7" t="s">
        <v>55</v>
      </c>
      <c r="L1190" s="7"/>
      <c r="M1190" s="7"/>
      <c r="N1190" s="45" t="str">
        <f t="shared" si="907"/>
        <v>@castletonsb</v>
      </c>
      <c r="O1190" s="74" t="str">
        <f t="shared" si="908"/>
        <v>Questionnaire</v>
      </c>
      <c r="P1190" s="7" t="s">
        <v>15264</v>
      </c>
      <c r="Q1190" s="36" t="s">
        <v>11589</v>
      </c>
      <c r="R1190" s="7" t="s">
        <v>15264</v>
      </c>
      <c r="S1190" s="60" t="s">
        <v>205</v>
      </c>
      <c r="T1190" s="49" t="s">
        <v>74</v>
      </c>
      <c r="U1190" s="7" t="s">
        <v>75</v>
      </c>
      <c r="V1190" s="7"/>
      <c r="W1190" s="44">
        <v>3</v>
      </c>
      <c r="X1190" s="7" t="s">
        <v>15265</v>
      </c>
      <c r="Y1190" s="7" t="s">
        <v>1453</v>
      </c>
      <c r="Z1190" s="7" t="s">
        <v>4743</v>
      </c>
      <c r="AA1190" s="51">
        <v>0.95320000000000005</v>
      </c>
      <c r="AB1190" s="48" t="s">
        <v>15266</v>
      </c>
      <c r="AC1190" s="82" t="s">
        <v>15264</v>
      </c>
      <c r="AD1190" s="74" t="str">
        <f t="shared" si="909"/>
        <v>Link</v>
      </c>
      <c r="AE1190" s="54">
        <v>1969</v>
      </c>
      <c r="AF1190" s="55"/>
      <c r="AG1190" s="7"/>
      <c r="AH1190" s="56">
        <v>230834</v>
      </c>
      <c r="AI1190" s="56"/>
    </row>
    <row r="1191" spans="1:35" ht="13" x14ac:dyDescent="0.15">
      <c r="A1191" s="57"/>
      <c r="B1191" s="78" t="s">
        <v>11575</v>
      </c>
      <c r="C1191" s="7" t="s">
        <v>43</v>
      </c>
      <c r="D1191" s="44">
        <v>5</v>
      </c>
      <c r="E1191" s="7" t="s">
        <v>15273</v>
      </c>
      <c r="F1191" s="7"/>
      <c r="G1191" s="7"/>
      <c r="H1191" s="6" t="s">
        <v>15258</v>
      </c>
      <c r="I1191" s="7" t="s">
        <v>2806</v>
      </c>
      <c r="J1191" s="7" t="s">
        <v>15274</v>
      </c>
      <c r="K1191" s="7" t="s">
        <v>919</v>
      </c>
      <c r="L1191" s="7"/>
      <c r="M1191" s="7"/>
      <c r="N1191" s="45" t="str">
        <f t="shared" si="907"/>
        <v>@castletonsb</v>
      </c>
      <c r="O1191" s="74" t="str">
        <f t="shared" si="908"/>
        <v>Questionnaire</v>
      </c>
      <c r="P1191" s="7" t="s">
        <v>15264</v>
      </c>
      <c r="Q1191" s="36" t="s">
        <v>11589</v>
      </c>
      <c r="R1191" s="7" t="s">
        <v>15264</v>
      </c>
      <c r="S1191" s="60" t="s">
        <v>205</v>
      </c>
      <c r="T1191" s="49" t="s">
        <v>74</v>
      </c>
      <c r="U1191" s="7" t="s">
        <v>75</v>
      </c>
      <c r="V1191" s="7"/>
      <c r="W1191" s="44">
        <v>3</v>
      </c>
      <c r="X1191" s="7" t="s">
        <v>15265</v>
      </c>
      <c r="Y1191" s="7" t="s">
        <v>1453</v>
      </c>
      <c r="Z1191" s="7" t="s">
        <v>4743</v>
      </c>
      <c r="AA1191" s="51">
        <v>0.95320000000000005</v>
      </c>
      <c r="AB1191" s="48" t="s">
        <v>15266</v>
      </c>
      <c r="AC1191" s="82" t="s">
        <v>15264</v>
      </c>
      <c r="AD1191" s="74" t="str">
        <f t="shared" si="909"/>
        <v>Link</v>
      </c>
      <c r="AE1191" s="54">
        <v>1969</v>
      </c>
      <c r="AF1191" s="55"/>
      <c r="AG1191" s="7"/>
      <c r="AH1191" s="56">
        <v>230834</v>
      </c>
      <c r="AI1191" s="56"/>
    </row>
    <row r="1192" spans="1:35" ht="13" x14ac:dyDescent="0.15">
      <c r="A1192" s="57"/>
      <c r="B1192" s="78" t="s">
        <v>11575</v>
      </c>
      <c r="C1192" s="7" t="s">
        <v>43</v>
      </c>
      <c r="D1192" s="44">
        <v>5</v>
      </c>
      <c r="E1192" s="7" t="s">
        <v>15280</v>
      </c>
      <c r="F1192" s="7"/>
      <c r="G1192" s="7"/>
      <c r="H1192" s="6" t="s">
        <v>15258</v>
      </c>
      <c r="I1192" s="7" t="s">
        <v>15281</v>
      </c>
      <c r="J1192" s="7" t="s">
        <v>15282</v>
      </c>
      <c r="K1192" s="7" t="s">
        <v>139</v>
      </c>
      <c r="L1192" s="7"/>
      <c r="M1192" s="7"/>
      <c r="N1192" s="45" t="str">
        <f t="shared" si="907"/>
        <v>@castletonsb</v>
      </c>
      <c r="O1192" s="74" t="str">
        <f t="shared" si="908"/>
        <v>Questionnaire</v>
      </c>
      <c r="P1192" s="7" t="s">
        <v>15264</v>
      </c>
      <c r="Q1192" s="36" t="s">
        <v>11589</v>
      </c>
      <c r="R1192" s="7" t="s">
        <v>15264</v>
      </c>
      <c r="S1192" s="60" t="s">
        <v>205</v>
      </c>
      <c r="T1192" s="49" t="s">
        <v>74</v>
      </c>
      <c r="U1192" s="7" t="s">
        <v>75</v>
      </c>
      <c r="V1192" s="7"/>
      <c r="W1192" s="44">
        <v>3</v>
      </c>
      <c r="X1192" s="7" t="s">
        <v>15265</v>
      </c>
      <c r="Y1192" s="7" t="s">
        <v>1453</v>
      </c>
      <c r="Z1192" s="7" t="s">
        <v>4743</v>
      </c>
      <c r="AA1192" s="51">
        <v>0.95320000000000005</v>
      </c>
      <c r="AB1192" s="48" t="s">
        <v>15266</v>
      </c>
      <c r="AC1192" s="82" t="s">
        <v>15264</v>
      </c>
      <c r="AD1192" s="74" t="str">
        <f t="shared" si="909"/>
        <v>Link</v>
      </c>
      <c r="AE1192" s="54">
        <v>1969</v>
      </c>
      <c r="AF1192" s="55"/>
      <c r="AG1192" s="7"/>
      <c r="AH1192" s="56">
        <v>230834</v>
      </c>
      <c r="AI1192" s="56"/>
    </row>
    <row r="1193" spans="1:35" ht="13" x14ac:dyDescent="0.15">
      <c r="A1193" s="57"/>
      <c r="B1193" s="78" t="s">
        <v>11575</v>
      </c>
      <c r="C1193" s="7" t="s">
        <v>43</v>
      </c>
      <c r="D1193" s="44">
        <v>5</v>
      </c>
      <c r="E1193" s="7" t="s">
        <v>15287</v>
      </c>
      <c r="F1193" s="7"/>
      <c r="G1193" s="7"/>
      <c r="H1193" s="6" t="s">
        <v>15258</v>
      </c>
      <c r="I1193" s="7" t="s">
        <v>8939</v>
      </c>
      <c r="J1193" s="7" t="s">
        <v>15289</v>
      </c>
      <c r="K1193" s="7" t="s">
        <v>120</v>
      </c>
      <c r="L1193" s="7" t="s">
        <v>15290</v>
      </c>
      <c r="M1193" s="7"/>
      <c r="N1193" s="45" t="str">
        <f t="shared" si="907"/>
        <v>@castletonsb</v>
      </c>
      <c r="O1193" s="74" t="str">
        <f t="shared" si="908"/>
        <v>Questionnaire</v>
      </c>
      <c r="P1193" s="7" t="s">
        <v>15264</v>
      </c>
      <c r="Q1193" s="36" t="s">
        <v>11589</v>
      </c>
      <c r="R1193" s="7" t="s">
        <v>15264</v>
      </c>
      <c r="S1193" s="60" t="s">
        <v>205</v>
      </c>
      <c r="T1193" s="49" t="s">
        <v>74</v>
      </c>
      <c r="U1193" s="7" t="s">
        <v>75</v>
      </c>
      <c r="V1193" s="7"/>
      <c r="W1193" s="44">
        <v>3</v>
      </c>
      <c r="X1193" s="7" t="s">
        <v>15265</v>
      </c>
      <c r="Y1193" s="7" t="s">
        <v>1453</v>
      </c>
      <c r="Z1193" s="7" t="s">
        <v>4743</v>
      </c>
      <c r="AA1193" s="51">
        <v>0.95320000000000005</v>
      </c>
      <c r="AB1193" s="48" t="s">
        <v>15266</v>
      </c>
      <c r="AC1193" s="82" t="s">
        <v>15264</v>
      </c>
      <c r="AD1193" s="74" t="str">
        <f t="shared" si="909"/>
        <v>Link</v>
      </c>
      <c r="AE1193" s="54">
        <v>1969</v>
      </c>
      <c r="AF1193" s="55"/>
      <c r="AG1193" s="7"/>
      <c r="AH1193" s="56">
        <v>230834</v>
      </c>
      <c r="AI1193" s="56"/>
    </row>
    <row r="1194" spans="1:35" ht="13" x14ac:dyDescent="0.15">
      <c r="A1194" s="57"/>
      <c r="B1194" s="78" t="s">
        <v>11575</v>
      </c>
      <c r="C1194" s="7" t="s">
        <v>43</v>
      </c>
      <c r="D1194" s="44">
        <v>5</v>
      </c>
      <c r="E1194" s="7" t="s">
        <v>15293</v>
      </c>
      <c r="F1194" s="7"/>
      <c r="G1194" s="7"/>
      <c r="H1194" s="6" t="s">
        <v>15258</v>
      </c>
      <c r="I1194" s="7" t="s">
        <v>8939</v>
      </c>
      <c r="J1194" s="7" t="s">
        <v>15289</v>
      </c>
      <c r="K1194" s="7" t="s">
        <v>120</v>
      </c>
      <c r="L1194" s="7"/>
      <c r="M1194" s="7"/>
      <c r="N1194" s="45" t="str">
        <f t="shared" si="907"/>
        <v>@castletonsb</v>
      </c>
      <c r="O1194" s="74" t="str">
        <f t="shared" si="908"/>
        <v>Questionnaire</v>
      </c>
      <c r="P1194" s="7" t="s">
        <v>15264</v>
      </c>
      <c r="Q1194" s="36" t="s">
        <v>11589</v>
      </c>
      <c r="R1194" s="7" t="s">
        <v>15264</v>
      </c>
      <c r="S1194" s="60" t="s">
        <v>205</v>
      </c>
      <c r="T1194" s="49" t="s">
        <v>74</v>
      </c>
      <c r="U1194" s="7" t="s">
        <v>75</v>
      </c>
      <c r="V1194" s="7"/>
      <c r="W1194" s="44">
        <v>3</v>
      </c>
      <c r="X1194" s="7" t="s">
        <v>15265</v>
      </c>
      <c r="Y1194" s="7" t="s">
        <v>1453</v>
      </c>
      <c r="Z1194" s="7" t="s">
        <v>4743</v>
      </c>
      <c r="AA1194" s="51">
        <v>0.95320000000000005</v>
      </c>
      <c r="AB1194" s="48" t="s">
        <v>15266</v>
      </c>
      <c r="AC1194" s="82" t="s">
        <v>15264</v>
      </c>
      <c r="AD1194" s="74" t="str">
        <f t="shared" si="909"/>
        <v>Link</v>
      </c>
      <c r="AE1194" s="54">
        <v>1969</v>
      </c>
      <c r="AF1194" s="55"/>
      <c r="AG1194" s="7"/>
      <c r="AH1194" s="56">
        <v>230834</v>
      </c>
      <c r="AI1194" s="56"/>
    </row>
    <row r="1195" spans="1:35" ht="13" x14ac:dyDescent="0.15">
      <c r="A1195" s="57"/>
      <c r="B1195" s="78" t="s">
        <v>11575</v>
      </c>
      <c r="C1195" s="7" t="s">
        <v>43</v>
      </c>
      <c r="D1195" s="44">
        <v>5</v>
      </c>
      <c r="E1195" s="7" t="s">
        <v>15299</v>
      </c>
      <c r="F1195" s="7"/>
      <c r="G1195" s="7"/>
      <c r="H1195" s="6" t="s">
        <v>15300</v>
      </c>
      <c r="I1195" s="7" t="s">
        <v>3279</v>
      </c>
      <c r="J1195" s="7" t="s">
        <v>2290</v>
      </c>
      <c r="K1195" s="7" t="s">
        <v>48</v>
      </c>
      <c r="L1195" s="7" t="s">
        <v>15302</v>
      </c>
      <c r="M1195" s="7" t="s">
        <v>15303</v>
      </c>
      <c r="N1195" s="7"/>
      <c r="O1195" s="74" t="str">
        <f>HYPERLINK("https://www.lyndonhornets.com/sports/sball/Recruiting_Questionnaire","Questionnaire")</f>
        <v>Questionnaire</v>
      </c>
      <c r="P1195" s="48" t="s">
        <v>15308</v>
      </c>
      <c r="Q1195" s="57" t="s">
        <v>11589</v>
      </c>
      <c r="R1195" s="7" t="s">
        <v>15309</v>
      </c>
      <c r="S1195" s="60" t="s">
        <v>205</v>
      </c>
      <c r="T1195" s="73" t="s">
        <v>74</v>
      </c>
      <c r="U1195" s="7" t="s">
        <v>75</v>
      </c>
      <c r="V1195" s="7"/>
      <c r="W1195" s="44">
        <v>2.5</v>
      </c>
      <c r="X1195" s="7" t="s">
        <v>3484</v>
      </c>
      <c r="Y1195" s="7" t="s">
        <v>1452</v>
      </c>
      <c r="Z1195" s="7" t="s">
        <v>2662</v>
      </c>
      <c r="AA1195" s="61">
        <v>0.98</v>
      </c>
      <c r="AB1195" s="48" t="s">
        <v>15311</v>
      </c>
      <c r="AC1195" s="78" t="s">
        <v>15312</v>
      </c>
      <c r="AD1195" s="74" t="str">
        <f>HYPERLINK("http://lyndonstate.edu/degree-programs/","Link")</f>
        <v>Link</v>
      </c>
      <c r="AE1195" s="54">
        <v>1171</v>
      </c>
      <c r="AF1195" s="55"/>
      <c r="AG1195" s="7"/>
      <c r="AH1195" s="56">
        <v>230931</v>
      </c>
      <c r="AI1195" s="56"/>
    </row>
    <row r="1196" spans="1:35" ht="13" x14ac:dyDescent="0.15">
      <c r="A1196" s="57"/>
      <c r="B1196" s="78" t="s">
        <v>11575</v>
      </c>
      <c r="C1196" s="7" t="s">
        <v>43</v>
      </c>
      <c r="D1196" s="44">
        <v>5</v>
      </c>
      <c r="E1196" s="7" t="s">
        <v>15314</v>
      </c>
      <c r="F1196" s="7"/>
      <c r="G1196" s="7"/>
      <c r="H1196" s="6" t="s">
        <v>15315</v>
      </c>
      <c r="I1196" s="7" t="s">
        <v>484</v>
      </c>
      <c r="J1196" s="7" t="s">
        <v>15316</v>
      </c>
      <c r="K1196" s="7" t="s">
        <v>48</v>
      </c>
      <c r="L1196" s="7" t="s">
        <v>15317</v>
      </c>
      <c r="M1196" s="7" t="s">
        <v>15318</v>
      </c>
      <c r="N1196" s="45" t="str">
        <f t="shared" ref="N1196:N1198" si="910">HYPERLINK("twitter.com/midd_softball","@midd_softball")</f>
        <v>@midd_softball</v>
      </c>
      <c r="O1196" s="74" t="str">
        <f t="shared" ref="O1196:O1198" si="911">HYPERLINK("https://athletics.middlebury.edu/prospectiveforms","Questionnaire")</f>
        <v>Questionnaire</v>
      </c>
      <c r="P1196" s="7" t="s">
        <v>15320</v>
      </c>
      <c r="Q1196" s="36" t="s">
        <v>11589</v>
      </c>
      <c r="R1196" s="7" t="s">
        <v>15322</v>
      </c>
      <c r="S1196" s="60" t="s">
        <v>205</v>
      </c>
      <c r="T1196" s="49" t="s">
        <v>63</v>
      </c>
      <c r="U1196" s="7" t="s">
        <v>75</v>
      </c>
      <c r="V1196" s="7"/>
      <c r="W1196" s="44">
        <v>3.95</v>
      </c>
      <c r="X1196" s="7" t="s">
        <v>1106</v>
      </c>
      <c r="Y1196" s="7" t="s">
        <v>15325</v>
      </c>
      <c r="Z1196" s="7" t="s">
        <v>626</v>
      </c>
      <c r="AA1196" s="61">
        <v>0.16</v>
      </c>
      <c r="AB1196" s="71">
        <v>66332</v>
      </c>
      <c r="AC1196" s="78" t="s">
        <v>15320</v>
      </c>
      <c r="AD1196" s="74" t="str">
        <f t="shared" ref="AD1196:AD1199" si="912">HYPERLINK("http://www.middlebury.edu/academics/options","Link")</f>
        <v>Link</v>
      </c>
      <c r="AE1196" s="54">
        <v>2523</v>
      </c>
      <c r="AF1196" s="55"/>
      <c r="AG1196" s="44">
        <v>6</v>
      </c>
      <c r="AH1196" s="56">
        <v>230959</v>
      </c>
      <c r="AI1196" s="56"/>
    </row>
    <row r="1197" spans="1:35" ht="13" x14ac:dyDescent="0.15">
      <c r="A1197" s="57"/>
      <c r="B1197" s="78" t="s">
        <v>11575</v>
      </c>
      <c r="C1197" s="7" t="s">
        <v>43</v>
      </c>
      <c r="D1197" s="44">
        <v>5</v>
      </c>
      <c r="E1197" s="7" t="s">
        <v>15327</v>
      </c>
      <c r="F1197" s="7"/>
      <c r="G1197" s="7"/>
      <c r="H1197" s="6" t="s">
        <v>15315</v>
      </c>
      <c r="I1197" s="7" t="s">
        <v>1454</v>
      </c>
      <c r="J1197" s="7" t="s">
        <v>15330</v>
      </c>
      <c r="K1197" s="7" t="s">
        <v>55</v>
      </c>
      <c r="L1197" s="7"/>
      <c r="M1197" s="7" t="s">
        <v>15331</v>
      </c>
      <c r="N1197" s="45" t="str">
        <f t="shared" si="910"/>
        <v>@midd_softball</v>
      </c>
      <c r="O1197" s="74" t="str">
        <f t="shared" si="911"/>
        <v>Questionnaire</v>
      </c>
      <c r="P1197" s="7" t="s">
        <v>15320</v>
      </c>
      <c r="Q1197" s="36" t="s">
        <v>11589</v>
      </c>
      <c r="R1197" s="7" t="s">
        <v>15322</v>
      </c>
      <c r="S1197" s="60" t="s">
        <v>205</v>
      </c>
      <c r="T1197" s="49" t="s">
        <v>63</v>
      </c>
      <c r="U1197" s="7" t="s">
        <v>75</v>
      </c>
      <c r="V1197" s="7"/>
      <c r="W1197" s="44">
        <v>3.95</v>
      </c>
      <c r="X1197" s="7" t="s">
        <v>1106</v>
      </c>
      <c r="Y1197" s="7" t="s">
        <v>15325</v>
      </c>
      <c r="Z1197" s="7" t="s">
        <v>626</v>
      </c>
      <c r="AA1197" s="61">
        <v>0.16</v>
      </c>
      <c r="AB1197" s="71">
        <v>66332</v>
      </c>
      <c r="AC1197" s="78" t="s">
        <v>15320</v>
      </c>
      <c r="AD1197" s="74" t="str">
        <f t="shared" si="912"/>
        <v>Link</v>
      </c>
      <c r="AE1197" s="54">
        <v>2523</v>
      </c>
      <c r="AF1197" s="55"/>
      <c r="AG1197" s="44">
        <v>6</v>
      </c>
      <c r="AH1197" s="56">
        <v>230959</v>
      </c>
      <c r="AI1197" s="56"/>
    </row>
    <row r="1198" spans="1:35" ht="13" x14ac:dyDescent="0.15">
      <c r="A1198" s="57"/>
      <c r="B1198" s="78" t="s">
        <v>11575</v>
      </c>
      <c r="C1198" s="7" t="s">
        <v>43</v>
      </c>
      <c r="D1198" s="44">
        <v>5</v>
      </c>
      <c r="E1198" s="7" t="s">
        <v>15337</v>
      </c>
      <c r="F1198" s="7"/>
      <c r="G1198" s="7"/>
      <c r="H1198" s="6" t="s">
        <v>15315</v>
      </c>
      <c r="I1198" s="7" t="s">
        <v>15338</v>
      </c>
      <c r="J1198" s="7" t="s">
        <v>15339</v>
      </c>
      <c r="K1198" s="7" t="s">
        <v>55</v>
      </c>
      <c r="L1198" s="7"/>
      <c r="M1198" s="7" t="s">
        <v>15318</v>
      </c>
      <c r="N1198" s="45" t="str">
        <f t="shared" si="910"/>
        <v>@midd_softball</v>
      </c>
      <c r="O1198" s="74" t="str">
        <f t="shared" si="911"/>
        <v>Questionnaire</v>
      </c>
      <c r="P1198" s="7" t="s">
        <v>15320</v>
      </c>
      <c r="Q1198" s="36" t="s">
        <v>11589</v>
      </c>
      <c r="R1198" s="7" t="s">
        <v>15322</v>
      </c>
      <c r="S1198" s="60" t="s">
        <v>205</v>
      </c>
      <c r="T1198" s="49" t="s">
        <v>63</v>
      </c>
      <c r="U1198" s="7" t="s">
        <v>75</v>
      </c>
      <c r="V1198" s="7"/>
      <c r="W1198" s="44">
        <v>3.95</v>
      </c>
      <c r="X1198" s="7" t="s">
        <v>1106</v>
      </c>
      <c r="Y1198" s="7" t="s">
        <v>15325</v>
      </c>
      <c r="Z1198" s="7" t="s">
        <v>626</v>
      </c>
      <c r="AA1198" s="61">
        <v>0.16</v>
      </c>
      <c r="AB1198" s="71">
        <v>66332</v>
      </c>
      <c r="AC1198" s="78" t="s">
        <v>15320</v>
      </c>
      <c r="AD1198" s="74" t="str">
        <f t="shared" si="912"/>
        <v>Link</v>
      </c>
      <c r="AE1198" s="54">
        <v>2523</v>
      </c>
      <c r="AF1198" s="55"/>
      <c r="AG1198" s="44">
        <v>6</v>
      </c>
      <c r="AH1198" s="56">
        <v>230959</v>
      </c>
      <c r="AI1198" s="56"/>
    </row>
    <row r="1199" spans="1:35" ht="13" x14ac:dyDescent="0.15">
      <c r="A1199" s="57"/>
      <c r="B1199" s="78" t="s">
        <v>11575</v>
      </c>
      <c r="C1199" s="7" t="s">
        <v>43</v>
      </c>
      <c r="D1199" s="44">
        <v>5</v>
      </c>
      <c r="E1199" s="7" t="s">
        <v>15345</v>
      </c>
      <c r="F1199" s="7"/>
      <c r="G1199" s="7"/>
      <c r="H1199" s="6" t="s">
        <v>15315</v>
      </c>
      <c r="I1199" s="7" t="s">
        <v>15346</v>
      </c>
      <c r="J1199" s="7" t="s">
        <v>11127</v>
      </c>
      <c r="K1199" s="7" t="s">
        <v>55</v>
      </c>
      <c r="L1199" s="7" t="s">
        <v>15348</v>
      </c>
      <c r="M1199" s="7" t="s">
        <v>15318</v>
      </c>
      <c r="N1199" s="7"/>
      <c r="O1199" s="7"/>
      <c r="P1199" s="7" t="s">
        <v>15320</v>
      </c>
      <c r="Q1199" s="36" t="s">
        <v>11589</v>
      </c>
      <c r="R1199" s="48" t="s">
        <v>15322</v>
      </c>
      <c r="S1199" s="60" t="s">
        <v>205</v>
      </c>
      <c r="T1199" s="49" t="s">
        <v>63</v>
      </c>
      <c r="U1199" s="49" t="s">
        <v>75</v>
      </c>
      <c r="V1199" s="7"/>
      <c r="W1199" s="44">
        <v>3.95</v>
      </c>
      <c r="X1199" s="7" t="s">
        <v>1106</v>
      </c>
      <c r="Y1199" s="7" t="s">
        <v>15325</v>
      </c>
      <c r="Z1199" s="49" t="s">
        <v>626</v>
      </c>
      <c r="AA1199" s="61">
        <v>0.16</v>
      </c>
      <c r="AB1199" s="71">
        <v>66332</v>
      </c>
      <c r="AC1199" s="62" t="s">
        <v>15320</v>
      </c>
      <c r="AD1199" s="53" t="str">
        <f t="shared" si="912"/>
        <v>Link</v>
      </c>
      <c r="AE1199" s="54">
        <v>2523</v>
      </c>
      <c r="AF1199" s="55"/>
      <c r="AG1199" s="44">
        <v>6</v>
      </c>
      <c r="AH1199" s="56">
        <v>230959</v>
      </c>
      <c r="AI1199" s="56"/>
    </row>
    <row r="1200" spans="1:35" ht="13" x14ac:dyDescent="0.15">
      <c r="A1200" s="7"/>
      <c r="B1200" s="31" t="s">
        <v>11575</v>
      </c>
      <c r="C1200" s="36" t="s">
        <v>43</v>
      </c>
      <c r="D1200" s="7"/>
      <c r="E1200" s="86">
        <v>5</v>
      </c>
      <c r="F1200" s="7"/>
      <c r="G1200" s="7"/>
      <c r="H1200" s="2" t="s">
        <v>15352</v>
      </c>
      <c r="I1200" s="2" t="s">
        <v>3088</v>
      </c>
      <c r="J1200" s="2" t="s">
        <v>5988</v>
      </c>
      <c r="K1200" s="2" t="s">
        <v>48</v>
      </c>
      <c r="L1200" s="130" t="s">
        <v>15354</v>
      </c>
      <c r="M1200" s="2" t="s">
        <v>15356</v>
      </c>
      <c r="N1200" s="48"/>
      <c r="O1200" s="45" t="str">
        <f>HYPERLINK("https://connect.northernvermont.edu/register/?id=5bdce45b-f630-4604-b402-e39aa2ebb3e5","Questionnaire")</f>
        <v>Questionnaire</v>
      </c>
      <c r="P1200" s="48" t="s">
        <v>15364</v>
      </c>
      <c r="Q1200" s="60" t="s">
        <v>11589</v>
      </c>
      <c r="R1200" s="48" t="s">
        <v>263</v>
      </c>
      <c r="S1200" s="60" t="s">
        <v>205</v>
      </c>
      <c r="T1200" s="5" t="s">
        <v>74</v>
      </c>
      <c r="U1200" s="48" t="s">
        <v>75</v>
      </c>
      <c r="V1200" s="49"/>
      <c r="W1200" s="37">
        <v>3.32</v>
      </c>
      <c r="X1200" s="49" t="s">
        <v>15366</v>
      </c>
      <c r="Y1200" s="49" t="s">
        <v>3151</v>
      </c>
      <c r="Z1200" s="49" t="s">
        <v>2662</v>
      </c>
      <c r="AA1200" s="65">
        <v>0.95</v>
      </c>
      <c r="AB1200" s="48" t="s">
        <v>15367</v>
      </c>
      <c r="AC1200" s="62" t="s">
        <v>15364</v>
      </c>
      <c r="AD1200" s="53" t="str">
        <f>HYPERLINK("http://www.jsc.edu/academics/programs-by-type/undergraduate-studies/","Link")</f>
        <v>Link</v>
      </c>
      <c r="AE1200" s="54">
        <v>1358</v>
      </c>
      <c r="AF1200" s="55"/>
      <c r="AG1200" s="55"/>
      <c r="AH1200" s="56">
        <v>230913</v>
      </c>
      <c r="AI1200" s="56" t="s">
        <v>2459</v>
      </c>
    </row>
    <row r="1201" spans="1:35" ht="13" x14ac:dyDescent="0.15">
      <c r="A1201" s="57"/>
      <c r="B1201" s="78" t="s">
        <v>11575</v>
      </c>
      <c r="C1201" s="7" t="s">
        <v>43</v>
      </c>
      <c r="D1201" s="44">
        <v>5</v>
      </c>
      <c r="E1201" s="7" t="s">
        <v>15370</v>
      </c>
      <c r="F1201" s="7"/>
      <c r="G1201" s="7"/>
      <c r="H1201" s="6" t="s">
        <v>15371</v>
      </c>
      <c r="I1201" s="7" t="s">
        <v>6721</v>
      </c>
      <c r="J1201" s="7" t="s">
        <v>6725</v>
      </c>
      <c r="K1201" s="7" t="s">
        <v>48</v>
      </c>
      <c r="L1201" s="7" t="s">
        <v>15372</v>
      </c>
      <c r="M1201" s="7" t="s">
        <v>15373</v>
      </c>
      <c r="N1201" s="7"/>
      <c r="O1201" s="74" t="str">
        <f>HYPERLINK("https://www.norwichathletics.com/information/prospective_athletes_questionnaire","Questionnaire")</f>
        <v>Questionnaire</v>
      </c>
      <c r="P1201" s="7" t="s">
        <v>15382</v>
      </c>
      <c r="Q1201" s="36" t="s">
        <v>11589</v>
      </c>
      <c r="R1201" s="7" t="s">
        <v>6741</v>
      </c>
      <c r="S1201" s="60" t="s">
        <v>205</v>
      </c>
      <c r="T1201" s="49" t="s">
        <v>63</v>
      </c>
      <c r="U1201" s="7" t="s">
        <v>75</v>
      </c>
      <c r="V1201" s="7"/>
      <c r="W1201" s="44">
        <v>3.07</v>
      </c>
      <c r="X1201" s="7" t="s">
        <v>276</v>
      </c>
      <c r="Y1201" s="7" t="s">
        <v>2341</v>
      </c>
      <c r="Z1201" s="7" t="s">
        <v>278</v>
      </c>
      <c r="AA1201" s="61">
        <v>0.7</v>
      </c>
      <c r="AB1201" s="71">
        <v>54474</v>
      </c>
      <c r="AC1201" s="78" t="s">
        <v>15382</v>
      </c>
      <c r="AD1201" s="74" t="str">
        <f>HYPERLINK("http://academics.norwich.edu/colleges-programs/","Link")</f>
        <v>Link</v>
      </c>
      <c r="AE1201" s="54">
        <v>3152</v>
      </c>
      <c r="AF1201" s="55"/>
      <c r="AG1201" s="7"/>
      <c r="AH1201" s="56">
        <v>230995</v>
      </c>
      <c r="AI1201" s="56"/>
    </row>
    <row r="1202" spans="1:35" ht="13" x14ac:dyDescent="0.15">
      <c r="A1202" s="57"/>
      <c r="B1202" s="78" t="s">
        <v>1374</v>
      </c>
      <c r="C1202" s="7" t="s">
        <v>43</v>
      </c>
      <c r="D1202" s="44">
        <v>5</v>
      </c>
      <c r="E1202" s="7" t="s">
        <v>15386</v>
      </c>
      <c r="F1202" s="7"/>
      <c r="G1202" s="7"/>
      <c r="H1202" s="6" t="s">
        <v>15387</v>
      </c>
      <c r="I1202" s="7" t="s">
        <v>363</v>
      </c>
      <c r="J1202" s="7" t="s">
        <v>15388</v>
      </c>
      <c r="K1202" s="7" t="s">
        <v>48</v>
      </c>
      <c r="L1202" s="7" t="s">
        <v>15390</v>
      </c>
      <c r="M1202" s="7" t="s">
        <v>15391</v>
      </c>
      <c r="N1202" s="45" t="str">
        <f t="shared" ref="N1202:N1203" si="913">HYPERLINK("twitter.com/averettsoftball","@averettsoftball")</f>
        <v>@averettsoftball</v>
      </c>
      <c r="O1202" s="74" t="str">
        <f t="shared" ref="O1202:O1203" si="914">HYPERLINK("https://averettcougars.com/sports/2014/7/2/RecruitMe.aspx","Questionnaire")</f>
        <v>Questionnaire</v>
      </c>
      <c r="P1202" s="7" t="s">
        <v>15394</v>
      </c>
      <c r="Q1202" s="57" t="s">
        <v>1361</v>
      </c>
      <c r="R1202" s="48" t="s">
        <v>3452</v>
      </c>
      <c r="S1202" s="48" t="s">
        <v>468</v>
      </c>
      <c r="T1202" s="73" t="s">
        <v>63</v>
      </c>
      <c r="U1202" s="49" t="s">
        <v>2619</v>
      </c>
      <c r="V1202" s="7"/>
      <c r="W1202" s="44">
        <v>3.17</v>
      </c>
      <c r="X1202" s="7" t="s">
        <v>8138</v>
      </c>
      <c r="Y1202" s="7" t="s">
        <v>1946</v>
      </c>
      <c r="Z1202" s="49" t="s">
        <v>1302</v>
      </c>
      <c r="AA1202" s="51">
        <v>0.5665</v>
      </c>
      <c r="AB1202" s="71">
        <v>44336</v>
      </c>
      <c r="AC1202" s="92" t="s">
        <v>15394</v>
      </c>
      <c r="AD1202" s="53" t="str">
        <f t="shared" ref="AD1202:AD1203" si="915">HYPERLINK("https://www.averett.edu/academics/majors-and-programs/","Link")</f>
        <v>Link</v>
      </c>
      <c r="AE1202" s="54">
        <v>859</v>
      </c>
      <c r="AF1202" s="55"/>
      <c r="AG1202" s="7"/>
      <c r="AH1202" s="56">
        <v>231420</v>
      </c>
      <c r="AI1202" s="56"/>
    </row>
    <row r="1203" spans="1:35" ht="13" x14ac:dyDescent="0.15">
      <c r="A1203" s="57"/>
      <c r="B1203" s="78" t="s">
        <v>1374</v>
      </c>
      <c r="C1203" s="7" t="s">
        <v>43</v>
      </c>
      <c r="D1203" s="44">
        <v>5</v>
      </c>
      <c r="E1203" s="7" t="s">
        <v>15397</v>
      </c>
      <c r="F1203" s="7"/>
      <c r="G1203" s="7"/>
      <c r="H1203" s="6" t="s">
        <v>15387</v>
      </c>
      <c r="I1203" s="7" t="s">
        <v>3983</v>
      </c>
      <c r="J1203" s="7" t="s">
        <v>15388</v>
      </c>
      <c r="K1203" s="7" t="s">
        <v>55</v>
      </c>
      <c r="L1203" s="7" t="s">
        <v>15399</v>
      </c>
      <c r="M1203" s="7" t="s">
        <v>15391</v>
      </c>
      <c r="N1203" s="45" t="str">
        <f t="shared" si="913"/>
        <v>@averettsoftball</v>
      </c>
      <c r="O1203" s="74" t="str">
        <f t="shared" si="914"/>
        <v>Questionnaire</v>
      </c>
      <c r="P1203" s="7" t="s">
        <v>15394</v>
      </c>
      <c r="Q1203" s="57" t="s">
        <v>1361</v>
      </c>
      <c r="R1203" s="48" t="s">
        <v>3452</v>
      </c>
      <c r="S1203" s="48" t="s">
        <v>468</v>
      </c>
      <c r="T1203" s="73" t="s">
        <v>63</v>
      </c>
      <c r="U1203" s="49" t="s">
        <v>2619</v>
      </c>
      <c r="V1203" s="7"/>
      <c r="W1203" s="44">
        <v>3.17</v>
      </c>
      <c r="X1203" s="7" t="s">
        <v>8138</v>
      </c>
      <c r="Y1203" s="7" t="s">
        <v>1946</v>
      </c>
      <c r="Z1203" s="49" t="s">
        <v>1302</v>
      </c>
      <c r="AA1203" s="51">
        <v>0.5665</v>
      </c>
      <c r="AB1203" s="71">
        <v>44336</v>
      </c>
      <c r="AC1203" s="92" t="s">
        <v>15394</v>
      </c>
      <c r="AD1203" s="53" t="str">
        <f t="shared" si="915"/>
        <v>Link</v>
      </c>
      <c r="AE1203" s="54">
        <v>859</v>
      </c>
      <c r="AF1203" s="55"/>
      <c r="AG1203" s="7"/>
      <c r="AH1203" s="56">
        <v>231420</v>
      </c>
      <c r="AI1203" s="56"/>
    </row>
    <row r="1204" spans="1:35" ht="13" x14ac:dyDescent="0.15">
      <c r="A1204" s="57"/>
      <c r="B1204" s="78" t="s">
        <v>1374</v>
      </c>
      <c r="C1204" s="7" t="s">
        <v>43</v>
      </c>
      <c r="D1204" s="44">
        <v>5</v>
      </c>
      <c r="E1204" s="7" t="s">
        <v>15402</v>
      </c>
      <c r="F1204" s="7"/>
      <c r="G1204" s="7"/>
      <c r="H1204" s="6" t="s">
        <v>15404</v>
      </c>
      <c r="I1204" s="7" t="s">
        <v>306</v>
      </c>
      <c r="J1204" s="7" t="s">
        <v>15406</v>
      </c>
      <c r="K1204" s="7" t="s">
        <v>48</v>
      </c>
      <c r="L1204" s="7" t="s">
        <v>15409</v>
      </c>
      <c r="M1204" s="7" t="s">
        <v>15410</v>
      </c>
      <c r="N1204" s="45" t="str">
        <f t="shared" ref="N1204:N1207" si="916">HYPERLINK("twitter.com/Bh2osoftball","@Bh2osoftball")</f>
        <v>@Bh2osoftball</v>
      </c>
      <c r="O1204" s="74" t="str">
        <f t="shared" ref="O1204:O1207" si="917">HYPERLINK("https://www.bridgewatereagles.com/recruiting/index","Questionnaire")</f>
        <v>Questionnaire</v>
      </c>
      <c r="P1204" s="7" t="s">
        <v>15415</v>
      </c>
      <c r="Q1204" s="36" t="s">
        <v>1361</v>
      </c>
      <c r="R1204" s="48" t="s">
        <v>4740</v>
      </c>
      <c r="S1204" s="60" t="s">
        <v>205</v>
      </c>
      <c r="T1204" s="49" t="s">
        <v>63</v>
      </c>
      <c r="U1204" s="49" t="s">
        <v>2769</v>
      </c>
      <c r="V1204" s="7"/>
      <c r="W1204" s="44">
        <v>3.53</v>
      </c>
      <c r="X1204" s="7" t="s">
        <v>521</v>
      </c>
      <c r="Y1204" s="7" t="s">
        <v>397</v>
      </c>
      <c r="Z1204" s="49" t="s">
        <v>278</v>
      </c>
      <c r="AA1204" s="51">
        <v>0.52749999999999997</v>
      </c>
      <c r="AB1204" s="71">
        <v>47940</v>
      </c>
      <c r="AC1204" s="90" t="s">
        <v>15415</v>
      </c>
      <c r="AD1204" s="53" t="str">
        <f t="shared" ref="AD1204:AD1207" si="918">HYPERLINK("https://www.bridgewater.edu/academics/college-catalog/majors-minors-and-programs","Link")</f>
        <v>Link</v>
      </c>
      <c r="AE1204" s="54">
        <v>1882</v>
      </c>
      <c r="AF1204" s="55"/>
      <c r="AG1204" s="7"/>
      <c r="AH1204" s="56">
        <v>231581</v>
      </c>
      <c r="AI1204" s="56"/>
    </row>
    <row r="1205" spans="1:35" ht="13" x14ac:dyDescent="0.15">
      <c r="A1205" s="57"/>
      <c r="B1205" s="78" t="s">
        <v>1374</v>
      </c>
      <c r="C1205" s="7" t="s">
        <v>43</v>
      </c>
      <c r="D1205" s="44">
        <v>5</v>
      </c>
      <c r="E1205" s="7" t="s">
        <v>15422</v>
      </c>
      <c r="F1205" s="7"/>
      <c r="G1205" s="7"/>
      <c r="H1205" s="6" t="s">
        <v>15404</v>
      </c>
      <c r="I1205" s="7" t="s">
        <v>11848</v>
      </c>
      <c r="J1205" s="7" t="s">
        <v>15423</v>
      </c>
      <c r="K1205" s="7" t="s">
        <v>55</v>
      </c>
      <c r="L1205" s="7" t="s">
        <v>15424</v>
      </c>
      <c r="M1205" s="7"/>
      <c r="N1205" s="45" t="str">
        <f t="shared" si="916"/>
        <v>@Bh2osoftball</v>
      </c>
      <c r="O1205" s="74" t="str">
        <f t="shared" si="917"/>
        <v>Questionnaire</v>
      </c>
      <c r="P1205" s="7" t="s">
        <v>15415</v>
      </c>
      <c r="Q1205" s="36" t="s">
        <v>1361</v>
      </c>
      <c r="R1205" s="48" t="s">
        <v>4740</v>
      </c>
      <c r="S1205" s="60" t="s">
        <v>205</v>
      </c>
      <c r="T1205" s="49" t="s">
        <v>63</v>
      </c>
      <c r="U1205" s="49" t="s">
        <v>2769</v>
      </c>
      <c r="V1205" s="7"/>
      <c r="W1205" s="44">
        <v>3.53</v>
      </c>
      <c r="X1205" s="7" t="s">
        <v>521</v>
      </c>
      <c r="Y1205" s="7" t="s">
        <v>397</v>
      </c>
      <c r="Z1205" s="49" t="s">
        <v>278</v>
      </c>
      <c r="AA1205" s="51">
        <v>0.52749999999999997</v>
      </c>
      <c r="AB1205" s="71">
        <v>47940</v>
      </c>
      <c r="AC1205" s="90" t="s">
        <v>15415</v>
      </c>
      <c r="AD1205" s="53" t="str">
        <f t="shared" si="918"/>
        <v>Link</v>
      </c>
      <c r="AE1205" s="54">
        <v>1882</v>
      </c>
      <c r="AF1205" s="55"/>
      <c r="AG1205" s="7"/>
      <c r="AH1205" s="56">
        <v>231581</v>
      </c>
      <c r="AI1205" s="56"/>
    </row>
    <row r="1206" spans="1:35" ht="13" x14ac:dyDescent="0.15">
      <c r="A1206" s="57"/>
      <c r="B1206" s="78" t="s">
        <v>1374</v>
      </c>
      <c r="C1206" s="7" t="s">
        <v>43</v>
      </c>
      <c r="D1206" s="44">
        <v>5</v>
      </c>
      <c r="E1206" s="7" t="s">
        <v>15429</v>
      </c>
      <c r="F1206" s="7"/>
      <c r="G1206" s="7"/>
      <c r="H1206" s="6" t="s">
        <v>15404</v>
      </c>
      <c r="I1206" s="7" t="s">
        <v>7478</v>
      </c>
      <c r="J1206" s="7" t="s">
        <v>15430</v>
      </c>
      <c r="K1206" s="7" t="s">
        <v>139</v>
      </c>
      <c r="L1206" s="7"/>
      <c r="M1206" s="7"/>
      <c r="N1206" s="45" t="str">
        <f t="shared" si="916"/>
        <v>@Bh2osoftball</v>
      </c>
      <c r="O1206" s="74" t="str">
        <f t="shared" si="917"/>
        <v>Questionnaire</v>
      </c>
      <c r="P1206" s="7" t="s">
        <v>15415</v>
      </c>
      <c r="Q1206" s="36" t="s">
        <v>1361</v>
      </c>
      <c r="R1206" s="48" t="s">
        <v>4740</v>
      </c>
      <c r="S1206" s="60" t="s">
        <v>205</v>
      </c>
      <c r="T1206" s="49" t="s">
        <v>63</v>
      </c>
      <c r="U1206" s="49" t="s">
        <v>2769</v>
      </c>
      <c r="V1206" s="7"/>
      <c r="W1206" s="44">
        <v>3.53</v>
      </c>
      <c r="X1206" s="7" t="s">
        <v>521</v>
      </c>
      <c r="Y1206" s="7" t="s">
        <v>397</v>
      </c>
      <c r="Z1206" s="49" t="s">
        <v>278</v>
      </c>
      <c r="AA1206" s="51">
        <v>0.52749999999999997</v>
      </c>
      <c r="AB1206" s="71">
        <v>47940</v>
      </c>
      <c r="AC1206" s="90" t="s">
        <v>15415</v>
      </c>
      <c r="AD1206" s="53" t="str">
        <f t="shared" si="918"/>
        <v>Link</v>
      </c>
      <c r="AE1206" s="54">
        <v>1882</v>
      </c>
      <c r="AF1206" s="55"/>
      <c r="AG1206" s="7"/>
      <c r="AH1206" s="56">
        <v>231581</v>
      </c>
      <c r="AI1206" s="56"/>
    </row>
    <row r="1207" spans="1:35" ht="13" x14ac:dyDescent="0.15">
      <c r="A1207" s="57"/>
      <c r="B1207" s="78" t="s">
        <v>1374</v>
      </c>
      <c r="C1207" s="7" t="s">
        <v>43</v>
      </c>
      <c r="D1207" s="44">
        <v>5</v>
      </c>
      <c r="E1207" s="7" t="s">
        <v>15432</v>
      </c>
      <c r="F1207" s="7"/>
      <c r="G1207" s="7" t="s">
        <v>126</v>
      </c>
      <c r="H1207" s="6" t="s">
        <v>15404</v>
      </c>
      <c r="I1207" s="7" t="s">
        <v>15433</v>
      </c>
      <c r="J1207" s="7"/>
      <c r="K1207" s="7"/>
      <c r="L1207" s="7"/>
      <c r="M1207" s="7"/>
      <c r="N1207" s="45" t="str">
        <f t="shared" si="916"/>
        <v>@Bh2osoftball</v>
      </c>
      <c r="O1207" s="74" t="str">
        <f t="shared" si="917"/>
        <v>Questionnaire</v>
      </c>
      <c r="P1207" s="7" t="s">
        <v>15415</v>
      </c>
      <c r="Q1207" s="36" t="s">
        <v>1361</v>
      </c>
      <c r="R1207" s="48" t="s">
        <v>4740</v>
      </c>
      <c r="S1207" s="60" t="s">
        <v>205</v>
      </c>
      <c r="T1207" s="49" t="s">
        <v>63</v>
      </c>
      <c r="U1207" s="49" t="s">
        <v>2769</v>
      </c>
      <c r="V1207" s="7"/>
      <c r="W1207" s="44">
        <v>3.53</v>
      </c>
      <c r="X1207" s="7" t="s">
        <v>521</v>
      </c>
      <c r="Y1207" s="7" t="s">
        <v>397</v>
      </c>
      <c r="Z1207" s="49" t="s">
        <v>278</v>
      </c>
      <c r="AA1207" s="51">
        <v>0.52749999999999997</v>
      </c>
      <c r="AB1207" s="71">
        <v>47940</v>
      </c>
      <c r="AC1207" s="90" t="s">
        <v>15415</v>
      </c>
      <c r="AD1207" s="53" t="str">
        <f t="shared" si="918"/>
        <v>Link</v>
      </c>
      <c r="AE1207" s="54">
        <v>1882</v>
      </c>
      <c r="AF1207" s="55"/>
      <c r="AG1207" s="7"/>
      <c r="AH1207" s="56">
        <v>231581</v>
      </c>
      <c r="AI1207" s="56"/>
    </row>
    <row r="1208" spans="1:35" ht="15" x14ac:dyDescent="0.2">
      <c r="A1208" s="57"/>
      <c r="B1208" s="78" t="s">
        <v>1374</v>
      </c>
      <c r="C1208" s="7" t="s">
        <v>43</v>
      </c>
      <c r="D1208" s="44">
        <v>5</v>
      </c>
      <c r="E1208" s="7" t="s">
        <v>15444</v>
      </c>
      <c r="F1208" s="7"/>
      <c r="G1208" s="7"/>
      <c r="H1208" s="6" t="s">
        <v>15445</v>
      </c>
      <c r="I1208" s="7" t="s">
        <v>3026</v>
      </c>
      <c r="J1208" s="7" t="s">
        <v>14691</v>
      </c>
      <c r="K1208" s="7" t="s">
        <v>48</v>
      </c>
      <c r="L1208" s="7" t="s">
        <v>15447</v>
      </c>
      <c r="M1208" s="7" t="s">
        <v>15448</v>
      </c>
      <c r="N1208" s="45" t="str">
        <f t="shared" ref="N1208:N1211" si="919">HYPERLINK("twitter.com/CNUSoftball","@CNUSoftball")</f>
        <v>@CNUSoftball</v>
      </c>
      <c r="O1208" s="7" t="s">
        <v>22</v>
      </c>
      <c r="P1208" s="7" t="s">
        <v>15451</v>
      </c>
      <c r="Q1208" s="57" t="s">
        <v>1361</v>
      </c>
      <c r="R1208" s="48" t="s">
        <v>15452</v>
      </c>
      <c r="S1208" s="48" t="s">
        <v>62</v>
      </c>
      <c r="T1208" s="49" t="s">
        <v>74</v>
      </c>
      <c r="U1208" s="49" t="s">
        <v>75</v>
      </c>
      <c r="V1208" s="7"/>
      <c r="W1208" s="44">
        <v>3.79</v>
      </c>
      <c r="X1208" s="7" t="s">
        <v>1319</v>
      </c>
      <c r="Y1208" s="7" t="s">
        <v>415</v>
      </c>
      <c r="Z1208" s="49" t="s">
        <v>78</v>
      </c>
      <c r="AA1208" s="51">
        <v>0.62160000000000004</v>
      </c>
      <c r="AB1208" s="48" t="s">
        <v>15453</v>
      </c>
      <c r="AC1208" s="52" t="s">
        <v>15451</v>
      </c>
      <c r="AD1208" s="53" t="str">
        <f t="shared" ref="AD1208:AD1211" si="920">HYPERLINK("https://cnu.edu/academics/areasofstudy/","Link")</f>
        <v>Link</v>
      </c>
      <c r="AE1208" s="54">
        <v>4930</v>
      </c>
      <c r="AF1208" s="55"/>
      <c r="AG1208" s="7"/>
      <c r="AH1208" s="56">
        <v>231712</v>
      </c>
      <c r="AI1208" s="56"/>
    </row>
    <row r="1209" spans="1:35" ht="15" x14ac:dyDescent="0.2">
      <c r="A1209" s="57"/>
      <c r="B1209" s="78" t="s">
        <v>1374</v>
      </c>
      <c r="C1209" s="7" t="s">
        <v>43</v>
      </c>
      <c r="D1209" s="44">
        <v>5</v>
      </c>
      <c r="E1209" s="7" t="s">
        <v>15458</v>
      </c>
      <c r="F1209" s="7"/>
      <c r="G1209" s="7"/>
      <c r="H1209" s="6" t="s">
        <v>15445</v>
      </c>
      <c r="I1209" s="7" t="s">
        <v>501</v>
      </c>
      <c r="J1209" s="7" t="s">
        <v>15459</v>
      </c>
      <c r="K1209" s="7" t="s">
        <v>55</v>
      </c>
      <c r="L1209" s="7" t="s">
        <v>15460</v>
      </c>
      <c r="M1209" s="7" t="s">
        <v>15461</v>
      </c>
      <c r="N1209" s="45" t="str">
        <f t="shared" si="919"/>
        <v>@CNUSoftball</v>
      </c>
      <c r="O1209" s="7" t="s">
        <v>22</v>
      </c>
      <c r="P1209" s="7" t="s">
        <v>15451</v>
      </c>
      <c r="Q1209" s="57" t="s">
        <v>1361</v>
      </c>
      <c r="R1209" s="48" t="s">
        <v>15452</v>
      </c>
      <c r="S1209" s="48" t="s">
        <v>62</v>
      </c>
      <c r="T1209" s="49" t="s">
        <v>74</v>
      </c>
      <c r="U1209" s="49" t="s">
        <v>75</v>
      </c>
      <c r="V1209" s="7"/>
      <c r="W1209" s="44">
        <v>3.79</v>
      </c>
      <c r="X1209" s="7" t="s">
        <v>1319</v>
      </c>
      <c r="Y1209" s="7" t="s">
        <v>415</v>
      </c>
      <c r="Z1209" s="49" t="s">
        <v>78</v>
      </c>
      <c r="AA1209" s="51">
        <v>0.62160000000000004</v>
      </c>
      <c r="AB1209" s="48" t="s">
        <v>15453</v>
      </c>
      <c r="AC1209" s="52" t="s">
        <v>15451</v>
      </c>
      <c r="AD1209" s="53" t="str">
        <f t="shared" si="920"/>
        <v>Link</v>
      </c>
      <c r="AE1209" s="54">
        <v>4930</v>
      </c>
      <c r="AF1209" s="55"/>
      <c r="AG1209" s="7"/>
      <c r="AH1209" s="56">
        <v>231712</v>
      </c>
      <c r="AI1209" s="56"/>
    </row>
    <row r="1210" spans="1:35" ht="15" x14ac:dyDescent="0.2">
      <c r="A1210" s="57"/>
      <c r="B1210" s="78" t="s">
        <v>1374</v>
      </c>
      <c r="C1210" s="7" t="s">
        <v>43</v>
      </c>
      <c r="D1210" s="44">
        <v>5</v>
      </c>
      <c r="E1210" s="7" t="s">
        <v>15464</v>
      </c>
      <c r="F1210" s="7"/>
      <c r="G1210" s="7"/>
      <c r="H1210" s="6" t="s">
        <v>15445</v>
      </c>
      <c r="I1210" s="7" t="s">
        <v>6840</v>
      </c>
      <c r="J1210" s="7" t="s">
        <v>15467</v>
      </c>
      <c r="K1210" s="7" t="s">
        <v>55</v>
      </c>
      <c r="L1210" s="7"/>
      <c r="M1210" s="7"/>
      <c r="N1210" s="45" t="str">
        <f t="shared" si="919"/>
        <v>@CNUSoftball</v>
      </c>
      <c r="O1210" s="7" t="s">
        <v>22</v>
      </c>
      <c r="P1210" s="7" t="s">
        <v>15451</v>
      </c>
      <c r="Q1210" s="57" t="s">
        <v>1361</v>
      </c>
      <c r="R1210" s="48" t="s">
        <v>15452</v>
      </c>
      <c r="S1210" s="48" t="s">
        <v>62</v>
      </c>
      <c r="T1210" s="49" t="s">
        <v>74</v>
      </c>
      <c r="U1210" s="49" t="s">
        <v>75</v>
      </c>
      <c r="V1210" s="7"/>
      <c r="W1210" s="44">
        <v>3.79</v>
      </c>
      <c r="X1210" s="7" t="s">
        <v>1319</v>
      </c>
      <c r="Y1210" s="7" t="s">
        <v>415</v>
      </c>
      <c r="Z1210" s="49" t="s">
        <v>78</v>
      </c>
      <c r="AA1210" s="51">
        <v>0.62160000000000004</v>
      </c>
      <c r="AB1210" s="48" t="s">
        <v>15453</v>
      </c>
      <c r="AC1210" s="52" t="s">
        <v>15451</v>
      </c>
      <c r="AD1210" s="53" t="str">
        <f t="shared" si="920"/>
        <v>Link</v>
      </c>
      <c r="AE1210" s="54">
        <v>4930</v>
      </c>
      <c r="AF1210" s="55"/>
      <c r="AG1210" s="7"/>
      <c r="AH1210" s="56">
        <v>231712</v>
      </c>
      <c r="AI1210" s="56"/>
    </row>
    <row r="1211" spans="1:35" ht="15" x14ac:dyDescent="0.2">
      <c r="A1211" s="57"/>
      <c r="B1211" s="78" t="s">
        <v>1374</v>
      </c>
      <c r="C1211" s="7" t="s">
        <v>43</v>
      </c>
      <c r="D1211" s="44">
        <v>5</v>
      </c>
      <c r="E1211" s="7" t="s">
        <v>15471</v>
      </c>
      <c r="F1211" s="7"/>
      <c r="G1211" s="7"/>
      <c r="H1211" s="6" t="s">
        <v>15445</v>
      </c>
      <c r="I1211" s="7" t="s">
        <v>2150</v>
      </c>
      <c r="J1211" s="7" t="s">
        <v>6278</v>
      </c>
      <c r="K1211" s="7" t="s">
        <v>55</v>
      </c>
      <c r="L1211" s="7"/>
      <c r="M1211" s="7"/>
      <c r="N1211" s="45" t="str">
        <f t="shared" si="919"/>
        <v>@CNUSoftball</v>
      </c>
      <c r="O1211" s="7" t="s">
        <v>22</v>
      </c>
      <c r="P1211" s="7" t="s">
        <v>15451</v>
      </c>
      <c r="Q1211" s="57" t="s">
        <v>1361</v>
      </c>
      <c r="R1211" s="48" t="s">
        <v>15452</v>
      </c>
      <c r="S1211" s="48" t="s">
        <v>62</v>
      </c>
      <c r="T1211" s="49" t="s">
        <v>74</v>
      </c>
      <c r="U1211" s="49" t="s">
        <v>75</v>
      </c>
      <c r="V1211" s="7"/>
      <c r="W1211" s="44">
        <v>3.79</v>
      </c>
      <c r="X1211" s="7" t="s">
        <v>1319</v>
      </c>
      <c r="Y1211" s="7" t="s">
        <v>415</v>
      </c>
      <c r="Z1211" s="49" t="s">
        <v>78</v>
      </c>
      <c r="AA1211" s="51">
        <v>0.62160000000000004</v>
      </c>
      <c r="AB1211" s="48" t="s">
        <v>15453</v>
      </c>
      <c r="AC1211" s="52" t="s">
        <v>15451</v>
      </c>
      <c r="AD1211" s="53" t="str">
        <f t="shared" si="920"/>
        <v>Link</v>
      </c>
      <c r="AE1211" s="54">
        <v>4930</v>
      </c>
      <c r="AF1211" s="55"/>
      <c r="AG1211" s="7"/>
      <c r="AH1211" s="56">
        <v>231712</v>
      </c>
      <c r="AI1211" s="56"/>
    </row>
    <row r="1212" spans="1:35" ht="13" x14ac:dyDescent="0.15">
      <c r="A1212" s="57"/>
      <c r="B1212" s="78" t="s">
        <v>1374</v>
      </c>
      <c r="C1212" s="7" t="s">
        <v>43</v>
      </c>
      <c r="D1212" s="44">
        <v>5</v>
      </c>
      <c r="E1212" s="7" t="s">
        <v>15472</v>
      </c>
      <c r="F1212" s="7"/>
      <c r="G1212" s="7"/>
      <c r="H1212" s="6" t="s">
        <v>15473</v>
      </c>
      <c r="I1212" s="7" t="s">
        <v>15475</v>
      </c>
      <c r="J1212" s="7" t="s">
        <v>15476</v>
      </c>
      <c r="K1212" s="7" t="s">
        <v>48</v>
      </c>
      <c r="L1212" s="7" t="s">
        <v>15477</v>
      </c>
      <c r="M1212" s="7" t="s">
        <v>15478</v>
      </c>
      <c r="N1212" s="48"/>
      <c r="O1212" s="74" t="str">
        <f t="shared" ref="O1212:O1213" si="921">HYPERLINK("https://www.emuroyals.com/recruits/index","Questionnaire")</f>
        <v>Questionnaire</v>
      </c>
      <c r="P1212" s="7" t="s">
        <v>15486</v>
      </c>
      <c r="Q1212" s="57" t="s">
        <v>1361</v>
      </c>
      <c r="R1212" s="48" t="s">
        <v>15487</v>
      </c>
      <c r="S1212" s="48" t="s">
        <v>186</v>
      </c>
      <c r="T1212" s="49" t="s">
        <v>63</v>
      </c>
      <c r="U1212" s="49" t="s">
        <v>11123</v>
      </c>
      <c r="V1212" s="7"/>
      <c r="W1212" s="44">
        <v>3.56</v>
      </c>
      <c r="X1212" s="7" t="s">
        <v>5423</v>
      </c>
      <c r="Y1212" s="7" t="s">
        <v>1622</v>
      </c>
      <c r="Z1212" s="49" t="s">
        <v>15490</v>
      </c>
      <c r="AA1212" s="61">
        <v>0.61</v>
      </c>
      <c r="AB1212" s="71">
        <v>47600</v>
      </c>
      <c r="AC1212" s="62" t="s">
        <v>15486</v>
      </c>
      <c r="AD1212" s="53" t="str">
        <f t="shared" ref="AD1212:AD1214" si="922">HYPERLINK("https://emu.edu/academics/degree-programs","Link")</f>
        <v>Link</v>
      </c>
      <c r="AE1212" s="54">
        <v>1259</v>
      </c>
      <c r="AF1212" s="55"/>
      <c r="AG1212" s="7"/>
      <c r="AH1212" s="56">
        <v>232043</v>
      </c>
      <c r="AI1212" s="56"/>
    </row>
    <row r="1213" spans="1:35" ht="13" x14ac:dyDescent="0.15">
      <c r="A1213" s="57"/>
      <c r="B1213" s="78" t="s">
        <v>1374</v>
      </c>
      <c r="C1213" s="7" t="s">
        <v>43</v>
      </c>
      <c r="D1213" s="44">
        <v>5</v>
      </c>
      <c r="E1213" s="7" t="s">
        <v>15494</v>
      </c>
      <c r="F1213" s="7"/>
      <c r="G1213" s="7"/>
      <c r="H1213" s="6" t="s">
        <v>15473</v>
      </c>
      <c r="I1213" s="7" t="s">
        <v>442</v>
      </c>
      <c r="J1213" s="7" t="s">
        <v>2919</v>
      </c>
      <c r="K1213" s="7" t="s">
        <v>120</v>
      </c>
      <c r="L1213" s="7" t="s">
        <v>15498</v>
      </c>
      <c r="M1213" s="7"/>
      <c r="N1213" s="48"/>
      <c r="O1213" s="74" t="str">
        <f t="shared" si="921"/>
        <v>Questionnaire</v>
      </c>
      <c r="P1213" s="7" t="s">
        <v>15486</v>
      </c>
      <c r="Q1213" s="57" t="s">
        <v>1361</v>
      </c>
      <c r="R1213" s="48" t="s">
        <v>15487</v>
      </c>
      <c r="S1213" s="48" t="s">
        <v>186</v>
      </c>
      <c r="T1213" s="49" t="s">
        <v>63</v>
      </c>
      <c r="U1213" s="49" t="s">
        <v>11123</v>
      </c>
      <c r="V1213" s="7"/>
      <c r="W1213" s="44">
        <v>3.56</v>
      </c>
      <c r="X1213" s="7" t="s">
        <v>5423</v>
      </c>
      <c r="Y1213" s="7" t="s">
        <v>1622</v>
      </c>
      <c r="Z1213" s="49" t="s">
        <v>15490</v>
      </c>
      <c r="AA1213" s="61">
        <v>0.61</v>
      </c>
      <c r="AB1213" s="71">
        <v>47600</v>
      </c>
      <c r="AC1213" s="62" t="s">
        <v>15486</v>
      </c>
      <c r="AD1213" s="53" t="str">
        <f t="shared" si="922"/>
        <v>Link</v>
      </c>
      <c r="AE1213" s="54">
        <v>1259</v>
      </c>
      <c r="AF1213" s="55"/>
      <c r="AG1213" s="7"/>
      <c r="AH1213" s="56">
        <v>232043</v>
      </c>
      <c r="AI1213" s="56"/>
    </row>
    <row r="1214" spans="1:35" ht="13" x14ac:dyDescent="0.15">
      <c r="A1214" s="57"/>
      <c r="B1214" s="78" t="s">
        <v>1374</v>
      </c>
      <c r="C1214" s="7" t="s">
        <v>43</v>
      </c>
      <c r="D1214" s="44">
        <v>5</v>
      </c>
      <c r="E1214" s="7" t="s">
        <v>15500</v>
      </c>
      <c r="F1214" s="7"/>
      <c r="G1214" s="7"/>
      <c r="H1214" s="6" t="s">
        <v>15473</v>
      </c>
      <c r="I1214" s="7" t="s">
        <v>15501</v>
      </c>
      <c r="J1214" s="7" t="s">
        <v>15502</v>
      </c>
      <c r="K1214" s="7" t="s">
        <v>55</v>
      </c>
      <c r="L1214" s="7"/>
      <c r="M1214" s="7"/>
      <c r="N1214" s="7"/>
      <c r="O1214" s="7"/>
      <c r="P1214" s="7" t="s">
        <v>15486</v>
      </c>
      <c r="Q1214" s="57" t="s">
        <v>1361</v>
      </c>
      <c r="R1214" s="48" t="s">
        <v>15487</v>
      </c>
      <c r="S1214" s="48" t="s">
        <v>186</v>
      </c>
      <c r="T1214" s="49" t="s">
        <v>63</v>
      </c>
      <c r="U1214" s="49" t="s">
        <v>11123</v>
      </c>
      <c r="V1214" s="7"/>
      <c r="W1214" s="44">
        <v>3.56</v>
      </c>
      <c r="X1214" s="7" t="s">
        <v>5423</v>
      </c>
      <c r="Y1214" s="7" t="s">
        <v>1622</v>
      </c>
      <c r="Z1214" s="49" t="s">
        <v>15490</v>
      </c>
      <c r="AA1214" s="61">
        <v>0.61</v>
      </c>
      <c r="AB1214" s="71">
        <v>47600</v>
      </c>
      <c r="AC1214" s="62" t="s">
        <v>15486</v>
      </c>
      <c r="AD1214" s="53" t="str">
        <f t="shared" si="922"/>
        <v>Link</v>
      </c>
      <c r="AE1214" s="54">
        <v>1259</v>
      </c>
      <c r="AF1214" s="55"/>
      <c r="AG1214" s="7"/>
      <c r="AH1214" s="56">
        <v>232043</v>
      </c>
      <c r="AI1214" s="56"/>
    </row>
    <row r="1215" spans="1:35" ht="13" x14ac:dyDescent="0.15">
      <c r="A1215" s="57"/>
      <c r="B1215" s="78" t="s">
        <v>1374</v>
      </c>
      <c r="C1215" s="7" t="s">
        <v>43</v>
      </c>
      <c r="D1215" s="44">
        <v>5</v>
      </c>
      <c r="E1215" s="7" t="s">
        <v>15505</v>
      </c>
      <c r="F1215" s="7"/>
      <c r="G1215" s="7"/>
      <c r="H1215" s="6" t="s">
        <v>15506</v>
      </c>
      <c r="I1215" s="7" t="s">
        <v>458</v>
      </c>
      <c r="J1215" s="7" t="s">
        <v>15508</v>
      </c>
      <c r="K1215" s="7" t="s">
        <v>48</v>
      </c>
      <c r="L1215" s="7" t="s">
        <v>15510</v>
      </c>
      <c r="M1215" s="7" t="s">
        <v>15513</v>
      </c>
      <c r="N1215" s="45" t="str">
        <f t="shared" ref="N1215:N1216" si="923">HYPERLINK("twitter.com/EHC_SB","@EHC_SB")</f>
        <v>@EHC_SB</v>
      </c>
      <c r="O1215" s="74" t="str">
        <f t="shared" ref="O1215:O1216" si="924">HYPERLINK("https://www.gowasps.com/student_athletes/recruiting/index","Questionnaire")</f>
        <v>Questionnaire</v>
      </c>
      <c r="P1215" s="7" t="s">
        <v>15519</v>
      </c>
      <c r="Q1215" s="36" t="s">
        <v>1361</v>
      </c>
      <c r="R1215" s="48" t="s">
        <v>15520</v>
      </c>
      <c r="S1215" s="60" t="s">
        <v>205</v>
      </c>
      <c r="T1215" s="49" t="s">
        <v>63</v>
      </c>
      <c r="U1215" s="49" t="s">
        <v>65</v>
      </c>
      <c r="V1215" s="7"/>
      <c r="W1215" s="44">
        <v>3.58</v>
      </c>
      <c r="X1215" s="7" t="s">
        <v>1029</v>
      </c>
      <c r="Y1215" s="7" t="s">
        <v>1144</v>
      </c>
      <c r="Z1215" s="49" t="s">
        <v>746</v>
      </c>
      <c r="AA1215" s="61">
        <v>0.7</v>
      </c>
      <c r="AB1215" s="71">
        <v>48100</v>
      </c>
      <c r="AC1215" s="90" t="s">
        <v>15519</v>
      </c>
      <c r="AD1215" s="53" t="str">
        <f t="shared" ref="AD1215:AD1216" si="925">HYPERLINK("https://www.ehc.edu/academics/","Link")</f>
        <v>Link</v>
      </c>
      <c r="AE1215" s="54">
        <v>1024</v>
      </c>
      <c r="AF1215" s="55"/>
      <c r="AG1215" s="44">
        <v>168</v>
      </c>
      <c r="AH1215" s="56">
        <v>232025</v>
      </c>
      <c r="AI1215" s="56"/>
    </row>
    <row r="1216" spans="1:35" ht="13" x14ac:dyDescent="0.15">
      <c r="A1216" s="57"/>
      <c r="B1216" s="78" t="s">
        <v>1374</v>
      </c>
      <c r="C1216" s="7" t="s">
        <v>43</v>
      </c>
      <c r="D1216" s="44">
        <v>5</v>
      </c>
      <c r="E1216" s="7" t="s">
        <v>15525</v>
      </c>
      <c r="F1216" s="7"/>
      <c r="G1216" s="7"/>
      <c r="H1216" s="6" t="s">
        <v>15506</v>
      </c>
      <c r="I1216" s="7" t="s">
        <v>15526</v>
      </c>
      <c r="J1216" s="7" t="s">
        <v>11271</v>
      </c>
      <c r="K1216" s="7" t="s">
        <v>55</v>
      </c>
      <c r="L1216" s="7" t="s">
        <v>15527</v>
      </c>
      <c r="M1216" s="7" t="s">
        <v>15528</v>
      </c>
      <c r="N1216" s="45" t="str">
        <f t="shared" si="923"/>
        <v>@EHC_SB</v>
      </c>
      <c r="O1216" s="74" t="str">
        <f t="shared" si="924"/>
        <v>Questionnaire</v>
      </c>
      <c r="P1216" s="7" t="s">
        <v>15519</v>
      </c>
      <c r="Q1216" s="36" t="s">
        <v>1361</v>
      </c>
      <c r="R1216" s="48" t="s">
        <v>15520</v>
      </c>
      <c r="S1216" s="60" t="s">
        <v>205</v>
      </c>
      <c r="T1216" s="49" t="s">
        <v>63</v>
      </c>
      <c r="U1216" s="49" t="s">
        <v>65</v>
      </c>
      <c r="V1216" s="7"/>
      <c r="W1216" s="44">
        <v>3.58</v>
      </c>
      <c r="X1216" s="7" t="s">
        <v>1029</v>
      </c>
      <c r="Y1216" s="7" t="s">
        <v>1144</v>
      </c>
      <c r="Z1216" s="49" t="s">
        <v>746</v>
      </c>
      <c r="AA1216" s="61">
        <v>0.7</v>
      </c>
      <c r="AB1216" s="71">
        <v>48100</v>
      </c>
      <c r="AC1216" s="90" t="s">
        <v>15519</v>
      </c>
      <c r="AD1216" s="53" t="str">
        <f t="shared" si="925"/>
        <v>Link</v>
      </c>
      <c r="AE1216" s="54">
        <v>1024</v>
      </c>
      <c r="AF1216" s="55"/>
      <c r="AG1216" s="44">
        <v>168</v>
      </c>
      <c r="AH1216" s="56">
        <v>232025</v>
      </c>
      <c r="AI1216" s="56"/>
    </row>
    <row r="1217" spans="1:35" ht="13" x14ac:dyDescent="0.15">
      <c r="A1217" s="57"/>
      <c r="B1217" s="78" t="s">
        <v>1374</v>
      </c>
      <c r="C1217" s="7" t="s">
        <v>43</v>
      </c>
      <c r="D1217" s="44">
        <v>5</v>
      </c>
      <c r="E1217" s="7" t="s">
        <v>15536</v>
      </c>
      <c r="F1217" s="7"/>
      <c r="G1217" s="7"/>
      <c r="H1217" s="6" t="s">
        <v>15537</v>
      </c>
      <c r="I1217" s="7" t="s">
        <v>15539</v>
      </c>
      <c r="J1217" s="7" t="s">
        <v>15541</v>
      </c>
      <c r="K1217" s="7" t="s">
        <v>48</v>
      </c>
      <c r="L1217" s="7" t="s">
        <v>15543</v>
      </c>
      <c r="M1217" s="7" t="s">
        <v>15544</v>
      </c>
      <c r="N1217" s="45" t="str">
        <f t="shared" ref="N1217:N1220" si="926">HYPERLINK("twitter.com/softballferrum","@softballferrum")</f>
        <v>@softballferrum</v>
      </c>
      <c r="O1217" s="74" t="str">
        <f t="shared" ref="O1217:O1220" si="927">HYPERLINK("https://www.ferrumpanthers.com/athletics/questionnaires","Questionnaire")</f>
        <v>Questionnaire</v>
      </c>
      <c r="P1217" s="7" t="s">
        <v>15545</v>
      </c>
      <c r="Q1217" s="57" t="s">
        <v>1361</v>
      </c>
      <c r="R1217" s="48" t="s">
        <v>15545</v>
      </c>
      <c r="S1217" s="60" t="s">
        <v>205</v>
      </c>
      <c r="T1217" s="49" t="s">
        <v>63</v>
      </c>
      <c r="U1217" s="49" t="s">
        <v>65</v>
      </c>
      <c r="V1217" s="7"/>
      <c r="W1217" s="44">
        <v>2.88</v>
      </c>
      <c r="X1217" s="7" t="s">
        <v>12126</v>
      </c>
      <c r="Y1217" s="7" t="s">
        <v>7924</v>
      </c>
      <c r="Z1217" s="49" t="s">
        <v>7983</v>
      </c>
      <c r="AA1217" s="61">
        <v>0.72</v>
      </c>
      <c r="AB1217" s="71">
        <v>45480</v>
      </c>
      <c r="AC1217" s="92" t="s">
        <v>15545</v>
      </c>
      <c r="AD1217" s="53" t="str">
        <f t="shared" ref="AD1217:AD1220" si="928">HYPERLINK("http://www.ferrum.edu/academics/majorsminors/","Link")</f>
        <v>Link</v>
      </c>
      <c r="AE1217" s="54">
        <v>1294</v>
      </c>
      <c r="AF1217" s="55"/>
      <c r="AG1217" s="7"/>
      <c r="AH1217" s="56">
        <v>232089</v>
      </c>
      <c r="AI1217" s="56"/>
    </row>
    <row r="1218" spans="1:35" ht="13" x14ac:dyDescent="0.15">
      <c r="A1218" s="57"/>
      <c r="B1218" s="78" t="s">
        <v>1374</v>
      </c>
      <c r="C1218" s="7" t="s">
        <v>43</v>
      </c>
      <c r="D1218" s="44">
        <v>5</v>
      </c>
      <c r="E1218" s="7" t="s">
        <v>15551</v>
      </c>
      <c r="F1218" s="7"/>
      <c r="G1218" s="7"/>
      <c r="H1218" s="6" t="s">
        <v>15537</v>
      </c>
      <c r="I1218" s="7" t="s">
        <v>266</v>
      </c>
      <c r="J1218" s="7" t="s">
        <v>3206</v>
      </c>
      <c r="K1218" s="7" t="s">
        <v>55</v>
      </c>
      <c r="L1218" s="7" t="s">
        <v>15553</v>
      </c>
      <c r="M1218" s="7" t="s">
        <v>15544</v>
      </c>
      <c r="N1218" s="45" t="str">
        <f t="shared" si="926"/>
        <v>@softballferrum</v>
      </c>
      <c r="O1218" s="74" t="str">
        <f t="shared" si="927"/>
        <v>Questionnaire</v>
      </c>
      <c r="P1218" s="7" t="s">
        <v>15545</v>
      </c>
      <c r="Q1218" s="57" t="s">
        <v>1361</v>
      </c>
      <c r="R1218" s="48" t="s">
        <v>15545</v>
      </c>
      <c r="S1218" s="60" t="s">
        <v>205</v>
      </c>
      <c r="T1218" s="49" t="s">
        <v>63</v>
      </c>
      <c r="U1218" s="49" t="s">
        <v>65</v>
      </c>
      <c r="V1218" s="7"/>
      <c r="W1218" s="44">
        <v>2.88</v>
      </c>
      <c r="X1218" s="7" t="s">
        <v>12126</v>
      </c>
      <c r="Y1218" s="7" t="s">
        <v>7924</v>
      </c>
      <c r="Z1218" s="49" t="s">
        <v>7983</v>
      </c>
      <c r="AA1218" s="61">
        <v>0.72</v>
      </c>
      <c r="AB1218" s="71">
        <v>45480</v>
      </c>
      <c r="AC1218" s="92" t="s">
        <v>15545</v>
      </c>
      <c r="AD1218" s="53" t="str">
        <f t="shared" si="928"/>
        <v>Link</v>
      </c>
      <c r="AE1218" s="54">
        <v>1294</v>
      </c>
      <c r="AF1218" s="55"/>
      <c r="AG1218" s="7"/>
      <c r="AH1218" s="56">
        <v>232089</v>
      </c>
      <c r="AI1218" s="56"/>
    </row>
    <row r="1219" spans="1:35" ht="13" x14ac:dyDescent="0.15">
      <c r="A1219" s="57"/>
      <c r="B1219" s="78" t="s">
        <v>1374</v>
      </c>
      <c r="C1219" s="7" t="s">
        <v>43</v>
      </c>
      <c r="D1219" s="44">
        <v>5</v>
      </c>
      <c r="E1219" s="7" t="s">
        <v>15556</v>
      </c>
      <c r="F1219" s="7"/>
      <c r="G1219" s="7"/>
      <c r="H1219" s="6" t="s">
        <v>15537</v>
      </c>
      <c r="I1219" s="7" t="s">
        <v>15558</v>
      </c>
      <c r="J1219" s="7" t="s">
        <v>15559</v>
      </c>
      <c r="K1219" s="7" t="s">
        <v>55</v>
      </c>
      <c r="L1219" s="7"/>
      <c r="M1219" s="7"/>
      <c r="N1219" s="45" t="str">
        <f t="shared" si="926"/>
        <v>@softballferrum</v>
      </c>
      <c r="O1219" s="74" t="str">
        <f t="shared" si="927"/>
        <v>Questionnaire</v>
      </c>
      <c r="P1219" s="7" t="s">
        <v>15545</v>
      </c>
      <c r="Q1219" s="57" t="s">
        <v>1361</v>
      </c>
      <c r="R1219" s="48" t="s">
        <v>15545</v>
      </c>
      <c r="S1219" s="60" t="s">
        <v>205</v>
      </c>
      <c r="T1219" s="49" t="s">
        <v>63</v>
      </c>
      <c r="U1219" s="49" t="s">
        <v>65</v>
      </c>
      <c r="V1219" s="7"/>
      <c r="W1219" s="44">
        <v>2.88</v>
      </c>
      <c r="X1219" s="7" t="s">
        <v>12126</v>
      </c>
      <c r="Y1219" s="7" t="s">
        <v>7924</v>
      </c>
      <c r="Z1219" s="49" t="s">
        <v>7983</v>
      </c>
      <c r="AA1219" s="61">
        <v>0.72</v>
      </c>
      <c r="AB1219" s="71">
        <v>45480</v>
      </c>
      <c r="AC1219" s="92" t="s">
        <v>15545</v>
      </c>
      <c r="AD1219" s="53" t="str">
        <f t="shared" si="928"/>
        <v>Link</v>
      </c>
      <c r="AE1219" s="54">
        <v>1294</v>
      </c>
      <c r="AF1219" s="55"/>
      <c r="AG1219" s="7"/>
      <c r="AH1219" s="56">
        <v>232089</v>
      </c>
      <c r="AI1219" s="56"/>
    </row>
    <row r="1220" spans="1:35" ht="13" x14ac:dyDescent="0.15">
      <c r="A1220" s="57"/>
      <c r="B1220" s="78" t="s">
        <v>1374</v>
      </c>
      <c r="C1220" s="7" t="s">
        <v>43</v>
      </c>
      <c r="D1220" s="44">
        <v>5</v>
      </c>
      <c r="E1220" s="7" t="s">
        <v>15567</v>
      </c>
      <c r="F1220" s="7"/>
      <c r="G1220" s="7"/>
      <c r="H1220" s="6" t="s">
        <v>15537</v>
      </c>
      <c r="I1220" s="7" t="s">
        <v>1875</v>
      </c>
      <c r="J1220" s="7" t="s">
        <v>6146</v>
      </c>
      <c r="K1220" s="7" t="s">
        <v>55</v>
      </c>
      <c r="L1220" s="7"/>
      <c r="M1220" s="7"/>
      <c r="N1220" s="45" t="str">
        <f t="shared" si="926"/>
        <v>@softballferrum</v>
      </c>
      <c r="O1220" s="74" t="str">
        <f t="shared" si="927"/>
        <v>Questionnaire</v>
      </c>
      <c r="P1220" s="7" t="s">
        <v>15545</v>
      </c>
      <c r="Q1220" s="57" t="s">
        <v>1361</v>
      </c>
      <c r="R1220" s="48" t="s">
        <v>15545</v>
      </c>
      <c r="S1220" s="60" t="s">
        <v>205</v>
      </c>
      <c r="T1220" s="49" t="s">
        <v>63</v>
      </c>
      <c r="U1220" s="49" t="s">
        <v>65</v>
      </c>
      <c r="V1220" s="7"/>
      <c r="W1220" s="44">
        <v>2.88</v>
      </c>
      <c r="X1220" s="7" t="s">
        <v>12126</v>
      </c>
      <c r="Y1220" s="7" t="s">
        <v>7924</v>
      </c>
      <c r="Z1220" s="49" t="s">
        <v>7983</v>
      </c>
      <c r="AA1220" s="61">
        <v>0.72</v>
      </c>
      <c r="AB1220" s="71">
        <v>45480</v>
      </c>
      <c r="AC1220" s="92" t="s">
        <v>15545</v>
      </c>
      <c r="AD1220" s="53" t="str">
        <f t="shared" si="928"/>
        <v>Link</v>
      </c>
      <c r="AE1220" s="54">
        <v>1294</v>
      </c>
      <c r="AF1220" s="55"/>
      <c r="AG1220" s="7"/>
      <c r="AH1220" s="56">
        <v>232089</v>
      </c>
      <c r="AI1220" s="56"/>
    </row>
    <row r="1221" spans="1:35" ht="13" x14ac:dyDescent="0.15">
      <c r="A1221" s="57"/>
      <c r="B1221" s="78" t="s">
        <v>1374</v>
      </c>
      <c r="C1221" s="7" t="s">
        <v>43</v>
      </c>
      <c r="D1221" s="44">
        <v>5</v>
      </c>
      <c r="E1221" s="7" t="s">
        <v>15574</v>
      </c>
      <c r="F1221" s="7"/>
      <c r="G1221" s="7"/>
      <c r="H1221" s="6" t="s">
        <v>15575</v>
      </c>
      <c r="I1221" s="7" t="s">
        <v>922</v>
      </c>
      <c r="J1221" s="7" t="s">
        <v>2574</v>
      </c>
      <c r="K1221" s="7" t="s">
        <v>48</v>
      </c>
      <c r="L1221" s="7" t="s">
        <v>15576</v>
      </c>
      <c r="M1221" s="7" t="s">
        <v>15577</v>
      </c>
      <c r="N1221" s="45" t="str">
        <f t="shared" ref="N1221:N1226" si="929">HYPERLINK("twitter.com/lynchburg_sb","@lynchburg_sb")</f>
        <v>@lynchburg_sb</v>
      </c>
      <c r="O1221" s="74" t="str">
        <f t="shared" ref="O1221:O1226" si="930">HYPERLINK("https://www.lynchburgsports.com/recruits/recruitingforms","Questionnaire")</f>
        <v>Questionnaire</v>
      </c>
      <c r="P1221" s="7" t="s">
        <v>3980</v>
      </c>
      <c r="Q1221" s="36" t="s">
        <v>1361</v>
      </c>
      <c r="R1221" s="48" t="s">
        <v>3980</v>
      </c>
      <c r="S1221" s="48" t="s">
        <v>238</v>
      </c>
      <c r="T1221" s="49" t="s">
        <v>63</v>
      </c>
      <c r="U1221" s="49" t="s">
        <v>410</v>
      </c>
      <c r="V1221" s="7"/>
      <c r="W1221" s="44">
        <v>3.5</v>
      </c>
      <c r="X1221" s="7" t="s">
        <v>521</v>
      </c>
      <c r="Y1221" s="7" t="s">
        <v>521</v>
      </c>
      <c r="Z1221" s="49" t="s">
        <v>746</v>
      </c>
      <c r="AA1221" s="61">
        <v>0.64</v>
      </c>
      <c r="AB1221" s="71">
        <v>49860</v>
      </c>
      <c r="AC1221" s="62" t="s">
        <v>3980</v>
      </c>
      <c r="AD1221" s="53" t="str">
        <f t="shared" ref="AD1221:AD1226" si="931">HYPERLINK("https://www.lynchburg.edu/academics/majors-and-minors/","Link")</f>
        <v>Link</v>
      </c>
      <c r="AE1221" s="54">
        <v>2079</v>
      </c>
      <c r="AF1221" s="55"/>
      <c r="AG1221" s="7"/>
      <c r="AH1221" s="56">
        <v>232609</v>
      </c>
      <c r="AI1221" s="56"/>
    </row>
    <row r="1222" spans="1:35" ht="13" x14ac:dyDescent="0.15">
      <c r="A1222" s="57"/>
      <c r="B1222" s="78" t="s">
        <v>1374</v>
      </c>
      <c r="C1222" s="7" t="s">
        <v>43</v>
      </c>
      <c r="D1222" s="44">
        <v>5</v>
      </c>
      <c r="E1222" s="7" t="s">
        <v>15595</v>
      </c>
      <c r="F1222" s="7"/>
      <c r="G1222" s="7"/>
      <c r="H1222" s="6" t="s">
        <v>15575</v>
      </c>
      <c r="I1222" s="7" t="s">
        <v>754</v>
      </c>
      <c r="J1222" s="7" t="s">
        <v>9616</v>
      </c>
      <c r="K1222" s="7" t="s">
        <v>55</v>
      </c>
      <c r="L1222" s="7" t="s">
        <v>15596</v>
      </c>
      <c r="M1222" s="7"/>
      <c r="N1222" s="45" t="str">
        <f t="shared" si="929"/>
        <v>@lynchburg_sb</v>
      </c>
      <c r="O1222" s="74" t="str">
        <f t="shared" si="930"/>
        <v>Questionnaire</v>
      </c>
      <c r="P1222" s="7" t="s">
        <v>3980</v>
      </c>
      <c r="Q1222" s="36" t="s">
        <v>1361</v>
      </c>
      <c r="R1222" s="48" t="s">
        <v>3980</v>
      </c>
      <c r="S1222" s="48" t="s">
        <v>238</v>
      </c>
      <c r="T1222" s="49" t="s">
        <v>63</v>
      </c>
      <c r="U1222" s="49" t="s">
        <v>410</v>
      </c>
      <c r="V1222" s="7"/>
      <c r="W1222" s="44">
        <v>3.5</v>
      </c>
      <c r="X1222" s="7" t="s">
        <v>521</v>
      </c>
      <c r="Y1222" s="7" t="s">
        <v>521</v>
      </c>
      <c r="Z1222" s="49" t="s">
        <v>746</v>
      </c>
      <c r="AA1222" s="61">
        <v>0.64</v>
      </c>
      <c r="AB1222" s="71">
        <v>49860</v>
      </c>
      <c r="AC1222" s="62" t="s">
        <v>3980</v>
      </c>
      <c r="AD1222" s="53" t="str">
        <f t="shared" si="931"/>
        <v>Link</v>
      </c>
      <c r="AE1222" s="54">
        <v>2079</v>
      </c>
      <c r="AF1222" s="55"/>
      <c r="AG1222" s="7"/>
      <c r="AH1222" s="56">
        <v>232609</v>
      </c>
      <c r="AI1222" s="56"/>
    </row>
    <row r="1223" spans="1:35" ht="13" x14ac:dyDescent="0.15">
      <c r="A1223" s="57"/>
      <c r="B1223" s="78" t="s">
        <v>1374</v>
      </c>
      <c r="C1223" s="7" t="s">
        <v>43</v>
      </c>
      <c r="D1223" s="44">
        <v>5</v>
      </c>
      <c r="E1223" s="7" t="s">
        <v>15607</v>
      </c>
      <c r="F1223" s="7"/>
      <c r="G1223" s="7"/>
      <c r="H1223" s="6" t="s">
        <v>15575</v>
      </c>
      <c r="I1223" s="7" t="s">
        <v>15608</v>
      </c>
      <c r="J1223" s="7" t="s">
        <v>15609</v>
      </c>
      <c r="K1223" s="7" t="s">
        <v>55</v>
      </c>
      <c r="L1223" s="7" t="s">
        <v>15610</v>
      </c>
      <c r="M1223" s="7"/>
      <c r="N1223" s="45" t="str">
        <f t="shared" si="929"/>
        <v>@lynchburg_sb</v>
      </c>
      <c r="O1223" s="74" t="str">
        <f t="shared" si="930"/>
        <v>Questionnaire</v>
      </c>
      <c r="P1223" s="7" t="s">
        <v>3980</v>
      </c>
      <c r="Q1223" s="36" t="s">
        <v>1361</v>
      </c>
      <c r="R1223" s="48" t="s">
        <v>3980</v>
      </c>
      <c r="S1223" s="48" t="s">
        <v>238</v>
      </c>
      <c r="T1223" s="49" t="s">
        <v>63</v>
      </c>
      <c r="U1223" s="49" t="s">
        <v>410</v>
      </c>
      <c r="V1223" s="7"/>
      <c r="W1223" s="44">
        <v>3.5</v>
      </c>
      <c r="X1223" s="7" t="s">
        <v>521</v>
      </c>
      <c r="Y1223" s="7" t="s">
        <v>521</v>
      </c>
      <c r="Z1223" s="49" t="s">
        <v>746</v>
      </c>
      <c r="AA1223" s="61">
        <v>0.64</v>
      </c>
      <c r="AB1223" s="71">
        <v>49860</v>
      </c>
      <c r="AC1223" s="62" t="s">
        <v>3980</v>
      </c>
      <c r="AD1223" s="53" t="str">
        <f t="shared" si="931"/>
        <v>Link</v>
      </c>
      <c r="AE1223" s="54">
        <v>2079</v>
      </c>
      <c r="AF1223" s="55"/>
      <c r="AG1223" s="7"/>
      <c r="AH1223" s="56">
        <v>232609</v>
      </c>
      <c r="AI1223" s="56"/>
    </row>
    <row r="1224" spans="1:35" ht="13" x14ac:dyDescent="0.15">
      <c r="A1224" s="57"/>
      <c r="B1224" s="78" t="s">
        <v>1374</v>
      </c>
      <c r="C1224" s="7" t="s">
        <v>43</v>
      </c>
      <c r="D1224" s="44">
        <v>5</v>
      </c>
      <c r="E1224" s="7" t="s">
        <v>15620</v>
      </c>
      <c r="F1224" s="7"/>
      <c r="G1224" s="7"/>
      <c r="H1224" s="6" t="s">
        <v>15575</v>
      </c>
      <c r="I1224" s="7" t="s">
        <v>15622</v>
      </c>
      <c r="J1224" s="7" t="s">
        <v>15623</v>
      </c>
      <c r="K1224" s="7" t="s">
        <v>55</v>
      </c>
      <c r="L1224" s="7" t="s">
        <v>15624</v>
      </c>
      <c r="M1224" s="7"/>
      <c r="N1224" s="45" t="str">
        <f t="shared" si="929"/>
        <v>@lynchburg_sb</v>
      </c>
      <c r="O1224" s="74" t="str">
        <f t="shared" si="930"/>
        <v>Questionnaire</v>
      </c>
      <c r="P1224" s="7" t="s">
        <v>3980</v>
      </c>
      <c r="Q1224" s="36" t="s">
        <v>1361</v>
      </c>
      <c r="R1224" s="48" t="s">
        <v>3980</v>
      </c>
      <c r="S1224" s="48" t="s">
        <v>238</v>
      </c>
      <c r="T1224" s="49" t="s">
        <v>63</v>
      </c>
      <c r="U1224" s="49" t="s">
        <v>410</v>
      </c>
      <c r="V1224" s="7"/>
      <c r="W1224" s="44">
        <v>3.5</v>
      </c>
      <c r="X1224" s="7" t="s">
        <v>521</v>
      </c>
      <c r="Y1224" s="7" t="s">
        <v>521</v>
      </c>
      <c r="Z1224" s="49" t="s">
        <v>746</v>
      </c>
      <c r="AA1224" s="61">
        <v>0.64</v>
      </c>
      <c r="AB1224" s="71">
        <v>49860</v>
      </c>
      <c r="AC1224" s="62" t="s">
        <v>3980</v>
      </c>
      <c r="AD1224" s="53" t="str">
        <f t="shared" si="931"/>
        <v>Link</v>
      </c>
      <c r="AE1224" s="54">
        <v>2079</v>
      </c>
      <c r="AF1224" s="55"/>
      <c r="AG1224" s="7"/>
      <c r="AH1224" s="56">
        <v>232609</v>
      </c>
      <c r="AI1224" s="56"/>
    </row>
    <row r="1225" spans="1:35" ht="13" x14ac:dyDescent="0.15">
      <c r="A1225" s="57"/>
      <c r="B1225" s="78" t="s">
        <v>1374</v>
      </c>
      <c r="C1225" s="7" t="s">
        <v>43</v>
      </c>
      <c r="D1225" s="44">
        <v>5</v>
      </c>
      <c r="E1225" s="7" t="s">
        <v>15630</v>
      </c>
      <c r="F1225" s="7"/>
      <c r="G1225" s="7"/>
      <c r="H1225" s="6" t="s">
        <v>15575</v>
      </c>
      <c r="I1225" s="7" t="s">
        <v>3865</v>
      </c>
      <c r="J1225" s="7" t="s">
        <v>15631</v>
      </c>
      <c r="K1225" s="7" t="s">
        <v>55</v>
      </c>
      <c r="L1225" s="7" t="s">
        <v>15632</v>
      </c>
      <c r="M1225" s="7"/>
      <c r="N1225" s="45" t="str">
        <f t="shared" si="929"/>
        <v>@lynchburg_sb</v>
      </c>
      <c r="O1225" s="74" t="str">
        <f t="shared" si="930"/>
        <v>Questionnaire</v>
      </c>
      <c r="P1225" s="7" t="s">
        <v>3980</v>
      </c>
      <c r="Q1225" s="36" t="s">
        <v>1361</v>
      </c>
      <c r="R1225" s="48" t="s">
        <v>3980</v>
      </c>
      <c r="S1225" s="48" t="s">
        <v>238</v>
      </c>
      <c r="T1225" s="49" t="s">
        <v>63</v>
      </c>
      <c r="U1225" s="49" t="s">
        <v>410</v>
      </c>
      <c r="V1225" s="7"/>
      <c r="W1225" s="44">
        <v>3.5</v>
      </c>
      <c r="X1225" s="7" t="s">
        <v>521</v>
      </c>
      <c r="Y1225" s="7" t="s">
        <v>521</v>
      </c>
      <c r="Z1225" s="49" t="s">
        <v>746</v>
      </c>
      <c r="AA1225" s="61">
        <v>0.64</v>
      </c>
      <c r="AB1225" s="71">
        <v>49860</v>
      </c>
      <c r="AC1225" s="62" t="s">
        <v>3980</v>
      </c>
      <c r="AD1225" s="53" t="str">
        <f t="shared" si="931"/>
        <v>Link</v>
      </c>
      <c r="AE1225" s="54">
        <v>2079</v>
      </c>
      <c r="AF1225" s="55"/>
      <c r="AG1225" s="7"/>
      <c r="AH1225" s="56">
        <v>232609</v>
      </c>
      <c r="AI1225" s="56"/>
    </row>
    <row r="1226" spans="1:35" ht="13" x14ac:dyDescent="0.15">
      <c r="A1226" s="57"/>
      <c r="B1226" s="78" t="s">
        <v>1374</v>
      </c>
      <c r="C1226" s="7" t="s">
        <v>43</v>
      </c>
      <c r="D1226" s="44">
        <v>5</v>
      </c>
      <c r="E1226" s="7" t="s">
        <v>15646</v>
      </c>
      <c r="F1226" s="7"/>
      <c r="G1226" s="7"/>
      <c r="H1226" s="6" t="s">
        <v>15575</v>
      </c>
      <c r="I1226" s="7" t="s">
        <v>1726</v>
      </c>
      <c r="J1226" s="7" t="s">
        <v>5125</v>
      </c>
      <c r="K1226" s="7" t="s">
        <v>55</v>
      </c>
      <c r="L1226" s="7"/>
      <c r="M1226" s="7"/>
      <c r="N1226" s="45" t="str">
        <f t="shared" si="929"/>
        <v>@lynchburg_sb</v>
      </c>
      <c r="O1226" s="74" t="str">
        <f t="shared" si="930"/>
        <v>Questionnaire</v>
      </c>
      <c r="P1226" s="7" t="s">
        <v>3980</v>
      </c>
      <c r="Q1226" s="36" t="s">
        <v>1361</v>
      </c>
      <c r="R1226" s="48" t="s">
        <v>3980</v>
      </c>
      <c r="S1226" s="48" t="s">
        <v>238</v>
      </c>
      <c r="T1226" s="49" t="s">
        <v>63</v>
      </c>
      <c r="U1226" s="49" t="s">
        <v>410</v>
      </c>
      <c r="V1226" s="7"/>
      <c r="W1226" s="44">
        <v>3.5</v>
      </c>
      <c r="X1226" s="7" t="s">
        <v>521</v>
      </c>
      <c r="Y1226" s="7" t="s">
        <v>521</v>
      </c>
      <c r="Z1226" s="49" t="s">
        <v>746</v>
      </c>
      <c r="AA1226" s="61">
        <v>0.64</v>
      </c>
      <c r="AB1226" s="71">
        <v>49860</v>
      </c>
      <c r="AC1226" s="62" t="s">
        <v>3980</v>
      </c>
      <c r="AD1226" s="53" t="str">
        <f t="shared" si="931"/>
        <v>Link</v>
      </c>
      <c r="AE1226" s="54">
        <v>2079</v>
      </c>
      <c r="AF1226" s="55"/>
      <c r="AG1226" s="7"/>
      <c r="AH1226" s="56">
        <v>232609</v>
      </c>
      <c r="AI1226" s="56"/>
    </row>
    <row r="1227" spans="1:35" ht="15" x14ac:dyDescent="0.2">
      <c r="A1227" s="57"/>
      <c r="B1227" s="78" t="s">
        <v>1374</v>
      </c>
      <c r="C1227" s="7" t="s">
        <v>43</v>
      </c>
      <c r="D1227" s="44">
        <v>5</v>
      </c>
      <c r="E1227" s="7" t="s">
        <v>15656</v>
      </c>
      <c r="F1227" s="7"/>
      <c r="G1227" s="7"/>
      <c r="H1227" s="6" t="s">
        <v>15658</v>
      </c>
      <c r="I1227" s="7" t="s">
        <v>2249</v>
      </c>
      <c r="J1227" s="7" t="s">
        <v>4096</v>
      </c>
      <c r="K1227" s="7" t="s">
        <v>48</v>
      </c>
      <c r="L1227" s="7" t="s">
        <v>15659</v>
      </c>
      <c r="M1227" s="7" t="s">
        <v>15661</v>
      </c>
      <c r="N1227" s="7"/>
      <c r="O1227" s="74" t="str">
        <f t="shared" ref="O1227:O1230" si="932">HYPERLINK("https://www.marybaldwinathletics.com/recruits/forms","Questionnaire")</f>
        <v>Questionnaire</v>
      </c>
      <c r="P1227" s="48" t="s">
        <v>15668</v>
      </c>
      <c r="Q1227" s="60" t="s">
        <v>1361</v>
      </c>
      <c r="R1227" s="48" t="s">
        <v>15669</v>
      </c>
      <c r="S1227" s="48" t="s">
        <v>172</v>
      </c>
      <c r="T1227" s="49" t="s">
        <v>63</v>
      </c>
      <c r="U1227" s="4" t="s">
        <v>248</v>
      </c>
      <c r="V1227" s="7"/>
      <c r="W1227" s="37">
        <v>3.51</v>
      </c>
      <c r="X1227" s="49" t="s">
        <v>396</v>
      </c>
      <c r="Y1227" s="49" t="s">
        <v>1785</v>
      </c>
      <c r="Z1227" s="49" t="s">
        <v>357</v>
      </c>
      <c r="AA1227" s="65">
        <v>0.99</v>
      </c>
      <c r="AB1227" s="39">
        <v>42665</v>
      </c>
      <c r="AC1227" s="52" t="s">
        <v>15668</v>
      </c>
      <c r="AD1227" s="53" t="str">
        <f t="shared" ref="AD1227:AD1230" si="933">HYPERLINK("https://go.marybaldwin.edu/academics/majors/","Link")</f>
        <v>Link</v>
      </c>
      <c r="AE1227" s="54">
        <v>1310</v>
      </c>
      <c r="AF1227" s="55"/>
      <c r="AG1227" s="7"/>
      <c r="AH1227" s="56">
        <v>232672</v>
      </c>
      <c r="AI1227" s="56"/>
    </row>
    <row r="1228" spans="1:35" ht="15" x14ac:dyDescent="0.2">
      <c r="A1228" s="57"/>
      <c r="B1228" s="78" t="s">
        <v>1374</v>
      </c>
      <c r="C1228" s="7" t="s">
        <v>43</v>
      </c>
      <c r="D1228" s="44">
        <v>5</v>
      </c>
      <c r="E1228" s="7" t="s">
        <v>15674</v>
      </c>
      <c r="F1228" s="7"/>
      <c r="G1228" s="7"/>
      <c r="H1228" s="6" t="s">
        <v>15658</v>
      </c>
      <c r="I1228" s="7" t="s">
        <v>1875</v>
      </c>
      <c r="J1228" s="7" t="s">
        <v>15675</v>
      </c>
      <c r="K1228" s="7" t="s">
        <v>55</v>
      </c>
      <c r="L1228" s="7" t="s">
        <v>15676</v>
      </c>
      <c r="M1228" s="7"/>
      <c r="N1228" s="48"/>
      <c r="O1228" s="74" t="str">
        <f t="shared" si="932"/>
        <v>Questionnaire</v>
      </c>
      <c r="P1228" s="48" t="s">
        <v>15668</v>
      </c>
      <c r="Q1228" s="60" t="s">
        <v>1361</v>
      </c>
      <c r="R1228" s="48" t="s">
        <v>15669</v>
      </c>
      <c r="S1228" s="48" t="s">
        <v>172</v>
      </c>
      <c r="T1228" s="49" t="s">
        <v>63</v>
      </c>
      <c r="U1228" s="4" t="s">
        <v>248</v>
      </c>
      <c r="V1228" s="7"/>
      <c r="W1228" s="37">
        <v>3.51</v>
      </c>
      <c r="X1228" s="49" t="s">
        <v>396</v>
      </c>
      <c r="Y1228" s="49" t="s">
        <v>1785</v>
      </c>
      <c r="Z1228" s="49" t="s">
        <v>357</v>
      </c>
      <c r="AA1228" s="65">
        <v>0.99</v>
      </c>
      <c r="AB1228" s="39">
        <v>42665</v>
      </c>
      <c r="AC1228" s="52" t="s">
        <v>15668</v>
      </c>
      <c r="AD1228" s="53" t="str">
        <f t="shared" si="933"/>
        <v>Link</v>
      </c>
      <c r="AE1228" s="54">
        <v>1310</v>
      </c>
      <c r="AF1228" s="55"/>
      <c r="AG1228" s="7"/>
      <c r="AH1228" s="56">
        <v>232672</v>
      </c>
      <c r="AI1228" s="56"/>
    </row>
    <row r="1229" spans="1:35" ht="15" x14ac:dyDescent="0.2">
      <c r="A1229" s="57"/>
      <c r="B1229" s="78" t="s">
        <v>1374</v>
      </c>
      <c r="C1229" s="7" t="s">
        <v>43</v>
      </c>
      <c r="D1229" s="44">
        <v>5</v>
      </c>
      <c r="E1229" s="7" t="s">
        <v>15683</v>
      </c>
      <c r="F1229" s="7"/>
      <c r="G1229" s="7"/>
      <c r="H1229" s="6" t="s">
        <v>15658</v>
      </c>
      <c r="I1229" s="7" t="s">
        <v>361</v>
      </c>
      <c r="J1229" s="7" t="s">
        <v>7769</v>
      </c>
      <c r="K1229" s="7" t="s">
        <v>55</v>
      </c>
      <c r="L1229" s="7" t="s">
        <v>15687</v>
      </c>
      <c r="M1229" s="7"/>
      <c r="N1229" s="48"/>
      <c r="O1229" s="74" t="str">
        <f t="shared" si="932"/>
        <v>Questionnaire</v>
      </c>
      <c r="P1229" s="48" t="s">
        <v>15668</v>
      </c>
      <c r="Q1229" s="60" t="s">
        <v>1361</v>
      </c>
      <c r="R1229" s="48" t="s">
        <v>15669</v>
      </c>
      <c r="S1229" s="48" t="s">
        <v>172</v>
      </c>
      <c r="T1229" s="49" t="s">
        <v>63</v>
      </c>
      <c r="U1229" s="4" t="s">
        <v>248</v>
      </c>
      <c r="V1229" s="7"/>
      <c r="W1229" s="37">
        <v>3.51</v>
      </c>
      <c r="X1229" s="49" t="s">
        <v>396</v>
      </c>
      <c r="Y1229" s="49" t="s">
        <v>1785</v>
      </c>
      <c r="Z1229" s="49" t="s">
        <v>357</v>
      </c>
      <c r="AA1229" s="65">
        <v>0.99</v>
      </c>
      <c r="AB1229" s="39">
        <v>42665</v>
      </c>
      <c r="AC1229" s="52" t="s">
        <v>15668</v>
      </c>
      <c r="AD1229" s="53" t="str">
        <f t="shared" si="933"/>
        <v>Link</v>
      </c>
      <c r="AE1229" s="54">
        <v>1310</v>
      </c>
      <c r="AF1229" s="55"/>
      <c r="AG1229" s="7"/>
      <c r="AH1229" s="56">
        <v>232672</v>
      </c>
      <c r="AI1229" s="56"/>
    </row>
    <row r="1230" spans="1:35" ht="15" x14ac:dyDescent="0.2">
      <c r="A1230" s="57"/>
      <c r="B1230" s="78" t="s">
        <v>1374</v>
      </c>
      <c r="C1230" s="7" t="s">
        <v>43</v>
      </c>
      <c r="D1230" s="44">
        <v>5</v>
      </c>
      <c r="E1230" s="7" t="s">
        <v>15692</v>
      </c>
      <c r="F1230" s="7"/>
      <c r="G1230" s="7"/>
      <c r="H1230" s="6" t="s">
        <v>15658</v>
      </c>
      <c r="I1230" s="7" t="s">
        <v>10897</v>
      </c>
      <c r="J1230" s="7" t="s">
        <v>15693</v>
      </c>
      <c r="K1230" s="7" t="s">
        <v>120</v>
      </c>
      <c r="L1230" s="7" t="s">
        <v>15694</v>
      </c>
      <c r="M1230" s="7"/>
      <c r="N1230" s="48"/>
      <c r="O1230" s="74" t="str">
        <f t="shared" si="932"/>
        <v>Questionnaire</v>
      </c>
      <c r="P1230" s="48" t="s">
        <v>15668</v>
      </c>
      <c r="Q1230" s="60" t="s">
        <v>1361</v>
      </c>
      <c r="R1230" s="48" t="s">
        <v>15669</v>
      </c>
      <c r="S1230" s="48" t="s">
        <v>172</v>
      </c>
      <c r="T1230" s="49" t="s">
        <v>63</v>
      </c>
      <c r="U1230" s="4" t="s">
        <v>248</v>
      </c>
      <c r="V1230" s="7"/>
      <c r="W1230" s="37">
        <v>3.51</v>
      </c>
      <c r="X1230" s="49" t="s">
        <v>396</v>
      </c>
      <c r="Y1230" s="49" t="s">
        <v>1785</v>
      </c>
      <c r="Z1230" s="49" t="s">
        <v>357</v>
      </c>
      <c r="AA1230" s="65">
        <v>0.99</v>
      </c>
      <c r="AB1230" s="39">
        <v>42665</v>
      </c>
      <c r="AC1230" s="52" t="s">
        <v>15668</v>
      </c>
      <c r="AD1230" s="53" t="str">
        <f t="shared" si="933"/>
        <v>Link</v>
      </c>
      <c r="AE1230" s="54">
        <v>1310</v>
      </c>
      <c r="AF1230" s="55"/>
      <c r="AG1230" s="7"/>
      <c r="AH1230" s="56">
        <v>232672</v>
      </c>
      <c r="AI1230" s="56"/>
    </row>
    <row r="1231" spans="1:35" ht="15" x14ac:dyDescent="0.2">
      <c r="A1231" s="57"/>
      <c r="B1231" s="78" t="s">
        <v>1374</v>
      </c>
      <c r="C1231" s="7" t="s">
        <v>43</v>
      </c>
      <c r="D1231" s="44">
        <v>5</v>
      </c>
      <c r="E1231" s="7" t="s">
        <v>15700</v>
      </c>
      <c r="F1231" s="7"/>
      <c r="G1231" s="7"/>
      <c r="H1231" s="6" t="s">
        <v>15702</v>
      </c>
      <c r="I1231" s="7" t="s">
        <v>1428</v>
      </c>
      <c r="J1231" s="7" t="s">
        <v>185</v>
      </c>
      <c r="K1231" s="7" t="s">
        <v>48</v>
      </c>
      <c r="L1231" s="7" t="s">
        <v>15708</v>
      </c>
      <c r="M1231" s="7" t="s">
        <v>15709</v>
      </c>
      <c r="N1231" s="45" t="str">
        <f t="shared" ref="N1231:N1234" si="934">HYPERLINK("twitter.com/umwsoftball","@umwsoftball")</f>
        <v>@umwsoftball</v>
      </c>
      <c r="O1231" s="74" t="str">
        <f t="shared" ref="O1231:O1234" si="935">HYPERLINK("https://umweagles.com/athletic_dept/Prospect_Questionnaires","Questionnaire")</f>
        <v>Questionnaire</v>
      </c>
      <c r="P1231" s="7" t="s">
        <v>15718</v>
      </c>
      <c r="Q1231" s="57" t="s">
        <v>1361</v>
      </c>
      <c r="R1231" s="48" t="s">
        <v>15719</v>
      </c>
      <c r="S1231" s="48" t="s">
        <v>468</v>
      </c>
      <c r="T1231" s="49" t="s">
        <v>74</v>
      </c>
      <c r="U1231" s="49" t="s">
        <v>75</v>
      </c>
      <c r="V1231" s="7"/>
      <c r="W1231" s="44">
        <v>3.59</v>
      </c>
      <c r="X1231" s="7" t="s">
        <v>1723</v>
      </c>
      <c r="Y1231" s="7" t="s">
        <v>345</v>
      </c>
      <c r="Z1231" s="49" t="s">
        <v>320</v>
      </c>
      <c r="AA1231" s="61">
        <v>0.74</v>
      </c>
      <c r="AB1231" s="48" t="s">
        <v>15720</v>
      </c>
      <c r="AC1231" s="52" t="s">
        <v>15718</v>
      </c>
      <c r="AD1231" s="53" t="str">
        <f t="shared" ref="AD1231:AD1234" si="936">HYPERLINK("http://www.umw.edu/study/","Link")</f>
        <v>Link</v>
      </c>
      <c r="AE1231" s="54">
        <v>4357</v>
      </c>
      <c r="AF1231" s="55"/>
      <c r="AG1231" s="7"/>
      <c r="AH1231" s="56">
        <v>232681</v>
      </c>
      <c r="AI1231" s="56"/>
    </row>
    <row r="1232" spans="1:35" ht="15" x14ac:dyDescent="0.2">
      <c r="A1232" s="57"/>
      <c r="B1232" s="78" t="s">
        <v>1374</v>
      </c>
      <c r="C1232" s="7" t="s">
        <v>43</v>
      </c>
      <c r="D1232" s="44">
        <v>5</v>
      </c>
      <c r="E1232" s="7" t="s">
        <v>15725</v>
      </c>
      <c r="F1232" s="7"/>
      <c r="G1232" s="7"/>
      <c r="H1232" s="6" t="s">
        <v>15702</v>
      </c>
      <c r="I1232" s="7" t="s">
        <v>3026</v>
      </c>
      <c r="J1232" s="7" t="s">
        <v>15726</v>
      </c>
      <c r="K1232" s="7" t="s">
        <v>55</v>
      </c>
      <c r="L1232" s="7" t="s">
        <v>15727</v>
      </c>
      <c r="M1232" s="7" t="s">
        <v>15709</v>
      </c>
      <c r="N1232" s="45" t="str">
        <f t="shared" si="934"/>
        <v>@umwsoftball</v>
      </c>
      <c r="O1232" s="74" t="str">
        <f t="shared" si="935"/>
        <v>Questionnaire</v>
      </c>
      <c r="P1232" s="7" t="s">
        <v>15718</v>
      </c>
      <c r="Q1232" s="57" t="s">
        <v>1361</v>
      </c>
      <c r="R1232" s="48" t="s">
        <v>15719</v>
      </c>
      <c r="S1232" s="48" t="s">
        <v>468</v>
      </c>
      <c r="T1232" s="49" t="s">
        <v>74</v>
      </c>
      <c r="U1232" s="49" t="s">
        <v>75</v>
      </c>
      <c r="V1232" s="7"/>
      <c r="W1232" s="44">
        <v>3.59</v>
      </c>
      <c r="X1232" s="7" t="s">
        <v>1723</v>
      </c>
      <c r="Y1232" s="7" t="s">
        <v>345</v>
      </c>
      <c r="Z1232" s="49" t="s">
        <v>320</v>
      </c>
      <c r="AA1232" s="61">
        <v>0.74</v>
      </c>
      <c r="AB1232" s="48" t="s">
        <v>15720</v>
      </c>
      <c r="AC1232" s="52" t="s">
        <v>15718</v>
      </c>
      <c r="AD1232" s="53" t="str">
        <f t="shared" si="936"/>
        <v>Link</v>
      </c>
      <c r="AE1232" s="54">
        <v>4357</v>
      </c>
      <c r="AF1232" s="55"/>
      <c r="AG1232" s="7"/>
      <c r="AH1232" s="56">
        <v>232681</v>
      </c>
      <c r="AI1232" s="56"/>
    </row>
    <row r="1233" spans="1:35" ht="15" x14ac:dyDescent="0.2">
      <c r="A1233" s="57"/>
      <c r="B1233" s="78" t="s">
        <v>1374</v>
      </c>
      <c r="C1233" s="7" t="s">
        <v>43</v>
      </c>
      <c r="D1233" s="44">
        <v>5</v>
      </c>
      <c r="E1233" s="7" t="s">
        <v>15737</v>
      </c>
      <c r="F1233" s="7"/>
      <c r="G1233" s="7"/>
      <c r="H1233" s="6" t="s">
        <v>15702</v>
      </c>
      <c r="I1233" s="7" t="s">
        <v>338</v>
      </c>
      <c r="J1233" s="7" t="s">
        <v>15738</v>
      </c>
      <c r="K1233" s="7" t="s">
        <v>55</v>
      </c>
      <c r="L1233" s="7" t="s">
        <v>15739</v>
      </c>
      <c r="M1233" s="7" t="s">
        <v>15709</v>
      </c>
      <c r="N1233" s="45" t="str">
        <f t="shared" si="934"/>
        <v>@umwsoftball</v>
      </c>
      <c r="O1233" s="74" t="str">
        <f t="shared" si="935"/>
        <v>Questionnaire</v>
      </c>
      <c r="P1233" s="7" t="s">
        <v>15718</v>
      </c>
      <c r="Q1233" s="57" t="s">
        <v>1361</v>
      </c>
      <c r="R1233" s="48" t="s">
        <v>15719</v>
      </c>
      <c r="S1233" s="48" t="s">
        <v>468</v>
      </c>
      <c r="T1233" s="49" t="s">
        <v>74</v>
      </c>
      <c r="U1233" s="49" t="s">
        <v>75</v>
      </c>
      <c r="V1233" s="7"/>
      <c r="W1233" s="44">
        <v>3.59</v>
      </c>
      <c r="X1233" s="7" t="s">
        <v>1723</v>
      </c>
      <c r="Y1233" s="7" t="s">
        <v>345</v>
      </c>
      <c r="Z1233" s="49" t="s">
        <v>320</v>
      </c>
      <c r="AA1233" s="61">
        <v>0.74</v>
      </c>
      <c r="AB1233" s="48" t="s">
        <v>15720</v>
      </c>
      <c r="AC1233" s="52" t="s">
        <v>15718</v>
      </c>
      <c r="AD1233" s="53" t="str">
        <f t="shared" si="936"/>
        <v>Link</v>
      </c>
      <c r="AE1233" s="54">
        <v>4357</v>
      </c>
      <c r="AF1233" s="55"/>
      <c r="AG1233" s="7"/>
      <c r="AH1233" s="56">
        <v>232681</v>
      </c>
      <c r="AI1233" s="56"/>
    </row>
    <row r="1234" spans="1:35" ht="15" x14ac:dyDescent="0.2">
      <c r="A1234" s="57"/>
      <c r="B1234" s="78" t="s">
        <v>1374</v>
      </c>
      <c r="C1234" s="7" t="s">
        <v>43</v>
      </c>
      <c r="D1234" s="44">
        <v>5</v>
      </c>
      <c r="E1234" s="7" t="s">
        <v>15743</v>
      </c>
      <c r="F1234" s="7"/>
      <c r="G1234" s="7"/>
      <c r="H1234" s="6" t="s">
        <v>15702</v>
      </c>
      <c r="I1234" s="7" t="s">
        <v>10832</v>
      </c>
      <c r="J1234" s="7" t="s">
        <v>718</v>
      </c>
      <c r="K1234" s="7" t="s">
        <v>55</v>
      </c>
      <c r="L1234" s="7"/>
      <c r="M1234" s="7"/>
      <c r="N1234" s="45" t="str">
        <f t="shared" si="934"/>
        <v>@umwsoftball</v>
      </c>
      <c r="O1234" s="74" t="str">
        <f t="shared" si="935"/>
        <v>Questionnaire</v>
      </c>
      <c r="P1234" s="7" t="s">
        <v>15718</v>
      </c>
      <c r="Q1234" s="57" t="s">
        <v>1361</v>
      </c>
      <c r="R1234" s="48" t="s">
        <v>15719</v>
      </c>
      <c r="S1234" s="48" t="s">
        <v>468</v>
      </c>
      <c r="T1234" s="49" t="s">
        <v>74</v>
      </c>
      <c r="U1234" s="49" t="s">
        <v>75</v>
      </c>
      <c r="V1234" s="7"/>
      <c r="W1234" s="44">
        <v>3.59</v>
      </c>
      <c r="X1234" s="7" t="s">
        <v>1723</v>
      </c>
      <c r="Y1234" s="7" t="s">
        <v>345</v>
      </c>
      <c r="Z1234" s="49" t="s">
        <v>320</v>
      </c>
      <c r="AA1234" s="61">
        <v>0.74</v>
      </c>
      <c r="AB1234" s="48" t="s">
        <v>15720</v>
      </c>
      <c r="AC1234" s="52" t="s">
        <v>15718</v>
      </c>
      <c r="AD1234" s="53" t="str">
        <f t="shared" si="936"/>
        <v>Link</v>
      </c>
      <c r="AE1234" s="54">
        <v>4357</v>
      </c>
      <c r="AF1234" s="55"/>
      <c r="AG1234" s="7"/>
      <c r="AH1234" s="56">
        <v>232681</v>
      </c>
      <c r="AI1234" s="56"/>
    </row>
    <row r="1235" spans="1:35" ht="13" x14ac:dyDescent="0.15">
      <c r="A1235" s="57"/>
      <c r="B1235" s="78" t="s">
        <v>1374</v>
      </c>
      <c r="C1235" s="7" t="s">
        <v>43</v>
      </c>
      <c r="D1235" s="44">
        <v>5</v>
      </c>
      <c r="E1235" s="7" t="s">
        <v>15755</v>
      </c>
      <c r="F1235" s="7" t="s">
        <v>116</v>
      </c>
      <c r="G1235" s="7"/>
      <c r="H1235" s="6" t="s">
        <v>15758</v>
      </c>
      <c r="I1235" s="7" t="s">
        <v>15759</v>
      </c>
      <c r="J1235" s="7" t="s">
        <v>15760</v>
      </c>
      <c r="K1235" s="7" t="s">
        <v>48</v>
      </c>
      <c r="L1235" s="7" t="s">
        <v>15761</v>
      </c>
      <c r="M1235" s="7"/>
      <c r="N1235" s="45" t="str">
        <f t="shared" ref="N1235:N1237" si="937">HYPERLINK("twitter.com/randolphsb","@randolphsb")</f>
        <v>@randolphsb</v>
      </c>
      <c r="O1235" s="74" t="str">
        <f t="shared" ref="O1235:O1237" si="938">HYPERLINK("https://randolphwildcats.com/sports/2019/4/30/recruit.aspx","Questionnaire")</f>
        <v>Questionnaire</v>
      </c>
      <c r="P1235" s="48" t="s">
        <v>15767</v>
      </c>
      <c r="Q1235" s="60" t="s">
        <v>1361</v>
      </c>
      <c r="R1235" s="48" t="s">
        <v>3980</v>
      </c>
      <c r="S1235" s="48" t="s">
        <v>238</v>
      </c>
      <c r="T1235" s="4" t="s">
        <v>63</v>
      </c>
      <c r="U1235" s="2" t="s">
        <v>65</v>
      </c>
      <c r="V1235" s="7"/>
      <c r="W1235" s="37">
        <v>3.53</v>
      </c>
      <c r="X1235" s="49" t="s">
        <v>276</v>
      </c>
      <c r="Y1235" s="49" t="s">
        <v>3520</v>
      </c>
      <c r="Z1235" s="49" t="s">
        <v>278</v>
      </c>
      <c r="AA1235" s="65">
        <v>0.84</v>
      </c>
      <c r="AB1235" s="39">
        <v>52350</v>
      </c>
      <c r="AC1235" s="62" t="s">
        <v>15767</v>
      </c>
      <c r="AD1235" s="53" t="str">
        <f t="shared" ref="AD1235:AD1237" si="939">HYPERLINK("http://www.randolphcollege.edu/academics/majors/","Link")</f>
        <v>Link</v>
      </c>
      <c r="AE1235" s="42">
        <v>663</v>
      </c>
      <c r="AF1235" s="55"/>
      <c r="AG1235" s="7"/>
      <c r="AH1235" s="56">
        <v>233301</v>
      </c>
      <c r="AI1235" s="56"/>
    </row>
    <row r="1236" spans="1:35" ht="13" x14ac:dyDescent="0.15">
      <c r="A1236" s="57"/>
      <c r="B1236" s="78" t="s">
        <v>1374</v>
      </c>
      <c r="C1236" s="7" t="s">
        <v>43</v>
      </c>
      <c r="D1236" s="44">
        <v>5</v>
      </c>
      <c r="E1236" s="7" t="s">
        <v>15779</v>
      </c>
      <c r="F1236" s="7"/>
      <c r="G1236" s="7"/>
      <c r="H1236" s="6" t="s">
        <v>15758</v>
      </c>
      <c r="I1236" s="7" t="s">
        <v>2622</v>
      </c>
      <c r="J1236" s="7" t="s">
        <v>1448</v>
      </c>
      <c r="K1236" s="7" t="s">
        <v>55</v>
      </c>
      <c r="L1236" s="7" t="s">
        <v>15781</v>
      </c>
      <c r="M1236" s="7"/>
      <c r="N1236" s="45" t="str">
        <f t="shared" si="937"/>
        <v>@randolphsb</v>
      </c>
      <c r="O1236" s="74" t="str">
        <f t="shared" si="938"/>
        <v>Questionnaire</v>
      </c>
      <c r="P1236" s="48" t="s">
        <v>15767</v>
      </c>
      <c r="Q1236" s="60" t="s">
        <v>1361</v>
      </c>
      <c r="R1236" s="48" t="s">
        <v>3980</v>
      </c>
      <c r="S1236" s="48" t="s">
        <v>238</v>
      </c>
      <c r="T1236" s="4" t="s">
        <v>63</v>
      </c>
      <c r="U1236" s="2" t="s">
        <v>65</v>
      </c>
      <c r="V1236" s="7"/>
      <c r="W1236" s="37">
        <v>3.53</v>
      </c>
      <c r="X1236" s="49" t="s">
        <v>276</v>
      </c>
      <c r="Y1236" s="49" t="s">
        <v>3520</v>
      </c>
      <c r="Z1236" s="49" t="s">
        <v>278</v>
      </c>
      <c r="AA1236" s="65">
        <v>0.84</v>
      </c>
      <c r="AB1236" s="39">
        <v>52350</v>
      </c>
      <c r="AC1236" s="62" t="s">
        <v>15767</v>
      </c>
      <c r="AD1236" s="53" t="str">
        <f t="shared" si="939"/>
        <v>Link</v>
      </c>
      <c r="AE1236" s="42">
        <v>663</v>
      </c>
      <c r="AF1236" s="55"/>
      <c r="AG1236" s="7"/>
      <c r="AH1236" s="56">
        <v>233301</v>
      </c>
      <c r="AI1236" s="56"/>
    </row>
    <row r="1237" spans="1:35" ht="13" x14ac:dyDescent="0.15">
      <c r="A1237" s="57"/>
      <c r="B1237" s="78" t="s">
        <v>1374</v>
      </c>
      <c r="C1237" s="7" t="s">
        <v>43</v>
      </c>
      <c r="D1237" s="44">
        <v>5</v>
      </c>
      <c r="E1237" s="7" t="s">
        <v>15788</v>
      </c>
      <c r="F1237" s="7"/>
      <c r="G1237" s="7"/>
      <c r="H1237" s="6" t="s">
        <v>15758</v>
      </c>
      <c r="I1237" s="7" t="s">
        <v>94</v>
      </c>
      <c r="J1237" s="7" t="s">
        <v>15790</v>
      </c>
      <c r="K1237" s="7" t="s">
        <v>55</v>
      </c>
      <c r="L1237" s="7" t="s">
        <v>15792</v>
      </c>
      <c r="M1237" s="7"/>
      <c r="N1237" s="45" t="str">
        <f t="shared" si="937"/>
        <v>@randolphsb</v>
      </c>
      <c r="O1237" s="74" t="str">
        <f t="shared" si="938"/>
        <v>Questionnaire</v>
      </c>
      <c r="P1237" s="48" t="s">
        <v>15767</v>
      </c>
      <c r="Q1237" s="60" t="s">
        <v>1361</v>
      </c>
      <c r="R1237" s="48" t="s">
        <v>3980</v>
      </c>
      <c r="S1237" s="48" t="s">
        <v>238</v>
      </c>
      <c r="T1237" s="4" t="s">
        <v>63</v>
      </c>
      <c r="U1237" s="2" t="s">
        <v>65</v>
      </c>
      <c r="V1237" s="7"/>
      <c r="W1237" s="37">
        <v>3.53</v>
      </c>
      <c r="X1237" s="49" t="s">
        <v>276</v>
      </c>
      <c r="Y1237" s="49" t="s">
        <v>3520</v>
      </c>
      <c r="Z1237" s="49" t="s">
        <v>278</v>
      </c>
      <c r="AA1237" s="65">
        <v>0.84</v>
      </c>
      <c r="AB1237" s="39">
        <v>52350</v>
      </c>
      <c r="AC1237" s="62" t="s">
        <v>15767</v>
      </c>
      <c r="AD1237" s="53" t="str">
        <f t="shared" si="939"/>
        <v>Link</v>
      </c>
      <c r="AE1237" s="42">
        <v>663</v>
      </c>
      <c r="AF1237" s="55"/>
      <c r="AG1237" s="7"/>
      <c r="AH1237" s="56">
        <v>233301</v>
      </c>
      <c r="AI1237" s="56"/>
    </row>
    <row r="1238" spans="1:35" ht="13" x14ac:dyDescent="0.15">
      <c r="A1238" s="57"/>
      <c r="B1238" s="78" t="s">
        <v>1374</v>
      </c>
      <c r="C1238" s="7" t="s">
        <v>43</v>
      </c>
      <c r="D1238" s="44">
        <v>5</v>
      </c>
      <c r="E1238" s="7" t="s">
        <v>15798</v>
      </c>
      <c r="F1238" s="7"/>
      <c r="G1238" s="7"/>
      <c r="H1238" s="6" t="s">
        <v>15799</v>
      </c>
      <c r="I1238" s="7" t="s">
        <v>3279</v>
      </c>
      <c r="J1238" s="7" t="s">
        <v>4446</v>
      </c>
      <c r="K1238" s="7" t="s">
        <v>48</v>
      </c>
      <c r="L1238" s="7" t="s">
        <v>15800</v>
      </c>
      <c r="M1238" s="7" t="s">
        <v>15801</v>
      </c>
      <c r="N1238" s="45" t="str">
        <f t="shared" ref="N1238:N1241" si="940">HYPERLINK("twitter.com/rmc_softball","@rmc_softball")</f>
        <v>@rmc_softball</v>
      </c>
      <c r="O1238" s="7" t="s">
        <v>22</v>
      </c>
      <c r="P1238" s="7" t="s">
        <v>15808</v>
      </c>
      <c r="Q1238" s="57" t="s">
        <v>1361</v>
      </c>
      <c r="R1238" s="48" t="s">
        <v>8374</v>
      </c>
      <c r="S1238" s="60" t="s">
        <v>205</v>
      </c>
      <c r="T1238" s="73" t="s">
        <v>63</v>
      </c>
      <c r="U1238" s="49" t="s">
        <v>65</v>
      </c>
      <c r="V1238" s="7"/>
      <c r="W1238" s="44">
        <v>3.69</v>
      </c>
      <c r="X1238" s="7" t="s">
        <v>676</v>
      </c>
      <c r="Y1238" s="7" t="s">
        <v>15809</v>
      </c>
      <c r="Z1238" s="49" t="s">
        <v>1510</v>
      </c>
      <c r="AA1238" s="61">
        <v>0.61</v>
      </c>
      <c r="AB1238" s="71">
        <v>52410</v>
      </c>
      <c r="AC1238" s="62" t="s">
        <v>15808</v>
      </c>
      <c r="AD1238" s="53" t="str">
        <f t="shared" ref="AD1238:AD1241" si="941">HYPERLINK("https://www.rmc.edu/academics","Link")</f>
        <v>Link</v>
      </c>
      <c r="AE1238" s="54">
        <v>1446</v>
      </c>
      <c r="AF1238" s="55"/>
      <c r="AG1238" s="44">
        <v>126</v>
      </c>
      <c r="AH1238" s="56">
        <v>233295</v>
      </c>
      <c r="AI1238" s="56"/>
    </row>
    <row r="1239" spans="1:35" ht="13" x14ac:dyDescent="0.15">
      <c r="A1239" s="57"/>
      <c r="B1239" s="78" t="s">
        <v>1374</v>
      </c>
      <c r="C1239" s="7" t="s">
        <v>43</v>
      </c>
      <c r="D1239" s="44">
        <v>5</v>
      </c>
      <c r="E1239" s="7" t="s">
        <v>15815</v>
      </c>
      <c r="F1239" s="7"/>
      <c r="G1239" s="7"/>
      <c r="H1239" s="6" t="s">
        <v>15799</v>
      </c>
      <c r="I1239" s="7" t="s">
        <v>1875</v>
      </c>
      <c r="J1239" s="7" t="s">
        <v>15819</v>
      </c>
      <c r="K1239" s="7" t="s">
        <v>55</v>
      </c>
      <c r="L1239" s="7" t="s">
        <v>15821</v>
      </c>
      <c r="M1239" s="7" t="s">
        <v>15822</v>
      </c>
      <c r="N1239" s="45" t="str">
        <f t="shared" si="940"/>
        <v>@rmc_softball</v>
      </c>
      <c r="O1239" s="7" t="s">
        <v>22</v>
      </c>
      <c r="P1239" s="7" t="s">
        <v>15808</v>
      </c>
      <c r="Q1239" s="57" t="s">
        <v>1361</v>
      </c>
      <c r="R1239" s="48" t="s">
        <v>8374</v>
      </c>
      <c r="S1239" s="60" t="s">
        <v>205</v>
      </c>
      <c r="T1239" s="73" t="s">
        <v>63</v>
      </c>
      <c r="U1239" s="49" t="s">
        <v>65</v>
      </c>
      <c r="V1239" s="7"/>
      <c r="W1239" s="44">
        <v>3.69</v>
      </c>
      <c r="X1239" s="7" t="s">
        <v>676</v>
      </c>
      <c r="Y1239" s="7" t="s">
        <v>15809</v>
      </c>
      <c r="Z1239" s="49" t="s">
        <v>1510</v>
      </c>
      <c r="AA1239" s="61">
        <v>0.61</v>
      </c>
      <c r="AB1239" s="71">
        <v>52410</v>
      </c>
      <c r="AC1239" s="62" t="s">
        <v>15808</v>
      </c>
      <c r="AD1239" s="53" t="str">
        <f t="shared" si="941"/>
        <v>Link</v>
      </c>
      <c r="AE1239" s="54">
        <v>1446</v>
      </c>
      <c r="AF1239" s="55"/>
      <c r="AG1239" s="44">
        <v>126</v>
      </c>
      <c r="AH1239" s="56">
        <v>233295</v>
      </c>
      <c r="AI1239" s="56"/>
    </row>
    <row r="1240" spans="1:35" ht="13" x14ac:dyDescent="0.15">
      <c r="A1240" s="57"/>
      <c r="B1240" s="78" t="s">
        <v>1374</v>
      </c>
      <c r="C1240" s="7" t="s">
        <v>43</v>
      </c>
      <c r="D1240" s="44">
        <v>5</v>
      </c>
      <c r="E1240" s="7" t="s">
        <v>15828</v>
      </c>
      <c r="F1240" s="7"/>
      <c r="G1240" s="7"/>
      <c r="H1240" s="6" t="s">
        <v>15799</v>
      </c>
      <c r="I1240" s="7" t="s">
        <v>15830</v>
      </c>
      <c r="J1240" s="7" t="s">
        <v>852</v>
      </c>
      <c r="K1240" s="7" t="s">
        <v>55</v>
      </c>
      <c r="L1240" s="7"/>
      <c r="M1240" s="7" t="s">
        <v>15801</v>
      </c>
      <c r="N1240" s="45" t="str">
        <f t="shared" si="940"/>
        <v>@rmc_softball</v>
      </c>
      <c r="O1240" s="7" t="s">
        <v>22</v>
      </c>
      <c r="P1240" s="7" t="s">
        <v>15808</v>
      </c>
      <c r="Q1240" s="57" t="s">
        <v>1361</v>
      </c>
      <c r="R1240" s="48" t="s">
        <v>8374</v>
      </c>
      <c r="S1240" s="60" t="s">
        <v>205</v>
      </c>
      <c r="T1240" s="73" t="s">
        <v>63</v>
      </c>
      <c r="U1240" s="49" t="s">
        <v>65</v>
      </c>
      <c r="V1240" s="7"/>
      <c r="W1240" s="44">
        <v>3.69</v>
      </c>
      <c r="X1240" s="7" t="s">
        <v>676</v>
      </c>
      <c r="Y1240" s="7" t="s">
        <v>15809</v>
      </c>
      <c r="Z1240" s="49" t="s">
        <v>1510</v>
      </c>
      <c r="AA1240" s="61">
        <v>0.61</v>
      </c>
      <c r="AB1240" s="71">
        <v>52410</v>
      </c>
      <c r="AC1240" s="62" t="s">
        <v>15808</v>
      </c>
      <c r="AD1240" s="53" t="str">
        <f t="shared" si="941"/>
        <v>Link</v>
      </c>
      <c r="AE1240" s="54">
        <v>1446</v>
      </c>
      <c r="AF1240" s="55"/>
      <c r="AG1240" s="44">
        <v>126</v>
      </c>
      <c r="AH1240" s="56">
        <v>233295</v>
      </c>
      <c r="AI1240" s="56"/>
    </row>
    <row r="1241" spans="1:35" ht="13" x14ac:dyDescent="0.15">
      <c r="A1241" s="57"/>
      <c r="B1241" s="78" t="s">
        <v>1374</v>
      </c>
      <c r="C1241" s="7" t="s">
        <v>43</v>
      </c>
      <c r="D1241" s="44">
        <v>5</v>
      </c>
      <c r="E1241" s="7" t="s">
        <v>15842</v>
      </c>
      <c r="F1241" s="7"/>
      <c r="G1241" s="7"/>
      <c r="H1241" s="6" t="s">
        <v>15799</v>
      </c>
      <c r="I1241" s="7" t="s">
        <v>847</v>
      </c>
      <c r="J1241" s="7" t="s">
        <v>7256</v>
      </c>
      <c r="K1241" s="7" t="s">
        <v>55</v>
      </c>
      <c r="L1241" s="7"/>
      <c r="M1241" s="7"/>
      <c r="N1241" s="45" t="str">
        <f t="shared" si="940"/>
        <v>@rmc_softball</v>
      </c>
      <c r="O1241" s="7" t="s">
        <v>22</v>
      </c>
      <c r="P1241" s="7" t="s">
        <v>15808</v>
      </c>
      <c r="Q1241" s="57" t="s">
        <v>1361</v>
      </c>
      <c r="R1241" s="48" t="s">
        <v>8374</v>
      </c>
      <c r="S1241" s="60" t="s">
        <v>205</v>
      </c>
      <c r="T1241" s="73" t="s">
        <v>63</v>
      </c>
      <c r="U1241" s="49" t="s">
        <v>65</v>
      </c>
      <c r="V1241" s="7"/>
      <c r="W1241" s="44">
        <v>3.69</v>
      </c>
      <c r="X1241" s="7" t="s">
        <v>676</v>
      </c>
      <c r="Y1241" s="7" t="s">
        <v>15809</v>
      </c>
      <c r="Z1241" s="49" t="s">
        <v>1510</v>
      </c>
      <c r="AA1241" s="61">
        <v>0.61</v>
      </c>
      <c r="AB1241" s="71">
        <v>52410</v>
      </c>
      <c r="AC1241" s="62" t="s">
        <v>15808</v>
      </c>
      <c r="AD1241" s="53" t="str">
        <f t="shared" si="941"/>
        <v>Link</v>
      </c>
      <c r="AE1241" s="54">
        <v>1446</v>
      </c>
      <c r="AF1241" s="55"/>
      <c r="AG1241" s="44">
        <v>126</v>
      </c>
      <c r="AH1241" s="56">
        <v>233295</v>
      </c>
      <c r="AI1241" s="56"/>
    </row>
    <row r="1242" spans="1:35" ht="13" x14ac:dyDescent="0.15">
      <c r="A1242" s="57"/>
      <c r="B1242" s="78" t="s">
        <v>1374</v>
      </c>
      <c r="C1242" s="7" t="s">
        <v>43</v>
      </c>
      <c r="D1242" s="44">
        <v>5</v>
      </c>
      <c r="E1242" s="7" t="s">
        <v>15848</v>
      </c>
      <c r="F1242" s="7"/>
      <c r="G1242" s="7"/>
      <c r="H1242" s="6" t="s">
        <v>15850</v>
      </c>
      <c r="I1242" s="7" t="s">
        <v>2316</v>
      </c>
      <c r="J1242" s="7" t="s">
        <v>15851</v>
      </c>
      <c r="K1242" s="7" t="s">
        <v>48</v>
      </c>
      <c r="L1242" s="7" t="s">
        <v>15853</v>
      </c>
      <c r="M1242" s="7" t="s">
        <v>15854</v>
      </c>
      <c r="N1242" s="7"/>
      <c r="O1242" s="74" t="str">
        <f t="shared" ref="O1242:O1248" si="942">HYPERLINK("https://www.roanokemaroons.com/information/recruiting-questionnaires","Questionnaire")</f>
        <v>Questionnaire</v>
      </c>
      <c r="P1242" s="7" t="s">
        <v>15860</v>
      </c>
      <c r="Q1242" s="36" t="s">
        <v>1361</v>
      </c>
      <c r="R1242" s="48" t="s">
        <v>5684</v>
      </c>
      <c r="S1242" s="48" t="s">
        <v>468</v>
      </c>
      <c r="T1242" s="49" t="s">
        <v>63</v>
      </c>
      <c r="U1242" s="49" t="s">
        <v>318</v>
      </c>
      <c r="V1242" s="7"/>
      <c r="W1242" s="44">
        <v>3.53</v>
      </c>
      <c r="X1242" s="7" t="s">
        <v>2853</v>
      </c>
      <c r="Y1242" s="7" t="s">
        <v>802</v>
      </c>
      <c r="Z1242" s="49" t="s">
        <v>545</v>
      </c>
      <c r="AA1242" s="61">
        <v>0.73</v>
      </c>
      <c r="AB1242" s="71">
        <v>57489</v>
      </c>
      <c r="AC1242" s="62" t="s">
        <v>15860</v>
      </c>
      <c r="AD1242" s="53" t="str">
        <f t="shared" ref="AD1242:AD1248" si="943">HYPERLINK("https://www.roanoke.edu/academics/majors","Link")</f>
        <v>Link</v>
      </c>
      <c r="AE1242" s="54">
        <v>1984</v>
      </c>
      <c r="AF1242" s="55"/>
      <c r="AG1242" s="44">
        <v>138</v>
      </c>
      <c r="AH1242" s="56">
        <v>233426</v>
      </c>
      <c r="AI1242" s="56"/>
    </row>
    <row r="1243" spans="1:35" ht="13" x14ac:dyDescent="0.15">
      <c r="A1243" s="57"/>
      <c r="B1243" s="78" t="s">
        <v>1374</v>
      </c>
      <c r="C1243" s="7" t="s">
        <v>43</v>
      </c>
      <c r="D1243" s="44">
        <v>5</v>
      </c>
      <c r="E1243" s="7" t="s">
        <v>15869</v>
      </c>
      <c r="F1243" s="7"/>
      <c r="G1243" s="7"/>
      <c r="H1243" s="6" t="s">
        <v>15850</v>
      </c>
      <c r="I1243" s="7" t="s">
        <v>15871</v>
      </c>
      <c r="J1243" s="7" t="s">
        <v>15872</v>
      </c>
      <c r="K1243" s="7" t="s">
        <v>55</v>
      </c>
      <c r="L1243" s="7" t="s">
        <v>15873</v>
      </c>
      <c r="M1243" s="7"/>
      <c r="N1243" s="7"/>
      <c r="O1243" s="74" t="str">
        <f t="shared" si="942"/>
        <v>Questionnaire</v>
      </c>
      <c r="P1243" s="7" t="s">
        <v>15860</v>
      </c>
      <c r="Q1243" s="36" t="s">
        <v>1361</v>
      </c>
      <c r="R1243" s="48" t="s">
        <v>5684</v>
      </c>
      <c r="S1243" s="48" t="s">
        <v>468</v>
      </c>
      <c r="T1243" s="49" t="s">
        <v>63</v>
      </c>
      <c r="U1243" s="49" t="s">
        <v>318</v>
      </c>
      <c r="V1243" s="7"/>
      <c r="W1243" s="44">
        <v>3.53</v>
      </c>
      <c r="X1243" s="7" t="s">
        <v>2853</v>
      </c>
      <c r="Y1243" s="7" t="s">
        <v>802</v>
      </c>
      <c r="Z1243" s="49" t="s">
        <v>545</v>
      </c>
      <c r="AA1243" s="61">
        <v>0.73</v>
      </c>
      <c r="AB1243" s="71">
        <v>57489</v>
      </c>
      <c r="AC1243" s="62" t="s">
        <v>15860</v>
      </c>
      <c r="AD1243" s="53" t="str">
        <f t="shared" si="943"/>
        <v>Link</v>
      </c>
      <c r="AE1243" s="54">
        <v>1984</v>
      </c>
      <c r="AF1243" s="55"/>
      <c r="AG1243" s="44">
        <v>138</v>
      </c>
      <c r="AH1243" s="56">
        <v>233426</v>
      </c>
      <c r="AI1243" s="56"/>
    </row>
    <row r="1244" spans="1:35" ht="13" x14ac:dyDescent="0.15">
      <c r="A1244" s="57"/>
      <c r="B1244" s="78" t="s">
        <v>1374</v>
      </c>
      <c r="C1244" s="7" t="s">
        <v>43</v>
      </c>
      <c r="D1244" s="44">
        <v>5</v>
      </c>
      <c r="E1244" s="7" t="s">
        <v>15879</v>
      </c>
      <c r="F1244" s="7"/>
      <c r="G1244" s="7"/>
      <c r="H1244" s="6" t="s">
        <v>15850</v>
      </c>
      <c r="I1244" s="7" t="s">
        <v>2924</v>
      </c>
      <c r="J1244" s="7" t="s">
        <v>1604</v>
      </c>
      <c r="K1244" s="7" t="s">
        <v>55</v>
      </c>
      <c r="L1244" s="7"/>
      <c r="M1244" s="7"/>
      <c r="N1244" s="7"/>
      <c r="O1244" s="74" t="str">
        <f t="shared" si="942"/>
        <v>Questionnaire</v>
      </c>
      <c r="P1244" s="7" t="s">
        <v>15860</v>
      </c>
      <c r="Q1244" s="36" t="s">
        <v>1361</v>
      </c>
      <c r="R1244" s="48" t="s">
        <v>5684</v>
      </c>
      <c r="S1244" s="48" t="s">
        <v>468</v>
      </c>
      <c r="T1244" s="49" t="s">
        <v>63</v>
      </c>
      <c r="U1244" s="49" t="s">
        <v>318</v>
      </c>
      <c r="V1244" s="7"/>
      <c r="W1244" s="44">
        <v>3.53</v>
      </c>
      <c r="X1244" s="7" t="s">
        <v>2853</v>
      </c>
      <c r="Y1244" s="7" t="s">
        <v>802</v>
      </c>
      <c r="Z1244" s="49" t="s">
        <v>545</v>
      </c>
      <c r="AA1244" s="61">
        <v>0.73</v>
      </c>
      <c r="AB1244" s="71">
        <v>57489</v>
      </c>
      <c r="AC1244" s="62" t="s">
        <v>15860</v>
      </c>
      <c r="AD1244" s="53" t="str">
        <f t="shared" si="943"/>
        <v>Link</v>
      </c>
      <c r="AE1244" s="54">
        <v>1984</v>
      </c>
      <c r="AF1244" s="55"/>
      <c r="AG1244" s="44">
        <v>138</v>
      </c>
      <c r="AH1244" s="56">
        <v>233426</v>
      </c>
      <c r="AI1244" s="56"/>
    </row>
    <row r="1245" spans="1:35" ht="13" x14ac:dyDescent="0.15">
      <c r="A1245" s="57"/>
      <c r="B1245" s="78" t="s">
        <v>1374</v>
      </c>
      <c r="C1245" s="7" t="s">
        <v>43</v>
      </c>
      <c r="D1245" s="44">
        <v>5</v>
      </c>
      <c r="E1245" s="7" t="s">
        <v>15888</v>
      </c>
      <c r="F1245" s="7"/>
      <c r="G1245" s="7"/>
      <c r="H1245" s="6" t="s">
        <v>15850</v>
      </c>
      <c r="I1245" s="7" t="s">
        <v>754</v>
      </c>
      <c r="J1245" s="7" t="s">
        <v>11755</v>
      </c>
      <c r="K1245" s="7" t="s">
        <v>48</v>
      </c>
      <c r="L1245" s="7" t="s">
        <v>15890</v>
      </c>
      <c r="M1245" s="7" t="s">
        <v>15892</v>
      </c>
      <c r="N1245" s="48"/>
      <c r="O1245" s="74" t="str">
        <f t="shared" si="942"/>
        <v>Questionnaire</v>
      </c>
      <c r="P1245" s="7" t="s">
        <v>15860</v>
      </c>
      <c r="Q1245" s="36" t="s">
        <v>1361</v>
      </c>
      <c r="R1245" s="48" t="s">
        <v>5684</v>
      </c>
      <c r="S1245" s="48" t="s">
        <v>468</v>
      </c>
      <c r="T1245" s="49" t="s">
        <v>63</v>
      </c>
      <c r="U1245" s="49" t="s">
        <v>318</v>
      </c>
      <c r="V1245" s="7"/>
      <c r="W1245" s="44">
        <v>3.53</v>
      </c>
      <c r="X1245" s="7" t="s">
        <v>2853</v>
      </c>
      <c r="Y1245" s="7" t="s">
        <v>802</v>
      </c>
      <c r="Z1245" s="49" t="s">
        <v>545</v>
      </c>
      <c r="AA1245" s="61">
        <v>0.73</v>
      </c>
      <c r="AB1245" s="71">
        <v>57489</v>
      </c>
      <c r="AC1245" s="62" t="s">
        <v>15860</v>
      </c>
      <c r="AD1245" s="53" t="str">
        <f t="shared" si="943"/>
        <v>Link</v>
      </c>
      <c r="AE1245" s="54">
        <v>1984</v>
      </c>
      <c r="AF1245" s="55"/>
      <c r="AG1245" s="44">
        <v>138</v>
      </c>
      <c r="AH1245" s="56">
        <v>233426</v>
      </c>
      <c r="AI1245" s="56"/>
    </row>
    <row r="1246" spans="1:35" ht="13" x14ac:dyDescent="0.15">
      <c r="A1246" s="57"/>
      <c r="B1246" s="78" t="s">
        <v>1374</v>
      </c>
      <c r="C1246" s="7" t="s">
        <v>43</v>
      </c>
      <c r="D1246" s="44">
        <v>5</v>
      </c>
      <c r="E1246" s="7" t="s">
        <v>15897</v>
      </c>
      <c r="F1246" s="7"/>
      <c r="G1246" s="7"/>
      <c r="H1246" s="6" t="s">
        <v>15850</v>
      </c>
      <c r="I1246" s="7" t="s">
        <v>728</v>
      </c>
      <c r="J1246" s="7" t="s">
        <v>15901</v>
      </c>
      <c r="K1246" s="7" t="s">
        <v>55</v>
      </c>
      <c r="L1246" s="7" t="s">
        <v>15903</v>
      </c>
      <c r="M1246" s="7"/>
      <c r="N1246" s="48"/>
      <c r="O1246" s="74" t="str">
        <f t="shared" si="942"/>
        <v>Questionnaire</v>
      </c>
      <c r="P1246" s="7" t="s">
        <v>15860</v>
      </c>
      <c r="Q1246" s="36" t="s">
        <v>1361</v>
      </c>
      <c r="R1246" s="48" t="s">
        <v>5684</v>
      </c>
      <c r="S1246" s="48" t="s">
        <v>468</v>
      </c>
      <c r="T1246" s="49" t="s">
        <v>63</v>
      </c>
      <c r="U1246" s="49" t="s">
        <v>318</v>
      </c>
      <c r="V1246" s="7"/>
      <c r="W1246" s="44">
        <v>3.53</v>
      </c>
      <c r="X1246" s="7" t="s">
        <v>2853</v>
      </c>
      <c r="Y1246" s="7" t="s">
        <v>802</v>
      </c>
      <c r="Z1246" s="49" t="s">
        <v>545</v>
      </c>
      <c r="AA1246" s="61">
        <v>0.73</v>
      </c>
      <c r="AB1246" s="71">
        <v>57489</v>
      </c>
      <c r="AC1246" s="62" t="s">
        <v>15860</v>
      </c>
      <c r="AD1246" s="53" t="str">
        <f t="shared" si="943"/>
        <v>Link</v>
      </c>
      <c r="AE1246" s="54">
        <v>1984</v>
      </c>
      <c r="AF1246" s="55"/>
      <c r="AG1246" s="44">
        <v>138</v>
      </c>
      <c r="AH1246" s="56">
        <v>233426</v>
      </c>
      <c r="AI1246" s="56"/>
    </row>
    <row r="1247" spans="1:35" ht="13" x14ac:dyDescent="0.15">
      <c r="A1247" s="57"/>
      <c r="B1247" s="78" t="s">
        <v>1374</v>
      </c>
      <c r="C1247" s="7" t="s">
        <v>43</v>
      </c>
      <c r="D1247" s="44">
        <v>5</v>
      </c>
      <c r="E1247" s="7" t="s">
        <v>15906</v>
      </c>
      <c r="F1247" s="7"/>
      <c r="G1247" s="7"/>
      <c r="H1247" s="6" t="s">
        <v>15850</v>
      </c>
      <c r="I1247" s="7" t="s">
        <v>1492</v>
      </c>
      <c r="J1247" s="7" t="s">
        <v>15907</v>
      </c>
      <c r="K1247" s="7" t="s">
        <v>55</v>
      </c>
      <c r="L1247" s="7"/>
      <c r="M1247" s="7"/>
      <c r="N1247" s="48"/>
      <c r="O1247" s="74" t="str">
        <f t="shared" si="942"/>
        <v>Questionnaire</v>
      </c>
      <c r="P1247" s="7" t="s">
        <v>15860</v>
      </c>
      <c r="Q1247" s="36" t="s">
        <v>1361</v>
      </c>
      <c r="R1247" s="48" t="s">
        <v>5684</v>
      </c>
      <c r="S1247" s="48" t="s">
        <v>468</v>
      </c>
      <c r="T1247" s="49" t="s">
        <v>63</v>
      </c>
      <c r="U1247" s="49" t="s">
        <v>318</v>
      </c>
      <c r="V1247" s="7"/>
      <c r="W1247" s="44">
        <v>3.53</v>
      </c>
      <c r="X1247" s="7" t="s">
        <v>2853</v>
      </c>
      <c r="Y1247" s="7" t="s">
        <v>802</v>
      </c>
      <c r="Z1247" s="49" t="s">
        <v>545</v>
      </c>
      <c r="AA1247" s="61">
        <v>0.73</v>
      </c>
      <c r="AB1247" s="71">
        <v>57489</v>
      </c>
      <c r="AC1247" s="62" t="s">
        <v>15860</v>
      </c>
      <c r="AD1247" s="53" t="str">
        <f t="shared" si="943"/>
        <v>Link</v>
      </c>
      <c r="AE1247" s="54">
        <v>1984</v>
      </c>
      <c r="AF1247" s="55"/>
      <c r="AG1247" s="44">
        <v>138</v>
      </c>
      <c r="AH1247" s="56">
        <v>233426</v>
      </c>
      <c r="AI1247" s="56"/>
    </row>
    <row r="1248" spans="1:35" ht="13" x14ac:dyDescent="0.15">
      <c r="A1248" s="57"/>
      <c r="B1248" s="78" t="s">
        <v>1374</v>
      </c>
      <c r="C1248" s="7" t="s">
        <v>43</v>
      </c>
      <c r="D1248" s="44">
        <v>5</v>
      </c>
      <c r="E1248" s="7" t="s">
        <v>15909</v>
      </c>
      <c r="F1248" s="7"/>
      <c r="G1248" s="7" t="s">
        <v>126</v>
      </c>
      <c r="H1248" s="6" t="s">
        <v>15850</v>
      </c>
      <c r="I1248" s="7" t="s">
        <v>15911</v>
      </c>
      <c r="J1248" s="7"/>
      <c r="K1248" s="7"/>
      <c r="L1248" s="7"/>
      <c r="M1248" s="7"/>
      <c r="N1248" s="48"/>
      <c r="O1248" s="74" t="str">
        <f t="shared" si="942"/>
        <v>Questionnaire</v>
      </c>
      <c r="P1248" s="7" t="s">
        <v>15860</v>
      </c>
      <c r="Q1248" s="36" t="s">
        <v>1361</v>
      </c>
      <c r="R1248" s="48" t="s">
        <v>5684</v>
      </c>
      <c r="S1248" s="48" t="s">
        <v>468</v>
      </c>
      <c r="T1248" s="49" t="s">
        <v>63</v>
      </c>
      <c r="U1248" s="49" t="s">
        <v>318</v>
      </c>
      <c r="V1248" s="7"/>
      <c r="W1248" s="44">
        <v>3.53</v>
      </c>
      <c r="X1248" s="7" t="s">
        <v>2853</v>
      </c>
      <c r="Y1248" s="7" t="s">
        <v>802</v>
      </c>
      <c r="Z1248" s="49" t="s">
        <v>545</v>
      </c>
      <c r="AA1248" s="61">
        <v>0.73</v>
      </c>
      <c r="AB1248" s="71">
        <v>57489</v>
      </c>
      <c r="AC1248" s="62" t="s">
        <v>15860</v>
      </c>
      <c r="AD1248" s="53" t="str">
        <f t="shared" si="943"/>
        <v>Link</v>
      </c>
      <c r="AE1248" s="54">
        <v>1984</v>
      </c>
      <c r="AF1248" s="55"/>
      <c r="AG1248" s="44">
        <v>138</v>
      </c>
      <c r="AH1248" s="56">
        <v>233426</v>
      </c>
      <c r="AI1248" s="56"/>
    </row>
    <row r="1249" spans="1:35" ht="13" x14ac:dyDescent="0.15">
      <c r="A1249" s="57"/>
      <c r="B1249" s="78" t="s">
        <v>1374</v>
      </c>
      <c r="C1249" s="7" t="s">
        <v>43</v>
      </c>
      <c r="D1249" s="44">
        <v>5</v>
      </c>
      <c r="E1249" s="7" t="s">
        <v>15920</v>
      </c>
      <c r="F1249" s="7"/>
      <c r="G1249" s="7"/>
      <c r="H1249" s="6" t="s">
        <v>15921</v>
      </c>
      <c r="I1249" s="7" t="s">
        <v>222</v>
      </c>
      <c r="J1249" s="7" t="s">
        <v>15923</v>
      </c>
      <c r="K1249" s="7" t="s">
        <v>48</v>
      </c>
      <c r="L1249" s="7" t="s">
        <v>15924</v>
      </c>
      <c r="M1249" s="7" t="s">
        <v>15926</v>
      </c>
      <c r="N1249" s="45" t="str">
        <f t="shared" ref="N1249:N1250" si="944">HYPERLINK("twitter.com/su_softball","@su_softball")</f>
        <v>@su_softball</v>
      </c>
      <c r="O1249" s="74" t="str">
        <f t="shared" ref="O1249:O1250" si="945">HYPERLINK("https://suhornets.com/sports/2019/6/28/frontrush-recruiting-forms.aspx","Questionnaire")</f>
        <v>Questionnaire</v>
      </c>
      <c r="P1249" s="7" t="s">
        <v>15932</v>
      </c>
      <c r="Q1249" s="57" t="s">
        <v>1361</v>
      </c>
      <c r="R1249" s="48" t="s">
        <v>15933</v>
      </c>
      <c r="S1249" s="48" t="s">
        <v>468</v>
      </c>
      <c r="T1249" s="73" t="s">
        <v>63</v>
      </c>
      <c r="U1249" s="49" t="s">
        <v>65</v>
      </c>
      <c r="V1249" s="7"/>
      <c r="W1249" s="44">
        <v>3.42</v>
      </c>
      <c r="X1249" s="7" t="s">
        <v>3520</v>
      </c>
      <c r="Y1249" s="7" t="s">
        <v>1144</v>
      </c>
      <c r="Z1249" s="49" t="s">
        <v>746</v>
      </c>
      <c r="AA1249" s="61">
        <v>0.88</v>
      </c>
      <c r="AB1249" s="71">
        <v>45412</v>
      </c>
      <c r="AC1249" s="62" t="s">
        <v>15932</v>
      </c>
      <c r="AD1249" s="53" t="str">
        <f t="shared" ref="AD1249:AD1250" si="946">HYPERLINK("https://www.su.edu/academics/areas-of-study/","Link")</f>
        <v>Link</v>
      </c>
      <c r="AE1249" s="54">
        <v>2099</v>
      </c>
      <c r="AF1249" s="54">
        <v>223</v>
      </c>
      <c r="AG1249" s="7"/>
      <c r="AH1249" s="56">
        <v>233541</v>
      </c>
      <c r="AI1249" s="56"/>
    </row>
    <row r="1250" spans="1:35" ht="13" x14ac:dyDescent="0.15">
      <c r="A1250" s="57"/>
      <c r="B1250" s="78" t="s">
        <v>1374</v>
      </c>
      <c r="C1250" s="7" t="s">
        <v>43</v>
      </c>
      <c r="D1250" s="44">
        <v>5</v>
      </c>
      <c r="E1250" s="7" t="s">
        <v>15937</v>
      </c>
      <c r="F1250" s="7"/>
      <c r="G1250" s="7"/>
      <c r="H1250" s="6" t="s">
        <v>15921</v>
      </c>
      <c r="I1250" s="7" t="s">
        <v>338</v>
      </c>
      <c r="J1250" s="7" t="s">
        <v>15940</v>
      </c>
      <c r="K1250" s="7" t="s">
        <v>55</v>
      </c>
      <c r="L1250" s="7" t="s">
        <v>15941</v>
      </c>
      <c r="M1250" s="7" t="s">
        <v>15942</v>
      </c>
      <c r="N1250" s="45" t="str">
        <f t="shared" si="944"/>
        <v>@su_softball</v>
      </c>
      <c r="O1250" s="74" t="str">
        <f t="shared" si="945"/>
        <v>Questionnaire</v>
      </c>
      <c r="P1250" s="7" t="s">
        <v>15932</v>
      </c>
      <c r="Q1250" s="57" t="s">
        <v>1361</v>
      </c>
      <c r="R1250" s="48" t="s">
        <v>15933</v>
      </c>
      <c r="S1250" s="48" t="s">
        <v>468</v>
      </c>
      <c r="T1250" s="73" t="s">
        <v>63</v>
      </c>
      <c r="U1250" s="49" t="s">
        <v>65</v>
      </c>
      <c r="V1250" s="7"/>
      <c r="W1250" s="44">
        <v>3.42</v>
      </c>
      <c r="X1250" s="7" t="s">
        <v>3520</v>
      </c>
      <c r="Y1250" s="7" t="s">
        <v>1144</v>
      </c>
      <c r="Z1250" s="49" t="s">
        <v>746</v>
      </c>
      <c r="AA1250" s="61">
        <v>0.88</v>
      </c>
      <c r="AB1250" s="71">
        <v>45412</v>
      </c>
      <c r="AC1250" s="62" t="s">
        <v>15932</v>
      </c>
      <c r="AD1250" s="53" t="str">
        <f t="shared" si="946"/>
        <v>Link</v>
      </c>
      <c r="AE1250" s="54">
        <v>2099</v>
      </c>
      <c r="AF1250" s="54">
        <v>223</v>
      </c>
      <c r="AG1250" s="7"/>
      <c r="AH1250" s="56">
        <v>233541</v>
      </c>
      <c r="AI1250" s="56"/>
    </row>
    <row r="1251" spans="1:35" ht="13" x14ac:dyDescent="0.15">
      <c r="A1251" s="57"/>
      <c r="B1251" s="78" t="s">
        <v>1374</v>
      </c>
      <c r="C1251" s="7" t="s">
        <v>43</v>
      </c>
      <c r="D1251" s="44">
        <v>5</v>
      </c>
      <c r="E1251" s="7" t="s">
        <v>15951</v>
      </c>
      <c r="F1251" s="7"/>
      <c r="G1251" s="7"/>
      <c r="H1251" s="6" t="s">
        <v>15952</v>
      </c>
      <c r="I1251" s="7" t="s">
        <v>15953</v>
      </c>
      <c r="J1251" s="7" t="s">
        <v>15954</v>
      </c>
      <c r="K1251" s="7" t="s">
        <v>48</v>
      </c>
      <c r="L1251" s="7" t="s">
        <v>15955</v>
      </c>
      <c r="M1251" s="7" t="s">
        <v>15956</v>
      </c>
      <c r="N1251" s="48"/>
      <c r="O1251" s="74" t="str">
        <f t="shared" ref="O1251:O1252" si="947">HYPERLINK("https://www.frontrush.com/FR_Web_App/Player/PlayerSubmit.aspx?sid=NjY2Mg==-psiJOvNpm4M=&amp;ptype=recruit","Questionnaire")</f>
        <v>Questionnaire</v>
      </c>
      <c r="P1251" s="7" t="s">
        <v>15961</v>
      </c>
      <c r="Q1251" s="57" t="s">
        <v>1361</v>
      </c>
      <c r="R1251" s="48" t="s">
        <v>2940</v>
      </c>
      <c r="S1251" s="60" t="s">
        <v>205</v>
      </c>
      <c r="T1251" s="49" t="s">
        <v>63</v>
      </c>
      <c r="U1251" s="49" t="s">
        <v>75</v>
      </c>
      <c r="V1251" s="7"/>
      <c r="W1251" s="44">
        <v>3.19</v>
      </c>
      <c r="X1251" s="7" t="s">
        <v>15964</v>
      </c>
      <c r="Y1251" s="7" t="s">
        <v>15965</v>
      </c>
      <c r="Z1251" s="49" t="s">
        <v>278</v>
      </c>
      <c r="AA1251" s="61">
        <v>0.45</v>
      </c>
      <c r="AB1251" s="71">
        <v>27100</v>
      </c>
      <c r="AC1251" s="62" t="s">
        <v>15961</v>
      </c>
      <c r="AD1251" s="53" t="str">
        <f t="shared" ref="AD1251:AD1252" si="948">HYPERLINK("http://svu.edu/academics/programs/program-checklists/","Link")</f>
        <v>Link</v>
      </c>
      <c r="AE1251" s="54">
        <v>800</v>
      </c>
      <c r="AF1251" s="55"/>
      <c r="AG1251" s="7"/>
      <c r="AH1251" s="56">
        <v>233611</v>
      </c>
      <c r="AI1251" s="56"/>
    </row>
    <row r="1252" spans="1:35" ht="13" x14ac:dyDescent="0.15">
      <c r="A1252" s="57"/>
      <c r="B1252" s="78" t="s">
        <v>1374</v>
      </c>
      <c r="C1252" s="7" t="s">
        <v>43</v>
      </c>
      <c r="D1252" s="44">
        <v>5</v>
      </c>
      <c r="E1252" s="7" t="s">
        <v>15970</v>
      </c>
      <c r="F1252" s="7"/>
      <c r="G1252" s="7"/>
      <c r="H1252" s="6" t="s">
        <v>15952</v>
      </c>
      <c r="I1252" s="7" t="s">
        <v>537</v>
      </c>
      <c r="J1252" s="7" t="s">
        <v>15971</v>
      </c>
      <c r="K1252" s="7" t="s">
        <v>55</v>
      </c>
      <c r="L1252" s="7" t="s">
        <v>15972</v>
      </c>
      <c r="M1252" s="7" t="s">
        <v>15956</v>
      </c>
      <c r="N1252" s="7"/>
      <c r="O1252" s="74" t="str">
        <f t="shared" si="947"/>
        <v>Questionnaire</v>
      </c>
      <c r="P1252" s="7" t="s">
        <v>15961</v>
      </c>
      <c r="Q1252" s="57" t="s">
        <v>1361</v>
      </c>
      <c r="R1252" s="48" t="s">
        <v>2940</v>
      </c>
      <c r="S1252" s="60" t="s">
        <v>205</v>
      </c>
      <c r="T1252" s="49" t="s">
        <v>63</v>
      </c>
      <c r="U1252" s="49" t="s">
        <v>75</v>
      </c>
      <c r="V1252" s="7"/>
      <c r="W1252" s="44">
        <v>3.19</v>
      </c>
      <c r="X1252" s="7" t="s">
        <v>15964</v>
      </c>
      <c r="Y1252" s="7" t="s">
        <v>15965</v>
      </c>
      <c r="Z1252" s="49" t="s">
        <v>278</v>
      </c>
      <c r="AA1252" s="61">
        <v>0.45</v>
      </c>
      <c r="AB1252" s="71">
        <v>27100</v>
      </c>
      <c r="AC1252" s="62" t="s">
        <v>15961</v>
      </c>
      <c r="AD1252" s="53" t="str">
        <f t="shared" si="948"/>
        <v>Link</v>
      </c>
      <c r="AE1252" s="54">
        <v>800</v>
      </c>
      <c r="AF1252" s="55"/>
      <c r="AG1252" s="7"/>
      <c r="AH1252" s="56">
        <v>233611</v>
      </c>
      <c r="AI1252" s="56"/>
    </row>
    <row r="1253" spans="1:35" ht="13" x14ac:dyDescent="0.15">
      <c r="A1253" s="57"/>
      <c r="B1253" s="78" t="s">
        <v>1374</v>
      </c>
      <c r="C1253" s="7" t="s">
        <v>43</v>
      </c>
      <c r="D1253" s="44">
        <v>5</v>
      </c>
      <c r="E1253" s="7" t="s">
        <v>15975</v>
      </c>
      <c r="F1253" s="7"/>
      <c r="G1253" s="7"/>
      <c r="H1253" s="6" t="s">
        <v>15976</v>
      </c>
      <c r="I1253" s="7" t="s">
        <v>1390</v>
      </c>
      <c r="J1253" s="7" t="s">
        <v>9409</v>
      </c>
      <c r="K1253" s="7" t="s">
        <v>48</v>
      </c>
      <c r="L1253" s="7" t="s">
        <v>15977</v>
      </c>
      <c r="M1253" s="7" t="s">
        <v>15978</v>
      </c>
      <c r="N1253" s="45" t="str">
        <f t="shared" ref="N1253:N1257" si="949">HYPERLINK("twitter.com/vwusoftball","@vwusoftball")</f>
        <v>@vwusoftball</v>
      </c>
      <c r="O1253" s="74" t="str">
        <f t="shared" ref="O1253:O1257" si="950">HYPERLINK("https://www.vwuathletics.com/prospective-sa/prospective_sa","Questionnaire")</f>
        <v>Questionnaire</v>
      </c>
      <c r="P1253" s="7" t="s">
        <v>15980</v>
      </c>
      <c r="Q1253" s="57" t="s">
        <v>1361</v>
      </c>
      <c r="R1253" s="48" t="s">
        <v>15981</v>
      </c>
      <c r="S1253" s="48" t="s">
        <v>354</v>
      </c>
      <c r="T1253" s="49" t="s">
        <v>63</v>
      </c>
      <c r="U1253" s="49" t="s">
        <v>65</v>
      </c>
      <c r="V1253" s="7"/>
      <c r="W1253" s="44">
        <v>3.21</v>
      </c>
      <c r="X1253" s="7" t="s">
        <v>253</v>
      </c>
      <c r="Y1253" s="7" t="s">
        <v>1338</v>
      </c>
      <c r="Z1253" s="49" t="s">
        <v>4743</v>
      </c>
      <c r="AA1253" s="61">
        <v>0.9</v>
      </c>
      <c r="AB1253" s="71">
        <v>48978</v>
      </c>
      <c r="AC1253" s="62" t="s">
        <v>15980</v>
      </c>
      <c r="AD1253" s="53" t="str">
        <f t="shared" ref="AD1253:AD1257" si="951">HYPERLINK("https://www.vwu.edu/academics/majors/","Link")</f>
        <v>Link</v>
      </c>
      <c r="AE1253" s="54">
        <v>1374</v>
      </c>
      <c r="AF1253" s="55"/>
      <c r="AG1253" s="7"/>
      <c r="AH1253" s="56">
        <v>234173</v>
      </c>
      <c r="AI1253" s="56"/>
    </row>
    <row r="1254" spans="1:35" ht="13" x14ac:dyDescent="0.15">
      <c r="A1254" s="57"/>
      <c r="B1254" s="78" t="s">
        <v>1374</v>
      </c>
      <c r="C1254" s="7" t="s">
        <v>43</v>
      </c>
      <c r="D1254" s="44">
        <v>5</v>
      </c>
      <c r="E1254" s="7" t="s">
        <v>15987</v>
      </c>
      <c r="F1254" s="7"/>
      <c r="G1254" s="7"/>
      <c r="H1254" s="6" t="s">
        <v>15976</v>
      </c>
      <c r="I1254" s="7" t="s">
        <v>991</v>
      </c>
      <c r="J1254" s="7" t="s">
        <v>15989</v>
      </c>
      <c r="K1254" s="7" t="s">
        <v>55</v>
      </c>
      <c r="L1254" s="7"/>
      <c r="M1254" s="7"/>
      <c r="N1254" s="45" t="str">
        <f t="shared" si="949"/>
        <v>@vwusoftball</v>
      </c>
      <c r="O1254" s="74" t="str">
        <f t="shared" si="950"/>
        <v>Questionnaire</v>
      </c>
      <c r="P1254" s="7" t="s">
        <v>15980</v>
      </c>
      <c r="Q1254" s="57" t="s">
        <v>1361</v>
      </c>
      <c r="R1254" s="48" t="s">
        <v>15981</v>
      </c>
      <c r="S1254" s="48" t="s">
        <v>354</v>
      </c>
      <c r="T1254" s="49" t="s">
        <v>63</v>
      </c>
      <c r="U1254" s="49" t="s">
        <v>65</v>
      </c>
      <c r="V1254" s="7"/>
      <c r="W1254" s="44">
        <v>3.21</v>
      </c>
      <c r="X1254" s="7" t="s">
        <v>253</v>
      </c>
      <c r="Y1254" s="7" t="s">
        <v>1338</v>
      </c>
      <c r="Z1254" s="49" t="s">
        <v>4743</v>
      </c>
      <c r="AA1254" s="61">
        <v>0.9</v>
      </c>
      <c r="AB1254" s="71">
        <v>48978</v>
      </c>
      <c r="AC1254" s="62" t="s">
        <v>15980</v>
      </c>
      <c r="AD1254" s="53" t="str">
        <f t="shared" si="951"/>
        <v>Link</v>
      </c>
      <c r="AE1254" s="54">
        <v>1374</v>
      </c>
      <c r="AF1254" s="55"/>
      <c r="AG1254" s="7"/>
      <c r="AH1254" s="56">
        <v>234173</v>
      </c>
      <c r="AI1254" s="56"/>
    </row>
    <row r="1255" spans="1:35" ht="13" x14ac:dyDescent="0.15">
      <c r="A1255" s="57"/>
      <c r="B1255" s="78" t="s">
        <v>1374</v>
      </c>
      <c r="C1255" s="7" t="s">
        <v>43</v>
      </c>
      <c r="D1255" s="44">
        <v>5</v>
      </c>
      <c r="E1255" s="7" t="s">
        <v>15995</v>
      </c>
      <c r="F1255" s="7"/>
      <c r="G1255" s="7"/>
      <c r="H1255" s="6" t="s">
        <v>15976</v>
      </c>
      <c r="I1255" s="7" t="s">
        <v>7478</v>
      </c>
      <c r="J1255" s="7" t="s">
        <v>15997</v>
      </c>
      <c r="K1255" s="7" t="s">
        <v>55</v>
      </c>
      <c r="L1255" s="7"/>
      <c r="M1255" s="7"/>
      <c r="N1255" s="45" t="str">
        <f t="shared" si="949"/>
        <v>@vwusoftball</v>
      </c>
      <c r="O1255" s="74" t="str">
        <f t="shared" si="950"/>
        <v>Questionnaire</v>
      </c>
      <c r="P1255" s="7" t="s">
        <v>15980</v>
      </c>
      <c r="Q1255" s="57" t="s">
        <v>1361</v>
      </c>
      <c r="R1255" s="48" t="s">
        <v>15981</v>
      </c>
      <c r="S1255" s="48" t="s">
        <v>354</v>
      </c>
      <c r="T1255" s="49" t="s">
        <v>63</v>
      </c>
      <c r="U1255" s="49" t="s">
        <v>65</v>
      </c>
      <c r="V1255" s="7"/>
      <c r="W1255" s="44">
        <v>3.21</v>
      </c>
      <c r="X1255" s="7" t="s">
        <v>253</v>
      </c>
      <c r="Y1255" s="7" t="s">
        <v>1338</v>
      </c>
      <c r="Z1255" s="49" t="s">
        <v>4743</v>
      </c>
      <c r="AA1255" s="61">
        <v>0.9</v>
      </c>
      <c r="AB1255" s="71">
        <v>48978</v>
      </c>
      <c r="AC1255" s="62" t="s">
        <v>15980</v>
      </c>
      <c r="AD1255" s="53" t="str">
        <f t="shared" si="951"/>
        <v>Link</v>
      </c>
      <c r="AE1255" s="54">
        <v>1374</v>
      </c>
      <c r="AF1255" s="55"/>
      <c r="AG1255" s="7"/>
      <c r="AH1255" s="56">
        <v>234173</v>
      </c>
      <c r="AI1255" s="56"/>
    </row>
    <row r="1256" spans="1:35" ht="13" x14ac:dyDescent="0.15">
      <c r="A1256" s="57"/>
      <c r="B1256" s="78" t="s">
        <v>1374</v>
      </c>
      <c r="C1256" s="7" t="s">
        <v>43</v>
      </c>
      <c r="D1256" s="44">
        <v>5</v>
      </c>
      <c r="E1256" s="7" t="s">
        <v>16003</v>
      </c>
      <c r="F1256" s="7"/>
      <c r="G1256" s="7"/>
      <c r="H1256" s="6" t="s">
        <v>15976</v>
      </c>
      <c r="I1256" s="7" t="s">
        <v>1492</v>
      </c>
      <c r="J1256" s="7" t="s">
        <v>2919</v>
      </c>
      <c r="K1256" s="7" t="s">
        <v>55</v>
      </c>
      <c r="L1256" s="7"/>
      <c r="M1256" s="7"/>
      <c r="N1256" s="45" t="str">
        <f t="shared" si="949"/>
        <v>@vwusoftball</v>
      </c>
      <c r="O1256" s="74" t="str">
        <f t="shared" si="950"/>
        <v>Questionnaire</v>
      </c>
      <c r="P1256" s="7" t="s">
        <v>15980</v>
      </c>
      <c r="Q1256" s="57" t="s">
        <v>1361</v>
      </c>
      <c r="R1256" s="48" t="s">
        <v>15981</v>
      </c>
      <c r="S1256" s="48" t="s">
        <v>354</v>
      </c>
      <c r="T1256" s="49" t="s">
        <v>63</v>
      </c>
      <c r="U1256" s="49" t="s">
        <v>65</v>
      </c>
      <c r="V1256" s="7"/>
      <c r="W1256" s="44">
        <v>3.21</v>
      </c>
      <c r="X1256" s="7" t="s">
        <v>253</v>
      </c>
      <c r="Y1256" s="7" t="s">
        <v>1338</v>
      </c>
      <c r="Z1256" s="49" t="s">
        <v>4743</v>
      </c>
      <c r="AA1256" s="61">
        <v>0.9</v>
      </c>
      <c r="AB1256" s="71">
        <v>48978</v>
      </c>
      <c r="AC1256" s="62" t="s">
        <v>15980</v>
      </c>
      <c r="AD1256" s="53" t="str">
        <f t="shared" si="951"/>
        <v>Link</v>
      </c>
      <c r="AE1256" s="54">
        <v>1374</v>
      </c>
      <c r="AF1256" s="55"/>
      <c r="AG1256" s="7"/>
      <c r="AH1256" s="56">
        <v>234173</v>
      </c>
      <c r="AI1256" s="56"/>
    </row>
    <row r="1257" spans="1:35" ht="13" x14ac:dyDescent="0.15">
      <c r="A1257" s="57"/>
      <c r="B1257" s="78" t="s">
        <v>1374</v>
      </c>
      <c r="C1257" s="7" t="s">
        <v>43</v>
      </c>
      <c r="D1257" s="44">
        <v>5</v>
      </c>
      <c r="E1257" s="7" t="s">
        <v>16011</v>
      </c>
      <c r="F1257" s="7"/>
      <c r="G1257" s="7"/>
      <c r="H1257" s="6" t="s">
        <v>15976</v>
      </c>
      <c r="I1257" s="7" t="s">
        <v>4695</v>
      </c>
      <c r="J1257" s="7" t="s">
        <v>2919</v>
      </c>
      <c r="K1257" s="7" t="s">
        <v>154</v>
      </c>
      <c r="L1257" s="7" t="s">
        <v>16013</v>
      </c>
      <c r="M1257" s="7"/>
      <c r="N1257" s="45" t="str">
        <f t="shared" si="949"/>
        <v>@vwusoftball</v>
      </c>
      <c r="O1257" s="74" t="str">
        <f t="shared" si="950"/>
        <v>Questionnaire</v>
      </c>
      <c r="P1257" s="7" t="s">
        <v>15980</v>
      </c>
      <c r="Q1257" s="57" t="s">
        <v>1361</v>
      </c>
      <c r="R1257" s="48" t="s">
        <v>15981</v>
      </c>
      <c r="S1257" s="48" t="s">
        <v>354</v>
      </c>
      <c r="T1257" s="49" t="s">
        <v>63</v>
      </c>
      <c r="U1257" s="49" t="s">
        <v>65</v>
      </c>
      <c r="V1257" s="7"/>
      <c r="W1257" s="44">
        <v>3.21</v>
      </c>
      <c r="X1257" s="7" t="s">
        <v>253</v>
      </c>
      <c r="Y1257" s="7" t="s">
        <v>1338</v>
      </c>
      <c r="Z1257" s="49" t="s">
        <v>4743</v>
      </c>
      <c r="AA1257" s="61">
        <v>0.9</v>
      </c>
      <c r="AB1257" s="71">
        <v>48978</v>
      </c>
      <c r="AC1257" s="62" t="s">
        <v>15980</v>
      </c>
      <c r="AD1257" s="53" t="str">
        <f t="shared" si="951"/>
        <v>Link</v>
      </c>
      <c r="AE1257" s="54">
        <v>1374</v>
      </c>
      <c r="AF1257" s="55"/>
      <c r="AG1257" s="7"/>
      <c r="AH1257" s="56">
        <v>234173</v>
      </c>
      <c r="AI1257" s="56"/>
    </row>
    <row r="1258" spans="1:35" ht="15" x14ac:dyDescent="0.2">
      <c r="A1258" s="57"/>
      <c r="B1258" s="78" t="s">
        <v>1434</v>
      </c>
      <c r="C1258" s="7" t="s">
        <v>43</v>
      </c>
      <c r="D1258" s="44">
        <v>5</v>
      </c>
      <c r="E1258" s="7" t="s">
        <v>16015</v>
      </c>
      <c r="F1258" s="7"/>
      <c r="G1258" s="7"/>
      <c r="H1258" s="6" t="s">
        <v>16016</v>
      </c>
      <c r="I1258" s="7" t="s">
        <v>11766</v>
      </c>
      <c r="J1258" s="7" t="s">
        <v>3637</v>
      </c>
      <c r="K1258" s="7" t="s">
        <v>48</v>
      </c>
      <c r="L1258" s="7" t="s">
        <v>16018</v>
      </c>
      <c r="M1258" s="7" t="s">
        <v>16019</v>
      </c>
      <c r="N1258" s="45" t="str">
        <f t="shared" ref="N1258:N1261" si="952">HYPERLINK("twitter.com/lutesoftball","@lutesoftball")</f>
        <v>@lutesoftball</v>
      </c>
      <c r="O1258" s="74" t="str">
        <f t="shared" ref="O1258:O1261" si="953">HYPERLINK("https://golutes.com/sports/2018/5/31/recruiting.aspx","Questionnaire")</f>
        <v>Questionnaire</v>
      </c>
      <c r="P1258" s="7" t="s">
        <v>16022</v>
      </c>
      <c r="Q1258" s="57" t="s">
        <v>11124</v>
      </c>
      <c r="R1258" s="48" t="s">
        <v>16023</v>
      </c>
      <c r="S1258" s="48" t="s">
        <v>62</v>
      </c>
      <c r="T1258" s="73" t="s">
        <v>63</v>
      </c>
      <c r="U1258" s="49" t="s">
        <v>318</v>
      </c>
      <c r="V1258" s="7"/>
      <c r="W1258" s="44">
        <v>3.68</v>
      </c>
      <c r="X1258" s="7" t="s">
        <v>2853</v>
      </c>
      <c r="Y1258" s="7" t="s">
        <v>2510</v>
      </c>
      <c r="Z1258" s="49" t="s">
        <v>689</v>
      </c>
      <c r="AA1258" s="61">
        <v>0.77</v>
      </c>
      <c r="AB1258" s="71">
        <v>53308</v>
      </c>
      <c r="AC1258" s="52" t="s">
        <v>16022</v>
      </c>
      <c r="AD1258" s="53" t="str">
        <f t="shared" ref="AD1258:AD1262" si="954">HYPERLINK("https://www.plu.edu/admission/majors/","Link")</f>
        <v>Link</v>
      </c>
      <c r="AE1258" s="54">
        <v>2781</v>
      </c>
      <c r="AF1258" s="55"/>
      <c r="AG1258" s="7"/>
      <c r="AH1258" s="56">
        <v>236230</v>
      </c>
      <c r="AI1258" s="56"/>
    </row>
    <row r="1259" spans="1:35" ht="15" x14ac:dyDescent="0.2">
      <c r="A1259" s="57"/>
      <c r="B1259" s="78" t="s">
        <v>1434</v>
      </c>
      <c r="C1259" s="7" t="s">
        <v>43</v>
      </c>
      <c r="D1259" s="44">
        <v>5</v>
      </c>
      <c r="E1259" s="7" t="s">
        <v>16032</v>
      </c>
      <c r="F1259" s="7"/>
      <c r="G1259" s="7"/>
      <c r="H1259" s="6" t="s">
        <v>16016</v>
      </c>
      <c r="I1259" s="7" t="s">
        <v>16033</v>
      </c>
      <c r="J1259" s="7" t="s">
        <v>16034</v>
      </c>
      <c r="K1259" s="7" t="s">
        <v>55</v>
      </c>
      <c r="L1259" s="7"/>
      <c r="M1259" s="7"/>
      <c r="N1259" s="45" t="str">
        <f t="shared" si="952"/>
        <v>@lutesoftball</v>
      </c>
      <c r="O1259" s="74" t="str">
        <f t="shared" si="953"/>
        <v>Questionnaire</v>
      </c>
      <c r="P1259" s="7" t="s">
        <v>16022</v>
      </c>
      <c r="Q1259" s="57" t="s">
        <v>11124</v>
      </c>
      <c r="R1259" s="48" t="s">
        <v>16023</v>
      </c>
      <c r="S1259" s="48" t="s">
        <v>62</v>
      </c>
      <c r="T1259" s="73" t="s">
        <v>63</v>
      </c>
      <c r="U1259" s="49" t="s">
        <v>318</v>
      </c>
      <c r="V1259" s="7"/>
      <c r="W1259" s="44">
        <v>3.68</v>
      </c>
      <c r="X1259" s="7" t="s">
        <v>2853</v>
      </c>
      <c r="Y1259" s="7" t="s">
        <v>2510</v>
      </c>
      <c r="Z1259" s="49" t="s">
        <v>689</v>
      </c>
      <c r="AA1259" s="61">
        <v>0.77</v>
      </c>
      <c r="AB1259" s="71">
        <v>53308</v>
      </c>
      <c r="AC1259" s="52" t="s">
        <v>16022</v>
      </c>
      <c r="AD1259" s="53" t="str">
        <f t="shared" si="954"/>
        <v>Link</v>
      </c>
      <c r="AE1259" s="54">
        <v>2781</v>
      </c>
      <c r="AF1259" s="55"/>
      <c r="AG1259" s="7"/>
      <c r="AH1259" s="56">
        <v>236230</v>
      </c>
      <c r="AI1259" s="56"/>
    </row>
    <row r="1260" spans="1:35" ht="15" x14ac:dyDescent="0.2">
      <c r="A1260" s="57"/>
      <c r="B1260" s="78" t="s">
        <v>1434</v>
      </c>
      <c r="C1260" s="7" t="s">
        <v>43</v>
      </c>
      <c r="D1260" s="44">
        <v>5</v>
      </c>
      <c r="E1260" s="7" t="s">
        <v>16038</v>
      </c>
      <c r="F1260" s="7"/>
      <c r="G1260" s="7"/>
      <c r="H1260" s="6" t="s">
        <v>16016</v>
      </c>
      <c r="I1260" s="7" t="s">
        <v>3385</v>
      </c>
      <c r="J1260" s="7" t="s">
        <v>16039</v>
      </c>
      <c r="K1260" s="7" t="s">
        <v>55</v>
      </c>
      <c r="L1260" s="7" t="s">
        <v>16040</v>
      </c>
      <c r="M1260" s="7"/>
      <c r="N1260" s="45" t="str">
        <f t="shared" si="952"/>
        <v>@lutesoftball</v>
      </c>
      <c r="O1260" s="74" t="str">
        <f t="shared" si="953"/>
        <v>Questionnaire</v>
      </c>
      <c r="P1260" s="7" t="s">
        <v>16022</v>
      </c>
      <c r="Q1260" s="57" t="s">
        <v>11124</v>
      </c>
      <c r="R1260" s="48" t="s">
        <v>16023</v>
      </c>
      <c r="S1260" s="48" t="s">
        <v>62</v>
      </c>
      <c r="T1260" s="73" t="s">
        <v>63</v>
      </c>
      <c r="U1260" s="49" t="s">
        <v>318</v>
      </c>
      <c r="V1260" s="7"/>
      <c r="W1260" s="44">
        <v>3.68</v>
      </c>
      <c r="X1260" s="7" t="s">
        <v>2853</v>
      </c>
      <c r="Y1260" s="7" t="s">
        <v>2510</v>
      </c>
      <c r="Z1260" s="49" t="s">
        <v>689</v>
      </c>
      <c r="AA1260" s="61">
        <v>0.77</v>
      </c>
      <c r="AB1260" s="71">
        <v>53308</v>
      </c>
      <c r="AC1260" s="52" t="s">
        <v>16022</v>
      </c>
      <c r="AD1260" s="53" t="str">
        <f t="shared" si="954"/>
        <v>Link</v>
      </c>
      <c r="AE1260" s="54">
        <v>2781</v>
      </c>
      <c r="AF1260" s="55"/>
      <c r="AG1260" s="7"/>
      <c r="AH1260" s="56">
        <v>236230</v>
      </c>
      <c r="AI1260" s="56"/>
    </row>
    <row r="1261" spans="1:35" ht="15" x14ac:dyDescent="0.2">
      <c r="A1261" s="57"/>
      <c r="B1261" s="78" t="s">
        <v>1434</v>
      </c>
      <c r="C1261" s="7" t="s">
        <v>43</v>
      </c>
      <c r="D1261" s="44">
        <v>5</v>
      </c>
      <c r="E1261" s="7" t="s">
        <v>16050</v>
      </c>
      <c r="F1261" s="7"/>
      <c r="G1261" s="7"/>
      <c r="H1261" s="6" t="s">
        <v>16016</v>
      </c>
      <c r="I1261" s="7" t="s">
        <v>1717</v>
      </c>
      <c r="J1261" s="7" t="s">
        <v>16051</v>
      </c>
      <c r="K1261" s="7" t="s">
        <v>55</v>
      </c>
      <c r="L1261" s="7"/>
      <c r="M1261" s="7"/>
      <c r="N1261" s="45" t="str">
        <f t="shared" si="952"/>
        <v>@lutesoftball</v>
      </c>
      <c r="O1261" s="74" t="str">
        <f t="shared" si="953"/>
        <v>Questionnaire</v>
      </c>
      <c r="P1261" s="7" t="s">
        <v>16022</v>
      </c>
      <c r="Q1261" s="57" t="s">
        <v>11124</v>
      </c>
      <c r="R1261" s="48" t="s">
        <v>16023</v>
      </c>
      <c r="S1261" s="48" t="s">
        <v>62</v>
      </c>
      <c r="T1261" s="73" t="s">
        <v>63</v>
      </c>
      <c r="U1261" s="49" t="s">
        <v>318</v>
      </c>
      <c r="V1261" s="7"/>
      <c r="W1261" s="44">
        <v>3.68</v>
      </c>
      <c r="X1261" s="7" t="s">
        <v>2853</v>
      </c>
      <c r="Y1261" s="7" t="s">
        <v>2510</v>
      </c>
      <c r="Z1261" s="49" t="s">
        <v>689</v>
      </c>
      <c r="AA1261" s="61">
        <v>0.77</v>
      </c>
      <c r="AB1261" s="71">
        <v>53308</v>
      </c>
      <c r="AC1261" s="52" t="s">
        <v>16022</v>
      </c>
      <c r="AD1261" s="53" t="str">
        <f t="shared" si="954"/>
        <v>Link</v>
      </c>
      <c r="AE1261" s="54">
        <v>2781</v>
      </c>
      <c r="AF1261" s="55"/>
      <c r="AG1261" s="7"/>
      <c r="AH1261" s="56">
        <v>236230</v>
      </c>
      <c r="AI1261" s="56"/>
    </row>
    <row r="1262" spans="1:35" ht="15" x14ac:dyDescent="0.2">
      <c r="A1262" s="57"/>
      <c r="B1262" s="78" t="s">
        <v>1434</v>
      </c>
      <c r="C1262" s="7" t="s">
        <v>43</v>
      </c>
      <c r="D1262" s="44">
        <v>5</v>
      </c>
      <c r="E1262" s="7" t="s">
        <v>16054</v>
      </c>
      <c r="F1262" s="7"/>
      <c r="G1262" s="7"/>
      <c r="H1262" s="6" t="s">
        <v>16016</v>
      </c>
      <c r="I1262" s="7" t="s">
        <v>8707</v>
      </c>
      <c r="J1262" s="7" t="s">
        <v>16056</v>
      </c>
      <c r="K1262" s="7" t="s">
        <v>919</v>
      </c>
      <c r="L1262" s="7" t="s">
        <v>16057</v>
      </c>
      <c r="M1262" s="7"/>
      <c r="N1262" s="7"/>
      <c r="O1262" s="7"/>
      <c r="P1262" s="7" t="s">
        <v>16022</v>
      </c>
      <c r="Q1262" s="57" t="s">
        <v>11124</v>
      </c>
      <c r="R1262" s="48" t="s">
        <v>16023</v>
      </c>
      <c r="S1262" s="48" t="s">
        <v>62</v>
      </c>
      <c r="T1262" s="73" t="s">
        <v>63</v>
      </c>
      <c r="U1262" s="49" t="s">
        <v>318</v>
      </c>
      <c r="V1262" s="7"/>
      <c r="W1262" s="44">
        <v>3.68</v>
      </c>
      <c r="X1262" s="7" t="s">
        <v>2853</v>
      </c>
      <c r="Y1262" s="7" t="s">
        <v>2510</v>
      </c>
      <c r="Z1262" s="49" t="s">
        <v>689</v>
      </c>
      <c r="AA1262" s="61">
        <v>0.77</v>
      </c>
      <c r="AB1262" s="71">
        <v>53308</v>
      </c>
      <c r="AC1262" s="52" t="s">
        <v>16022</v>
      </c>
      <c r="AD1262" s="53" t="str">
        <f t="shared" si="954"/>
        <v>Link</v>
      </c>
      <c r="AE1262" s="54">
        <v>2781</v>
      </c>
      <c r="AF1262" s="55"/>
      <c r="AG1262" s="7"/>
      <c r="AH1262" s="56">
        <v>236230</v>
      </c>
      <c r="AI1262" s="56"/>
    </row>
    <row r="1263" spans="1:35" ht="15" x14ac:dyDescent="0.2">
      <c r="A1263" s="57"/>
      <c r="B1263" s="78" t="s">
        <v>1434</v>
      </c>
      <c r="C1263" s="7" t="s">
        <v>43</v>
      </c>
      <c r="D1263" s="44">
        <v>5</v>
      </c>
      <c r="E1263" s="7" t="s">
        <v>16065</v>
      </c>
      <c r="F1263" s="7"/>
      <c r="G1263" s="7"/>
      <c r="H1263" s="6" t="s">
        <v>16066</v>
      </c>
      <c r="I1263" s="7" t="s">
        <v>2223</v>
      </c>
      <c r="J1263" s="7" t="s">
        <v>16067</v>
      </c>
      <c r="K1263" s="7" t="s">
        <v>48</v>
      </c>
      <c r="L1263" s="7" t="s">
        <v>16068</v>
      </c>
      <c r="M1263" s="7"/>
      <c r="N1263" s="45" t="str">
        <f t="shared" ref="N1263:N1264" si="955">HYPERLINK("twitter.com/pssoftball","@pssoftball")</f>
        <v>@pssoftball</v>
      </c>
      <c r="O1263" s="74" t="str">
        <f t="shared" ref="O1263:O1264" si="956">HYPERLINK("https://www.loggerathletics.com/information/recruiting/index","Questionnaire")</f>
        <v>Questionnaire</v>
      </c>
      <c r="P1263" s="7" t="s">
        <v>16076</v>
      </c>
      <c r="Q1263" s="57" t="s">
        <v>11124</v>
      </c>
      <c r="R1263" s="48" t="s">
        <v>16023</v>
      </c>
      <c r="S1263" s="55" t="s">
        <v>62</v>
      </c>
      <c r="T1263" s="49" t="s">
        <v>63</v>
      </c>
      <c r="U1263" s="49" t="s">
        <v>75</v>
      </c>
      <c r="V1263" s="7"/>
      <c r="W1263" s="44">
        <v>3.55</v>
      </c>
      <c r="X1263" s="7" t="s">
        <v>5008</v>
      </c>
      <c r="Y1263" s="7" t="s">
        <v>1372</v>
      </c>
      <c r="Z1263" s="49" t="s">
        <v>2620</v>
      </c>
      <c r="AA1263" s="61">
        <v>0.79</v>
      </c>
      <c r="AB1263" s="71">
        <v>61652</v>
      </c>
      <c r="AC1263" s="52" t="s">
        <v>16076</v>
      </c>
      <c r="AD1263" s="53" t="str">
        <f t="shared" ref="AD1263:AD1264" si="957">HYPERLINK("https://www.pugetsound.edu/academics/departments-and-programs/","Link")</f>
        <v>Link</v>
      </c>
      <c r="AE1263" s="54">
        <v>2508</v>
      </c>
      <c r="AF1263" s="55"/>
      <c r="AG1263" s="44">
        <v>68</v>
      </c>
      <c r="AH1263" s="56">
        <v>236328</v>
      </c>
      <c r="AI1263" s="56"/>
    </row>
    <row r="1264" spans="1:35" ht="15" x14ac:dyDescent="0.2">
      <c r="A1264" s="57"/>
      <c r="B1264" s="78" t="s">
        <v>1434</v>
      </c>
      <c r="C1264" s="7" t="s">
        <v>43</v>
      </c>
      <c r="D1264" s="44">
        <v>5</v>
      </c>
      <c r="E1264" s="7" t="s">
        <v>16080</v>
      </c>
      <c r="F1264" s="7"/>
      <c r="G1264" s="7"/>
      <c r="H1264" s="6" t="s">
        <v>16066</v>
      </c>
      <c r="I1264" s="7" t="s">
        <v>16081</v>
      </c>
      <c r="J1264" s="7" t="s">
        <v>1611</v>
      </c>
      <c r="K1264" s="7" t="s">
        <v>55</v>
      </c>
      <c r="L1264" s="7" t="s">
        <v>16083</v>
      </c>
      <c r="M1264" s="7"/>
      <c r="N1264" s="45" t="str">
        <f t="shared" si="955"/>
        <v>@pssoftball</v>
      </c>
      <c r="O1264" s="74" t="str">
        <f t="shared" si="956"/>
        <v>Questionnaire</v>
      </c>
      <c r="P1264" s="7" t="s">
        <v>16076</v>
      </c>
      <c r="Q1264" s="57" t="s">
        <v>11124</v>
      </c>
      <c r="R1264" s="48" t="s">
        <v>16023</v>
      </c>
      <c r="S1264" s="55" t="s">
        <v>62</v>
      </c>
      <c r="T1264" s="49" t="s">
        <v>63</v>
      </c>
      <c r="U1264" s="49" t="s">
        <v>75</v>
      </c>
      <c r="V1264" s="7"/>
      <c r="W1264" s="44">
        <v>3.55</v>
      </c>
      <c r="X1264" s="7" t="s">
        <v>5008</v>
      </c>
      <c r="Y1264" s="7" t="s">
        <v>1372</v>
      </c>
      <c r="Z1264" s="49" t="s">
        <v>2620</v>
      </c>
      <c r="AA1264" s="61">
        <v>0.79</v>
      </c>
      <c r="AB1264" s="71">
        <v>61652</v>
      </c>
      <c r="AC1264" s="52" t="s">
        <v>16076</v>
      </c>
      <c r="AD1264" s="53" t="str">
        <f t="shared" si="957"/>
        <v>Link</v>
      </c>
      <c r="AE1264" s="54">
        <v>2508</v>
      </c>
      <c r="AF1264" s="55"/>
      <c r="AG1264" s="44">
        <v>68</v>
      </c>
      <c r="AH1264" s="56">
        <v>236328</v>
      </c>
      <c r="AI1264" s="56"/>
    </row>
    <row r="1265" spans="1:35" ht="13" x14ac:dyDescent="0.15">
      <c r="A1265" s="57"/>
      <c r="B1265" s="78" t="s">
        <v>1434</v>
      </c>
      <c r="C1265" s="7" t="s">
        <v>43</v>
      </c>
      <c r="D1265" s="44">
        <v>5</v>
      </c>
      <c r="E1265" s="7" t="s">
        <v>16085</v>
      </c>
      <c r="F1265" s="7" t="s">
        <v>116</v>
      </c>
      <c r="G1265" s="7"/>
      <c r="H1265" s="6" t="s">
        <v>16087</v>
      </c>
      <c r="I1265" s="7" t="s">
        <v>481</v>
      </c>
      <c r="J1265" s="7" t="s">
        <v>11437</v>
      </c>
      <c r="K1265" s="7" t="s">
        <v>48</v>
      </c>
      <c r="L1265" s="7" t="s">
        <v>16089</v>
      </c>
      <c r="M1265" s="7"/>
      <c r="N1265" s="45" t="str">
        <f t="shared" ref="N1265:N1269" si="958">HYPERLINK("twitter.com/bucssoftball","@bucssoftball")</f>
        <v>@bucssoftball</v>
      </c>
      <c r="O1265" s="74" t="str">
        <f t="shared" ref="O1265:O1269" si="959">HYPERLINK("https://www.whitworthpirates.com/navbar-recruits","Questionnaire")</f>
        <v>Questionnaire</v>
      </c>
      <c r="P1265" s="7" t="s">
        <v>16097</v>
      </c>
      <c r="Q1265" s="36" t="s">
        <v>11124</v>
      </c>
      <c r="R1265" s="48" t="s">
        <v>16098</v>
      </c>
      <c r="S1265" s="48" t="s">
        <v>62</v>
      </c>
      <c r="T1265" s="49" t="s">
        <v>63</v>
      </c>
      <c r="U1265" s="49" t="s">
        <v>16099</v>
      </c>
      <c r="V1265" s="7"/>
      <c r="W1265" s="44">
        <v>3.76</v>
      </c>
      <c r="X1265" s="7" t="s">
        <v>12069</v>
      </c>
      <c r="Y1265" s="7" t="s">
        <v>956</v>
      </c>
      <c r="Z1265" s="49" t="s">
        <v>958</v>
      </c>
      <c r="AA1265" s="61">
        <v>0.89</v>
      </c>
      <c r="AB1265" s="71">
        <v>55752</v>
      </c>
      <c r="AC1265" s="90" t="s">
        <v>16097</v>
      </c>
      <c r="AD1265" s="53" t="str">
        <f t="shared" ref="AD1265:AD1268" si="960">HYPERLINK("http://www.whitworth.edu/cms/academics/undergraduate-majors-and-programs/","Link")</f>
        <v>Link</v>
      </c>
      <c r="AE1265" s="54">
        <v>2297</v>
      </c>
      <c r="AF1265" s="55"/>
      <c r="AG1265" s="7"/>
      <c r="AH1265" s="56">
        <v>237066</v>
      </c>
      <c r="AI1265" s="56"/>
    </row>
    <row r="1266" spans="1:35" ht="13" x14ac:dyDescent="0.15">
      <c r="A1266" s="57"/>
      <c r="B1266" s="78" t="s">
        <v>1434</v>
      </c>
      <c r="C1266" s="7" t="s">
        <v>43</v>
      </c>
      <c r="D1266" s="44">
        <v>5</v>
      </c>
      <c r="E1266" s="7" t="s">
        <v>16109</v>
      </c>
      <c r="F1266" s="7"/>
      <c r="G1266" s="7"/>
      <c r="H1266" s="6" t="s">
        <v>16087</v>
      </c>
      <c r="I1266" s="7" t="s">
        <v>1217</v>
      </c>
      <c r="J1266" s="7" t="s">
        <v>3445</v>
      </c>
      <c r="K1266" s="7" t="s">
        <v>55</v>
      </c>
      <c r="L1266" s="7" t="s">
        <v>16111</v>
      </c>
      <c r="M1266" s="7"/>
      <c r="N1266" s="45" t="str">
        <f t="shared" si="958"/>
        <v>@bucssoftball</v>
      </c>
      <c r="O1266" s="74" t="str">
        <f t="shared" si="959"/>
        <v>Questionnaire</v>
      </c>
      <c r="P1266" s="7" t="s">
        <v>16097</v>
      </c>
      <c r="Q1266" s="36" t="s">
        <v>11124</v>
      </c>
      <c r="R1266" s="48" t="s">
        <v>16098</v>
      </c>
      <c r="S1266" s="48" t="s">
        <v>62</v>
      </c>
      <c r="T1266" s="49" t="s">
        <v>63</v>
      </c>
      <c r="U1266" s="49" t="s">
        <v>16099</v>
      </c>
      <c r="V1266" s="7"/>
      <c r="W1266" s="44">
        <v>3.76</v>
      </c>
      <c r="X1266" s="7" t="s">
        <v>12069</v>
      </c>
      <c r="Y1266" s="7" t="s">
        <v>956</v>
      </c>
      <c r="Z1266" s="49" t="s">
        <v>958</v>
      </c>
      <c r="AA1266" s="61">
        <v>0.89</v>
      </c>
      <c r="AB1266" s="71">
        <v>55752</v>
      </c>
      <c r="AC1266" s="90" t="s">
        <v>16097</v>
      </c>
      <c r="AD1266" s="53" t="str">
        <f t="shared" si="960"/>
        <v>Link</v>
      </c>
      <c r="AE1266" s="54">
        <v>2297</v>
      </c>
      <c r="AF1266" s="55"/>
      <c r="AG1266" s="7"/>
      <c r="AH1266" s="56">
        <v>237066</v>
      </c>
      <c r="AI1266" s="56"/>
    </row>
    <row r="1267" spans="1:35" ht="13" x14ac:dyDescent="0.15">
      <c r="A1267" s="57"/>
      <c r="B1267" s="78" t="s">
        <v>1434</v>
      </c>
      <c r="C1267" s="7" t="s">
        <v>43</v>
      </c>
      <c r="D1267" s="44">
        <v>5</v>
      </c>
      <c r="E1267" s="7" t="s">
        <v>16118</v>
      </c>
      <c r="F1267" s="7"/>
      <c r="G1267" s="7"/>
      <c r="H1267" s="6" t="s">
        <v>16087</v>
      </c>
      <c r="I1267" s="7" t="s">
        <v>1217</v>
      </c>
      <c r="J1267" s="7" t="s">
        <v>3445</v>
      </c>
      <c r="K1267" s="7" t="s">
        <v>55</v>
      </c>
      <c r="L1267" s="7" t="s">
        <v>16111</v>
      </c>
      <c r="M1267" s="7"/>
      <c r="N1267" s="45" t="str">
        <f t="shared" si="958"/>
        <v>@bucssoftball</v>
      </c>
      <c r="O1267" s="74" t="str">
        <f t="shared" si="959"/>
        <v>Questionnaire</v>
      </c>
      <c r="P1267" s="7" t="s">
        <v>16097</v>
      </c>
      <c r="Q1267" s="36" t="s">
        <v>11124</v>
      </c>
      <c r="R1267" s="48" t="s">
        <v>16098</v>
      </c>
      <c r="S1267" s="48" t="s">
        <v>62</v>
      </c>
      <c r="T1267" s="49" t="s">
        <v>63</v>
      </c>
      <c r="U1267" s="49" t="s">
        <v>16099</v>
      </c>
      <c r="V1267" s="7"/>
      <c r="W1267" s="44">
        <v>3.76</v>
      </c>
      <c r="X1267" s="7" t="s">
        <v>12069</v>
      </c>
      <c r="Y1267" s="7" t="s">
        <v>956</v>
      </c>
      <c r="Z1267" s="49" t="s">
        <v>958</v>
      </c>
      <c r="AA1267" s="61">
        <v>0.89</v>
      </c>
      <c r="AB1267" s="71">
        <v>55752</v>
      </c>
      <c r="AC1267" s="90" t="s">
        <v>16097</v>
      </c>
      <c r="AD1267" s="53" t="str">
        <f t="shared" si="960"/>
        <v>Link</v>
      </c>
      <c r="AE1267" s="54">
        <v>2297</v>
      </c>
      <c r="AF1267" s="55"/>
      <c r="AG1267" s="7"/>
      <c r="AH1267" s="56">
        <v>237066</v>
      </c>
      <c r="AI1267" s="56"/>
    </row>
    <row r="1268" spans="1:35" ht="13" x14ac:dyDescent="0.15">
      <c r="A1268" s="57"/>
      <c r="B1268" s="79" t="s">
        <v>1434</v>
      </c>
      <c r="C1268" s="57" t="s">
        <v>43</v>
      </c>
      <c r="D1268" s="58">
        <v>5</v>
      </c>
      <c r="E1268" s="7" t="s">
        <v>16126</v>
      </c>
      <c r="F1268" s="7" t="s">
        <v>116</v>
      </c>
      <c r="G1268" s="7"/>
      <c r="H1268" s="6" t="s">
        <v>16087</v>
      </c>
      <c r="I1268" s="7" t="s">
        <v>1307</v>
      </c>
      <c r="J1268" s="7" t="s">
        <v>16128</v>
      </c>
      <c r="K1268" s="7" t="s">
        <v>55</v>
      </c>
      <c r="L1268" s="7" t="s">
        <v>16129</v>
      </c>
      <c r="M1268" s="7"/>
      <c r="N1268" s="45" t="str">
        <f t="shared" si="958"/>
        <v>@bucssoftball</v>
      </c>
      <c r="O1268" s="74" t="str">
        <f t="shared" si="959"/>
        <v>Questionnaire</v>
      </c>
      <c r="P1268" s="7" t="s">
        <v>16097</v>
      </c>
      <c r="Q1268" s="36" t="s">
        <v>11124</v>
      </c>
      <c r="R1268" s="48" t="s">
        <v>16098</v>
      </c>
      <c r="S1268" s="48" t="s">
        <v>62</v>
      </c>
      <c r="T1268" s="49" t="s">
        <v>63</v>
      </c>
      <c r="U1268" s="49" t="s">
        <v>16099</v>
      </c>
      <c r="V1268" s="7"/>
      <c r="W1268" s="44">
        <v>3.76</v>
      </c>
      <c r="X1268" s="7" t="s">
        <v>12069</v>
      </c>
      <c r="Y1268" s="7" t="s">
        <v>956</v>
      </c>
      <c r="Z1268" s="49" t="s">
        <v>958</v>
      </c>
      <c r="AA1268" s="61">
        <v>0.89</v>
      </c>
      <c r="AB1268" s="71">
        <v>55752</v>
      </c>
      <c r="AC1268" s="90" t="s">
        <v>16097</v>
      </c>
      <c r="AD1268" s="53" t="str">
        <f t="shared" si="960"/>
        <v>Link</v>
      </c>
      <c r="AE1268" s="54">
        <v>2297</v>
      </c>
      <c r="AF1268" s="55"/>
      <c r="AG1268" s="7"/>
      <c r="AH1268" s="56">
        <v>237066</v>
      </c>
      <c r="AI1268" s="56"/>
    </row>
    <row r="1269" spans="1:35" ht="13" x14ac:dyDescent="0.15">
      <c r="A1269" s="57"/>
      <c r="B1269" s="78" t="s">
        <v>11856</v>
      </c>
      <c r="C1269" s="7" t="s">
        <v>43</v>
      </c>
      <c r="D1269" s="44">
        <v>5</v>
      </c>
      <c r="E1269" s="7" t="s">
        <v>16138</v>
      </c>
      <c r="F1269" s="7"/>
      <c r="G1269" s="7"/>
      <c r="H1269" s="6" t="s">
        <v>16139</v>
      </c>
      <c r="I1269" s="7" t="s">
        <v>2867</v>
      </c>
      <c r="J1269" s="7" t="s">
        <v>423</v>
      </c>
      <c r="K1269" s="7" t="s">
        <v>48</v>
      </c>
      <c r="L1269" s="7" t="s">
        <v>16140</v>
      </c>
      <c r="M1269" s="7"/>
      <c r="N1269" s="45" t="str">
        <f t="shared" si="958"/>
        <v>@bucssoftball</v>
      </c>
      <c r="O1269" s="74" t="str">
        <f t="shared" si="959"/>
        <v>Questionnaire</v>
      </c>
      <c r="P1269" s="7" t="s">
        <v>16142</v>
      </c>
      <c r="Q1269" s="36" t="s">
        <v>6197</v>
      </c>
      <c r="R1269" s="48" t="s">
        <v>4191</v>
      </c>
      <c r="S1269" s="60" t="s">
        <v>205</v>
      </c>
      <c r="T1269" s="49" t="s">
        <v>63</v>
      </c>
      <c r="U1269" s="49" t="s">
        <v>410</v>
      </c>
      <c r="V1269" s="7"/>
      <c r="W1269" s="44">
        <v>2.85</v>
      </c>
      <c r="X1269" s="7" t="s">
        <v>16145</v>
      </c>
      <c r="Y1269" s="7" t="s">
        <v>16145</v>
      </c>
      <c r="Z1269" s="49" t="s">
        <v>1339</v>
      </c>
      <c r="AA1269" s="51">
        <v>0.64559999999999995</v>
      </c>
      <c r="AB1269" s="71">
        <v>41220</v>
      </c>
      <c r="AC1269" s="90" t="s">
        <v>16142</v>
      </c>
      <c r="AD1269" s="53" t="str">
        <f t="shared" ref="AD1269:AD1270" si="961">HYPERLINK("http://www.bethanywv.edu/academics/degrees-and-majors/","Link")</f>
        <v>Link</v>
      </c>
      <c r="AE1269" s="54">
        <v>645</v>
      </c>
      <c r="AF1269" s="55"/>
      <c r="AG1269" s="7"/>
      <c r="AH1269" s="56">
        <v>237181</v>
      </c>
      <c r="AI1269" s="56"/>
    </row>
    <row r="1270" spans="1:35" ht="13" x14ac:dyDescent="0.15">
      <c r="A1270" s="57"/>
      <c r="B1270" s="78" t="s">
        <v>11856</v>
      </c>
      <c r="C1270" s="7" t="s">
        <v>43</v>
      </c>
      <c r="D1270" s="44">
        <v>5</v>
      </c>
      <c r="E1270" s="7" t="s">
        <v>16151</v>
      </c>
      <c r="F1270" s="7"/>
      <c r="G1270" s="7"/>
      <c r="H1270" s="6" t="s">
        <v>16139</v>
      </c>
      <c r="I1270" s="7" t="s">
        <v>16152</v>
      </c>
      <c r="J1270" s="7" t="s">
        <v>16153</v>
      </c>
      <c r="K1270" s="7" t="s">
        <v>55</v>
      </c>
      <c r="L1270" s="7" t="s">
        <v>16154</v>
      </c>
      <c r="M1270" s="7"/>
      <c r="N1270" s="45" t="str">
        <f>HYPERLINK("twitter.com/bcsoftballpride","@bcsoftballpride")</f>
        <v>@bcsoftballpride</v>
      </c>
      <c r="O1270" s="74" t="str">
        <f>HYPERLINK("https://www.bethanybison.com/Recruit/Index","Questionnaire")</f>
        <v>Questionnaire</v>
      </c>
      <c r="P1270" s="7" t="s">
        <v>16142</v>
      </c>
      <c r="Q1270" s="36" t="s">
        <v>6197</v>
      </c>
      <c r="R1270" s="48" t="s">
        <v>4191</v>
      </c>
      <c r="S1270" s="60" t="s">
        <v>205</v>
      </c>
      <c r="T1270" s="49" t="s">
        <v>63</v>
      </c>
      <c r="U1270" s="49" t="s">
        <v>410</v>
      </c>
      <c r="V1270" s="7"/>
      <c r="W1270" s="44">
        <v>2.85</v>
      </c>
      <c r="X1270" s="7" t="s">
        <v>16145</v>
      </c>
      <c r="Y1270" s="7" t="s">
        <v>16145</v>
      </c>
      <c r="Z1270" s="49" t="s">
        <v>1339</v>
      </c>
      <c r="AA1270" s="51">
        <v>0.64559999999999995</v>
      </c>
      <c r="AB1270" s="71">
        <v>41220</v>
      </c>
      <c r="AC1270" s="90" t="s">
        <v>16142</v>
      </c>
      <c r="AD1270" s="53" t="str">
        <f t="shared" si="961"/>
        <v>Link</v>
      </c>
      <c r="AE1270" s="54">
        <v>645</v>
      </c>
      <c r="AF1270" s="55"/>
      <c r="AG1270" s="7"/>
      <c r="AH1270" s="56">
        <v>237181</v>
      </c>
      <c r="AI1270" s="56"/>
    </row>
    <row r="1271" spans="1:35" ht="13" x14ac:dyDescent="0.15">
      <c r="A1271" s="57"/>
      <c r="B1271" s="78" t="s">
        <v>5109</v>
      </c>
      <c r="C1271" s="7" t="s">
        <v>43</v>
      </c>
      <c r="D1271" s="44">
        <v>5</v>
      </c>
      <c r="E1271" s="7" t="s">
        <v>16162</v>
      </c>
      <c r="F1271" s="7"/>
      <c r="G1271" s="7"/>
      <c r="H1271" s="6" t="s">
        <v>16163</v>
      </c>
      <c r="I1271" s="7" t="s">
        <v>3197</v>
      </c>
      <c r="J1271" s="7" t="s">
        <v>16164</v>
      </c>
      <c r="K1271" s="7" t="s">
        <v>48</v>
      </c>
      <c r="L1271" s="7" t="s">
        <v>16165</v>
      </c>
      <c r="M1271" s="7" t="s">
        <v>16166</v>
      </c>
      <c r="N1271" s="48"/>
      <c r="O1271" s="74" t="str">
        <f t="shared" ref="O1271:O1272" si="962">HYPERLINK("http://athletics.alverno.edu/information/prospective-athletes/index","Questionnaire")</f>
        <v>Questionnaire</v>
      </c>
      <c r="P1271" s="48" t="s">
        <v>16168</v>
      </c>
      <c r="Q1271" s="60" t="s">
        <v>4538</v>
      </c>
      <c r="R1271" s="48" t="s">
        <v>16172</v>
      </c>
      <c r="S1271" s="48" t="s">
        <v>354</v>
      </c>
      <c r="T1271" s="49" t="s">
        <v>63</v>
      </c>
      <c r="U1271" s="48" t="s">
        <v>343</v>
      </c>
      <c r="V1271" s="49" t="s">
        <v>1006</v>
      </c>
      <c r="W1271" s="37">
        <v>3.02</v>
      </c>
      <c r="X1271" s="49" t="s">
        <v>214</v>
      </c>
      <c r="Y1271" s="49" t="s">
        <v>214</v>
      </c>
      <c r="Z1271" s="49" t="s">
        <v>3952</v>
      </c>
      <c r="AA1271" s="38">
        <v>0.80210000000000004</v>
      </c>
      <c r="AB1271" s="39">
        <v>38551</v>
      </c>
      <c r="AC1271" s="90" t="s">
        <v>16168</v>
      </c>
      <c r="AD1271" s="53" t="str">
        <f t="shared" ref="AD1271:AD1272" si="963">HYPERLINK("https://www.alverno.edu/academics/majorsminors/listofundergraduatemajorsminors.php","Link")</f>
        <v>Link</v>
      </c>
      <c r="AE1271" s="54">
        <v>1413</v>
      </c>
      <c r="AF1271" s="55"/>
      <c r="AG1271" s="55"/>
      <c r="AH1271" s="56">
        <v>238193</v>
      </c>
      <c r="AI1271" s="56"/>
    </row>
    <row r="1272" spans="1:35" ht="13" x14ac:dyDescent="0.15">
      <c r="A1272" s="57"/>
      <c r="B1272" s="78" t="s">
        <v>5109</v>
      </c>
      <c r="C1272" s="7" t="s">
        <v>43</v>
      </c>
      <c r="D1272" s="44">
        <v>5</v>
      </c>
      <c r="E1272" s="7" t="s">
        <v>16179</v>
      </c>
      <c r="F1272" s="7"/>
      <c r="G1272" s="7"/>
      <c r="H1272" s="6" t="s">
        <v>16163</v>
      </c>
      <c r="I1272" s="7" t="s">
        <v>1132</v>
      </c>
      <c r="J1272" s="7" t="s">
        <v>16180</v>
      </c>
      <c r="K1272" s="7" t="s">
        <v>55</v>
      </c>
      <c r="L1272" s="7" t="s">
        <v>16181</v>
      </c>
      <c r="M1272" s="7" t="s">
        <v>16182</v>
      </c>
      <c r="N1272" s="48"/>
      <c r="O1272" s="74" t="str">
        <f t="shared" si="962"/>
        <v>Questionnaire</v>
      </c>
      <c r="P1272" s="48" t="s">
        <v>16168</v>
      </c>
      <c r="Q1272" s="60" t="s">
        <v>4538</v>
      </c>
      <c r="R1272" s="48" t="s">
        <v>16172</v>
      </c>
      <c r="S1272" s="48" t="s">
        <v>354</v>
      </c>
      <c r="T1272" s="49" t="s">
        <v>63</v>
      </c>
      <c r="U1272" s="48" t="s">
        <v>343</v>
      </c>
      <c r="V1272" s="49" t="s">
        <v>1006</v>
      </c>
      <c r="W1272" s="37">
        <v>3.02</v>
      </c>
      <c r="X1272" s="49" t="s">
        <v>214</v>
      </c>
      <c r="Y1272" s="49" t="s">
        <v>214</v>
      </c>
      <c r="Z1272" s="49" t="s">
        <v>3952</v>
      </c>
      <c r="AA1272" s="38">
        <v>0.80210000000000004</v>
      </c>
      <c r="AB1272" s="39">
        <v>38551</v>
      </c>
      <c r="AC1272" s="90" t="s">
        <v>16168</v>
      </c>
      <c r="AD1272" s="53" t="str">
        <f t="shared" si="963"/>
        <v>Link</v>
      </c>
      <c r="AE1272" s="54">
        <v>1413</v>
      </c>
      <c r="AF1272" s="55"/>
      <c r="AG1272" s="55"/>
      <c r="AH1272" s="56">
        <v>238193</v>
      </c>
      <c r="AI1272" s="56"/>
    </row>
    <row r="1273" spans="1:35" ht="13" x14ac:dyDescent="0.15">
      <c r="A1273" s="57"/>
      <c r="B1273" s="78" t="s">
        <v>5109</v>
      </c>
      <c r="C1273" s="7" t="s">
        <v>43</v>
      </c>
      <c r="D1273" s="44">
        <v>5</v>
      </c>
      <c r="E1273" s="7" t="s">
        <v>16189</v>
      </c>
      <c r="F1273" s="7"/>
      <c r="G1273" s="7"/>
      <c r="H1273" s="6" t="s">
        <v>16190</v>
      </c>
      <c r="I1273" s="7" t="s">
        <v>1159</v>
      </c>
      <c r="J1273" s="7" t="s">
        <v>16191</v>
      </c>
      <c r="K1273" s="7" t="s">
        <v>48</v>
      </c>
      <c r="L1273" s="7" t="s">
        <v>16193</v>
      </c>
      <c r="M1273" s="7" t="s">
        <v>16194</v>
      </c>
      <c r="N1273" s="45" t="str">
        <f t="shared" ref="N1273:N1275" si="964">HYPERLINK("twitter.com/bucsoftball","@bucsoftball")</f>
        <v>@bucsoftball</v>
      </c>
      <c r="O1273" s="74" t="str">
        <f t="shared" ref="O1273:O1275" si="965">HYPERLINK("https://beloitcollegeathletics.com/sports/2018/12/17/sb-recruit-me.aspx?path=softball","Questionnaire")</f>
        <v>Questionnaire</v>
      </c>
      <c r="P1273" s="7" t="s">
        <v>16199</v>
      </c>
      <c r="Q1273" s="57" t="s">
        <v>5094</v>
      </c>
      <c r="R1273" s="48" t="s">
        <v>16200</v>
      </c>
      <c r="S1273" s="48" t="s">
        <v>468</v>
      </c>
      <c r="T1273" s="49" t="s">
        <v>63</v>
      </c>
      <c r="U1273" s="49" t="s">
        <v>75</v>
      </c>
      <c r="V1273" s="7"/>
      <c r="W1273" s="44">
        <v>3.32</v>
      </c>
      <c r="X1273" s="7" t="s">
        <v>16202</v>
      </c>
      <c r="Y1273" s="7" t="s">
        <v>16205</v>
      </c>
      <c r="Z1273" s="49" t="s">
        <v>1373</v>
      </c>
      <c r="AA1273" s="51">
        <v>0.69850000000000001</v>
      </c>
      <c r="AB1273" s="71">
        <v>57506</v>
      </c>
      <c r="AC1273" s="62" t="s">
        <v>16199</v>
      </c>
      <c r="AD1273" s="53" t="str">
        <f t="shared" ref="AD1273:AD1275" si="966">HYPERLINK("https://www.beloit.edu/academics/majors/","Link")</f>
        <v>Link</v>
      </c>
      <c r="AE1273" s="54">
        <v>1394</v>
      </c>
      <c r="AF1273" s="55"/>
      <c r="AG1273" s="44">
        <v>76</v>
      </c>
      <c r="AH1273" s="56">
        <v>238333</v>
      </c>
      <c r="AI1273" s="56"/>
    </row>
    <row r="1274" spans="1:35" ht="13" x14ac:dyDescent="0.15">
      <c r="A1274" s="57"/>
      <c r="B1274" s="78" t="s">
        <v>5109</v>
      </c>
      <c r="C1274" s="7" t="s">
        <v>43</v>
      </c>
      <c r="D1274" s="44">
        <v>5</v>
      </c>
      <c r="E1274" s="7" t="s">
        <v>16209</v>
      </c>
      <c r="F1274" s="7"/>
      <c r="G1274" s="7"/>
      <c r="H1274" s="6" t="s">
        <v>16190</v>
      </c>
      <c r="I1274" s="7" t="s">
        <v>1075</v>
      </c>
      <c r="J1274" s="7" t="s">
        <v>16210</v>
      </c>
      <c r="K1274" s="7" t="s">
        <v>55</v>
      </c>
      <c r="L1274" s="7"/>
      <c r="M1274" s="7"/>
      <c r="N1274" s="45" t="str">
        <f t="shared" si="964"/>
        <v>@bucsoftball</v>
      </c>
      <c r="O1274" s="74" t="str">
        <f t="shared" si="965"/>
        <v>Questionnaire</v>
      </c>
      <c r="P1274" s="7" t="s">
        <v>16199</v>
      </c>
      <c r="Q1274" s="57" t="s">
        <v>5094</v>
      </c>
      <c r="R1274" s="48" t="s">
        <v>16200</v>
      </c>
      <c r="S1274" s="48" t="s">
        <v>468</v>
      </c>
      <c r="T1274" s="49" t="s">
        <v>63</v>
      </c>
      <c r="U1274" s="49" t="s">
        <v>75</v>
      </c>
      <c r="V1274" s="7"/>
      <c r="W1274" s="44">
        <v>3.32</v>
      </c>
      <c r="X1274" s="7" t="s">
        <v>16202</v>
      </c>
      <c r="Y1274" s="7" t="s">
        <v>16205</v>
      </c>
      <c r="Z1274" s="49" t="s">
        <v>1373</v>
      </c>
      <c r="AA1274" s="51">
        <v>0.69850000000000001</v>
      </c>
      <c r="AB1274" s="71">
        <v>57506</v>
      </c>
      <c r="AC1274" s="62" t="s">
        <v>16199</v>
      </c>
      <c r="AD1274" s="53" t="str">
        <f t="shared" si="966"/>
        <v>Link</v>
      </c>
      <c r="AE1274" s="54">
        <v>1394</v>
      </c>
      <c r="AF1274" s="55"/>
      <c r="AG1274" s="44">
        <v>76</v>
      </c>
      <c r="AH1274" s="56">
        <v>238333</v>
      </c>
      <c r="AI1274" s="56"/>
    </row>
    <row r="1275" spans="1:35" ht="13" x14ac:dyDescent="0.15">
      <c r="A1275" s="57"/>
      <c r="B1275" s="78" t="s">
        <v>5109</v>
      </c>
      <c r="C1275" s="7" t="s">
        <v>43</v>
      </c>
      <c r="D1275" s="44">
        <v>5</v>
      </c>
      <c r="E1275" s="7" t="s">
        <v>16214</v>
      </c>
      <c r="F1275" s="7"/>
      <c r="G1275" s="7"/>
      <c r="H1275" s="6" t="s">
        <v>16190</v>
      </c>
      <c r="I1275" s="7" t="s">
        <v>8620</v>
      </c>
      <c r="J1275" s="7" t="s">
        <v>16216</v>
      </c>
      <c r="K1275" s="7" t="s">
        <v>55</v>
      </c>
      <c r="L1275" s="7"/>
      <c r="M1275" s="7"/>
      <c r="N1275" s="45" t="str">
        <f t="shared" si="964"/>
        <v>@bucsoftball</v>
      </c>
      <c r="O1275" s="74" t="str">
        <f t="shared" si="965"/>
        <v>Questionnaire</v>
      </c>
      <c r="P1275" s="7" t="s">
        <v>16199</v>
      </c>
      <c r="Q1275" s="57" t="s">
        <v>5094</v>
      </c>
      <c r="R1275" s="48" t="s">
        <v>16200</v>
      </c>
      <c r="S1275" s="48" t="s">
        <v>468</v>
      </c>
      <c r="T1275" s="49" t="s">
        <v>63</v>
      </c>
      <c r="U1275" s="49" t="s">
        <v>75</v>
      </c>
      <c r="V1275" s="7"/>
      <c r="W1275" s="44">
        <v>3.32</v>
      </c>
      <c r="X1275" s="7" t="s">
        <v>16202</v>
      </c>
      <c r="Y1275" s="7" t="s">
        <v>16205</v>
      </c>
      <c r="Z1275" s="49" t="s">
        <v>1373</v>
      </c>
      <c r="AA1275" s="51">
        <v>0.69850000000000001</v>
      </c>
      <c r="AB1275" s="71">
        <v>57506</v>
      </c>
      <c r="AC1275" s="62" t="s">
        <v>16199</v>
      </c>
      <c r="AD1275" s="53" t="str">
        <f t="shared" si="966"/>
        <v>Link</v>
      </c>
      <c r="AE1275" s="54">
        <v>1394</v>
      </c>
      <c r="AF1275" s="55"/>
      <c r="AG1275" s="44">
        <v>76</v>
      </c>
      <c r="AH1275" s="56">
        <v>238333</v>
      </c>
      <c r="AI1275" s="56"/>
    </row>
    <row r="1276" spans="1:35" ht="13" x14ac:dyDescent="0.15">
      <c r="A1276" s="57"/>
      <c r="B1276" s="78" t="s">
        <v>5109</v>
      </c>
      <c r="C1276" s="7" t="s">
        <v>43</v>
      </c>
      <c r="D1276" s="44">
        <v>5</v>
      </c>
      <c r="E1276" s="7" t="s">
        <v>16224</v>
      </c>
      <c r="F1276" s="7"/>
      <c r="G1276" s="7"/>
      <c r="H1276" s="6" t="s">
        <v>16226</v>
      </c>
      <c r="I1276" s="7" t="s">
        <v>206</v>
      </c>
      <c r="J1276" s="7" t="s">
        <v>16228</v>
      </c>
      <c r="K1276" s="7" t="s">
        <v>48</v>
      </c>
      <c r="L1276" s="7" t="s">
        <v>16231</v>
      </c>
      <c r="M1276" s="7" t="s">
        <v>16233</v>
      </c>
      <c r="N1276" s="45" t="str">
        <f t="shared" ref="N1276:N1280" si="967">HYPERLINK("twitter.com/piosoftball","@piosoftball")</f>
        <v>@piosoftball</v>
      </c>
      <c r="O1276" s="74" t="str">
        <f t="shared" ref="O1276:O1280" si="968">HYPERLINK("https://gopios.com/sports/2015/6/15/GEN_0615151018.aspx","Questionnaire")</f>
        <v>Questionnaire</v>
      </c>
      <c r="P1276" s="7" t="s">
        <v>16237</v>
      </c>
      <c r="Q1276" s="36" t="s">
        <v>5094</v>
      </c>
      <c r="R1276" s="48" t="s">
        <v>16238</v>
      </c>
      <c r="S1276" s="48" t="s">
        <v>186</v>
      </c>
      <c r="T1276" s="49" t="s">
        <v>63</v>
      </c>
      <c r="U1276" s="49" t="s">
        <v>248</v>
      </c>
      <c r="V1276" s="7"/>
      <c r="W1276" s="44">
        <v>3.3</v>
      </c>
      <c r="X1276" s="7" t="s">
        <v>16239</v>
      </c>
      <c r="Y1276" s="7" t="s">
        <v>16240</v>
      </c>
      <c r="Z1276" s="49" t="s">
        <v>1650</v>
      </c>
      <c r="AA1276" s="51">
        <v>0.71550000000000002</v>
      </c>
      <c r="AB1276" s="71">
        <v>43132</v>
      </c>
      <c r="AC1276" s="90" t="s">
        <v>16237</v>
      </c>
      <c r="AD1276" s="53" t="str">
        <f t="shared" ref="AD1276:AD1280" si="969">HYPERLINK("https://www.carrollu.edu/academics/undergraduate-programs","Link")</f>
        <v>Link</v>
      </c>
      <c r="AE1276" s="54">
        <v>3001</v>
      </c>
      <c r="AF1276" s="55"/>
      <c r="AG1276" s="7"/>
      <c r="AH1276" s="56">
        <v>238458</v>
      </c>
      <c r="AI1276" s="56"/>
    </row>
    <row r="1277" spans="1:35" ht="13" x14ac:dyDescent="0.15">
      <c r="A1277" s="57"/>
      <c r="B1277" s="78" t="s">
        <v>5109</v>
      </c>
      <c r="C1277" s="7" t="s">
        <v>43</v>
      </c>
      <c r="D1277" s="44">
        <v>5</v>
      </c>
      <c r="E1277" s="7" t="s">
        <v>16245</v>
      </c>
      <c r="F1277" s="7"/>
      <c r="G1277" s="7"/>
      <c r="H1277" s="6" t="s">
        <v>16226</v>
      </c>
      <c r="I1277" s="7" t="s">
        <v>484</v>
      </c>
      <c r="J1277" s="7" t="s">
        <v>16246</v>
      </c>
      <c r="K1277" s="7" t="s">
        <v>55</v>
      </c>
      <c r="L1277" s="7" t="s">
        <v>16247</v>
      </c>
      <c r="M1277" s="2" t="s">
        <v>16248</v>
      </c>
      <c r="N1277" s="45" t="str">
        <f t="shared" si="967"/>
        <v>@piosoftball</v>
      </c>
      <c r="O1277" s="74" t="str">
        <f t="shared" si="968"/>
        <v>Questionnaire</v>
      </c>
      <c r="P1277" s="7" t="s">
        <v>16237</v>
      </c>
      <c r="Q1277" s="36" t="s">
        <v>5094</v>
      </c>
      <c r="R1277" s="48" t="s">
        <v>16238</v>
      </c>
      <c r="S1277" s="48" t="s">
        <v>186</v>
      </c>
      <c r="T1277" s="49" t="s">
        <v>63</v>
      </c>
      <c r="U1277" s="49" t="s">
        <v>248</v>
      </c>
      <c r="V1277" s="7"/>
      <c r="W1277" s="44">
        <v>3.3</v>
      </c>
      <c r="X1277" s="7" t="s">
        <v>16239</v>
      </c>
      <c r="Y1277" s="7" t="s">
        <v>16240</v>
      </c>
      <c r="Z1277" s="49" t="s">
        <v>1650</v>
      </c>
      <c r="AA1277" s="51">
        <v>0.71550000000000002</v>
      </c>
      <c r="AB1277" s="71">
        <v>43132</v>
      </c>
      <c r="AC1277" s="90" t="s">
        <v>16237</v>
      </c>
      <c r="AD1277" s="53" t="str">
        <f t="shared" si="969"/>
        <v>Link</v>
      </c>
      <c r="AE1277" s="54">
        <v>3001</v>
      </c>
      <c r="AF1277" s="55"/>
      <c r="AG1277" s="7"/>
      <c r="AH1277" s="56">
        <v>238458</v>
      </c>
      <c r="AI1277" s="56"/>
    </row>
    <row r="1278" spans="1:35" ht="13" x14ac:dyDescent="0.15">
      <c r="A1278" s="57"/>
      <c r="B1278" s="78" t="s">
        <v>5109</v>
      </c>
      <c r="C1278" s="7" t="s">
        <v>43</v>
      </c>
      <c r="D1278" s="44">
        <v>5</v>
      </c>
      <c r="E1278" s="7" t="s">
        <v>16256</v>
      </c>
      <c r="F1278" s="7"/>
      <c r="G1278" s="7"/>
      <c r="H1278" s="6" t="s">
        <v>16226</v>
      </c>
      <c r="I1278" s="7" t="s">
        <v>1258</v>
      </c>
      <c r="J1278" s="7" t="s">
        <v>16257</v>
      </c>
      <c r="K1278" s="7" t="s">
        <v>55</v>
      </c>
      <c r="L1278" s="7"/>
      <c r="M1278" s="7"/>
      <c r="N1278" s="45" t="str">
        <f t="shared" si="967"/>
        <v>@piosoftball</v>
      </c>
      <c r="O1278" s="74" t="str">
        <f t="shared" si="968"/>
        <v>Questionnaire</v>
      </c>
      <c r="P1278" s="7" t="s">
        <v>16237</v>
      </c>
      <c r="Q1278" s="36" t="s">
        <v>5094</v>
      </c>
      <c r="R1278" s="48" t="s">
        <v>16238</v>
      </c>
      <c r="S1278" s="48" t="s">
        <v>186</v>
      </c>
      <c r="T1278" s="49" t="s">
        <v>63</v>
      </c>
      <c r="U1278" s="49" t="s">
        <v>248</v>
      </c>
      <c r="V1278" s="7"/>
      <c r="W1278" s="44">
        <v>3.3</v>
      </c>
      <c r="X1278" s="7" t="s">
        <v>16239</v>
      </c>
      <c r="Y1278" s="7" t="s">
        <v>16240</v>
      </c>
      <c r="Z1278" s="49" t="s">
        <v>1650</v>
      </c>
      <c r="AA1278" s="51">
        <v>0.71550000000000002</v>
      </c>
      <c r="AB1278" s="71">
        <v>43132</v>
      </c>
      <c r="AC1278" s="90" t="s">
        <v>16237</v>
      </c>
      <c r="AD1278" s="53" t="str">
        <f t="shared" si="969"/>
        <v>Link</v>
      </c>
      <c r="AE1278" s="54">
        <v>3001</v>
      </c>
      <c r="AF1278" s="55"/>
      <c r="AG1278" s="7"/>
      <c r="AH1278" s="56">
        <v>238458</v>
      </c>
      <c r="AI1278" s="56"/>
    </row>
    <row r="1279" spans="1:35" ht="13" x14ac:dyDescent="0.15">
      <c r="A1279" s="57"/>
      <c r="B1279" s="79" t="s">
        <v>5109</v>
      </c>
      <c r="C1279" s="57" t="s">
        <v>43</v>
      </c>
      <c r="D1279" s="58">
        <v>5</v>
      </c>
      <c r="E1279" s="7" t="s">
        <v>16259</v>
      </c>
      <c r="F1279" s="7" t="s">
        <v>116</v>
      </c>
      <c r="G1279" s="7"/>
      <c r="H1279" s="6" t="s">
        <v>16226</v>
      </c>
      <c r="I1279" s="7" t="s">
        <v>4659</v>
      </c>
      <c r="J1279" s="7" t="s">
        <v>16262</v>
      </c>
      <c r="K1279" s="7" t="s">
        <v>55</v>
      </c>
      <c r="L1279" s="7"/>
      <c r="M1279" s="7"/>
      <c r="N1279" s="45" t="str">
        <f t="shared" si="967"/>
        <v>@piosoftball</v>
      </c>
      <c r="O1279" s="74" t="str">
        <f t="shared" si="968"/>
        <v>Questionnaire</v>
      </c>
      <c r="P1279" s="7" t="s">
        <v>16237</v>
      </c>
      <c r="Q1279" s="36" t="s">
        <v>5094</v>
      </c>
      <c r="R1279" s="48" t="s">
        <v>16238</v>
      </c>
      <c r="S1279" s="48" t="s">
        <v>186</v>
      </c>
      <c r="T1279" s="49" t="s">
        <v>63</v>
      </c>
      <c r="U1279" s="49" t="s">
        <v>248</v>
      </c>
      <c r="V1279" s="7"/>
      <c r="W1279" s="44">
        <v>3.3</v>
      </c>
      <c r="X1279" s="7" t="s">
        <v>16239</v>
      </c>
      <c r="Y1279" s="7" t="s">
        <v>16240</v>
      </c>
      <c r="Z1279" s="49" t="s">
        <v>1650</v>
      </c>
      <c r="AA1279" s="51">
        <v>0.71550000000000002</v>
      </c>
      <c r="AB1279" s="71">
        <v>43132</v>
      </c>
      <c r="AC1279" s="90" t="s">
        <v>16237</v>
      </c>
      <c r="AD1279" s="53" t="str">
        <f t="shared" si="969"/>
        <v>Link</v>
      </c>
      <c r="AE1279" s="54">
        <v>3001</v>
      </c>
      <c r="AF1279" s="55"/>
      <c r="AG1279" s="7"/>
      <c r="AH1279" s="56">
        <v>238458</v>
      </c>
      <c r="AI1279" s="56"/>
    </row>
    <row r="1280" spans="1:35" ht="13" x14ac:dyDescent="0.15">
      <c r="A1280" s="57"/>
      <c r="B1280" s="79" t="s">
        <v>5109</v>
      </c>
      <c r="C1280" s="57" t="s">
        <v>43</v>
      </c>
      <c r="D1280" s="58">
        <v>5</v>
      </c>
      <c r="E1280" s="7" t="s">
        <v>16268</v>
      </c>
      <c r="F1280" s="7" t="s">
        <v>116</v>
      </c>
      <c r="G1280" s="7"/>
      <c r="H1280" s="6" t="s">
        <v>16226</v>
      </c>
      <c r="I1280" s="7" t="s">
        <v>306</v>
      </c>
      <c r="J1280" s="7" t="s">
        <v>16271</v>
      </c>
      <c r="K1280" s="7" t="s">
        <v>55</v>
      </c>
      <c r="L1280" s="7"/>
      <c r="M1280" s="7"/>
      <c r="N1280" s="45" t="str">
        <f t="shared" si="967"/>
        <v>@piosoftball</v>
      </c>
      <c r="O1280" s="74" t="str">
        <f t="shared" si="968"/>
        <v>Questionnaire</v>
      </c>
      <c r="P1280" s="7" t="s">
        <v>16237</v>
      </c>
      <c r="Q1280" s="36" t="s">
        <v>5094</v>
      </c>
      <c r="R1280" s="48" t="s">
        <v>16238</v>
      </c>
      <c r="S1280" s="48" t="s">
        <v>186</v>
      </c>
      <c r="T1280" s="49" t="s">
        <v>63</v>
      </c>
      <c r="U1280" s="49" t="s">
        <v>248</v>
      </c>
      <c r="V1280" s="7"/>
      <c r="W1280" s="44">
        <v>3.3</v>
      </c>
      <c r="X1280" s="7" t="s">
        <v>16239</v>
      </c>
      <c r="Y1280" s="7" t="s">
        <v>16240</v>
      </c>
      <c r="Z1280" s="49" t="s">
        <v>1650</v>
      </c>
      <c r="AA1280" s="51">
        <v>0.71550000000000002</v>
      </c>
      <c r="AB1280" s="71">
        <v>43132</v>
      </c>
      <c r="AC1280" s="90" t="s">
        <v>16237</v>
      </c>
      <c r="AD1280" s="53" t="str">
        <f t="shared" si="969"/>
        <v>Link</v>
      </c>
      <c r="AE1280" s="54">
        <v>3001</v>
      </c>
      <c r="AF1280" s="55"/>
      <c r="AG1280" s="7"/>
      <c r="AH1280" s="56">
        <v>238458</v>
      </c>
      <c r="AI1280" s="56"/>
    </row>
    <row r="1281" spans="1:35" ht="13" x14ac:dyDescent="0.15">
      <c r="A1281" s="57"/>
      <c r="B1281" s="78" t="s">
        <v>5109</v>
      </c>
      <c r="C1281" s="7" t="s">
        <v>43</v>
      </c>
      <c r="D1281" s="44">
        <v>5</v>
      </c>
      <c r="E1281" s="7" t="s">
        <v>16274</v>
      </c>
      <c r="F1281" s="7"/>
      <c r="G1281" s="7"/>
      <c r="H1281" s="6" t="s">
        <v>16275</v>
      </c>
      <c r="I1281" s="7" t="s">
        <v>206</v>
      </c>
      <c r="J1281" s="7" t="s">
        <v>16276</v>
      </c>
      <c r="K1281" s="7" t="s">
        <v>48</v>
      </c>
      <c r="L1281" s="7" t="s">
        <v>16277</v>
      </c>
      <c r="M1281" s="7" t="s">
        <v>16278</v>
      </c>
      <c r="N1281" s="45" t="str">
        <f t="shared" ref="N1281:N1283" si="970">HYPERLINK("twitter.com/carthagesball","@carthagesball")</f>
        <v>@carthagesball</v>
      </c>
      <c r="O1281" s="74" t="str">
        <f t="shared" ref="O1281:O1283" si="971">HYPERLINK("https://athletics.carthage.edu/sb_output.aspx?form=3","Questionnaire")</f>
        <v>Questionnaire</v>
      </c>
      <c r="P1281" s="7" t="s">
        <v>16285</v>
      </c>
      <c r="Q1281" s="57" t="s">
        <v>5094</v>
      </c>
      <c r="R1281" s="48" t="s">
        <v>12436</v>
      </c>
      <c r="S1281" s="48" t="s">
        <v>238</v>
      </c>
      <c r="T1281" s="73" t="s">
        <v>63</v>
      </c>
      <c r="U1281" s="49" t="s">
        <v>318</v>
      </c>
      <c r="V1281" s="7"/>
      <c r="W1281" s="44">
        <v>3.27</v>
      </c>
      <c r="X1281" s="7" t="s">
        <v>2341</v>
      </c>
      <c r="Y1281" s="7" t="s">
        <v>356</v>
      </c>
      <c r="Z1281" s="49" t="s">
        <v>545</v>
      </c>
      <c r="AA1281" s="51">
        <v>0.69720000000000004</v>
      </c>
      <c r="AB1281" s="71">
        <v>54940</v>
      </c>
      <c r="AC1281" s="92" t="s">
        <v>16285</v>
      </c>
      <c r="AD1281" s="53" t="str">
        <f t="shared" ref="AD1281:AD1283" si="972">HYPERLINK("https://www.carthage.edu/academics/majors/","Link")</f>
        <v>Link</v>
      </c>
      <c r="AE1281" s="54">
        <v>2818</v>
      </c>
      <c r="AF1281" s="55"/>
      <c r="AG1281" s="44">
        <v>163</v>
      </c>
      <c r="AH1281" s="56">
        <v>238476</v>
      </c>
      <c r="AI1281" s="56"/>
    </row>
    <row r="1282" spans="1:35" ht="13" x14ac:dyDescent="0.15">
      <c r="A1282" s="57"/>
      <c r="B1282" s="78" t="s">
        <v>5109</v>
      </c>
      <c r="C1282" s="7" t="s">
        <v>43</v>
      </c>
      <c r="D1282" s="44">
        <v>5</v>
      </c>
      <c r="E1282" s="7" t="s">
        <v>16290</v>
      </c>
      <c r="F1282" s="7"/>
      <c r="G1282" s="7"/>
      <c r="H1282" s="6" t="s">
        <v>16275</v>
      </c>
      <c r="I1282" s="7" t="s">
        <v>329</v>
      </c>
      <c r="J1282" s="7" t="s">
        <v>2002</v>
      </c>
      <c r="K1282" s="7" t="s">
        <v>55</v>
      </c>
      <c r="L1282" s="7"/>
      <c r="M1282" s="7"/>
      <c r="N1282" s="45" t="str">
        <f t="shared" si="970"/>
        <v>@carthagesball</v>
      </c>
      <c r="O1282" s="74" t="str">
        <f t="shared" si="971"/>
        <v>Questionnaire</v>
      </c>
      <c r="P1282" s="7" t="s">
        <v>16285</v>
      </c>
      <c r="Q1282" s="57" t="s">
        <v>5094</v>
      </c>
      <c r="R1282" s="48" t="s">
        <v>12436</v>
      </c>
      <c r="S1282" s="48" t="s">
        <v>238</v>
      </c>
      <c r="T1282" s="73" t="s">
        <v>63</v>
      </c>
      <c r="U1282" s="49" t="s">
        <v>318</v>
      </c>
      <c r="V1282" s="7"/>
      <c r="W1282" s="44">
        <v>3.27</v>
      </c>
      <c r="X1282" s="7" t="s">
        <v>2341</v>
      </c>
      <c r="Y1282" s="7" t="s">
        <v>356</v>
      </c>
      <c r="Z1282" s="49" t="s">
        <v>545</v>
      </c>
      <c r="AA1282" s="51">
        <v>0.69720000000000004</v>
      </c>
      <c r="AB1282" s="71">
        <v>54940</v>
      </c>
      <c r="AC1282" s="92" t="s">
        <v>16285</v>
      </c>
      <c r="AD1282" s="53" t="str">
        <f t="shared" si="972"/>
        <v>Link</v>
      </c>
      <c r="AE1282" s="54">
        <v>2818</v>
      </c>
      <c r="AF1282" s="55"/>
      <c r="AG1282" s="44">
        <v>163</v>
      </c>
      <c r="AH1282" s="56">
        <v>238476</v>
      </c>
      <c r="AI1282" s="56"/>
    </row>
    <row r="1283" spans="1:35" ht="13" x14ac:dyDescent="0.15">
      <c r="A1283" s="57"/>
      <c r="B1283" s="78" t="s">
        <v>5109</v>
      </c>
      <c r="C1283" s="7" t="s">
        <v>43</v>
      </c>
      <c r="D1283" s="44">
        <v>5</v>
      </c>
      <c r="E1283" s="7" t="s">
        <v>16296</v>
      </c>
      <c r="F1283" s="7"/>
      <c r="G1283" s="7"/>
      <c r="H1283" s="6" t="s">
        <v>16275</v>
      </c>
      <c r="I1283" s="7" t="s">
        <v>402</v>
      </c>
      <c r="J1283" s="7" t="s">
        <v>16297</v>
      </c>
      <c r="K1283" s="7" t="s">
        <v>55</v>
      </c>
      <c r="L1283" s="7"/>
      <c r="M1283" s="7"/>
      <c r="N1283" s="45" t="str">
        <f t="shared" si="970"/>
        <v>@carthagesball</v>
      </c>
      <c r="O1283" s="74" t="str">
        <f t="shared" si="971"/>
        <v>Questionnaire</v>
      </c>
      <c r="P1283" s="7" t="s">
        <v>16285</v>
      </c>
      <c r="Q1283" s="57" t="s">
        <v>5094</v>
      </c>
      <c r="R1283" s="48" t="s">
        <v>12436</v>
      </c>
      <c r="S1283" s="48" t="s">
        <v>238</v>
      </c>
      <c r="T1283" s="73" t="s">
        <v>63</v>
      </c>
      <c r="U1283" s="49" t="s">
        <v>318</v>
      </c>
      <c r="V1283" s="7"/>
      <c r="W1283" s="44">
        <v>3.27</v>
      </c>
      <c r="X1283" s="7" t="s">
        <v>2341</v>
      </c>
      <c r="Y1283" s="7" t="s">
        <v>356</v>
      </c>
      <c r="Z1283" s="49" t="s">
        <v>545</v>
      </c>
      <c r="AA1283" s="51">
        <v>0.69720000000000004</v>
      </c>
      <c r="AB1283" s="71">
        <v>54940</v>
      </c>
      <c r="AC1283" s="92" t="s">
        <v>16285</v>
      </c>
      <c r="AD1283" s="53" t="str">
        <f t="shared" si="972"/>
        <v>Link</v>
      </c>
      <c r="AE1283" s="54">
        <v>2818</v>
      </c>
      <c r="AF1283" s="55"/>
      <c r="AG1283" s="44">
        <v>163</v>
      </c>
      <c r="AH1283" s="56">
        <v>238476</v>
      </c>
      <c r="AI1283" s="56"/>
    </row>
    <row r="1284" spans="1:35" ht="15" x14ac:dyDescent="0.2">
      <c r="A1284" s="7"/>
      <c r="B1284" s="31" t="s">
        <v>5109</v>
      </c>
      <c r="C1284" s="36" t="s">
        <v>43</v>
      </c>
      <c r="D1284" s="7"/>
      <c r="E1284" s="86">
        <v>5</v>
      </c>
      <c r="F1284" s="7"/>
      <c r="G1284" s="7"/>
      <c r="H1284" s="2" t="s">
        <v>16301</v>
      </c>
      <c r="I1284" s="2" t="s">
        <v>363</v>
      </c>
      <c r="J1284" s="2" t="s">
        <v>5667</v>
      </c>
      <c r="K1284" s="2" t="s">
        <v>48</v>
      </c>
      <c r="L1284" s="2" t="s">
        <v>16306</v>
      </c>
      <c r="M1284" s="2" t="s">
        <v>16307</v>
      </c>
      <c r="N1284" s="45" t="str">
        <f t="shared" ref="N1284:N1288" si="973">HYPERLINK("twitter.com/cuw_sb","@cuw_sb")</f>
        <v>@cuw_sb</v>
      </c>
      <c r="O1284" s="45" t="str">
        <f t="shared" ref="O1284:O1288" si="974">HYPERLINK("https://www.cuwfalcons.com/RecruitMe","Questionnaire")</f>
        <v>Questionnaire</v>
      </c>
      <c r="P1284" s="48" t="s">
        <v>16311</v>
      </c>
      <c r="Q1284" s="60" t="s">
        <v>5094</v>
      </c>
      <c r="R1284" s="48" t="s">
        <v>16312</v>
      </c>
      <c r="S1284" s="48" t="s">
        <v>172</v>
      </c>
      <c r="T1284" s="49" t="s">
        <v>63</v>
      </c>
      <c r="U1284" s="6" t="s">
        <v>1620</v>
      </c>
      <c r="V1284" s="49"/>
      <c r="W1284" s="37">
        <v>3.48</v>
      </c>
      <c r="X1284" s="49" t="s">
        <v>214</v>
      </c>
      <c r="Y1284" s="49" t="s">
        <v>214</v>
      </c>
      <c r="Z1284" s="49" t="s">
        <v>545</v>
      </c>
      <c r="AA1284" s="65">
        <v>0.63</v>
      </c>
      <c r="AB1284" s="39">
        <v>42580</v>
      </c>
      <c r="AC1284" s="52" t="s">
        <v>16311</v>
      </c>
      <c r="AD1284" s="53" t="str">
        <f t="shared" ref="AD1284:AD1288" si="975">HYPERLINK("https://www.cuw.edu/academics/programs/index.html","Link")</f>
        <v>Link</v>
      </c>
      <c r="AE1284" s="54">
        <v>3830</v>
      </c>
      <c r="AF1284" s="55"/>
      <c r="AG1284" s="55"/>
      <c r="AH1284" s="56">
        <v>238616</v>
      </c>
      <c r="AI1284" s="56" t="s">
        <v>2459</v>
      </c>
    </row>
    <row r="1285" spans="1:35" ht="15" x14ac:dyDescent="0.2">
      <c r="A1285" s="7"/>
      <c r="B1285" s="31" t="s">
        <v>5109</v>
      </c>
      <c r="C1285" s="36" t="s">
        <v>43</v>
      </c>
      <c r="D1285" s="7"/>
      <c r="E1285" s="86">
        <v>5</v>
      </c>
      <c r="F1285" s="7"/>
      <c r="G1285" s="7"/>
      <c r="H1285" s="2" t="s">
        <v>16301</v>
      </c>
      <c r="I1285" s="2" t="s">
        <v>249</v>
      </c>
      <c r="J1285" s="2" t="s">
        <v>5619</v>
      </c>
      <c r="K1285" s="2" t="s">
        <v>55</v>
      </c>
      <c r="L1285" s="95" t="s">
        <v>16321</v>
      </c>
      <c r="M1285" s="2" t="s">
        <v>16323</v>
      </c>
      <c r="N1285" s="45" t="str">
        <f t="shared" si="973"/>
        <v>@cuw_sb</v>
      </c>
      <c r="O1285" s="45" t="str">
        <f t="shared" si="974"/>
        <v>Questionnaire</v>
      </c>
      <c r="P1285" s="48" t="s">
        <v>16311</v>
      </c>
      <c r="Q1285" s="60" t="s">
        <v>5094</v>
      </c>
      <c r="R1285" s="48" t="s">
        <v>16312</v>
      </c>
      <c r="S1285" s="48" t="s">
        <v>172</v>
      </c>
      <c r="T1285" s="49" t="s">
        <v>63</v>
      </c>
      <c r="U1285" s="6" t="s">
        <v>1620</v>
      </c>
      <c r="V1285" s="49"/>
      <c r="W1285" s="37">
        <v>3.48</v>
      </c>
      <c r="X1285" s="49" t="s">
        <v>214</v>
      </c>
      <c r="Y1285" s="49" t="s">
        <v>214</v>
      </c>
      <c r="Z1285" s="49" t="s">
        <v>545</v>
      </c>
      <c r="AA1285" s="65">
        <v>0.63</v>
      </c>
      <c r="AB1285" s="39">
        <v>42580</v>
      </c>
      <c r="AC1285" s="52" t="s">
        <v>16311</v>
      </c>
      <c r="AD1285" s="53" t="str">
        <f t="shared" si="975"/>
        <v>Link</v>
      </c>
      <c r="AE1285" s="54">
        <v>3830</v>
      </c>
      <c r="AF1285" s="55"/>
      <c r="AG1285" s="55"/>
      <c r="AH1285" s="56">
        <v>238616</v>
      </c>
      <c r="AI1285" s="56" t="s">
        <v>2459</v>
      </c>
    </row>
    <row r="1286" spans="1:35" ht="15" x14ac:dyDescent="0.2">
      <c r="A1286" s="7"/>
      <c r="B1286" s="31" t="s">
        <v>5109</v>
      </c>
      <c r="C1286" s="36" t="s">
        <v>43</v>
      </c>
      <c r="D1286" s="7"/>
      <c r="E1286" s="86">
        <v>5</v>
      </c>
      <c r="F1286" s="7"/>
      <c r="G1286" s="7"/>
      <c r="H1286" s="2" t="s">
        <v>16301</v>
      </c>
      <c r="I1286" s="2" t="s">
        <v>6526</v>
      </c>
      <c r="J1286" s="2" t="s">
        <v>16333</v>
      </c>
      <c r="K1286" s="2" t="s">
        <v>55</v>
      </c>
      <c r="L1286" s="89" t="s">
        <v>16335</v>
      </c>
      <c r="M1286" s="2"/>
      <c r="N1286" s="45" t="str">
        <f t="shared" si="973"/>
        <v>@cuw_sb</v>
      </c>
      <c r="O1286" s="45" t="str">
        <f t="shared" si="974"/>
        <v>Questionnaire</v>
      </c>
      <c r="P1286" s="48" t="s">
        <v>16311</v>
      </c>
      <c r="Q1286" s="60" t="s">
        <v>5094</v>
      </c>
      <c r="R1286" s="48" t="s">
        <v>16312</v>
      </c>
      <c r="S1286" s="48" t="s">
        <v>172</v>
      </c>
      <c r="T1286" s="49" t="s">
        <v>63</v>
      </c>
      <c r="U1286" s="6" t="s">
        <v>1620</v>
      </c>
      <c r="V1286" s="49"/>
      <c r="W1286" s="37">
        <v>3.48</v>
      </c>
      <c r="X1286" s="49" t="s">
        <v>214</v>
      </c>
      <c r="Y1286" s="49" t="s">
        <v>214</v>
      </c>
      <c r="Z1286" s="49" t="s">
        <v>545</v>
      </c>
      <c r="AA1286" s="65">
        <v>0.63</v>
      </c>
      <c r="AB1286" s="39">
        <v>42580</v>
      </c>
      <c r="AC1286" s="52" t="s">
        <v>16311</v>
      </c>
      <c r="AD1286" s="53" t="str">
        <f t="shared" si="975"/>
        <v>Link</v>
      </c>
      <c r="AE1286" s="54">
        <v>3830</v>
      </c>
      <c r="AF1286" s="55"/>
      <c r="AG1286" s="55"/>
      <c r="AH1286" s="56">
        <v>238616</v>
      </c>
      <c r="AI1286" s="56" t="s">
        <v>2459</v>
      </c>
    </row>
    <row r="1287" spans="1:35" ht="15" x14ac:dyDescent="0.2">
      <c r="A1287" s="7"/>
      <c r="B1287" s="31" t="s">
        <v>5109</v>
      </c>
      <c r="C1287" s="36" t="s">
        <v>43</v>
      </c>
      <c r="D1287" s="7"/>
      <c r="E1287" s="86">
        <v>5</v>
      </c>
      <c r="F1287" s="7"/>
      <c r="G1287" s="7"/>
      <c r="H1287" s="2" t="s">
        <v>16301</v>
      </c>
      <c r="I1287" s="2" t="s">
        <v>94</v>
      </c>
      <c r="J1287" s="2" t="s">
        <v>16342</v>
      </c>
      <c r="K1287" s="2" t="s">
        <v>139</v>
      </c>
      <c r="L1287" s="2"/>
      <c r="M1287" s="2"/>
      <c r="N1287" s="45" t="str">
        <f t="shared" si="973"/>
        <v>@cuw_sb</v>
      </c>
      <c r="O1287" s="45" t="str">
        <f t="shared" si="974"/>
        <v>Questionnaire</v>
      </c>
      <c r="P1287" s="48" t="s">
        <v>16311</v>
      </c>
      <c r="Q1287" s="60" t="s">
        <v>5094</v>
      </c>
      <c r="R1287" s="48" t="s">
        <v>16312</v>
      </c>
      <c r="S1287" s="48" t="s">
        <v>172</v>
      </c>
      <c r="T1287" s="49" t="s">
        <v>63</v>
      </c>
      <c r="U1287" s="6" t="s">
        <v>1620</v>
      </c>
      <c r="V1287" s="49"/>
      <c r="W1287" s="37">
        <v>3.48</v>
      </c>
      <c r="X1287" s="49" t="s">
        <v>214</v>
      </c>
      <c r="Y1287" s="49" t="s">
        <v>214</v>
      </c>
      <c r="Z1287" s="49" t="s">
        <v>545</v>
      </c>
      <c r="AA1287" s="65">
        <v>0.63</v>
      </c>
      <c r="AB1287" s="39">
        <v>42580</v>
      </c>
      <c r="AC1287" s="52" t="s">
        <v>16311</v>
      </c>
      <c r="AD1287" s="53" t="str">
        <f t="shared" si="975"/>
        <v>Link</v>
      </c>
      <c r="AE1287" s="54">
        <v>3830</v>
      </c>
      <c r="AF1287" s="55"/>
      <c r="AG1287" s="55"/>
      <c r="AH1287" s="56">
        <v>238616</v>
      </c>
      <c r="AI1287" s="56" t="s">
        <v>2459</v>
      </c>
    </row>
    <row r="1288" spans="1:35" ht="15" x14ac:dyDescent="0.2">
      <c r="A1288" s="7"/>
      <c r="B1288" s="31" t="s">
        <v>5109</v>
      </c>
      <c r="C1288" s="36" t="s">
        <v>43</v>
      </c>
      <c r="D1288" s="7"/>
      <c r="E1288" s="86">
        <v>5</v>
      </c>
      <c r="F1288" s="7"/>
      <c r="G1288" s="7"/>
      <c r="H1288" s="2" t="s">
        <v>16301</v>
      </c>
      <c r="I1288" s="2" t="s">
        <v>2011</v>
      </c>
      <c r="J1288" s="2" t="s">
        <v>16353</v>
      </c>
      <c r="K1288" s="2" t="s">
        <v>120</v>
      </c>
      <c r="L1288" s="2"/>
      <c r="M1288" s="2"/>
      <c r="N1288" s="45" t="str">
        <f t="shared" si="973"/>
        <v>@cuw_sb</v>
      </c>
      <c r="O1288" s="45" t="str">
        <f t="shared" si="974"/>
        <v>Questionnaire</v>
      </c>
      <c r="P1288" s="48" t="s">
        <v>16311</v>
      </c>
      <c r="Q1288" s="60" t="s">
        <v>5094</v>
      </c>
      <c r="R1288" s="48" t="s">
        <v>16312</v>
      </c>
      <c r="S1288" s="48" t="s">
        <v>172</v>
      </c>
      <c r="T1288" s="49" t="s">
        <v>63</v>
      </c>
      <c r="U1288" s="6" t="s">
        <v>1620</v>
      </c>
      <c r="V1288" s="49"/>
      <c r="W1288" s="37">
        <v>3.48</v>
      </c>
      <c r="X1288" s="49" t="s">
        <v>214</v>
      </c>
      <c r="Y1288" s="49" t="s">
        <v>214</v>
      </c>
      <c r="Z1288" s="49" t="s">
        <v>545</v>
      </c>
      <c r="AA1288" s="65">
        <v>0.63</v>
      </c>
      <c r="AB1288" s="39">
        <v>42580</v>
      </c>
      <c r="AC1288" s="52" t="s">
        <v>16311</v>
      </c>
      <c r="AD1288" s="53" t="str">
        <f t="shared" si="975"/>
        <v>Link</v>
      </c>
      <c r="AE1288" s="54">
        <v>3830</v>
      </c>
      <c r="AF1288" s="55"/>
      <c r="AG1288" s="55"/>
      <c r="AH1288" s="56">
        <v>238616</v>
      </c>
      <c r="AI1288" s="56" t="s">
        <v>2459</v>
      </c>
    </row>
    <row r="1289" spans="1:35" ht="13" x14ac:dyDescent="0.15">
      <c r="A1289" s="57"/>
      <c r="B1289" s="78" t="s">
        <v>5109</v>
      </c>
      <c r="C1289" s="7" t="s">
        <v>43</v>
      </c>
      <c r="D1289" s="44">
        <v>5</v>
      </c>
      <c r="E1289" s="7" t="s">
        <v>16357</v>
      </c>
      <c r="F1289" s="7"/>
      <c r="G1289" s="7"/>
      <c r="H1289" s="6" t="s">
        <v>16358</v>
      </c>
      <c r="I1289" s="7" t="s">
        <v>5624</v>
      </c>
      <c r="J1289" s="7" t="s">
        <v>1124</v>
      </c>
      <c r="K1289" s="7" t="s">
        <v>48</v>
      </c>
      <c r="L1289" s="7" t="s">
        <v>16361</v>
      </c>
      <c r="M1289" s="7" t="s">
        <v>16362</v>
      </c>
      <c r="N1289" s="45" t="str">
        <f t="shared" ref="N1289:N1291" si="976">HYPERLINK("twitter.com/edge_softball","@edge_softball")</f>
        <v>@edge_softball</v>
      </c>
      <c r="O1289" s="74" t="str">
        <f t="shared" ref="O1289:O1291" si="977">HYPERLINK("https://edgewoodcollegeeagles.com/sb_output.aspx?form=1","Questionnaire")</f>
        <v>Questionnaire</v>
      </c>
      <c r="P1289" s="7" t="s">
        <v>16370</v>
      </c>
      <c r="Q1289" s="57" t="s">
        <v>5094</v>
      </c>
      <c r="R1289" s="48" t="s">
        <v>1905</v>
      </c>
      <c r="S1289" s="48" t="s">
        <v>62</v>
      </c>
      <c r="T1289" s="73" t="s">
        <v>63</v>
      </c>
      <c r="U1289" s="49" t="s">
        <v>343</v>
      </c>
      <c r="V1289" s="7"/>
      <c r="W1289" s="44">
        <v>3.4</v>
      </c>
      <c r="X1289" s="7" t="s">
        <v>16373</v>
      </c>
      <c r="Y1289" s="7" t="s">
        <v>16374</v>
      </c>
      <c r="Z1289" s="49" t="s">
        <v>1715</v>
      </c>
      <c r="AA1289" s="61">
        <v>0.76</v>
      </c>
      <c r="AB1289" s="71">
        <v>41096</v>
      </c>
      <c r="AC1289" s="62" t="s">
        <v>16370</v>
      </c>
      <c r="AD1289" s="53" t="str">
        <f t="shared" ref="AD1289:AD1291" si="978">HYPERLINK("https://www.edgewood.edu/academics/programs","Link")</f>
        <v>Link</v>
      </c>
      <c r="AE1289" s="54">
        <v>1661</v>
      </c>
      <c r="AF1289" s="54">
        <v>181</v>
      </c>
      <c r="AG1289" s="7"/>
      <c r="AH1289" s="56">
        <v>238661</v>
      </c>
      <c r="AI1289" s="56"/>
    </row>
    <row r="1290" spans="1:35" ht="13" x14ac:dyDescent="0.15">
      <c r="A1290" s="57"/>
      <c r="B1290" s="78" t="s">
        <v>5109</v>
      </c>
      <c r="C1290" s="7" t="s">
        <v>43</v>
      </c>
      <c r="D1290" s="44">
        <v>5</v>
      </c>
      <c r="E1290" s="7" t="s">
        <v>16377</v>
      </c>
      <c r="F1290" s="7"/>
      <c r="G1290" s="7"/>
      <c r="H1290" s="6" t="s">
        <v>16358</v>
      </c>
      <c r="I1290" s="7" t="s">
        <v>537</v>
      </c>
      <c r="J1290" s="7" t="s">
        <v>16379</v>
      </c>
      <c r="K1290" s="7" t="s">
        <v>55</v>
      </c>
      <c r="L1290" s="7"/>
      <c r="M1290" s="7"/>
      <c r="N1290" s="45" t="str">
        <f t="shared" si="976"/>
        <v>@edge_softball</v>
      </c>
      <c r="O1290" s="74" t="str">
        <f t="shared" si="977"/>
        <v>Questionnaire</v>
      </c>
      <c r="P1290" s="7" t="s">
        <v>16370</v>
      </c>
      <c r="Q1290" s="57" t="s">
        <v>5094</v>
      </c>
      <c r="R1290" s="48" t="s">
        <v>1905</v>
      </c>
      <c r="S1290" s="48" t="s">
        <v>62</v>
      </c>
      <c r="T1290" s="73" t="s">
        <v>63</v>
      </c>
      <c r="U1290" s="49" t="s">
        <v>343</v>
      </c>
      <c r="V1290" s="7"/>
      <c r="W1290" s="44">
        <v>3.4</v>
      </c>
      <c r="X1290" s="7" t="s">
        <v>16373</v>
      </c>
      <c r="Y1290" s="7" t="s">
        <v>16374</v>
      </c>
      <c r="Z1290" s="49" t="s">
        <v>1715</v>
      </c>
      <c r="AA1290" s="61">
        <v>0.76</v>
      </c>
      <c r="AB1290" s="71">
        <v>41096</v>
      </c>
      <c r="AC1290" s="62" t="s">
        <v>16370</v>
      </c>
      <c r="AD1290" s="53" t="str">
        <f t="shared" si="978"/>
        <v>Link</v>
      </c>
      <c r="AE1290" s="54">
        <v>1661</v>
      </c>
      <c r="AF1290" s="54">
        <v>181</v>
      </c>
      <c r="AG1290" s="7"/>
      <c r="AH1290" s="56">
        <v>238661</v>
      </c>
      <c r="AI1290" s="56"/>
    </row>
    <row r="1291" spans="1:35" ht="13" x14ac:dyDescent="0.15">
      <c r="A1291" s="57"/>
      <c r="B1291" s="78" t="s">
        <v>5109</v>
      </c>
      <c r="C1291" s="7" t="s">
        <v>43</v>
      </c>
      <c r="D1291" s="44">
        <v>5</v>
      </c>
      <c r="E1291" s="7" t="s">
        <v>16382</v>
      </c>
      <c r="F1291" s="7"/>
      <c r="G1291" s="7"/>
      <c r="H1291" s="6" t="s">
        <v>16358</v>
      </c>
      <c r="I1291" s="7" t="s">
        <v>9726</v>
      </c>
      <c r="J1291" s="7" t="s">
        <v>16383</v>
      </c>
      <c r="K1291" s="7" t="s">
        <v>55</v>
      </c>
      <c r="L1291" s="7"/>
      <c r="M1291" s="7"/>
      <c r="N1291" s="45" t="str">
        <f t="shared" si="976"/>
        <v>@edge_softball</v>
      </c>
      <c r="O1291" s="74" t="str">
        <f t="shared" si="977"/>
        <v>Questionnaire</v>
      </c>
      <c r="P1291" s="7" t="s">
        <v>16370</v>
      </c>
      <c r="Q1291" s="57" t="s">
        <v>5094</v>
      </c>
      <c r="R1291" s="48" t="s">
        <v>1905</v>
      </c>
      <c r="S1291" s="48" t="s">
        <v>62</v>
      </c>
      <c r="T1291" s="73" t="s">
        <v>63</v>
      </c>
      <c r="U1291" s="49" t="s">
        <v>343</v>
      </c>
      <c r="V1291" s="7"/>
      <c r="W1291" s="44">
        <v>3.4</v>
      </c>
      <c r="X1291" s="7" t="s">
        <v>16373</v>
      </c>
      <c r="Y1291" s="7" t="s">
        <v>16374</v>
      </c>
      <c r="Z1291" s="49" t="s">
        <v>1715</v>
      </c>
      <c r="AA1291" s="61">
        <v>0.76</v>
      </c>
      <c r="AB1291" s="71">
        <v>41096</v>
      </c>
      <c r="AC1291" s="62" t="s">
        <v>16370</v>
      </c>
      <c r="AD1291" s="53" t="str">
        <f t="shared" si="978"/>
        <v>Link</v>
      </c>
      <c r="AE1291" s="54">
        <v>1661</v>
      </c>
      <c r="AF1291" s="54">
        <v>181</v>
      </c>
      <c r="AG1291" s="7"/>
      <c r="AH1291" s="56">
        <v>238661</v>
      </c>
      <c r="AI1291" s="56"/>
    </row>
    <row r="1292" spans="1:35" ht="13" x14ac:dyDescent="0.15">
      <c r="A1292" s="57"/>
      <c r="B1292" s="78" t="s">
        <v>5109</v>
      </c>
      <c r="C1292" s="7" t="s">
        <v>43</v>
      </c>
      <c r="D1292" s="44">
        <v>5</v>
      </c>
      <c r="E1292" s="7" t="s">
        <v>16388</v>
      </c>
      <c r="F1292" s="7"/>
      <c r="G1292" s="7"/>
      <c r="H1292" s="6" t="s">
        <v>16389</v>
      </c>
      <c r="I1292" s="7" t="s">
        <v>4884</v>
      </c>
      <c r="J1292" s="7" t="s">
        <v>16390</v>
      </c>
      <c r="K1292" s="7" t="s">
        <v>48</v>
      </c>
      <c r="L1292" s="7" t="s">
        <v>16391</v>
      </c>
      <c r="M1292" s="7" t="s">
        <v>16392</v>
      </c>
      <c r="N1292" s="45" t="str">
        <f t="shared" ref="N1292:N1296" si="979">HYPERLINK("twitter.com/MuskiesSB","@MuskiesSB")</f>
        <v>@MuskiesSB</v>
      </c>
      <c r="O1292" s="74" t="str">
        <f t="shared" ref="O1292:O1296" si="980">HYPERLINK("https://lakelandmuskies.com/sports/2013/8/20/recruiting.aspx","Questionnaire")</f>
        <v>Questionnaire</v>
      </c>
      <c r="P1292" s="7" t="s">
        <v>16398</v>
      </c>
      <c r="Q1292" s="57" t="s">
        <v>5094</v>
      </c>
      <c r="R1292" s="48" t="s">
        <v>7902</v>
      </c>
      <c r="S1292" s="60" t="s">
        <v>205</v>
      </c>
      <c r="T1292" s="49" t="s">
        <v>63</v>
      </c>
      <c r="U1292" s="49" t="s">
        <v>1625</v>
      </c>
      <c r="V1292" s="7"/>
      <c r="W1292" s="44">
        <v>3</v>
      </c>
      <c r="X1292" s="7" t="s">
        <v>1399</v>
      </c>
      <c r="Y1292" s="7" t="s">
        <v>2522</v>
      </c>
      <c r="Z1292" s="49" t="s">
        <v>3952</v>
      </c>
      <c r="AA1292" s="61">
        <v>0.55000000000000004</v>
      </c>
      <c r="AB1292" s="71">
        <v>39468</v>
      </c>
      <c r="AC1292" s="62" t="s">
        <v>16398</v>
      </c>
      <c r="AD1292" s="53" t="str">
        <f t="shared" ref="AD1292:AD1296" si="981">HYPERLINK("https://lakeland.edu/Academics/majors-and-minors","Link")</f>
        <v>Link</v>
      </c>
      <c r="AE1292" s="54">
        <v>2537</v>
      </c>
      <c r="AF1292" s="55"/>
      <c r="AG1292" s="7"/>
      <c r="AH1292" s="56">
        <v>238980</v>
      </c>
      <c r="AI1292" s="56"/>
    </row>
    <row r="1293" spans="1:35" ht="13" x14ac:dyDescent="0.15">
      <c r="A1293" s="57"/>
      <c r="B1293" s="78" t="s">
        <v>5109</v>
      </c>
      <c r="C1293" s="7" t="s">
        <v>43</v>
      </c>
      <c r="D1293" s="44">
        <v>5</v>
      </c>
      <c r="E1293" s="7" t="s">
        <v>16402</v>
      </c>
      <c r="F1293" s="7"/>
      <c r="G1293" s="7"/>
      <c r="H1293" s="6" t="s">
        <v>16389</v>
      </c>
      <c r="I1293" s="7" t="s">
        <v>1075</v>
      </c>
      <c r="J1293" s="7" t="s">
        <v>16405</v>
      </c>
      <c r="K1293" s="7" t="s">
        <v>55</v>
      </c>
      <c r="L1293" s="7" t="s">
        <v>16406</v>
      </c>
      <c r="M1293" s="7" t="s">
        <v>16407</v>
      </c>
      <c r="N1293" s="45" t="str">
        <f t="shared" si="979"/>
        <v>@MuskiesSB</v>
      </c>
      <c r="O1293" s="74" t="str">
        <f t="shared" si="980"/>
        <v>Questionnaire</v>
      </c>
      <c r="P1293" s="7" t="s">
        <v>16398</v>
      </c>
      <c r="Q1293" s="57" t="s">
        <v>5094</v>
      </c>
      <c r="R1293" s="48" t="s">
        <v>7902</v>
      </c>
      <c r="S1293" s="60" t="s">
        <v>205</v>
      </c>
      <c r="T1293" s="49" t="s">
        <v>63</v>
      </c>
      <c r="U1293" s="49" t="s">
        <v>1625</v>
      </c>
      <c r="V1293" s="7"/>
      <c r="W1293" s="44">
        <v>3</v>
      </c>
      <c r="X1293" s="7" t="s">
        <v>1399</v>
      </c>
      <c r="Y1293" s="7" t="s">
        <v>2522</v>
      </c>
      <c r="Z1293" s="49" t="s">
        <v>3952</v>
      </c>
      <c r="AA1293" s="61">
        <v>0.55000000000000004</v>
      </c>
      <c r="AB1293" s="71">
        <v>39468</v>
      </c>
      <c r="AC1293" s="62" t="s">
        <v>16398</v>
      </c>
      <c r="AD1293" s="53" t="str">
        <f t="shared" si="981"/>
        <v>Link</v>
      </c>
      <c r="AE1293" s="54">
        <v>2537</v>
      </c>
      <c r="AF1293" s="55"/>
      <c r="AG1293" s="7"/>
      <c r="AH1293" s="56">
        <v>238980</v>
      </c>
      <c r="AI1293" s="56"/>
    </row>
    <row r="1294" spans="1:35" ht="13" x14ac:dyDescent="0.15">
      <c r="A1294" s="57"/>
      <c r="B1294" s="78" t="s">
        <v>5109</v>
      </c>
      <c r="C1294" s="7" t="s">
        <v>43</v>
      </c>
      <c r="D1294" s="44">
        <v>5</v>
      </c>
      <c r="E1294" s="7" t="s">
        <v>16417</v>
      </c>
      <c r="F1294" s="7"/>
      <c r="G1294" s="7"/>
      <c r="H1294" s="6" t="s">
        <v>16389</v>
      </c>
      <c r="I1294" s="7" t="s">
        <v>93</v>
      </c>
      <c r="J1294" s="7" t="s">
        <v>263</v>
      </c>
      <c r="K1294" s="7" t="s">
        <v>55</v>
      </c>
      <c r="L1294" s="74" t="s">
        <v>16421</v>
      </c>
      <c r="M1294" s="7" t="s">
        <v>16442</v>
      </c>
      <c r="N1294" s="45" t="str">
        <f t="shared" si="979"/>
        <v>@MuskiesSB</v>
      </c>
      <c r="O1294" s="74" t="str">
        <f t="shared" si="980"/>
        <v>Questionnaire</v>
      </c>
      <c r="P1294" s="7" t="s">
        <v>16398</v>
      </c>
      <c r="Q1294" s="57" t="s">
        <v>5094</v>
      </c>
      <c r="R1294" s="48" t="s">
        <v>7902</v>
      </c>
      <c r="S1294" s="60" t="s">
        <v>205</v>
      </c>
      <c r="T1294" s="49" t="s">
        <v>63</v>
      </c>
      <c r="U1294" s="49" t="s">
        <v>1625</v>
      </c>
      <c r="V1294" s="7"/>
      <c r="W1294" s="44">
        <v>3</v>
      </c>
      <c r="X1294" s="7" t="s">
        <v>1399</v>
      </c>
      <c r="Y1294" s="7" t="s">
        <v>2522</v>
      </c>
      <c r="Z1294" s="49" t="s">
        <v>3952</v>
      </c>
      <c r="AA1294" s="61">
        <v>0.55000000000000004</v>
      </c>
      <c r="AB1294" s="71">
        <v>39468</v>
      </c>
      <c r="AC1294" s="62" t="s">
        <v>16398</v>
      </c>
      <c r="AD1294" s="53" t="str">
        <f t="shared" si="981"/>
        <v>Link</v>
      </c>
      <c r="AE1294" s="54">
        <v>2537</v>
      </c>
      <c r="AF1294" s="55"/>
      <c r="AG1294" s="7"/>
      <c r="AH1294" s="56">
        <v>238980</v>
      </c>
      <c r="AI1294" s="56"/>
    </row>
    <row r="1295" spans="1:35" ht="13" x14ac:dyDescent="0.15">
      <c r="A1295" s="57"/>
      <c r="B1295" s="78" t="s">
        <v>5109</v>
      </c>
      <c r="C1295" s="7" t="s">
        <v>43</v>
      </c>
      <c r="D1295" s="44">
        <v>5</v>
      </c>
      <c r="E1295" s="7" t="s">
        <v>16417</v>
      </c>
      <c r="F1295" s="7"/>
      <c r="G1295" s="7"/>
      <c r="H1295" s="6" t="s">
        <v>16389</v>
      </c>
      <c r="I1295" s="7" t="s">
        <v>3088</v>
      </c>
      <c r="J1295" s="7" t="s">
        <v>16449</v>
      </c>
      <c r="K1295" s="7" t="s">
        <v>55</v>
      </c>
      <c r="L1295" s="7"/>
      <c r="M1295" s="7"/>
      <c r="N1295" s="45" t="str">
        <f t="shared" si="979"/>
        <v>@MuskiesSB</v>
      </c>
      <c r="O1295" s="74" t="str">
        <f t="shared" si="980"/>
        <v>Questionnaire</v>
      </c>
      <c r="P1295" s="7" t="s">
        <v>16398</v>
      </c>
      <c r="Q1295" s="57" t="s">
        <v>5094</v>
      </c>
      <c r="R1295" s="48" t="s">
        <v>7902</v>
      </c>
      <c r="S1295" s="60" t="s">
        <v>205</v>
      </c>
      <c r="T1295" s="49" t="s">
        <v>63</v>
      </c>
      <c r="U1295" s="49" t="s">
        <v>1625</v>
      </c>
      <c r="V1295" s="7"/>
      <c r="W1295" s="44">
        <v>3</v>
      </c>
      <c r="X1295" s="7" t="s">
        <v>1399</v>
      </c>
      <c r="Y1295" s="7" t="s">
        <v>2522</v>
      </c>
      <c r="Z1295" s="49" t="s">
        <v>3952</v>
      </c>
      <c r="AA1295" s="61">
        <v>0.55000000000000004</v>
      </c>
      <c r="AB1295" s="71">
        <v>39468</v>
      </c>
      <c r="AC1295" s="62" t="s">
        <v>16398</v>
      </c>
      <c r="AD1295" s="53" t="str">
        <f t="shared" si="981"/>
        <v>Link</v>
      </c>
      <c r="AE1295" s="54">
        <v>2537</v>
      </c>
      <c r="AF1295" s="55"/>
      <c r="AG1295" s="7"/>
      <c r="AH1295" s="56">
        <v>238980</v>
      </c>
      <c r="AI1295" s="56"/>
    </row>
    <row r="1296" spans="1:35" ht="13" x14ac:dyDescent="0.15">
      <c r="A1296" s="57"/>
      <c r="B1296" s="78" t="s">
        <v>5109</v>
      </c>
      <c r="C1296" s="7" t="s">
        <v>43</v>
      </c>
      <c r="D1296" s="44">
        <v>5</v>
      </c>
      <c r="E1296" s="7" t="s">
        <v>16453</v>
      </c>
      <c r="F1296" s="7"/>
      <c r="G1296" s="7"/>
      <c r="H1296" s="6" t="s">
        <v>16389</v>
      </c>
      <c r="I1296" s="7" t="s">
        <v>537</v>
      </c>
      <c r="J1296" s="7" t="s">
        <v>16454</v>
      </c>
      <c r="K1296" s="7" t="s">
        <v>55</v>
      </c>
      <c r="L1296" s="7"/>
      <c r="M1296" s="7"/>
      <c r="N1296" s="45" t="str">
        <f t="shared" si="979"/>
        <v>@MuskiesSB</v>
      </c>
      <c r="O1296" s="74" t="str">
        <f t="shared" si="980"/>
        <v>Questionnaire</v>
      </c>
      <c r="P1296" s="7" t="s">
        <v>16398</v>
      </c>
      <c r="Q1296" s="57" t="s">
        <v>5094</v>
      </c>
      <c r="R1296" s="48" t="s">
        <v>7902</v>
      </c>
      <c r="S1296" s="60" t="s">
        <v>205</v>
      </c>
      <c r="T1296" s="49" t="s">
        <v>63</v>
      </c>
      <c r="U1296" s="49" t="s">
        <v>1625</v>
      </c>
      <c r="V1296" s="7"/>
      <c r="W1296" s="44">
        <v>3</v>
      </c>
      <c r="X1296" s="7" t="s">
        <v>1399</v>
      </c>
      <c r="Y1296" s="7" t="s">
        <v>2522</v>
      </c>
      <c r="Z1296" s="49" t="s">
        <v>3952</v>
      </c>
      <c r="AA1296" s="61">
        <v>0.55000000000000004</v>
      </c>
      <c r="AB1296" s="71">
        <v>39468</v>
      </c>
      <c r="AC1296" s="62" t="s">
        <v>16398</v>
      </c>
      <c r="AD1296" s="53" t="str">
        <f t="shared" si="981"/>
        <v>Link</v>
      </c>
      <c r="AE1296" s="54">
        <v>2537</v>
      </c>
      <c r="AF1296" s="55"/>
      <c r="AG1296" s="7"/>
      <c r="AH1296" s="56">
        <v>238980</v>
      </c>
      <c r="AI1296" s="56"/>
    </row>
    <row r="1297" spans="1:35" ht="13" x14ac:dyDescent="0.15">
      <c r="A1297" s="57"/>
      <c r="B1297" s="78" t="s">
        <v>5109</v>
      </c>
      <c r="C1297" s="7" t="s">
        <v>43</v>
      </c>
      <c r="D1297" s="44">
        <v>5</v>
      </c>
      <c r="E1297" s="7" t="s">
        <v>16461</v>
      </c>
      <c r="F1297" s="7"/>
      <c r="G1297" s="7"/>
      <c r="H1297" s="6" t="s">
        <v>16462</v>
      </c>
      <c r="I1297" s="7" t="s">
        <v>1159</v>
      </c>
      <c r="J1297" s="7" t="s">
        <v>16463</v>
      </c>
      <c r="K1297" s="7" t="s">
        <v>48</v>
      </c>
      <c r="L1297" s="7" t="s">
        <v>16464</v>
      </c>
      <c r="M1297" s="7" t="s">
        <v>16466</v>
      </c>
      <c r="N1297" s="48"/>
      <c r="O1297" s="74" t="str">
        <f t="shared" ref="O1297:O1301" si="982">HYPERLINK("http://vikings.lawrence.edu/prospective-scholar-athletes/questionnaire","Questionnaire")</f>
        <v>Questionnaire</v>
      </c>
      <c r="P1297" s="7" t="s">
        <v>16471</v>
      </c>
      <c r="Q1297" s="36" t="s">
        <v>5094</v>
      </c>
      <c r="R1297" s="48" t="s">
        <v>16472</v>
      </c>
      <c r="S1297" s="48" t="s">
        <v>186</v>
      </c>
      <c r="T1297" s="49" t="s">
        <v>63</v>
      </c>
      <c r="U1297" s="49" t="s">
        <v>75</v>
      </c>
      <c r="V1297" s="7"/>
      <c r="W1297" s="44">
        <v>3.66</v>
      </c>
      <c r="X1297" s="7" t="s">
        <v>16473</v>
      </c>
      <c r="Y1297" s="7" t="s">
        <v>16474</v>
      </c>
      <c r="Z1297" s="49" t="s">
        <v>179</v>
      </c>
      <c r="AA1297" s="61">
        <v>0.63</v>
      </c>
      <c r="AB1297" s="71">
        <v>56823</v>
      </c>
      <c r="AC1297" s="90" t="s">
        <v>16471</v>
      </c>
      <c r="AD1297" s="53" t="str">
        <f t="shared" ref="AD1297:AD1301" si="983">HYPERLINK("https://www.lawrence.edu/academics/study","Link")</f>
        <v>Link</v>
      </c>
      <c r="AE1297" s="54">
        <v>1528</v>
      </c>
      <c r="AF1297" s="55"/>
      <c r="AG1297" s="44">
        <v>58</v>
      </c>
      <c r="AH1297" s="56">
        <v>239017</v>
      </c>
      <c r="AI1297" s="56"/>
    </row>
    <row r="1298" spans="1:35" ht="13" x14ac:dyDescent="0.15">
      <c r="A1298" s="57"/>
      <c r="B1298" s="78" t="s">
        <v>5109</v>
      </c>
      <c r="C1298" s="7" t="s">
        <v>43</v>
      </c>
      <c r="D1298" s="44">
        <v>5</v>
      </c>
      <c r="E1298" s="7" t="s">
        <v>16485</v>
      </c>
      <c r="F1298" s="7"/>
      <c r="G1298" s="7"/>
      <c r="H1298" s="6" t="s">
        <v>16462</v>
      </c>
      <c r="I1298" s="7" t="s">
        <v>1528</v>
      </c>
      <c r="J1298" s="7" t="s">
        <v>16487</v>
      </c>
      <c r="K1298" s="7" t="s">
        <v>55</v>
      </c>
      <c r="L1298" s="7" t="s">
        <v>16488</v>
      </c>
      <c r="M1298" s="7"/>
      <c r="N1298" s="48"/>
      <c r="O1298" s="74" t="str">
        <f t="shared" si="982"/>
        <v>Questionnaire</v>
      </c>
      <c r="P1298" s="7" t="s">
        <v>16471</v>
      </c>
      <c r="Q1298" s="36" t="s">
        <v>5094</v>
      </c>
      <c r="R1298" s="48" t="s">
        <v>16472</v>
      </c>
      <c r="S1298" s="48" t="s">
        <v>186</v>
      </c>
      <c r="T1298" s="49" t="s">
        <v>63</v>
      </c>
      <c r="U1298" s="49" t="s">
        <v>75</v>
      </c>
      <c r="V1298" s="7"/>
      <c r="W1298" s="44">
        <v>3.66</v>
      </c>
      <c r="X1298" s="7" t="s">
        <v>16473</v>
      </c>
      <c r="Y1298" s="7" t="s">
        <v>16474</v>
      </c>
      <c r="Z1298" s="49" t="s">
        <v>179</v>
      </c>
      <c r="AA1298" s="61">
        <v>0.63</v>
      </c>
      <c r="AB1298" s="71">
        <v>56823</v>
      </c>
      <c r="AC1298" s="90" t="s">
        <v>16471</v>
      </c>
      <c r="AD1298" s="53" t="str">
        <f t="shared" si="983"/>
        <v>Link</v>
      </c>
      <c r="AE1298" s="54">
        <v>1528</v>
      </c>
      <c r="AF1298" s="55"/>
      <c r="AG1298" s="44">
        <v>58</v>
      </c>
      <c r="AH1298" s="56">
        <v>239017</v>
      </c>
      <c r="AI1298" s="56"/>
    </row>
    <row r="1299" spans="1:35" ht="13" x14ac:dyDescent="0.15">
      <c r="A1299" s="57"/>
      <c r="B1299" s="78" t="s">
        <v>5109</v>
      </c>
      <c r="C1299" s="7" t="s">
        <v>43</v>
      </c>
      <c r="D1299" s="44">
        <v>5</v>
      </c>
      <c r="E1299" s="7" t="s">
        <v>16499</v>
      </c>
      <c r="F1299" s="7"/>
      <c r="G1299" s="7"/>
      <c r="H1299" s="6" t="s">
        <v>16462</v>
      </c>
      <c r="I1299" s="7" t="s">
        <v>1266</v>
      </c>
      <c r="J1299" s="7" t="s">
        <v>16500</v>
      </c>
      <c r="K1299" s="7" t="s">
        <v>55</v>
      </c>
      <c r="L1299" s="7" t="s">
        <v>16501</v>
      </c>
      <c r="M1299" s="7"/>
      <c r="N1299" s="48"/>
      <c r="O1299" s="74" t="str">
        <f t="shared" si="982"/>
        <v>Questionnaire</v>
      </c>
      <c r="P1299" s="7" t="s">
        <v>16471</v>
      </c>
      <c r="Q1299" s="36" t="s">
        <v>5094</v>
      </c>
      <c r="R1299" s="48" t="s">
        <v>16472</v>
      </c>
      <c r="S1299" s="48" t="s">
        <v>186</v>
      </c>
      <c r="T1299" s="49" t="s">
        <v>63</v>
      </c>
      <c r="U1299" s="49" t="s">
        <v>75</v>
      </c>
      <c r="V1299" s="7"/>
      <c r="W1299" s="44">
        <v>3.66</v>
      </c>
      <c r="X1299" s="7" t="s">
        <v>16473</v>
      </c>
      <c r="Y1299" s="7" t="s">
        <v>16474</v>
      </c>
      <c r="Z1299" s="49" t="s">
        <v>179</v>
      </c>
      <c r="AA1299" s="61">
        <v>0.63</v>
      </c>
      <c r="AB1299" s="71">
        <v>56823</v>
      </c>
      <c r="AC1299" s="90" t="s">
        <v>16471</v>
      </c>
      <c r="AD1299" s="53" t="str">
        <f t="shared" si="983"/>
        <v>Link</v>
      </c>
      <c r="AE1299" s="54">
        <v>1528</v>
      </c>
      <c r="AF1299" s="55"/>
      <c r="AG1299" s="44">
        <v>58</v>
      </c>
      <c r="AH1299" s="56">
        <v>239017</v>
      </c>
      <c r="AI1299" s="56"/>
    </row>
    <row r="1300" spans="1:35" ht="13" x14ac:dyDescent="0.15">
      <c r="A1300" s="57"/>
      <c r="B1300" s="78" t="s">
        <v>5109</v>
      </c>
      <c r="C1300" s="7" t="s">
        <v>43</v>
      </c>
      <c r="D1300" s="44">
        <v>5</v>
      </c>
      <c r="E1300" s="7" t="s">
        <v>16513</v>
      </c>
      <c r="F1300" s="7"/>
      <c r="G1300" s="7"/>
      <c r="H1300" s="6" t="s">
        <v>16462</v>
      </c>
      <c r="I1300" s="7" t="s">
        <v>10612</v>
      </c>
      <c r="J1300" s="7" t="s">
        <v>16515</v>
      </c>
      <c r="K1300" s="7" t="s">
        <v>919</v>
      </c>
      <c r="L1300" s="7" t="s">
        <v>16516</v>
      </c>
      <c r="M1300" s="7"/>
      <c r="N1300" s="48"/>
      <c r="O1300" s="74" t="str">
        <f t="shared" si="982"/>
        <v>Questionnaire</v>
      </c>
      <c r="P1300" s="7" t="s">
        <v>16471</v>
      </c>
      <c r="Q1300" s="36" t="s">
        <v>5094</v>
      </c>
      <c r="R1300" s="48" t="s">
        <v>16472</v>
      </c>
      <c r="S1300" s="48" t="s">
        <v>186</v>
      </c>
      <c r="T1300" s="49" t="s">
        <v>63</v>
      </c>
      <c r="U1300" s="49" t="s">
        <v>75</v>
      </c>
      <c r="V1300" s="7"/>
      <c r="W1300" s="44">
        <v>3.66</v>
      </c>
      <c r="X1300" s="7" t="s">
        <v>16473</v>
      </c>
      <c r="Y1300" s="7" t="s">
        <v>16474</v>
      </c>
      <c r="Z1300" s="49" t="s">
        <v>179</v>
      </c>
      <c r="AA1300" s="61">
        <v>0.63</v>
      </c>
      <c r="AB1300" s="71">
        <v>56823</v>
      </c>
      <c r="AC1300" s="90" t="s">
        <v>16471</v>
      </c>
      <c r="AD1300" s="53" t="str">
        <f t="shared" si="983"/>
        <v>Link</v>
      </c>
      <c r="AE1300" s="54">
        <v>1528</v>
      </c>
      <c r="AF1300" s="55"/>
      <c r="AG1300" s="44">
        <v>58</v>
      </c>
      <c r="AH1300" s="56">
        <v>239017</v>
      </c>
      <c r="AI1300" s="56"/>
    </row>
    <row r="1301" spans="1:35" ht="13" x14ac:dyDescent="0.15">
      <c r="A1301" s="57"/>
      <c r="B1301" s="78" t="s">
        <v>5109</v>
      </c>
      <c r="C1301" s="7" t="s">
        <v>43</v>
      </c>
      <c r="D1301" s="44">
        <v>5</v>
      </c>
      <c r="E1301" s="7" t="s">
        <v>16525</v>
      </c>
      <c r="F1301" s="7"/>
      <c r="G1301" s="7"/>
      <c r="H1301" s="6" t="s">
        <v>16462</v>
      </c>
      <c r="I1301" s="7" t="s">
        <v>4275</v>
      </c>
      <c r="J1301" s="7" t="s">
        <v>16528</v>
      </c>
      <c r="K1301" s="7" t="s">
        <v>55</v>
      </c>
      <c r="L1301" s="7" t="s">
        <v>16529</v>
      </c>
      <c r="M1301" s="7"/>
      <c r="N1301" s="7"/>
      <c r="O1301" s="74" t="str">
        <f t="shared" si="982"/>
        <v>Questionnaire</v>
      </c>
      <c r="P1301" s="7" t="s">
        <v>16471</v>
      </c>
      <c r="Q1301" s="36" t="s">
        <v>5094</v>
      </c>
      <c r="R1301" s="48" t="s">
        <v>16472</v>
      </c>
      <c r="S1301" s="48" t="s">
        <v>186</v>
      </c>
      <c r="T1301" s="49" t="s">
        <v>63</v>
      </c>
      <c r="U1301" s="49" t="s">
        <v>75</v>
      </c>
      <c r="V1301" s="7"/>
      <c r="W1301" s="44">
        <v>3.66</v>
      </c>
      <c r="X1301" s="7" t="s">
        <v>16473</v>
      </c>
      <c r="Y1301" s="7" t="s">
        <v>16474</v>
      </c>
      <c r="Z1301" s="49" t="s">
        <v>179</v>
      </c>
      <c r="AA1301" s="61">
        <v>0.63</v>
      </c>
      <c r="AB1301" s="71">
        <v>56823</v>
      </c>
      <c r="AC1301" s="90" t="s">
        <v>16471</v>
      </c>
      <c r="AD1301" s="53" t="str">
        <f t="shared" si="983"/>
        <v>Link</v>
      </c>
      <c r="AE1301" s="54">
        <v>1528</v>
      </c>
      <c r="AF1301" s="55"/>
      <c r="AG1301" s="44">
        <v>58</v>
      </c>
      <c r="AH1301" s="56">
        <v>239017</v>
      </c>
      <c r="AI1301" s="56"/>
    </row>
    <row r="1302" spans="1:35" ht="13" x14ac:dyDescent="0.15">
      <c r="A1302" s="57"/>
      <c r="B1302" s="78" t="s">
        <v>5109</v>
      </c>
      <c r="C1302" s="7" t="s">
        <v>43</v>
      </c>
      <c r="D1302" s="44">
        <v>5</v>
      </c>
      <c r="E1302" s="7" t="s">
        <v>16532</v>
      </c>
      <c r="F1302" s="7"/>
      <c r="G1302" s="7"/>
      <c r="H1302" s="6" t="s">
        <v>16534</v>
      </c>
      <c r="I1302" s="7" t="s">
        <v>5294</v>
      </c>
      <c r="J1302" s="7" t="s">
        <v>2482</v>
      </c>
      <c r="K1302" s="7" t="s">
        <v>48</v>
      </c>
      <c r="L1302" s="7" t="s">
        <v>16537</v>
      </c>
      <c r="M1302" s="7" t="s">
        <v>16538</v>
      </c>
      <c r="N1302" s="48"/>
      <c r="O1302" s="74" t="str">
        <f t="shared" ref="O1302:O1303" si="984">HYPERLINK("https://www.mbu.edu/forms/athletics-recruit-questionnaire/","Questionnaire")</f>
        <v>Questionnaire</v>
      </c>
      <c r="P1302" s="7" t="s">
        <v>16541</v>
      </c>
      <c r="Q1302" s="57" t="s">
        <v>5094</v>
      </c>
      <c r="R1302" s="48" t="s">
        <v>16542</v>
      </c>
      <c r="S1302" s="48" t="s">
        <v>172</v>
      </c>
      <c r="T1302" s="49" t="s">
        <v>63</v>
      </c>
      <c r="U1302" s="49" t="s">
        <v>2619</v>
      </c>
      <c r="V1302" s="7"/>
      <c r="W1302" s="44">
        <v>3.61</v>
      </c>
      <c r="X1302" s="7" t="s">
        <v>16543</v>
      </c>
      <c r="Y1302" s="7" t="s">
        <v>3484</v>
      </c>
      <c r="Z1302" s="49" t="s">
        <v>1689</v>
      </c>
      <c r="AA1302" s="61">
        <v>0.68</v>
      </c>
      <c r="AB1302" s="71">
        <v>24920</v>
      </c>
      <c r="AC1302" s="62" t="s">
        <v>16541</v>
      </c>
      <c r="AD1302" s="53" t="str">
        <f t="shared" ref="AD1302:AD1303" si="985">HYPERLINK("https://www.mbu.edu/academics/degrees/","Link")</f>
        <v>Link</v>
      </c>
      <c r="AE1302" s="54">
        <v>943</v>
      </c>
      <c r="AF1302" s="55"/>
      <c r="AG1302" s="7"/>
      <c r="AH1302" s="56">
        <v>239071</v>
      </c>
      <c r="AI1302" s="56"/>
    </row>
    <row r="1303" spans="1:35" ht="13" x14ac:dyDescent="0.15">
      <c r="A1303" s="57"/>
      <c r="B1303" s="78" t="s">
        <v>5109</v>
      </c>
      <c r="C1303" s="7" t="s">
        <v>43</v>
      </c>
      <c r="D1303" s="44">
        <v>5</v>
      </c>
      <c r="E1303" s="7" t="s">
        <v>16545</v>
      </c>
      <c r="F1303" s="7"/>
      <c r="G1303" s="7"/>
      <c r="H1303" s="6" t="s">
        <v>16534</v>
      </c>
      <c r="I1303" s="7" t="s">
        <v>16546</v>
      </c>
      <c r="J1303" s="7" t="s">
        <v>14423</v>
      </c>
      <c r="K1303" s="7" t="s">
        <v>55</v>
      </c>
      <c r="L1303" s="7"/>
      <c r="M1303" s="7"/>
      <c r="N1303" s="48"/>
      <c r="O1303" s="74" t="str">
        <f t="shared" si="984"/>
        <v>Questionnaire</v>
      </c>
      <c r="P1303" s="7" t="s">
        <v>16541</v>
      </c>
      <c r="Q1303" s="57" t="s">
        <v>5094</v>
      </c>
      <c r="R1303" s="48" t="s">
        <v>16542</v>
      </c>
      <c r="S1303" s="48" t="s">
        <v>172</v>
      </c>
      <c r="T1303" s="49" t="s">
        <v>63</v>
      </c>
      <c r="U1303" s="49" t="s">
        <v>2619</v>
      </c>
      <c r="V1303" s="7"/>
      <c r="W1303" s="44">
        <v>3.61</v>
      </c>
      <c r="X1303" s="7" t="s">
        <v>16543</v>
      </c>
      <c r="Y1303" s="7" t="s">
        <v>3484</v>
      </c>
      <c r="Z1303" s="49" t="s">
        <v>1689</v>
      </c>
      <c r="AA1303" s="61">
        <v>0.68</v>
      </c>
      <c r="AB1303" s="71">
        <v>24920</v>
      </c>
      <c r="AC1303" s="62" t="s">
        <v>16541</v>
      </c>
      <c r="AD1303" s="53" t="str">
        <f t="shared" si="985"/>
        <v>Link</v>
      </c>
      <c r="AE1303" s="54">
        <v>943</v>
      </c>
      <c r="AF1303" s="55"/>
      <c r="AG1303" s="7"/>
      <c r="AH1303" s="56">
        <v>239071</v>
      </c>
      <c r="AI1303" s="56"/>
    </row>
    <row r="1304" spans="1:35" ht="13" x14ac:dyDescent="0.15">
      <c r="A1304" s="57"/>
      <c r="B1304" s="78" t="s">
        <v>5109</v>
      </c>
      <c r="C1304" s="7" t="s">
        <v>43</v>
      </c>
      <c r="D1304" s="44">
        <v>5</v>
      </c>
      <c r="E1304" s="7" t="s">
        <v>16549</v>
      </c>
      <c r="F1304" s="7"/>
      <c r="G1304" s="7"/>
      <c r="H1304" s="6" t="s">
        <v>16550</v>
      </c>
      <c r="I1304" s="7" t="s">
        <v>2622</v>
      </c>
      <c r="J1304" s="7" t="s">
        <v>16551</v>
      </c>
      <c r="K1304" s="7" t="s">
        <v>48</v>
      </c>
      <c r="L1304" s="7" t="s">
        <v>16552</v>
      </c>
      <c r="M1304" s="7" t="s">
        <v>16553</v>
      </c>
      <c r="N1304" s="45" t="str">
        <f t="shared" ref="N1304:N1307" si="986">HYPERLINK("twitter.com/mariansoftball","@mariansoftball")</f>
        <v>@mariansoftball</v>
      </c>
      <c r="O1304" s="74" t="str">
        <f t="shared" ref="O1304:O1307" si="987">HYPERLINK("https://www.sabreathletics.com/recruits/prospective-athlete","Questionnaire")</f>
        <v>Questionnaire</v>
      </c>
      <c r="P1304" s="7" t="s">
        <v>16557</v>
      </c>
      <c r="Q1304" s="36" t="s">
        <v>5094</v>
      </c>
      <c r="R1304" s="48" t="s">
        <v>16558</v>
      </c>
      <c r="S1304" s="48" t="s">
        <v>468</v>
      </c>
      <c r="T1304" s="49" t="s">
        <v>63</v>
      </c>
      <c r="U1304" s="49" t="s">
        <v>343</v>
      </c>
      <c r="V1304" s="7"/>
      <c r="W1304" s="44">
        <v>3.41</v>
      </c>
      <c r="X1304" s="7" t="s">
        <v>214</v>
      </c>
      <c r="Y1304" s="7" t="s">
        <v>214</v>
      </c>
      <c r="Z1304" s="49" t="s">
        <v>1339</v>
      </c>
      <c r="AA1304" s="61">
        <v>0.77</v>
      </c>
      <c r="AB1304" s="71">
        <v>39600</v>
      </c>
      <c r="AC1304" s="62" t="s">
        <v>16557</v>
      </c>
      <c r="AD1304" s="53" t="str">
        <f t="shared" ref="AD1304:AD1307" si="988">HYPERLINK("https://www.marianuniversity.edu/academic-programs/undergraduate-majors-and-minors/","Link")</f>
        <v>Link</v>
      </c>
      <c r="AE1304" s="54">
        <v>1487</v>
      </c>
      <c r="AF1304" s="55"/>
      <c r="AG1304" s="7"/>
      <c r="AH1304" s="56">
        <v>239080</v>
      </c>
      <c r="AI1304" s="56"/>
    </row>
    <row r="1305" spans="1:35" ht="13" x14ac:dyDescent="0.15">
      <c r="A1305" s="57"/>
      <c r="B1305" s="78" t="s">
        <v>5109</v>
      </c>
      <c r="C1305" s="7" t="s">
        <v>43</v>
      </c>
      <c r="D1305" s="44">
        <v>5</v>
      </c>
      <c r="E1305" s="7" t="s">
        <v>16562</v>
      </c>
      <c r="F1305" s="7"/>
      <c r="G1305" s="7"/>
      <c r="H1305" s="6" t="s">
        <v>16550</v>
      </c>
      <c r="I1305" s="7" t="s">
        <v>1875</v>
      </c>
      <c r="J1305" s="7" t="s">
        <v>16563</v>
      </c>
      <c r="K1305" s="7" t="s">
        <v>55</v>
      </c>
      <c r="L1305" s="7"/>
      <c r="M1305" s="7"/>
      <c r="N1305" s="45" t="str">
        <f t="shared" si="986"/>
        <v>@mariansoftball</v>
      </c>
      <c r="O1305" s="74" t="str">
        <f t="shared" si="987"/>
        <v>Questionnaire</v>
      </c>
      <c r="P1305" s="7" t="s">
        <v>16557</v>
      </c>
      <c r="Q1305" s="36" t="s">
        <v>5094</v>
      </c>
      <c r="R1305" s="48" t="s">
        <v>16558</v>
      </c>
      <c r="S1305" s="48" t="s">
        <v>468</v>
      </c>
      <c r="T1305" s="49" t="s">
        <v>63</v>
      </c>
      <c r="U1305" s="49" t="s">
        <v>343</v>
      </c>
      <c r="V1305" s="7"/>
      <c r="W1305" s="44">
        <v>3.41</v>
      </c>
      <c r="X1305" s="7" t="s">
        <v>214</v>
      </c>
      <c r="Y1305" s="7" t="s">
        <v>214</v>
      </c>
      <c r="Z1305" s="49" t="s">
        <v>1339</v>
      </c>
      <c r="AA1305" s="61">
        <v>0.77</v>
      </c>
      <c r="AB1305" s="71">
        <v>39600</v>
      </c>
      <c r="AC1305" s="62" t="s">
        <v>16557</v>
      </c>
      <c r="AD1305" s="53" t="str">
        <f t="shared" si="988"/>
        <v>Link</v>
      </c>
      <c r="AE1305" s="54">
        <v>1487</v>
      </c>
      <c r="AF1305" s="55"/>
      <c r="AG1305" s="7"/>
      <c r="AH1305" s="56">
        <v>239080</v>
      </c>
      <c r="AI1305" s="56"/>
    </row>
    <row r="1306" spans="1:35" ht="13" x14ac:dyDescent="0.15">
      <c r="A1306" s="57"/>
      <c r="B1306" s="78" t="s">
        <v>5109</v>
      </c>
      <c r="C1306" s="7" t="s">
        <v>43</v>
      </c>
      <c r="D1306" s="44">
        <v>5</v>
      </c>
      <c r="E1306" s="7" t="s">
        <v>16565</v>
      </c>
      <c r="F1306" s="7"/>
      <c r="G1306" s="7"/>
      <c r="H1306" s="6" t="s">
        <v>16550</v>
      </c>
      <c r="I1306" s="7" t="s">
        <v>206</v>
      </c>
      <c r="J1306" s="7" t="s">
        <v>3748</v>
      </c>
      <c r="K1306" s="7" t="s">
        <v>55</v>
      </c>
      <c r="L1306" s="7"/>
      <c r="M1306" s="7"/>
      <c r="N1306" s="45" t="str">
        <f t="shared" si="986"/>
        <v>@mariansoftball</v>
      </c>
      <c r="O1306" s="74" t="str">
        <f t="shared" si="987"/>
        <v>Questionnaire</v>
      </c>
      <c r="P1306" s="7" t="s">
        <v>16557</v>
      </c>
      <c r="Q1306" s="36" t="s">
        <v>5094</v>
      </c>
      <c r="R1306" s="48" t="s">
        <v>16558</v>
      </c>
      <c r="S1306" s="48" t="s">
        <v>468</v>
      </c>
      <c r="T1306" s="49" t="s">
        <v>63</v>
      </c>
      <c r="U1306" s="49" t="s">
        <v>343</v>
      </c>
      <c r="V1306" s="7"/>
      <c r="W1306" s="44">
        <v>3.41</v>
      </c>
      <c r="X1306" s="7" t="s">
        <v>214</v>
      </c>
      <c r="Y1306" s="7" t="s">
        <v>214</v>
      </c>
      <c r="Z1306" s="49" t="s">
        <v>1339</v>
      </c>
      <c r="AA1306" s="61">
        <v>0.77</v>
      </c>
      <c r="AB1306" s="71">
        <v>39600</v>
      </c>
      <c r="AC1306" s="62" t="s">
        <v>16557</v>
      </c>
      <c r="AD1306" s="53" t="str">
        <f t="shared" si="988"/>
        <v>Link</v>
      </c>
      <c r="AE1306" s="54">
        <v>1487</v>
      </c>
      <c r="AF1306" s="55"/>
      <c r="AG1306" s="7"/>
      <c r="AH1306" s="56">
        <v>239080</v>
      </c>
      <c r="AI1306" s="56"/>
    </row>
    <row r="1307" spans="1:35" ht="13" x14ac:dyDescent="0.15">
      <c r="A1307" s="57"/>
      <c r="B1307" s="79" t="s">
        <v>5109</v>
      </c>
      <c r="C1307" s="57" t="s">
        <v>43</v>
      </c>
      <c r="D1307" s="58">
        <v>5</v>
      </c>
      <c r="E1307" s="7" t="s">
        <v>16579</v>
      </c>
      <c r="F1307" s="7" t="s">
        <v>116</v>
      </c>
      <c r="G1307" s="7"/>
      <c r="H1307" s="6" t="s">
        <v>16550</v>
      </c>
      <c r="I1307" s="7" t="s">
        <v>878</v>
      </c>
      <c r="J1307" s="7" t="s">
        <v>16580</v>
      </c>
      <c r="K1307" s="7" t="s">
        <v>55</v>
      </c>
      <c r="L1307" s="7" t="s">
        <v>16581</v>
      </c>
      <c r="M1307" s="7"/>
      <c r="N1307" s="45" t="str">
        <f t="shared" si="986"/>
        <v>@mariansoftball</v>
      </c>
      <c r="O1307" s="74" t="str">
        <f t="shared" si="987"/>
        <v>Questionnaire</v>
      </c>
      <c r="P1307" s="7" t="s">
        <v>16557</v>
      </c>
      <c r="Q1307" s="36" t="s">
        <v>5094</v>
      </c>
      <c r="R1307" s="48" t="s">
        <v>16558</v>
      </c>
      <c r="S1307" s="48" t="s">
        <v>468</v>
      </c>
      <c r="T1307" s="49" t="s">
        <v>63</v>
      </c>
      <c r="U1307" s="49" t="s">
        <v>343</v>
      </c>
      <c r="V1307" s="7"/>
      <c r="W1307" s="44">
        <v>3.41</v>
      </c>
      <c r="X1307" s="7" t="s">
        <v>214</v>
      </c>
      <c r="Y1307" s="7" t="s">
        <v>214</v>
      </c>
      <c r="Z1307" s="49" t="s">
        <v>1339</v>
      </c>
      <c r="AA1307" s="61">
        <v>0.77</v>
      </c>
      <c r="AB1307" s="71">
        <v>39600</v>
      </c>
      <c r="AC1307" s="62" t="s">
        <v>16557</v>
      </c>
      <c r="AD1307" s="53" t="str">
        <f t="shared" si="988"/>
        <v>Link</v>
      </c>
      <c r="AE1307" s="54">
        <v>1487</v>
      </c>
      <c r="AF1307" s="55"/>
      <c r="AG1307" s="7"/>
      <c r="AH1307" s="56">
        <v>239080</v>
      </c>
      <c r="AI1307" s="56"/>
    </row>
    <row r="1308" spans="1:35" ht="13" x14ac:dyDescent="0.15">
      <c r="A1308" s="57"/>
      <c r="B1308" s="78" t="s">
        <v>5109</v>
      </c>
      <c r="C1308" s="7" t="s">
        <v>43</v>
      </c>
      <c r="D1308" s="44">
        <v>5</v>
      </c>
      <c r="E1308" s="7" t="s">
        <v>16587</v>
      </c>
      <c r="F1308" s="7"/>
      <c r="G1308" s="7"/>
      <c r="H1308" s="6" t="s">
        <v>16588</v>
      </c>
      <c r="I1308" s="7" t="s">
        <v>150</v>
      </c>
      <c r="J1308" s="7" t="s">
        <v>16589</v>
      </c>
      <c r="K1308" s="7" t="s">
        <v>48</v>
      </c>
      <c r="L1308" s="7" t="s">
        <v>16592</v>
      </c>
      <c r="M1308" s="7" t="s">
        <v>16593</v>
      </c>
      <c r="N1308" s="45" t="str">
        <f t="shared" ref="N1308:N1310" si="989">HYPERLINK("twitter.com/msoe_softball","@msoe_softball")</f>
        <v>@msoe_softball</v>
      </c>
      <c r="O1308" s="74" t="str">
        <f t="shared" ref="O1308:O1310" si="990">HYPERLINK("http://start.msoe.edu/prospectiveathleteinquiryform","Questionnaire")</f>
        <v>Questionnaire</v>
      </c>
      <c r="P1308" s="7" t="s">
        <v>16588</v>
      </c>
      <c r="Q1308" s="36" t="s">
        <v>5094</v>
      </c>
      <c r="R1308" s="48" t="s">
        <v>16172</v>
      </c>
      <c r="S1308" s="48" t="s">
        <v>354</v>
      </c>
      <c r="T1308" s="49" t="s">
        <v>63</v>
      </c>
      <c r="U1308" s="49" t="s">
        <v>75</v>
      </c>
      <c r="V1308" s="7"/>
      <c r="W1308" s="44">
        <v>3.62</v>
      </c>
      <c r="X1308" s="7" t="s">
        <v>411</v>
      </c>
      <c r="Y1308" s="7" t="s">
        <v>1096</v>
      </c>
      <c r="Z1308" s="49" t="s">
        <v>412</v>
      </c>
      <c r="AA1308" s="61">
        <v>0.66</v>
      </c>
      <c r="AB1308" s="71">
        <v>50321</v>
      </c>
      <c r="AC1308" s="62" t="s">
        <v>16588</v>
      </c>
      <c r="AD1308" s="53" t="str">
        <f t="shared" ref="AD1308:AD1310" si="991">HYPERLINK("https://www.msoe.edu/academics/undergraduate-degrees/1/","Link")</f>
        <v>Link</v>
      </c>
      <c r="AE1308" s="54">
        <v>2642</v>
      </c>
      <c r="AF1308" s="55"/>
      <c r="AG1308" s="7"/>
      <c r="AH1308" s="56">
        <v>239318</v>
      </c>
      <c r="AI1308" s="56"/>
    </row>
    <row r="1309" spans="1:35" ht="13" x14ac:dyDescent="0.15">
      <c r="A1309" s="57"/>
      <c r="B1309" s="78" t="s">
        <v>5109</v>
      </c>
      <c r="C1309" s="7" t="s">
        <v>43</v>
      </c>
      <c r="D1309" s="44">
        <v>5</v>
      </c>
      <c r="E1309" s="7" t="s">
        <v>16615</v>
      </c>
      <c r="F1309" s="7"/>
      <c r="G1309" s="7"/>
      <c r="H1309" s="6" t="s">
        <v>16588</v>
      </c>
      <c r="I1309" s="7" t="s">
        <v>2402</v>
      </c>
      <c r="J1309" s="7" t="s">
        <v>16617</v>
      </c>
      <c r="K1309" s="7" t="s">
        <v>55</v>
      </c>
      <c r="L1309" s="7"/>
      <c r="M1309" s="7"/>
      <c r="N1309" s="45" t="str">
        <f t="shared" si="989"/>
        <v>@msoe_softball</v>
      </c>
      <c r="O1309" s="74" t="str">
        <f t="shared" si="990"/>
        <v>Questionnaire</v>
      </c>
      <c r="P1309" s="7" t="s">
        <v>16588</v>
      </c>
      <c r="Q1309" s="36" t="s">
        <v>5094</v>
      </c>
      <c r="R1309" s="48" t="s">
        <v>16172</v>
      </c>
      <c r="S1309" s="48" t="s">
        <v>354</v>
      </c>
      <c r="T1309" s="49" t="s">
        <v>63</v>
      </c>
      <c r="U1309" s="49" t="s">
        <v>75</v>
      </c>
      <c r="V1309" s="7"/>
      <c r="W1309" s="44">
        <v>3.62</v>
      </c>
      <c r="X1309" s="7" t="s">
        <v>411</v>
      </c>
      <c r="Y1309" s="7" t="s">
        <v>1096</v>
      </c>
      <c r="Z1309" s="49" t="s">
        <v>412</v>
      </c>
      <c r="AA1309" s="61">
        <v>0.66</v>
      </c>
      <c r="AB1309" s="71">
        <v>50321</v>
      </c>
      <c r="AC1309" s="62" t="s">
        <v>16588</v>
      </c>
      <c r="AD1309" s="53" t="str">
        <f t="shared" si="991"/>
        <v>Link</v>
      </c>
      <c r="AE1309" s="54">
        <v>2642</v>
      </c>
      <c r="AF1309" s="55"/>
      <c r="AG1309" s="7"/>
      <c r="AH1309" s="56">
        <v>239318</v>
      </c>
      <c r="AI1309" s="56"/>
    </row>
    <row r="1310" spans="1:35" ht="13" x14ac:dyDescent="0.15">
      <c r="A1310" s="57"/>
      <c r="B1310" s="78" t="s">
        <v>5109</v>
      </c>
      <c r="C1310" s="7" t="s">
        <v>43</v>
      </c>
      <c r="D1310" s="44">
        <v>5</v>
      </c>
      <c r="E1310" s="7" t="s">
        <v>16624</v>
      </c>
      <c r="F1310" s="7"/>
      <c r="G1310" s="7"/>
      <c r="H1310" s="6" t="s">
        <v>16588</v>
      </c>
      <c r="I1310" s="7" t="s">
        <v>3924</v>
      </c>
      <c r="J1310" s="7" t="s">
        <v>16627</v>
      </c>
      <c r="K1310" s="7" t="s">
        <v>55</v>
      </c>
      <c r="L1310" s="7"/>
      <c r="M1310" s="7"/>
      <c r="N1310" s="45" t="str">
        <f t="shared" si="989"/>
        <v>@msoe_softball</v>
      </c>
      <c r="O1310" s="74" t="str">
        <f t="shared" si="990"/>
        <v>Questionnaire</v>
      </c>
      <c r="P1310" s="7" t="s">
        <v>16588</v>
      </c>
      <c r="Q1310" s="36" t="s">
        <v>5094</v>
      </c>
      <c r="R1310" s="48" t="s">
        <v>16172</v>
      </c>
      <c r="S1310" s="48" t="s">
        <v>354</v>
      </c>
      <c r="T1310" s="49" t="s">
        <v>63</v>
      </c>
      <c r="U1310" s="49" t="s">
        <v>75</v>
      </c>
      <c r="V1310" s="7"/>
      <c r="W1310" s="44">
        <v>3.62</v>
      </c>
      <c r="X1310" s="7" t="s">
        <v>411</v>
      </c>
      <c r="Y1310" s="7" t="s">
        <v>1096</v>
      </c>
      <c r="Z1310" s="49" t="s">
        <v>412</v>
      </c>
      <c r="AA1310" s="61">
        <v>0.66</v>
      </c>
      <c r="AB1310" s="71">
        <v>50321</v>
      </c>
      <c r="AC1310" s="62" t="s">
        <v>16588</v>
      </c>
      <c r="AD1310" s="53" t="str">
        <f t="shared" si="991"/>
        <v>Link</v>
      </c>
      <c r="AE1310" s="54">
        <v>2642</v>
      </c>
      <c r="AF1310" s="55"/>
      <c r="AG1310" s="7"/>
      <c r="AH1310" s="56">
        <v>239318</v>
      </c>
      <c r="AI1310" s="56"/>
    </row>
    <row r="1311" spans="1:35" ht="13" x14ac:dyDescent="0.15">
      <c r="A1311" s="57"/>
      <c r="B1311" s="78" t="s">
        <v>5109</v>
      </c>
      <c r="C1311" s="7" t="s">
        <v>43</v>
      </c>
      <c r="D1311" s="44">
        <v>5</v>
      </c>
      <c r="E1311" s="7" t="s">
        <v>16632</v>
      </c>
      <c r="F1311" s="7"/>
      <c r="G1311" s="7"/>
      <c r="H1311" s="6" t="s">
        <v>16633</v>
      </c>
      <c r="I1311" s="7" t="s">
        <v>4280</v>
      </c>
      <c r="J1311" s="7" t="s">
        <v>3498</v>
      </c>
      <c r="K1311" s="7" t="s">
        <v>48</v>
      </c>
      <c r="L1311" s="7" t="s">
        <v>16636</v>
      </c>
      <c r="M1311" s="2" t="s">
        <v>16637</v>
      </c>
      <c r="N1311" s="48"/>
      <c r="O1311" s="74" t="str">
        <f t="shared" ref="O1311:O1314" si="992">HYPERLINK("https://mtmaryathletics.com/recruits/questionnaires","Questionnaire")</f>
        <v>Questionnaire</v>
      </c>
      <c r="P1311" s="48" t="s">
        <v>16642</v>
      </c>
      <c r="Q1311" s="60" t="s">
        <v>5094</v>
      </c>
      <c r="R1311" s="6" t="s">
        <v>16172</v>
      </c>
      <c r="S1311" s="6" t="s">
        <v>354</v>
      </c>
      <c r="T1311" s="4" t="s">
        <v>63</v>
      </c>
      <c r="U1311" s="7" t="s">
        <v>343</v>
      </c>
      <c r="V1311" s="7" t="s">
        <v>1006</v>
      </c>
      <c r="W1311" s="37">
        <v>3.17</v>
      </c>
      <c r="X1311" s="4" t="s">
        <v>214</v>
      </c>
      <c r="Y1311" s="4" t="s">
        <v>214</v>
      </c>
      <c r="Z1311" s="4" t="s">
        <v>449</v>
      </c>
      <c r="AA1311" s="65">
        <v>0.56000000000000005</v>
      </c>
      <c r="AB1311" s="39">
        <v>43850</v>
      </c>
      <c r="AC1311" s="84" t="s">
        <v>16642</v>
      </c>
      <c r="AD1311" s="67" t="str">
        <f t="shared" ref="AD1311:AD1314" si="993">HYPERLINK("https://www.mtmary.edu/majors-programs/index.html","Link")</f>
        <v>Link</v>
      </c>
      <c r="AE1311" s="42">
        <v>747</v>
      </c>
      <c r="AF1311" s="55"/>
      <c r="AG1311" s="7"/>
      <c r="AH1311" s="56">
        <v>239390</v>
      </c>
      <c r="AI1311" s="56"/>
    </row>
    <row r="1312" spans="1:35" ht="13" x14ac:dyDescent="0.15">
      <c r="A1312" s="57"/>
      <c r="B1312" s="78" t="s">
        <v>5109</v>
      </c>
      <c r="C1312" s="7" t="s">
        <v>43</v>
      </c>
      <c r="D1312" s="44">
        <v>5</v>
      </c>
      <c r="E1312" s="7" t="s">
        <v>16651</v>
      </c>
      <c r="F1312" s="7"/>
      <c r="G1312" s="7"/>
      <c r="H1312" s="6" t="s">
        <v>16633</v>
      </c>
      <c r="I1312" s="7" t="s">
        <v>1052</v>
      </c>
      <c r="J1312" s="7" t="s">
        <v>16652</v>
      </c>
      <c r="K1312" s="7" t="s">
        <v>55</v>
      </c>
      <c r="L1312" s="7" t="s">
        <v>16653</v>
      </c>
      <c r="M1312" s="7"/>
      <c r="N1312" s="48"/>
      <c r="O1312" s="74" t="str">
        <f t="shared" si="992"/>
        <v>Questionnaire</v>
      </c>
      <c r="P1312" s="48" t="s">
        <v>16642</v>
      </c>
      <c r="Q1312" s="60" t="s">
        <v>5094</v>
      </c>
      <c r="R1312" s="6" t="s">
        <v>16172</v>
      </c>
      <c r="S1312" s="6" t="s">
        <v>354</v>
      </c>
      <c r="T1312" s="4" t="s">
        <v>63</v>
      </c>
      <c r="U1312" s="7" t="s">
        <v>343</v>
      </c>
      <c r="V1312" s="7" t="s">
        <v>1006</v>
      </c>
      <c r="W1312" s="37">
        <v>3.17</v>
      </c>
      <c r="X1312" s="4" t="s">
        <v>214</v>
      </c>
      <c r="Y1312" s="4" t="s">
        <v>214</v>
      </c>
      <c r="Z1312" s="4" t="s">
        <v>449</v>
      </c>
      <c r="AA1312" s="65">
        <v>0.56000000000000005</v>
      </c>
      <c r="AB1312" s="39">
        <v>43850</v>
      </c>
      <c r="AC1312" s="84" t="s">
        <v>16642</v>
      </c>
      <c r="AD1312" s="67" t="str">
        <f t="shared" si="993"/>
        <v>Link</v>
      </c>
      <c r="AE1312" s="42">
        <v>747</v>
      </c>
      <c r="AF1312" s="55"/>
      <c r="AG1312" s="7"/>
      <c r="AH1312" s="56">
        <v>239390</v>
      </c>
      <c r="AI1312" s="56"/>
    </row>
    <row r="1313" spans="1:35" ht="13" x14ac:dyDescent="0.15">
      <c r="A1313" s="57"/>
      <c r="B1313" s="78" t="s">
        <v>5109</v>
      </c>
      <c r="C1313" s="7" t="s">
        <v>43</v>
      </c>
      <c r="D1313" s="44">
        <v>5</v>
      </c>
      <c r="E1313" s="7" t="s">
        <v>16658</v>
      </c>
      <c r="F1313" s="7"/>
      <c r="G1313" s="7"/>
      <c r="H1313" s="6" t="s">
        <v>16633</v>
      </c>
      <c r="I1313" s="7" t="s">
        <v>539</v>
      </c>
      <c r="J1313" s="7" t="s">
        <v>16659</v>
      </c>
      <c r="K1313" s="7" t="s">
        <v>120</v>
      </c>
      <c r="L1313" s="7" t="s">
        <v>16660</v>
      </c>
      <c r="M1313" s="7"/>
      <c r="N1313" s="48"/>
      <c r="O1313" s="74" t="str">
        <f t="shared" si="992"/>
        <v>Questionnaire</v>
      </c>
      <c r="P1313" s="48" t="s">
        <v>16642</v>
      </c>
      <c r="Q1313" s="60" t="s">
        <v>5094</v>
      </c>
      <c r="R1313" s="6" t="s">
        <v>16172</v>
      </c>
      <c r="S1313" s="6" t="s">
        <v>354</v>
      </c>
      <c r="T1313" s="4" t="s">
        <v>63</v>
      </c>
      <c r="U1313" s="7" t="s">
        <v>343</v>
      </c>
      <c r="V1313" s="7" t="s">
        <v>1006</v>
      </c>
      <c r="W1313" s="37">
        <v>3.17</v>
      </c>
      <c r="X1313" s="4" t="s">
        <v>214</v>
      </c>
      <c r="Y1313" s="4" t="s">
        <v>214</v>
      </c>
      <c r="Z1313" s="4" t="s">
        <v>449</v>
      </c>
      <c r="AA1313" s="65">
        <v>0.56000000000000005</v>
      </c>
      <c r="AB1313" s="39">
        <v>43850</v>
      </c>
      <c r="AC1313" s="84" t="s">
        <v>16642</v>
      </c>
      <c r="AD1313" s="67" t="str">
        <f t="shared" si="993"/>
        <v>Link</v>
      </c>
      <c r="AE1313" s="42">
        <v>747</v>
      </c>
      <c r="AF1313" s="55"/>
      <c r="AG1313" s="7"/>
      <c r="AH1313" s="56">
        <v>239390</v>
      </c>
      <c r="AI1313" s="56"/>
    </row>
    <row r="1314" spans="1:35" ht="13" x14ac:dyDescent="0.15">
      <c r="A1314" s="57"/>
      <c r="B1314" s="78" t="s">
        <v>5109</v>
      </c>
      <c r="C1314" s="7" t="s">
        <v>43</v>
      </c>
      <c r="D1314" s="44">
        <v>5</v>
      </c>
      <c r="E1314" s="7" t="s">
        <v>16670</v>
      </c>
      <c r="F1314" s="7"/>
      <c r="G1314" s="7"/>
      <c r="H1314" s="6" t="s">
        <v>16633</v>
      </c>
      <c r="I1314" s="7" t="s">
        <v>7124</v>
      </c>
      <c r="J1314" s="7" t="s">
        <v>16678</v>
      </c>
      <c r="K1314" s="7" t="s">
        <v>55</v>
      </c>
      <c r="L1314" s="7" t="s">
        <v>16679</v>
      </c>
      <c r="M1314" s="7"/>
      <c r="N1314" s="48"/>
      <c r="O1314" s="74" t="str">
        <f t="shared" si="992"/>
        <v>Questionnaire</v>
      </c>
      <c r="P1314" s="48" t="s">
        <v>16642</v>
      </c>
      <c r="Q1314" s="60" t="s">
        <v>5094</v>
      </c>
      <c r="R1314" s="6" t="s">
        <v>16172</v>
      </c>
      <c r="S1314" s="6" t="s">
        <v>354</v>
      </c>
      <c r="T1314" s="4" t="s">
        <v>63</v>
      </c>
      <c r="U1314" s="7" t="s">
        <v>343</v>
      </c>
      <c r="V1314" s="7" t="s">
        <v>1006</v>
      </c>
      <c r="W1314" s="37">
        <v>3.17</v>
      </c>
      <c r="X1314" s="4" t="s">
        <v>214</v>
      </c>
      <c r="Y1314" s="4" t="s">
        <v>214</v>
      </c>
      <c r="Z1314" s="4" t="s">
        <v>449</v>
      </c>
      <c r="AA1314" s="65">
        <v>0.56000000000000005</v>
      </c>
      <c r="AB1314" s="39">
        <v>43850</v>
      </c>
      <c r="AC1314" s="84" t="s">
        <v>16642</v>
      </c>
      <c r="AD1314" s="67" t="str">
        <f t="shared" si="993"/>
        <v>Link</v>
      </c>
      <c r="AE1314" s="42">
        <v>747</v>
      </c>
      <c r="AF1314" s="55"/>
      <c r="AG1314" s="7"/>
      <c r="AH1314" s="56">
        <v>239390</v>
      </c>
      <c r="AI1314" s="56"/>
    </row>
    <row r="1315" spans="1:35" ht="13" x14ac:dyDescent="0.15">
      <c r="A1315" s="57"/>
      <c r="B1315" s="78" t="s">
        <v>5109</v>
      </c>
      <c r="C1315" s="7" t="s">
        <v>43</v>
      </c>
      <c r="D1315" s="44">
        <v>5</v>
      </c>
      <c r="E1315" s="7" t="s">
        <v>16685</v>
      </c>
      <c r="F1315" s="7"/>
      <c r="G1315" s="7"/>
      <c r="H1315" s="6" t="s">
        <v>16686</v>
      </c>
      <c r="I1315" s="7" t="s">
        <v>92</v>
      </c>
      <c r="J1315" s="7" t="s">
        <v>16687</v>
      </c>
      <c r="K1315" s="7" t="s">
        <v>48</v>
      </c>
      <c r="L1315" s="7" t="s">
        <v>16688</v>
      </c>
      <c r="M1315" s="7" t="s">
        <v>16689</v>
      </c>
      <c r="N1315" s="45" t="str">
        <f t="shared" ref="N1315:N1318" si="994">HYPERLINK("twitter.com/nclumberjillsb","@nclumberjillsb")</f>
        <v>@nclumberjillsb</v>
      </c>
      <c r="O1315" s="74" t="str">
        <f t="shared" ref="O1315:O1318" si="995">HYPERLINK("https://applynow.northland.edu/register/wsbrq","Questionnaire")</f>
        <v>Questionnaire</v>
      </c>
      <c r="P1315" s="7" t="s">
        <v>16697</v>
      </c>
      <c r="Q1315" s="36" t="s">
        <v>5094</v>
      </c>
      <c r="R1315" s="48" t="s">
        <v>8374</v>
      </c>
      <c r="S1315" s="60" t="s">
        <v>205</v>
      </c>
      <c r="T1315" s="73" t="s">
        <v>63</v>
      </c>
      <c r="U1315" s="49" t="s">
        <v>1625</v>
      </c>
      <c r="V1315" s="7"/>
      <c r="W1315" s="44">
        <v>3.3</v>
      </c>
      <c r="X1315" s="7" t="s">
        <v>214</v>
      </c>
      <c r="Y1315" s="7" t="s">
        <v>214</v>
      </c>
      <c r="Z1315" s="49" t="s">
        <v>214</v>
      </c>
      <c r="AA1315" s="61">
        <v>0.54</v>
      </c>
      <c r="AB1315" s="71">
        <v>45367</v>
      </c>
      <c r="AC1315" s="62" t="s">
        <v>16697</v>
      </c>
      <c r="AD1315" s="53" t="str">
        <f t="shared" ref="AD1315:AD1318" si="996">HYPERLINK("https://www.northland.edu/study/academics/majors/","Link")</f>
        <v>Link</v>
      </c>
      <c r="AE1315" s="54">
        <v>582</v>
      </c>
      <c r="AF1315" s="55"/>
      <c r="AG1315" s="7"/>
      <c r="AH1315" s="56">
        <v>239512</v>
      </c>
      <c r="AI1315" s="56"/>
    </row>
    <row r="1316" spans="1:35" ht="13" x14ac:dyDescent="0.15">
      <c r="A1316" s="57"/>
      <c r="B1316" s="79" t="s">
        <v>5109</v>
      </c>
      <c r="C1316" s="57" t="s">
        <v>43</v>
      </c>
      <c r="D1316" s="58">
        <v>5</v>
      </c>
      <c r="E1316" s="7" t="s">
        <v>16705</v>
      </c>
      <c r="F1316" s="7" t="s">
        <v>116</v>
      </c>
      <c r="G1316" s="7"/>
      <c r="H1316" s="6" t="s">
        <v>16686</v>
      </c>
      <c r="I1316" s="7" t="s">
        <v>363</v>
      </c>
      <c r="J1316" s="7" t="s">
        <v>3729</v>
      </c>
      <c r="K1316" s="7" t="s">
        <v>55</v>
      </c>
      <c r="L1316" s="7"/>
      <c r="M1316" s="7"/>
      <c r="N1316" s="45" t="str">
        <f t="shared" si="994"/>
        <v>@nclumberjillsb</v>
      </c>
      <c r="O1316" s="74" t="str">
        <f t="shared" si="995"/>
        <v>Questionnaire</v>
      </c>
      <c r="P1316" s="7" t="s">
        <v>16697</v>
      </c>
      <c r="Q1316" s="36" t="s">
        <v>5094</v>
      </c>
      <c r="R1316" s="48" t="s">
        <v>8374</v>
      </c>
      <c r="S1316" s="60" t="s">
        <v>205</v>
      </c>
      <c r="T1316" s="73" t="s">
        <v>63</v>
      </c>
      <c r="U1316" s="49" t="s">
        <v>1625</v>
      </c>
      <c r="V1316" s="7"/>
      <c r="W1316" s="44">
        <v>3.3</v>
      </c>
      <c r="X1316" s="7" t="s">
        <v>214</v>
      </c>
      <c r="Y1316" s="7" t="s">
        <v>214</v>
      </c>
      <c r="Z1316" s="49" t="s">
        <v>214</v>
      </c>
      <c r="AA1316" s="61">
        <v>0.54</v>
      </c>
      <c r="AB1316" s="71">
        <v>45367</v>
      </c>
      <c r="AC1316" s="62" t="s">
        <v>16697</v>
      </c>
      <c r="AD1316" s="53" t="str">
        <f t="shared" si="996"/>
        <v>Link</v>
      </c>
      <c r="AE1316" s="54">
        <v>582</v>
      </c>
      <c r="AF1316" s="55"/>
      <c r="AG1316" s="7"/>
      <c r="AH1316" s="56">
        <v>239512</v>
      </c>
      <c r="AI1316" s="56"/>
    </row>
    <row r="1317" spans="1:35" ht="13" x14ac:dyDescent="0.15">
      <c r="A1317" s="57"/>
      <c r="B1317" s="79" t="s">
        <v>5109</v>
      </c>
      <c r="C1317" s="57" t="s">
        <v>43</v>
      </c>
      <c r="D1317" s="58">
        <v>5</v>
      </c>
      <c r="E1317" s="7" t="s">
        <v>16713</v>
      </c>
      <c r="F1317" s="7" t="s">
        <v>116</v>
      </c>
      <c r="G1317" s="7"/>
      <c r="H1317" s="6" t="s">
        <v>16686</v>
      </c>
      <c r="I1317" s="7" t="s">
        <v>4659</v>
      </c>
      <c r="J1317" s="7" t="s">
        <v>5010</v>
      </c>
      <c r="K1317" s="7" t="s">
        <v>55</v>
      </c>
      <c r="L1317" s="7"/>
      <c r="M1317" s="7"/>
      <c r="N1317" s="45" t="str">
        <f t="shared" si="994"/>
        <v>@nclumberjillsb</v>
      </c>
      <c r="O1317" s="74" t="str">
        <f t="shared" si="995"/>
        <v>Questionnaire</v>
      </c>
      <c r="P1317" s="7" t="s">
        <v>16697</v>
      </c>
      <c r="Q1317" s="36" t="s">
        <v>5094</v>
      </c>
      <c r="R1317" s="48" t="s">
        <v>8374</v>
      </c>
      <c r="S1317" s="60" t="s">
        <v>205</v>
      </c>
      <c r="T1317" s="73" t="s">
        <v>63</v>
      </c>
      <c r="U1317" s="49" t="s">
        <v>1625</v>
      </c>
      <c r="V1317" s="7"/>
      <c r="W1317" s="44">
        <v>3.3</v>
      </c>
      <c r="X1317" s="7" t="s">
        <v>214</v>
      </c>
      <c r="Y1317" s="7" t="s">
        <v>214</v>
      </c>
      <c r="Z1317" s="49" t="s">
        <v>214</v>
      </c>
      <c r="AA1317" s="61">
        <v>0.54</v>
      </c>
      <c r="AB1317" s="71">
        <v>45367</v>
      </c>
      <c r="AC1317" s="62" t="s">
        <v>16697</v>
      </c>
      <c r="AD1317" s="53" t="str">
        <f t="shared" si="996"/>
        <v>Link</v>
      </c>
      <c r="AE1317" s="54">
        <v>582</v>
      </c>
      <c r="AF1317" s="55"/>
      <c r="AG1317" s="7"/>
      <c r="AH1317" s="56">
        <v>239512</v>
      </c>
      <c r="AI1317" s="56"/>
    </row>
    <row r="1318" spans="1:35" ht="13" x14ac:dyDescent="0.15">
      <c r="A1318" s="57"/>
      <c r="B1318" s="79" t="s">
        <v>5109</v>
      </c>
      <c r="C1318" s="57" t="s">
        <v>43</v>
      </c>
      <c r="D1318" s="58">
        <v>5</v>
      </c>
      <c r="E1318" s="7" t="s">
        <v>16723</v>
      </c>
      <c r="F1318" s="7" t="s">
        <v>116</v>
      </c>
      <c r="G1318" s="7"/>
      <c r="H1318" s="6" t="s">
        <v>16686</v>
      </c>
      <c r="I1318" s="7" t="s">
        <v>2816</v>
      </c>
      <c r="J1318" s="7" t="s">
        <v>16726</v>
      </c>
      <c r="K1318" s="7" t="s">
        <v>55</v>
      </c>
      <c r="L1318" s="7"/>
      <c r="M1318" s="7"/>
      <c r="N1318" s="45" t="str">
        <f t="shared" si="994"/>
        <v>@nclumberjillsb</v>
      </c>
      <c r="O1318" s="74" t="str">
        <f t="shared" si="995"/>
        <v>Questionnaire</v>
      </c>
      <c r="P1318" s="7" t="s">
        <v>16697</v>
      </c>
      <c r="Q1318" s="36" t="s">
        <v>5094</v>
      </c>
      <c r="R1318" s="48" t="s">
        <v>8374</v>
      </c>
      <c r="S1318" s="60" t="s">
        <v>205</v>
      </c>
      <c r="T1318" s="73" t="s">
        <v>63</v>
      </c>
      <c r="U1318" s="49" t="s">
        <v>1625</v>
      </c>
      <c r="V1318" s="7"/>
      <c r="W1318" s="44">
        <v>3.3</v>
      </c>
      <c r="X1318" s="7" t="s">
        <v>214</v>
      </c>
      <c r="Y1318" s="7" t="s">
        <v>214</v>
      </c>
      <c r="Z1318" s="49" t="s">
        <v>214</v>
      </c>
      <c r="AA1318" s="61">
        <v>0.54</v>
      </c>
      <c r="AB1318" s="71">
        <v>45367</v>
      </c>
      <c r="AC1318" s="62" t="s">
        <v>16697</v>
      </c>
      <c r="AD1318" s="53" t="str">
        <f t="shared" si="996"/>
        <v>Link</v>
      </c>
      <c r="AE1318" s="54">
        <v>582</v>
      </c>
      <c r="AF1318" s="55"/>
      <c r="AG1318" s="7"/>
      <c r="AH1318" s="56">
        <v>239512</v>
      </c>
      <c r="AI1318" s="56"/>
    </row>
    <row r="1319" spans="1:35" ht="13" x14ac:dyDescent="0.15">
      <c r="A1319" s="57"/>
      <c r="B1319" s="78" t="s">
        <v>5109</v>
      </c>
      <c r="C1319" s="7" t="s">
        <v>43</v>
      </c>
      <c r="D1319" s="44">
        <v>5</v>
      </c>
      <c r="E1319" s="7" t="s">
        <v>16731</v>
      </c>
      <c r="F1319" s="7"/>
      <c r="G1319" s="7"/>
      <c r="H1319" s="6" t="s">
        <v>16732</v>
      </c>
      <c r="I1319" s="7" t="s">
        <v>363</v>
      </c>
      <c r="J1319" s="7" t="s">
        <v>16733</v>
      </c>
      <c r="K1319" s="7" t="s">
        <v>48</v>
      </c>
      <c r="L1319" s="7" t="s">
        <v>16734</v>
      </c>
      <c r="M1319" s="7"/>
      <c r="N1319" s="45" t="str">
        <f t="shared" ref="N1319:N1321" si="997">HYPERLINK("twitter.com/RCSball","@RCSball")</f>
        <v>@RCSball</v>
      </c>
      <c r="O1319" s="74" t="str">
        <f t="shared" ref="O1319:O1321" si="998">HYPERLINK("https://riponredhawks.com/sports/2016/8/9/prospective-athlete-surveys.aspx","Questionnaire")</f>
        <v>Questionnaire</v>
      </c>
      <c r="P1319" s="7" t="s">
        <v>16743</v>
      </c>
      <c r="Q1319" s="36" t="s">
        <v>5094</v>
      </c>
      <c r="R1319" s="48" t="s">
        <v>16743</v>
      </c>
      <c r="S1319" s="60" t="s">
        <v>205</v>
      </c>
      <c r="T1319" s="49" t="s">
        <v>63</v>
      </c>
      <c r="U1319" s="49" t="s">
        <v>75</v>
      </c>
      <c r="V1319" s="7"/>
      <c r="W1319" s="44">
        <v>3.4</v>
      </c>
      <c r="X1319" s="7" t="s">
        <v>3853</v>
      </c>
      <c r="Y1319" s="7" t="s">
        <v>15313</v>
      </c>
      <c r="Z1319" s="49" t="s">
        <v>1650</v>
      </c>
      <c r="AA1319" s="61">
        <v>0.65</v>
      </c>
      <c r="AB1319" s="71">
        <v>49261</v>
      </c>
      <c r="AC1319" s="62" t="s">
        <v>16743</v>
      </c>
      <c r="AD1319" s="53" t="str">
        <f t="shared" ref="AD1319:AD1321" si="999">HYPERLINK("http://www.ripon.edu/majors/","Link")</f>
        <v>Link</v>
      </c>
      <c r="AE1319" s="54">
        <v>793</v>
      </c>
      <c r="AF1319" s="55"/>
      <c r="AG1319" s="44">
        <v>117</v>
      </c>
      <c r="AH1319" s="56">
        <v>239628</v>
      </c>
      <c r="AI1319" s="56"/>
    </row>
    <row r="1320" spans="1:35" ht="13" x14ac:dyDescent="0.15">
      <c r="A1320" s="57"/>
      <c r="B1320" s="78" t="s">
        <v>5109</v>
      </c>
      <c r="C1320" s="7" t="s">
        <v>43</v>
      </c>
      <c r="D1320" s="44">
        <v>5</v>
      </c>
      <c r="E1320" s="7" t="s">
        <v>16755</v>
      </c>
      <c r="F1320" s="7"/>
      <c r="G1320" s="7"/>
      <c r="H1320" s="6" t="s">
        <v>16732</v>
      </c>
      <c r="I1320" s="7" t="s">
        <v>94</v>
      </c>
      <c r="J1320" s="7" t="s">
        <v>16757</v>
      </c>
      <c r="K1320" s="7" t="s">
        <v>919</v>
      </c>
      <c r="L1320" s="7" t="s">
        <v>16759</v>
      </c>
      <c r="M1320" s="7"/>
      <c r="N1320" s="45" t="str">
        <f t="shared" si="997"/>
        <v>@RCSball</v>
      </c>
      <c r="O1320" s="74" t="str">
        <f t="shared" si="998"/>
        <v>Questionnaire</v>
      </c>
      <c r="P1320" s="7" t="s">
        <v>16743</v>
      </c>
      <c r="Q1320" s="36" t="s">
        <v>5094</v>
      </c>
      <c r="R1320" s="48" t="s">
        <v>16743</v>
      </c>
      <c r="S1320" s="60" t="s">
        <v>205</v>
      </c>
      <c r="T1320" s="49" t="s">
        <v>63</v>
      </c>
      <c r="U1320" s="49" t="s">
        <v>75</v>
      </c>
      <c r="V1320" s="7"/>
      <c r="W1320" s="44">
        <v>3.4</v>
      </c>
      <c r="X1320" s="7" t="s">
        <v>3853</v>
      </c>
      <c r="Y1320" s="7" t="s">
        <v>15313</v>
      </c>
      <c r="Z1320" s="49" t="s">
        <v>1650</v>
      </c>
      <c r="AA1320" s="61">
        <v>0.65</v>
      </c>
      <c r="AB1320" s="71">
        <v>49261</v>
      </c>
      <c r="AC1320" s="62" t="s">
        <v>16743</v>
      </c>
      <c r="AD1320" s="53" t="str">
        <f t="shared" si="999"/>
        <v>Link</v>
      </c>
      <c r="AE1320" s="54">
        <v>793</v>
      </c>
      <c r="AF1320" s="55"/>
      <c r="AG1320" s="44">
        <v>117</v>
      </c>
      <c r="AH1320" s="56">
        <v>239628</v>
      </c>
      <c r="AI1320" s="56"/>
    </row>
    <row r="1321" spans="1:35" ht="13" x14ac:dyDescent="0.15">
      <c r="A1321" s="57"/>
      <c r="B1321" s="78" t="s">
        <v>5109</v>
      </c>
      <c r="C1321" s="7" t="s">
        <v>43</v>
      </c>
      <c r="D1321" s="44">
        <v>5</v>
      </c>
      <c r="E1321" s="7" t="s">
        <v>16769</v>
      </c>
      <c r="F1321" s="7"/>
      <c r="G1321" s="7"/>
      <c r="H1321" s="6" t="s">
        <v>16732</v>
      </c>
      <c r="I1321" s="7" t="s">
        <v>16770</v>
      </c>
      <c r="J1321" s="7" t="s">
        <v>16771</v>
      </c>
      <c r="K1321" s="7" t="s">
        <v>55</v>
      </c>
      <c r="L1321" s="7"/>
      <c r="M1321" s="7"/>
      <c r="N1321" s="45" t="str">
        <f t="shared" si="997"/>
        <v>@RCSball</v>
      </c>
      <c r="O1321" s="74" t="str">
        <f t="shared" si="998"/>
        <v>Questionnaire</v>
      </c>
      <c r="P1321" s="7" t="s">
        <v>16743</v>
      </c>
      <c r="Q1321" s="36" t="s">
        <v>5094</v>
      </c>
      <c r="R1321" s="48" t="s">
        <v>16743</v>
      </c>
      <c r="S1321" s="60" t="s">
        <v>205</v>
      </c>
      <c r="T1321" s="49" t="s">
        <v>63</v>
      </c>
      <c r="U1321" s="49" t="s">
        <v>75</v>
      </c>
      <c r="V1321" s="7"/>
      <c r="W1321" s="44">
        <v>3.4</v>
      </c>
      <c r="X1321" s="7" t="s">
        <v>3853</v>
      </c>
      <c r="Y1321" s="7" t="s">
        <v>15313</v>
      </c>
      <c r="Z1321" s="49" t="s">
        <v>1650</v>
      </c>
      <c r="AA1321" s="61">
        <v>0.65</v>
      </c>
      <c r="AB1321" s="71">
        <v>49261</v>
      </c>
      <c r="AC1321" s="62" t="s">
        <v>16743</v>
      </c>
      <c r="AD1321" s="53" t="str">
        <f t="shared" si="999"/>
        <v>Link</v>
      </c>
      <c r="AE1321" s="54">
        <v>793</v>
      </c>
      <c r="AF1321" s="55"/>
      <c r="AG1321" s="44">
        <v>117</v>
      </c>
      <c r="AH1321" s="56">
        <v>239628</v>
      </c>
      <c r="AI1321" s="56"/>
    </row>
    <row r="1322" spans="1:35" ht="13" x14ac:dyDescent="0.15">
      <c r="A1322" s="7"/>
      <c r="B1322" s="31" t="s">
        <v>5109</v>
      </c>
      <c r="C1322" s="36" t="s">
        <v>43</v>
      </c>
      <c r="D1322" s="7"/>
      <c r="E1322" s="86">
        <v>5</v>
      </c>
      <c r="F1322" s="7"/>
      <c r="G1322" s="7"/>
      <c r="H1322" s="2" t="s">
        <v>16779</v>
      </c>
      <c r="I1322" s="2" t="s">
        <v>13122</v>
      </c>
      <c r="J1322" s="2" t="s">
        <v>16781</v>
      </c>
      <c r="K1322" s="2" t="s">
        <v>48</v>
      </c>
      <c r="L1322" s="2" t="s">
        <v>16782</v>
      </c>
      <c r="M1322" s="2" t="s">
        <v>16783</v>
      </c>
      <c r="N1322" s="45" t="str">
        <f>HYPERLINK("twitter.com/sncsoftball","@sncsoftball")</f>
        <v>@sncsoftball</v>
      </c>
      <c r="O1322" s="45" t="str">
        <f>HYPERLINK("https://www.snc.edu/athletics/recruits/recruitment.html","Questionnaire")</f>
        <v>Questionnaire</v>
      </c>
      <c r="P1322" s="48" t="s">
        <v>16786</v>
      </c>
      <c r="Q1322" s="60" t="s">
        <v>5094</v>
      </c>
      <c r="R1322" s="48" t="s">
        <v>16787</v>
      </c>
      <c r="S1322" s="48" t="s">
        <v>172</v>
      </c>
      <c r="T1322" s="49" t="s">
        <v>63</v>
      </c>
      <c r="U1322" s="6" t="s">
        <v>343</v>
      </c>
      <c r="V1322" s="49"/>
      <c r="W1322" s="37">
        <v>3.52</v>
      </c>
      <c r="X1322" s="49" t="s">
        <v>6282</v>
      </c>
      <c r="Y1322" s="49" t="s">
        <v>291</v>
      </c>
      <c r="Z1322" s="49" t="s">
        <v>320</v>
      </c>
      <c r="AA1322" s="65">
        <v>0.81</v>
      </c>
      <c r="AB1322" s="39">
        <v>46575</v>
      </c>
      <c r="AC1322" s="84" t="s">
        <v>16786</v>
      </c>
      <c r="AD1322" s="53" t="str">
        <f>HYPERLINK("https://www.snc.edu/academics/programsanddegrees.html","Link")</f>
        <v>Link</v>
      </c>
      <c r="AE1322" s="54">
        <v>2102</v>
      </c>
      <c r="AF1322" s="55"/>
      <c r="AG1322" s="54">
        <v>134</v>
      </c>
      <c r="AH1322" s="56">
        <v>239716</v>
      </c>
      <c r="AI1322" s="56" t="s">
        <v>2459</v>
      </c>
    </row>
    <row r="1323" spans="1:35" ht="13" x14ac:dyDescent="0.15">
      <c r="A1323" s="57"/>
      <c r="B1323" s="78" t="s">
        <v>5109</v>
      </c>
      <c r="C1323" s="7" t="s">
        <v>43</v>
      </c>
      <c r="D1323" s="44">
        <v>5</v>
      </c>
      <c r="E1323" s="7" t="s">
        <v>16790</v>
      </c>
      <c r="F1323" s="7"/>
      <c r="G1323" s="7"/>
      <c r="H1323" s="6" t="s">
        <v>16791</v>
      </c>
      <c r="I1323" s="7" t="s">
        <v>2816</v>
      </c>
      <c r="J1323" s="7" t="s">
        <v>16801</v>
      </c>
      <c r="K1323" s="7" t="s">
        <v>48</v>
      </c>
      <c r="L1323" s="7" t="s">
        <v>16804</v>
      </c>
      <c r="M1323" s="7" t="s">
        <v>16805</v>
      </c>
      <c r="N1323" s="45" t="str">
        <f t="shared" ref="N1323:N1326" si="1000">HYPERLINK("twitter.com/wlcsoftball","@wlcsoftball")</f>
        <v>@wlcsoftball</v>
      </c>
      <c r="O1323" s="74" t="str">
        <f t="shared" ref="O1323:O1326" si="1001">HYPERLINK("https://www.wlcsports.com/athletics/studentathletequestionnaire","Questionnaire")</f>
        <v>Questionnaire</v>
      </c>
      <c r="P1323" s="7" t="s">
        <v>16812</v>
      </c>
      <c r="Q1323" s="57" t="s">
        <v>5094</v>
      </c>
      <c r="R1323" s="48" t="s">
        <v>16172</v>
      </c>
      <c r="S1323" s="48" t="s">
        <v>354</v>
      </c>
      <c r="T1323" s="49" t="s">
        <v>63</v>
      </c>
      <c r="U1323" s="49" t="s">
        <v>6978</v>
      </c>
      <c r="V1323" s="7"/>
      <c r="W1323" s="44">
        <v>3.42</v>
      </c>
      <c r="X1323" s="7" t="s">
        <v>214</v>
      </c>
      <c r="Y1323" s="7" t="s">
        <v>214</v>
      </c>
      <c r="Z1323" s="49" t="s">
        <v>545</v>
      </c>
      <c r="AA1323" s="61">
        <v>0.64</v>
      </c>
      <c r="AB1323" s="71">
        <v>41996</v>
      </c>
      <c r="AC1323" s="92" t="s">
        <v>16812</v>
      </c>
      <c r="AD1323" s="53" t="str">
        <f t="shared" ref="AD1323:AD1326" si="1002">HYPERLINK("http://www.wlc.edu/Academic-Programs/","Link")</f>
        <v>Link</v>
      </c>
      <c r="AE1323" s="54">
        <v>1070</v>
      </c>
      <c r="AF1323" s="55"/>
      <c r="AG1323" s="7"/>
      <c r="AH1323" s="56">
        <v>240338</v>
      </c>
      <c r="AI1323" s="56"/>
    </row>
    <row r="1324" spans="1:35" ht="13" x14ac:dyDescent="0.15">
      <c r="A1324" s="57"/>
      <c r="B1324" s="78" t="s">
        <v>5109</v>
      </c>
      <c r="C1324" s="7" t="s">
        <v>43</v>
      </c>
      <c r="D1324" s="44">
        <v>5</v>
      </c>
      <c r="E1324" s="7" t="s">
        <v>16820</v>
      </c>
      <c r="F1324" s="7"/>
      <c r="G1324" s="7"/>
      <c r="H1324" s="6" t="s">
        <v>16791</v>
      </c>
      <c r="I1324" s="7" t="s">
        <v>537</v>
      </c>
      <c r="J1324" s="7" t="s">
        <v>16822</v>
      </c>
      <c r="K1324" s="7" t="s">
        <v>55</v>
      </c>
      <c r="L1324" s="7"/>
      <c r="M1324" s="7"/>
      <c r="N1324" s="45" t="str">
        <f t="shared" si="1000"/>
        <v>@wlcsoftball</v>
      </c>
      <c r="O1324" s="74" t="str">
        <f t="shared" si="1001"/>
        <v>Questionnaire</v>
      </c>
      <c r="P1324" s="7" t="s">
        <v>16812</v>
      </c>
      <c r="Q1324" s="57" t="s">
        <v>5094</v>
      </c>
      <c r="R1324" s="48" t="s">
        <v>16172</v>
      </c>
      <c r="S1324" s="48" t="s">
        <v>354</v>
      </c>
      <c r="T1324" s="49" t="s">
        <v>63</v>
      </c>
      <c r="U1324" s="49" t="s">
        <v>6978</v>
      </c>
      <c r="V1324" s="7"/>
      <c r="W1324" s="44">
        <v>3.42</v>
      </c>
      <c r="X1324" s="7" t="s">
        <v>214</v>
      </c>
      <c r="Y1324" s="7" t="s">
        <v>214</v>
      </c>
      <c r="Z1324" s="49" t="s">
        <v>545</v>
      </c>
      <c r="AA1324" s="61">
        <v>0.64</v>
      </c>
      <c r="AB1324" s="71">
        <v>41996</v>
      </c>
      <c r="AC1324" s="92" t="s">
        <v>16812</v>
      </c>
      <c r="AD1324" s="53" t="str">
        <f t="shared" si="1002"/>
        <v>Link</v>
      </c>
      <c r="AE1324" s="54">
        <v>1070</v>
      </c>
      <c r="AF1324" s="55"/>
      <c r="AG1324" s="7"/>
      <c r="AH1324" s="56">
        <v>240338</v>
      </c>
      <c r="AI1324" s="56"/>
    </row>
    <row r="1325" spans="1:35" ht="13" x14ac:dyDescent="0.15">
      <c r="A1325" s="57"/>
      <c r="B1325" s="78" t="s">
        <v>5109</v>
      </c>
      <c r="C1325" s="7" t="s">
        <v>43</v>
      </c>
      <c r="D1325" s="44">
        <v>5</v>
      </c>
      <c r="E1325" s="7" t="s">
        <v>16830</v>
      </c>
      <c r="F1325" s="7"/>
      <c r="G1325" s="7"/>
      <c r="H1325" s="6" t="s">
        <v>16791</v>
      </c>
      <c r="I1325" s="7" t="s">
        <v>4459</v>
      </c>
      <c r="J1325" s="7" t="s">
        <v>16831</v>
      </c>
      <c r="K1325" s="7" t="s">
        <v>55</v>
      </c>
      <c r="L1325" s="7"/>
      <c r="M1325" s="7"/>
      <c r="N1325" s="45" t="str">
        <f t="shared" si="1000"/>
        <v>@wlcsoftball</v>
      </c>
      <c r="O1325" s="74" t="str">
        <f t="shared" si="1001"/>
        <v>Questionnaire</v>
      </c>
      <c r="P1325" s="7" t="s">
        <v>16812</v>
      </c>
      <c r="Q1325" s="57" t="s">
        <v>5094</v>
      </c>
      <c r="R1325" s="48" t="s">
        <v>16172</v>
      </c>
      <c r="S1325" s="48" t="s">
        <v>354</v>
      </c>
      <c r="T1325" s="49" t="s">
        <v>63</v>
      </c>
      <c r="U1325" s="49" t="s">
        <v>6978</v>
      </c>
      <c r="V1325" s="7"/>
      <c r="W1325" s="44">
        <v>3.42</v>
      </c>
      <c r="X1325" s="7" t="s">
        <v>214</v>
      </c>
      <c r="Y1325" s="7" t="s">
        <v>214</v>
      </c>
      <c r="Z1325" s="49" t="s">
        <v>545</v>
      </c>
      <c r="AA1325" s="61">
        <v>0.64</v>
      </c>
      <c r="AB1325" s="71">
        <v>41996</v>
      </c>
      <c r="AC1325" s="92" t="s">
        <v>16812</v>
      </c>
      <c r="AD1325" s="53" t="str">
        <f t="shared" si="1002"/>
        <v>Link</v>
      </c>
      <c r="AE1325" s="54">
        <v>1070</v>
      </c>
      <c r="AF1325" s="55"/>
      <c r="AG1325" s="7"/>
      <c r="AH1325" s="56">
        <v>240338</v>
      </c>
      <c r="AI1325" s="56"/>
    </row>
    <row r="1326" spans="1:35" ht="13" x14ac:dyDescent="0.15">
      <c r="A1326" s="57"/>
      <c r="B1326" s="78" t="s">
        <v>5109</v>
      </c>
      <c r="C1326" s="7" t="s">
        <v>43</v>
      </c>
      <c r="D1326" s="44">
        <v>5</v>
      </c>
      <c r="E1326" s="7" t="s">
        <v>16841</v>
      </c>
      <c r="F1326" s="7"/>
      <c r="G1326" s="7"/>
      <c r="H1326" s="6" t="s">
        <v>16791</v>
      </c>
      <c r="I1326" s="7" t="s">
        <v>1746</v>
      </c>
      <c r="J1326" s="7" t="s">
        <v>16843</v>
      </c>
      <c r="K1326" s="7" t="s">
        <v>55</v>
      </c>
      <c r="L1326" s="7"/>
      <c r="M1326" s="7"/>
      <c r="N1326" s="45" t="str">
        <f t="shared" si="1000"/>
        <v>@wlcsoftball</v>
      </c>
      <c r="O1326" s="74" t="str">
        <f t="shared" si="1001"/>
        <v>Questionnaire</v>
      </c>
      <c r="P1326" s="7" t="s">
        <v>16812</v>
      </c>
      <c r="Q1326" s="57" t="s">
        <v>5094</v>
      </c>
      <c r="R1326" s="48" t="s">
        <v>16172</v>
      </c>
      <c r="S1326" s="48" t="s">
        <v>354</v>
      </c>
      <c r="T1326" s="49" t="s">
        <v>63</v>
      </c>
      <c r="U1326" s="49" t="s">
        <v>6978</v>
      </c>
      <c r="V1326" s="7"/>
      <c r="W1326" s="44">
        <v>3.42</v>
      </c>
      <c r="X1326" s="7" t="s">
        <v>214</v>
      </c>
      <c r="Y1326" s="7" t="s">
        <v>214</v>
      </c>
      <c r="Z1326" s="49" t="s">
        <v>545</v>
      </c>
      <c r="AA1326" s="61">
        <v>0.64</v>
      </c>
      <c r="AB1326" s="71">
        <v>41996</v>
      </c>
      <c r="AC1326" s="92" t="s">
        <v>16812</v>
      </c>
      <c r="AD1326" s="53" t="str">
        <f t="shared" si="1002"/>
        <v>Link</v>
      </c>
      <c r="AE1326" s="54">
        <v>1070</v>
      </c>
      <c r="AF1326" s="55"/>
      <c r="AG1326" s="7"/>
      <c r="AH1326" s="56">
        <v>240338</v>
      </c>
      <c r="AI1326" s="56"/>
    </row>
    <row r="1327" spans="1:35" ht="13" x14ac:dyDescent="0.15">
      <c r="A1327" s="57"/>
      <c r="B1327" s="78" t="s">
        <v>5109</v>
      </c>
      <c r="C1327" s="7" t="s">
        <v>43</v>
      </c>
      <c r="D1327" s="44">
        <v>5</v>
      </c>
      <c r="E1327" s="7" t="s">
        <v>16852</v>
      </c>
      <c r="F1327" s="7"/>
      <c r="G1327" s="7"/>
      <c r="H1327" s="6" t="s">
        <v>16853</v>
      </c>
      <c r="I1327" s="7" t="s">
        <v>789</v>
      </c>
      <c r="J1327" s="7" t="s">
        <v>6207</v>
      </c>
      <c r="K1327" s="7" t="s">
        <v>48</v>
      </c>
      <c r="L1327" s="7" t="s">
        <v>16854</v>
      </c>
      <c r="M1327" s="7" t="s">
        <v>16855</v>
      </c>
      <c r="N1327" s="45" t="str">
        <f t="shared" ref="N1327:N1330" si="1003">HYPERLINK("twitter.com/uwecsoftball","@uwecsoftball")</f>
        <v>@uwecsoftball</v>
      </c>
      <c r="O1327" s="74" t="str">
        <f t="shared" ref="O1327:O1330" si="1004">HYPERLINK("https://www.blugolds.com/sa_forms","Questionnaire")</f>
        <v>Questionnaire</v>
      </c>
      <c r="P1327" s="48" t="s">
        <v>16862</v>
      </c>
      <c r="Q1327" s="60" t="s">
        <v>5094</v>
      </c>
      <c r="R1327" s="6" t="s">
        <v>16863</v>
      </c>
      <c r="S1327" s="6" t="s">
        <v>186</v>
      </c>
      <c r="T1327" s="49" t="s">
        <v>74</v>
      </c>
      <c r="U1327" s="48" t="s">
        <v>75</v>
      </c>
      <c r="V1327" s="49"/>
      <c r="W1327" s="37">
        <v>3.57</v>
      </c>
      <c r="X1327" s="49" t="s">
        <v>214</v>
      </c>
      <c r="Y1327" s="49" t="s">
        <v>214</v>
      </c>
      <c r="Z1327" s="49" t="s">
        <v>1510</v>
      </c>
      <c r="AA1327" s="65">
        <v>0.78</v>
      </c>
      <c r="AB1327" s="6" t="s">
        <v>16865</v>
      </c>
      <c r="AC1327" s="90" t="s">
        <v>16862</v>
      </c>
      <c r="AD1327" s="67" t="str">
        <f t="shared" ref="AD1327:AD1330" si="1005">HYPERLINK("https://www.uwec.edu/academics/majors-minors/","Link")</f>
        <v>Link</v>
      </c>
      <c r="AE1327" s="42">
        <v>10085</v>
      </c>
      <c r="AF1327" s="55"/>
      <c r="AG1327" s="55"/>
      <c r="AH1327" s="56">
        <v>240268</v>
      </c>
      <c r="AI1327" s="56"/>
    </row>
    <row r="1328" spans="1:35" ht="13" x14ac:dyDescent="0.15">
      <c r="A1328" s="57"/>
      <c r="B1328" s="78" t="s">
        <v>5109</v>
      </c>
      <c r="C1328" s="7" t="s">
        <v>43</v>
      </c>
      <c r="D1328" s="44">
        <v>5</v>
      </c>
      <c r="E1328" s="7" t="s">
        <v>16878</v>
      </c>
      <c r="F1328" s="7"/>
      <c r="G1328" s="7"/>
      <c r="H1328" s="6" t="s">
        <v>16853</v>
      </c>
      <c r="I1328" s="7" t="s">
        <v>7698</v>
      </c>
      <c r="J1328" s="7" t="s">
        <v>131</v>
      </c>
      <c r="K1328" s="7" t="s">
        <v>55</v>
      </c>
      <c r="L1328" s="7" t="s">
        <v>16879</v>
      </c>
      <c r="M1328" s="7" t="s">
        <v>16880</v>
      </c>
      <c r="N1328" s="45" t="str">
        <f t="shared" si="1003"/>
        <v>@uwecsoftball</v>
      </c>
      <c r="O1328" s="74" t="str">
        <f t="shared" si="1004"/>
        <v>Questionnaire</v>
      </c>
      <c r="P1328" s="48" t="s">
        <v>16862</v>
      </c>
      <c r="Q1328" s="60" t="s">
        <v>5094</v>
      </c>
      <c r="R1328" s="6" t="s">
        <v>16863</v>
      </c>
      <c r="S1328" s="6" t="s">
        <v>186</v>
      </c>
      <c r="T1328" s="49" t="s">
        <v>74</v>
      </c>
      <c r="U1328" s="48" t="s">
        <v>75</v>
      </c>
      <c r="V1328" s="49"/>
      <c r="W1328" s="37">
        <v>3.57</v>
      </c>
      <c r="X1328" s="49" t="s">
        <v>214</v>
      </c>
      <c r="Y1328" s="49" t="s">
        <v>214</v>
      </c>
      <c r="Z1328" s="49" t="s">
        <v>1510</v>
      </c>
      <c r="AA1328" s="65">
        <v>0.78</v>
      </c>
      <c r="AB1328" s="6" t="s">
        <v>16865</v>
      </c>
      <c r="AC1328" s="90" t="s">
        <v>16862</v>
      </c>
      <c r="AD1328" s="67" t="str">
        <f t="shared" si="1005"/>
        <v>Link</v>
      </c>
      <c r="AE1328" s="42">
        <v>10085</v>
      </c>
      <c r="AF1328" s="55"/>
      <c r="AG1328" s="55"/>
      <c r="AH1328" s="56">
        <v>240268</v>
      </c>
      <c r="AI1328" s="56"/>
    </row>
    <row r="1329" spans="1:35" ht="13" x14ac:dyDescent="0.15">
      <c r="A1329" s="57"/>
      <c r="B1329" s="78" t="s">
        <v>5109</v>
      </c>
      <c r="C1329" s="7" t="s">
        <v>43</v>
      </c>
      <c r="D1329" s="44">
        <v>5</v>
      </c>
      <c r="E1329" s="7" t="s">
        <v>16887</v>
      </c>
      <c r="F1329" s="7"/>
      <c r="G1329" s="7"/>
      <c r="H1329" s="6" t="s">
        <v>16853</v>
      </c>
      <c r="I1329" s="7" t="s">
        <v>1744</v>
      </c>
      <c r="J1329" s="7" t="s">
        <v>16888</v>
      </c>
      <c r="K1329" s="7" t="s">
        <v>55</v>
      </c>
      <c r="L1329" s="7"/>
      <c r="M1329" s="7"/>
      <c r="N1329" s="45" t="str">
        <f t="shared" si="1003"/>
        <v>@uwecsoftball</v>
      </c>
      <c r="O1329" s="74" t="str">
        <f t="shared" si="1004"/>
        <v>Questionnaire</v>
      </c>
      <c r="P1329" s="48" t="s">
        <v>16862</v>
      </c>
      <c r="Q1329" s="60" t="s">
        <v>5094</v>
      </c>
      <c r="R1329" s="6" t="s">
        <v>16863</v>
      </c>
      <c r="S1329" s="6" t="s">
        <v>186</v>
      </c>
      <c r="T1329" s="49" t="s">
        <v>74</v>
      </c>
      <c r="U1329" s="48" t="s">
        <v>75</v>
      </c>
      <c r="V1329" s="49"/>
      <c r="W1329" s="37">
        <v>3.57</v>
      </c>
      <c r="X1329" s="49" t="s">
        <v>214</v>
      </c>
      <c r="Y1329" s="49" t="s">
        <v>214</v>
      </c>
      <c r="Z1329" s="49" t="s">
        <v>1510</v>
      </c>
      <c r="AA1329" s="65">
        <v>0.78</v>
      </c>
      <c r="AB1329" s="6" t="s">
        <v>16865</v>
      </c>
      <c r="AC1329" s="90" t="s">
        <v>16862</v>
      </c>
      <c r="AD1329" s="67" t="str">
        <f t="shared" si="1005"/>
        <v>Link</v>
      </c>
      <c r="AE1329" s="42">
        <v>10085</v>
      </c>
      <c r="AF1329" s="55"/>
      <c r="AG1329" s="55"/>
      <c r="AH1329" s="56">
        <v>240268</v>
      </c>
      <c r="AI1329" s="56"/>
    </row>
    <row r="1330" spans="1:35" ht="13" x14ac:dyDescent="0.15">
      <c r="A1330" s="57"/>
      <c r="B1330" s="78" t="s">
        <v>5109</v>
      </c>
      <c r="C1330" s="7" t="s">
        <v>43</v>
      </c>
      <c r="D1330" s="44">
        <v>5</v>
      </c>
      <c r="E1330" s="7" t="s">
        <v>16897</v>
      </c>
      <c r="F1330" s="7"/>
      <c r="G1330" s="7"/>
      <c r="H1330" s="6" t="s">
        <v>16853</v>
      </c>
      <c r="I1330" s="7" t="s">
        <v>94</v>
      </c>
      <c r="J1330" s="7" t="s">
        <v>6338</v>
      </c>
      <c r="K1330" s="7" t="s">
        <v>139</v>
      </c>
      <c r="L1330" s="7"/>
      <c r="M1330" s="7"/>
      <c r="N1330" s="45" t="str">
        <f t="shared" si="1003"/>
        <v>@uwecsoftball</v>
      </c>
      <c r="O1330" s="74" t="str">
        <f t="shared" si="1004"/>
        <v>Questionnaire</v>
      </c>
      <c r="P1330" s="48" t="s">
        <v>16862</v>
      </c>
      <c r="Q1330" s="60" t="s">
        <v>5094</v>
      </c>
      <c r="R1330" s="6" t="s">
        <v>16863</v>
      </c>
      <c r="S1330" s="6" t="s">
        <v>186</v>
      </c>
      <c r="T1330" s="49" t="s">
        <v>74</v>
      </c>
      <c r="U1330" s="48" t="s">
        <v>75</v>
      </c>
      <c r="V1330" s="49"/>
      <c r="W1330" s="37">
        <v>3.57</v>
      </c>
      <c r="X1330" s="49" t="s">
        <v>214</v>
      </c>
      <c r="Y1330" s="49" t="s">
        <v>214</v>
      </c>
      <c r="Z1330" s="49" t="s">
        <v>1510</v>
      </c>
      <c r="AA1330" s="65">
        <v>0.78</v>
      </c>
      <c r="AB1330" s="6" t="s">
        <v>16865</v>
      </c>
      <c r="AC1330" s="90" t="s">
        <v>16862</v>
      </c>
      <c r="AD1330" s="67" t="str">
        <f t="shared" si="1005"/>
        <v>Link</v>
      </c>
      <c r="AE1330" s="42">
        <v>10085</v>
      </c>
      <c r="AF1330" s="55"/>
      <c r="AG1330" s="55"/>
      <c r="AH1330" s="56">
        <v>240268</v>
      </c>
      <c r="AI1330" s="56"/>
    </row>
    <row r="1331" spans="1:35" ht="15" x14ac:dyDescent="0.2">
      <c r="A1331" s="57"/>
      <c r="B1331" s="78" t="s">
        <v>5109</v>
      </c>
      <c r="C1331" s="7" t="s">
        <v>43</v>
      </c>
      <c r="D1331" s="44">
        <v>5</v>
      </c>
      <c r="E1331" s="7" t="s">
        <v>16908</v>
      </c>
      <c r="F1331" s="7"/>
      <c r="G1331" s="7"/>
      <c r="H1331" s="6" t="s">
        <v>16909</v>
      </c>
      <c r="I1331" s="7" t="s">
        <v>1492</v>
      </c>
      <c r="J1331" s="7" t="s">
        <v>16910</v>
      </c>
      <c r="K1331" s="7" t="s">
        <v>48</v>
      </c>
      <c r="L1331" s="7" t="s">
        <v>16911</v>
      </c>
      <c r="M1331" s="7" t="s">
        <v>16912</v>
      </c>
      <c r="N1331" s="45" t="str">
        <f t="shared" ref="N1331:N1333" si="1006">HYPERLINK("twitter.com/UWLSOFTBALL","@UWLSOFTBALL")</f>
        <v>@UWLSOFTBALL</v>
      </c>
      <c r="O1331" s="74" t="str">
        <f t="shared" ref="O1331:O1333" si="1007">HYPERLINK("https://uwlathletics.com/sb_output.aspx?frform=5","Questionnaire")</f>
        <v>Questionnaire</v>
      </c>
      <c r="P1331" s="7" t="s">
        <v>16919</v>
      </c>
      <c r="Q1331" s="57" t="s">
        <v>5094</v>
      </c>
      <c r="R1331" s="48" t="s">
        <v>16921</v>
      </c>
      <c r="S1331" s="48" t="s">
        <v>186</v>
      </c>
      <c r="T1331" s="49" t="s">
        <v>74</v>
      </c>
      <c r="U1331" s="49" t="s">
        <v>75</v>
      </c>
      <c r="V1331" s="7"/>
      <c r="W1331" s="44">
        <v>3.44</v>
      </c>
      <c r="X1331" s="7" t="s">
        <v>214</v>
      </c>
      <c r="Y1331" s="7" t="s">
        <v>214</v>
      </c>
      <c r="Z1331" s="49" t="s">
        <v>3287</v>
      </c>
      <c r="AA1331" s="61">
        <v>0.74</v>
      </c>
      <c r="AB1331" s="48" t="s">
        <v>16923</v>
      </c>
      <c r="AC1331" s="52" t="s">
        <v>16919</v>
      </c>
      <c r="AD1331" s="53" t="str">
        <f t="shared" ref="AD1331:AD1333" si="1008">HYPERLINK("https://www.uwlax.edu/info/academics/majors-and-minors/","Link")</f>
        <v>Link</v>
      </c>
      <c r="AE1331" s="54">
        <v>9751</v>
      </c>
      <c r="AF1331" s="55"/>
      <c r="AG1331" s="7"/>
      <c r="AH1331" s="56">
        <v>240329</v>
      </c>
      <c r="AI1331" s="56"/>
    </row>
    <row r="1332" spans="1:35" ht="15" x14ac:dyDescent="0.2">
      <c r="A1332" s="57"/>
      <c r="B1332" s="78" t="s">
        <v>5109</v>
      </c>
      <c r="C1332" s="7" t="s">
        <v>43</v>
      </c>
      <c r="D1332" s="44">
        <v>5</v>
      </c>
      <c r="E1332" s="7" t="s">
        <v>16928</v>
      </c>
      <c r="F1332" s="7"/>
      <c r="G1332" s="7"/>
      <c r="H1332" s="6" t="s">
        <v>16909</v>
      </c>
      <c r="I1332" s="7" t="s">
        <v>2549</v>
      </c>
      <c r="J1332" s="7" t="s">
        <v>16929</v>
      </c>
      <c r="K1332" s="7" t="s">
        <v>55</v>
      </c>
      <c r="L1332" s="7" t="s">
        <v>16930</v>
      </c>
      <c r="M1332" s="7"/>
      <c r="N1332" s="45" t="str">
        <f t="shared" si="1006"/>
        <v>@UWLSOFTBALL</v>
      </c>
      <c r="O1332" s="74" t="str">
        <f t="shared" si="1007"/>
        <v>Questionnaire</v>
      </c>
      <c r="P1332" s="7" t="s">
        <v>16919</v>
      </c>
      <c r="Q1332" s="57" t="s">
        <v>5094</v>
      </c>
      <c r="R1332" s="48" t="s">
        <v>16921</v>
      </c>
      <c r="S1332" s="48" t="s">
        <v>186</v>
      </c>
      <c r="T1332" s="49" t="s">
        <v>74</v>
      </c>
      <c r="U1332" s="49" t="s">
        <v>75</v>
      </c>
      <c r="V1332" s="7"/>
      <c r="W1332" s="44">
        <v>3.44</v>
      </c>
      <c r="X1332" s="7" t="s">
        <v>214</v>
      </c>
      <c r="Y1332" s="7" t="s">
        <v>214</v>
      </c>
      <c r="Z1332" s="49" t="s">
        <v>3287</v>
      </c>
      <c r="AA1332" s="61">
        <v>0.74</v>
      </c>
      <c r="AB1332" s="48" t="s">
        <v>16923</v>
      </c>
      <c r="AC1332" s="52" t="s">
        <v>16919</v>
      </c>
      <c r="AD1332" s="53" t="str">
        <f t="shared" si="1008"/>
        <v>Link</v>
      </c>
      <c r="AE1332" s="54">
        <v>9751</v>
      </c>
      <c r="AF1332" s="55"/>
      <c r="AG1332" s="7"/>
      <c r="AH1332" s="56">
        <v>240329</v>
      </c>
      <c r="AI1332" s="56"/>
    </row>
    <row r="1333" spans="1:35" ht="15" x14ac:dyDescent="0.2">
      <c r="A1333" s="57"/>
      <c r="B1333" s="78" t="s">
        <v>5109</v>
      </c>
      <c r="C1333" s="7" t="s">
        <v>43</v>
      </c>
      <c r="D1333" s="44">
        <v>5</v>
      </c>
      <c r="E1333" s="7" t="s">
        <v>16939</v>
      </c>
      <c r="F1333" s="7"/>
      <c r="G1333" s="7"/>
      <c r="H1333" s="6" t="s">
        <v>16909</v>
      </c>
      <c r="I1333" s="7" t="s">
        <v>1080</v>
      </c>
      <c r="J1333" s="7" t="s">
        <v>9720</v>
      </c>
      <c r="K1333" s="7" t="s">
        <v>55</v>
      </c>
      <c r="L1333" s="7" t="s">
        <v>16943</v>
      </c>
      <c r="M1333" s="7"/>
      <c r="N1333" s="45" t="str">
        <f t="shared" si="1006"/>
        <v>@UWLSOFTBALL</v>
      </c>
      <c r="O1333" s="74" t="str">
        <f t="shared" si="1007"/>
        <v>Questionnaire</v>
      </c>
      <c r="P1333" s="7" t="s">
        <v>16919</v>
      </c>
      <c r="Q1333" s="57" t="s">
        <v>5094</v>
      </c>
      <c r="R1333" s="48" t="s">
        <v>16921</v>
      </c>
      <c r="S1333" s="48" t="s">
        <v>186</v>
      </c>
      <c r="T1333" s="49" t="s">
        <v>74</v>
      </c>
      <c r="U1333" s="49" t="s">
        <v>75</v>
      </c>
      <c r="V1333" s="7"/>
      <c r="W1333" s="44">
        <v>3.44</v>
      </c>
      <c r="X1333" s="7" t="s">
        <v>214</v>
      </c>
      <c r="Y1333" s="7" t="s">
        <v>214</v>
      </c>
      <c r="Z1333" s="49" t="s">
        <v>3287</v>
      </c>
      <c r="AA1333" s="61">
        <v>0.74</v>
      </c>
      <c r="AB1333" s="48" t="s">
        <v>16923</v>
      </c>
      <c r="AC1333" s="52" t="s">
        <v>16919</v>
      </c>
      <c r="AD1333" s="53" t="str">
        <f t="shared" si="1008"/>
        <v>Link</v>
      </c>
      <c r="AE1333" s="54">
        <v>9751</v>
      </c>
      <c r="AF1333" s="55"/>
      <c r="AG1333" s="7"/>
      <c r="AH1333" s="56">
        <v>240329</v>
      </c>
      <c r="AI1333" s="56"/>
    </row>
    <row r="1334" spans="1:35" ht="15" x14ac:dyDescent="0.2">
      <c r="A1334" s="57"/>
      <c r="B1334" s="78" t="s">
        <v>5109</v>
      </c>
      <c r="C1334" s="7" t="s">
        <v>43</v>
      </c>
      <c r="D1334" s="44">
        <v>5</v>
      </c>
      <c r="E1334" s="7" t="s">
        <v>16950</v>
      </c>
      <c r="F1334" s="7"/>
      <c r="G1334" s="7"/>
      <c r="H1334" s="6" t="s">
        <v>16951</v>
      </c>
      <c r="I1334" s="7" t="s">
        <v>2031</v>
      </c>
      <c r="J1334" s="7" t="s">
        <v>16953</v>
      </c>
      <c r="K1334" s="7" t="s">
        <v>48</v>
      </c>
      <c r="L1334" s="7" t="s">
        <v>16955</v>
      </c>
      <c r="M1334" s="7" t="s">
        <v>16956</v>
      </c>
      <c r="N1334" s="45" t="str">
        <f t="shared" ref="N1334:N1335" si="1009">HYPERLINK("twitter.com/uwosoftball1","@uwosoftball1")</f>
        <v>@uwosoftball1</v>
      </c>
      <c r="O1334" s="74" t="str">
        <f t="shared" ref="O1334:O1335" si="1010">HYPERLINK("https://www.uwoshkoshtitans.com/recruits/questionnaire","Questionnaire")</f>
        <v>Questionnaire</v>
      </c>
      <c r="P1334" s="7" t="s">
        <v>16962</v>
      </c>
      <c r="Q1334" s="57" t="s">
        <v>5094</v>
      </c>
      <c r="R1334" s="48" t="s">
        <v>16963</v>
      </c>
      <c r="S1334" s="48" t="s">
        <v>186</v>
      </c>
      <c r="T1334" s="49" t="s">
        <v>74</v>
      </c>
      <c r="U1334" s="49" t="s">
        <v>75</v>
      </c>
      <c r="V1334" s="7"/>
      <c r="W1334" s="44">
        <v>3.3</v>
      </c>
      <c r="X1334" s="7" t="s">
        <v>214</v>
      </c>
      <c r="Y1334" s="7" t="s">
        <v>214</v>
      </c>
      <c r="Z1334" s="49" t="s">
        <v>240</v>
      </c>
      <c r="AA1334" s="61">
        <v>0.65</v>
      </c>
      <c r="AB1334" s="48" t="s">
        <v>16967</v>
      </c>
      <c r="AC1334" s="52" t="s">
        <v>16962</v>
      </c>
      <c r="AD1334" s="53" t="str">
        <f t="shared" ref="AD1334:AD1335" si="1011">HYPERLINK("https://uwosh.edu/academics/majors-minors-emphases/","Link")</f>
        <v>Link</v>
      </c>
      <c r="AE1334" s="54">
        <v>12484</v>
      </c>
      <c r="AF1334" s="55"/>
      <c r="AG1334" s="7"/>
      <c r="AH1334" s="56">
        <v>240365</v>
      </c>
      <c r="AI1334" s="56"/>
    </row>
    <row r="1335" spans="1:35" ht="15" x14ac:dyDescent="0.2">
      <c r="A1335" s="57"/>
      <c r="B1335" s="78" t="s">
        <v>5109</v>
      </c>
      <c r="C1335" s="7" t="s">
        <v>43</v>
      </c>
      <c r="D1335" s="44">
        <v>5</v>
      </c>
      <c r="E1335" s="7" t="s">
        <v>16980</v>
      </c>
      <c r="F1335" s="7"/>
      <c r="G1335" s="7"/>
      <c r="H1335" s="6" t="s">
        <v>16951</v>
      </c>
      <c r="I1335" s="7" t="s">
        <v>2402</v>
      </c>
      <c r="J1335" s="7" t="s">
        <v>16984</v>
      </c>
      <c r="K1335" s="7" t="s">
        <v>55</v>
      </c>
      <c r="L1335" s="7"/>
      <c r="M1335" s="7" t="s">
        <v>16985</v>
      </c>
      <c r="N1335" s="45" t="str">
        <f t="shared" si="1009"/>
        <v>@uwosoftball1</v>
      </c>
      <c r="O1335" s="74" t="str">
        <f t="shared" si="1010"/>
        <v>Questionnaire</v>
      </c>
      <c r="P1335" s="7" t="s">
        <v>16962</v>
      </c>
      <c r="Q1335" s="57" t="s">
        <v>5094</v>
      </c>
      <c r="R1335" s="48" t="s">
        <v>16963</v>
      </c>
      <c r="S1335" s="48" t="s">
        <v>186</v>
      </c>
      <c r="T1335" s="49" t="s">
        <v>74</v>
      </c>
      <c r="U1335" s="49" t="s">
        <v>75</v>
      </c>
      <c r="V1335" s="7"/>
      <c r="W1335" s="44">
        <v>3.3</v>
      </c>
      <c r="X1335" s="7" t="s">
        <v>214</v>
      </c>
      <c r="Y1335" s="7" t="s">
        <v>214</v>
      </c>
      <c r="Z1335" s="49" t="s">
        <v>240</v>
      </c>
      <c r="AA1335" s="61">
        <v>0.65</v>
      </c>
      <c r="AB1335" s="48" t="s">
        <v>16967</v>
      </c>
      <c r="AC1335" s="52" t="s">
        <v>16962</v>
      </c>
      <c r="AD1335" s="53" t="str">
        <f t="shared" si="1011"/>
        <v>Link</v>
      </c>
      <c r="AE1335" s="54">
        <v>12484</v>
      </c>
      <c r="AF1335" s="55"/>
      <c r="AG1335" s="7"/>
      <c r="AH1335" s="56">
        <v>240365</v>
      </c>
      <c r="AI1335" s="56"/>
    </row>
    <row r="1336" spans="1:35" ht="15" x14ac:dyDescent="0.2">
      <c r="A1336" s="57"/>
      <c r="B1336" s="78" t="s">
        <v>5109</v>
      </c>
      <c r="C1336" s="7" t="s">
        <v>43</v>
      </c>
      <c r="D1336" s="44">
        <v>5</v>
      </c>
      <c r="E1336" s="7" t="s">
        <v>16987</v>
      </c>
      <c r="F1336" s="7"/>
      <c r="G1336" s="7"/>
      <c r="H1336" s="6" t="s">
        <v>16988</v>
      </c>
      <c r="I1336" s="7" t="s">
        <v>3503</v>
      </c>
      <c r="J1336" s="7" t="s">
        <v>6454</v>
      </c>
      <c r="K1336" s="7" t="s">
        <v>48</v>
      </c>
      <c r="L1336" s="7" t="s">
        <v>16990</v>
      </c>
      <c r="M1336" s="7" t="s">
        <v>16991</v>
      </c>
      <c r="N1336" s="45" t="str">
        <f>HYPERLINK("twitter.com/plattevillesb","@plattevillesb")</f>
        <v>@plattevillesb</v>
      </c>
      <c r="O1336" s="74" t="str">
        <f>HYPERLINK("https://www.letsgopioneers.com/sports/sball/recruit_Questionnaire","Questionnaire")</f>
        <v>Questionnaire</v>
      </c>
      <c r="P1336" s="7" t="s">
        <v>16998</v>
      </c>
      <c r="Q1336" s="57" t="s">
        <v>5094</v>
      </c>
      <c r="R1336" s="48" t="s">
        <v>16999</v>
      </c>
      <c r="S1336" s="48" t="s">
        <v>172</v>
      </c>
      <c r="T1336" s="49" t="s">
        <v>74</v>
      </c>
      <c r="U1336" s="49" t="s">
        <v>75</v>
      </c>
      <c r="V1336" s="7"/>
      <c r="W1336" s="44">
        <v>3.42</v>
      </c>
      <c r="X1336" s="7" t="s">
        <v>214</v>
      </c>
      <c r="Y1336" s="7" t="s">
        <v>214</v>
      </c>
      <c r="Z1336" s="49" t="s">
        <v>1650</v>
      </c>
      <c r="AA1336" s="61">
        <v>0.8</v>
      </c>
      <c r="AB1336" s="48" t="s">
        <v>17001</v>
      </c>
      <c r="AC1336" s="52" t="s">
        <v>16998</v>
      </c>
      <c r="AD1336" s="53" t="str">
        <f>HYPERLINK("http://catalog.uwplatt.edu/undergraduate/majors-minors/","Link")</f>
        <v>Link</v>
      </c>
      <c r="AE1336" s="54">
        <v>7861</v>
      </c>
      <c r="AF1336" s="55"/>
      <c r="AG1336" s="7"/>
      <c r="AH1336" s="56">
        <v>240462</v>
      </c>
      <c r="AI1336" s="56"/>
    </row>
    <row r="1337" spans="1:35" ht="13" x14ac:dyDescent="0.15">
      <c r="A1337" s="57"/>
      <c r="B1337" s="78" t="s">
        <v>5109</v>
      </c>
      <c r="C1337" s="7" t="s">
        <v>43</v>
      </c>
      <c r="D1337" s="44">
        <v>5</v>
      </c>
      <c r="E1337" s="7" t="s">
        <v>17007</v>
      </c>
      <c r="F1337" s="7"/>
      <c r="G1337" s="7"/>
      <c r="H1337" s="2" t="s">
        <v>17008</v>
      </c>
      <c r="I1337" s="7" t="s">
        <v>4599</v>
      </c>
      <c r="J1337" s="7" t="s">
        <v>17011</v>
      </c>
      <c r="K1337" s="7" t="s">
        <v>48</v>
      </c>
      <c r="L1337" s="7" t="s">
        <v>17013</v>
      </c>
      <c r="M1337" s="7" t="s">
        <v>17014</v>
      </c>
      <c r="N1337" s="45" t="str">
        <f t="shared" ref="N1337:N1339" si="1012">HYPERLINK("twitter.com/uwrfsoftball","@uwrfsoftball")</f>
        <v>@uwrfsoftball</v>
      </c>
      <c r="O1337" s="74" t="str">
        <f t="shared" ref="O1337:O1339" si="1013">HYPERLINK("https://uwrfsports.com/sb_output.aspx?form=3&amp;&amp;tab=4","Questionnaire")</f>
        <v>Questionnaire</v>
      </c>
      <c r="P1337" s="48" t="s">
        <v>17022</v>
      </c>
      <c r="Q1337" s="60" t="s">
        <v>5094</v>
      </c>
      <c r="R1337" s="6" t="s">
        <v>17023</v>
      </c>
      <c r="S1337" s="6" t="s">
        <v>172</v>
      </c>
      <c r="T1337" s="49" t="s">
        <v>74</v>
      </c>
      <c r="U1337" s="48" t="s">
        <v>75</v>
      </c>
      <c r="V1337" s="49"/>
      <c r="W1337" s="37">
        <v>3.32</v>
      </c>
      <c r="X1337" s="49" t="s">
        <v>214</v>
      </c>
      <c r="Y1337" s="49" t="s">
        <v>214</v>
      </c>
      <c r="Z1337" s="49" t="s">
        <v>1994</v>
      </c>
      <c r="AA1337" s="65">
        <v>0.72</v>
      </c>
      <c r="AB1337" s="6" t="s">
        <v>17027</v>
      </c>
      <c r="AC1337" s="90" t="s">
        <v>17022</v>
      </c>
      <c r="AD1337" s="67" t="str">
        <f t="shared" ref="AD1337:AD1339" si="1014">HYPERLINK("https://www.uwrf.edu/Catalog/DegreeRequirements/Undergraduate.cfm","Link")</f>
        <v>Link</v>
      </c>
      <c r="AE1337" s="42">
        <v>5494</v>
      </c>
      <c r="AF1337" s="55"/>
      <c r="AG1337" s="55"/>
      <c r="AH1337" s="56">
        <v>240471</v>
      </c>
      <c r="AI1337" s="56"/>
    </row>
    <row r="1338" spans="1:35" ht="13" x14ac:dyDescent="0.15">
      <c r="A1338" s="57"/>
      <c r="B1338" s="78" t="s">
        <v>5109</v>
      </c>
      <c r="C1338" s="7" t="s">
        <v>43</v>
      </c>
      <c r="D1338" s="44">
        <v>5</v>
      </c>
      <c r="E1338" s="7" t="s">
        <v>17030</v>
      </c>
      <c r="F1338" s="7"/>
      <c r="G1338" s="7"/>
      <c r="H1338" s="2" t="s">
        <v>17008</v>
      </c>
      <c r="I1338" s="7" t="s">
        <v>539</v>
      </c>
      <c r="J1338" s="7" t="s">
        <v>17031</v>
      </c>
      <c r="K1338" s="7" t="s">
        <v>55</v>
      </c>
      <c r="L1338" s="7" t="s">
        <v>17032</v>
      </c>
      <c r="M1338" s="7"/>
      <c r="N1338" s="45" t="str">
        <f t="shared" si="1012"/>
        <v>@uwrfsoftball</v>
      </c>
      <c r="O1338" s="74" t="str">
        <f t="shared" si="1013"/>
        <v>Questionnaire</v>
      </c>
      <c r="P1338" s="48" t="s">
        <v>17022</v>
      </c>
      <c r="Q1338" s="60" t="s">
        <v>5094</v>
      </c>
      <c r="R1338" s="6" t="s">
        <v>17023</v>
      </c>
      <c r="S1338" s="6" t="s">
        <v>172</v>
      </c>
      <c r="T1338" s="49" t="s">
        <v>74</v>
      </c>
      <c r="U1338" s="48" t="s">
        <v>75</v>
      </c>
      <c r="V1338" s="49"/>
      <c r="W1338" s="37">
        <v>3.32</v>
      </c>
      <c r="X1338" s="49" t="s">
        <v>214</v>
      </c>
      <c r="Y1338" s="49" t="s">
        <v>214</v>
      </c>
      <c r="Z1338" s="49" t="s">
        <v>1994</v>
      </c>
      <c r="AA1338" s="65">
        <v>0.72</v>
      </c>
      <c r="AB1338" s="6" t="s">
        <v>17027</v>
      </c>
      <c r="AC1338" s="90" t="s">
        <v>17022</v>
      </c>
      <c r="AD1338" s="67" t="str">
        <f t="shared" si="1014"/>
        <v>Link</v>
      </c>
      <c r="AE1338" s="42">
        <v>5494</v>
      </c>
      <c r="AF1338" s="55"/>
      <c r="AG1338" s="55"/>
      <c r="AH1338" s="56">
        <v>240471</v>
      </c>
      <c r="AI1338" s="56"/>
    </row>
    <row r="1339" spans="1:35" ht="13" x14ac:dyDescent="0.15">
      <c r="A1339" s="57"/>
      <c r="B1339" s="78" t="s">
        <v>5109</v>
      </c>
      <c r="C1339" s="7" t="s">
        <v>43</v>
      </c>
      <c r="D1339" s="44">
        <v>5</v>
      </c>
      <c r="E1339" s="7" t="s">
        <v>17035</v>
      </c>
      <c r="F1339" s="7"/>
      <c r="G1339" s="7" t="s">
        <v>126</v>
      </c>
      <c r="H1339" s="2" t="s">
        <v>17008</v>
      </c>
      <c r="I1339" s="7" t="s">
        <v>17036</v>
      </c>
      <c r="J1339" s="7"/>
      <c r="K1339" s="7"/>
      <c r="L1339" s="7"/>
      <c r="M1339" s="7"/>
      <c r="N1339" s="45" t="str">
        <f t="shared" si="1012"/>
        <v>@uwrfsoftball</v>
      </c>
      <c r="O1339" s="74" t="str">
        <f t="shared" si="1013"/>
        <v>Questionnaire</v>
      </c>
      <c r="P1339" s="48" t="s">
        <v>17022</v>
      </c>
      <c r="Q1339" s="60" t="s">
        <v>5094</v>
      </c>
      <c r="R1339" s="6" t="s">
        <v>17023</v>
      </c>
      <c r="S1339" s="6" t="s">
        <v>172</v>
      </c>
      <c r="T1339" s="49" t="s">
        <v>74</v>
      </c>
      <c r="U1339" s="48" t="s">
        <v>75</v>
      </c>
      <c r="V1339" s="49"/>
      <c r="W1339" s="37">
        <v>3.32</v>
      </c>
      <c r="X1339" s="49" t="s">
        <v>214</v>
      </c>
      <c r="Y1339" s="49" t="s">
        <v>214</v>
      </c>
      <c r="Z1339" s="49" t="s">
        <v>1994</v>
      </c>
      <c r="AA1339" s="65">
        <v>0.72</v>
      </c>
      <c r="AB1339" s="6" t="s">
        <v>17027</v>
      </c>
      <c r="AC1339" s="90" t="s">
        <v>17022</v>
      </c>
      <c r="AD1339" s="67" t="str">
        <f t="shared" si="1014"/>
        <v>Link</v>
      </c>
      <c r="AE1339" s="42">
        <v>5494</v>
      </c>
      <c r="AF1339" s="55"/>
      <c r="AG1339" s="55"/>
      <c r="AH1339" s="56">
        <v>240471</v>
      </c>
      <c r="AI1339" s="56"/>
    </row>
    <row r="1340" spans="1:35" ht="15" x14ac:dyDescent="0.2">
      <c r="A1340" s="57"/>
      <c r="B1340" s="78" t="s">
        <v>5109</v>
      </c>
      <c r="C1340" s="7" t="s">
        <v>43</v>
      </c>
      <c r="D1340" s="44">
        <v>5</v>
      </c>
      <c r="E1340" s="7" t="s">
        <v>17045</v>
      </c>
      <c r="F1340" s="7"/>
      <c r="G1340" s="7"/>
      <c r="H1340" s="6" t="s">
        <v>17047</v>
      </c>
      <c r="I1340" s="7" t="s">
        <v>2316</v>
      </c>
      <c r="J1340" s="7" t="s">
        <v>17049</v>
      </c>
      <c r="K1340" s="7" t="s">
        <v>48</v>
      </c>
      <c r="L1340" s="7" t="s">
        <v>17050</v>
      </c>
      <c r="M1340" s="7" t="s">
        <v>17051</v>
      </c>
      <c r="N1340" s="45" t="str">
        <f t="shared" ref="N1340:N1342" si="1015">HYPERLINK("twitter.com/uwsp_softball","@uwsp_softball")</f>
        <v>@uwsp_softball</v>
      </c>
      <c r="O1340" s="74" t="str">
        <f t="shared" ref="O1340:O1342" si="1016">HYPERLINK("https://athletics.uwsp.edu/sb_output.aspx?form=26","Questionnaire")</f>
        <v>Questionnaire</v>
      </c>
      <c r="P1340" s="7" t="s">
        <v>17054</v>
      </c>
      <c r="Q1340" s="57" t="s">
        <v>5094</v>
      </c>
      <c r="R1340" s="48" t="s">
        <v>17055</v>
      </c>
      <c r="S1340" s="48" t="s">
        <v>468</v>
      </c>
      <c r="T1340" s="49" t="s">
        <v>74</v>
      </c>
      <c r="U1340" s="49" t="s">
        <v>75</v>
      </c>
      <c r="V1340" s="7"/>
      <c r="W1340" s="44">
        <v>3.18</v>
      </c>
      <c r="X1340" s="7" t="s">
        <v>214</v>
      </c>
      <c r="Y1340" s="7" t="s">
        <v>214</v>
      </c>
      <c r="Z1340" s="49" t="s">
        <v>1994</v>
      </c>
      <c r="AA1340" s="61">
        <v>0.81</v>
      </c>
      <c r="AB1340" s="48" t="s">
        <v>17056</v>
      </c>
      <c r="AC1340" s="52" t="s">
        <v>17054</v>
      </c>
      <c r="AD1340" s="53" t="str">
        <f t="shared" ref="AD1340:AD1342" si="1017">HYPERLINK("https://www.uwsp.edu/admissions/Pages/majors-and-minors.aspx","Link")</f>
        <v>Link</v>
      </c>
      <c r="AE1340" s="54">
        <v>8297</v>
      </c>
      <c r="AF1340" s="55"/>
      <c r="AG1340" s="7"/>
      <c r="AH1340" s="56">
        <v>240480</v>
      </c>
      <c r="AI1340" s="56"/>
    </row>
    <row r="1341" spans="1:35" ht="15" x14ac:dyDescent="0.2">
      <c r="A1341" s="57"/>
      <c r="B1341" s="78" t="s">
        <v>5109</v>
      </c>
      <c r="C1341" s="7" t="s">
        <v>43</v>
      </c>
      <c r="D1341" s="44">
        <v>5</v>
      </c>
      <c r="E1341" s="7" t="s">
        <v>17058</v>
      </c>
      <c r="F1341" s="7"/>
      <c r="G1341" s="7"/>
      <c r="H1341" s="6" t="s">
        <v>17047</v>
      </c>
      <c r="I1341" s="7" t="s">
        <v>1875</v>
      </c>
      <c r="J1341" s="7" t="s">
        <v>17059</v>
      </c>
      <c r="K1341" s="7" t="s">
        <v>55</v>
      </c>
      <c r="L1341" s="7" t="s">
        <v>17060</v>
      </c>
      <c r="M1341" s="7" t="s">
        <v>17061</v>
      </c>
      <c r="N1341" s="45" t="str">
        <f t="shared" si="1015"/>
        <v>@uwsp_softball</v>
      </c>
      <c r="O1341" s="74" t="str">
        <f t="shared" si="1016"/>
        <v>Questionnaire</v>
      </c>
      <c r="P1341" s="7" t="s">
        <v>17054</v>
      </c>
      <c r="Q1341" s="57" t="s">
        <v>5094</v>
      </c>
      <c r="R1341" s="48" t="s">
        <v>17055</v>
      </c>
      <c r="S1341" s="48" t="s">
        <v>468</v>
      </c>
      <c r="T1341" s="49" t="s">
        <v>74</v>
      </c>
      <c r="U1341" s="49" t="s">
        <v>75</v>
      </c>
      <c r="V1341" s="7"/>
      <c r="W1341" s="44">
        <v>3.18</v>
      </c>
      <c r="X1341" s="7" t="s">
        <v>214</v>
      </c>
      <c r="Y1341" s="7" t="s">
        <v>214</v>
      </c>
      <c r="Z1341" s="49" t="s">
        <v>1994</v>
      </c>
      <c r="AA1341" s="61">
        <v>0.81</v>
      </c>
      <c r="AB1341" s="48" t="s">
        <v>17056</v>
      </c>
      <c r="AC1341" s="52" t="s">
        <v>17054</v>
      </c>
      <c r="AD1341" s="53" t="str">
        <f t="shared" si="1017"/>
        <v>Link</v>
      </c>
      <c r="AE1341" s="54">
        <v>8297</v>
      </c>
      <c r="AF1341" s="55"/>
      <c r="AG1341" s="7"/>
      <c r="AH1341" s="56">
        <v>240480</v>
      </c>
      <c r="AI1341" s="56"/>
    </row>
    <row r="1342" spans="1:35" ht="15" x14ac:dyDescent="0.2">
      <c r="A1342" s="57"/>
      <c r="B1342" s="78" t="s">
        <v>5109</v>
      </c>
      <c r="C1342" s="7" t="s">
        <v>43</v>
      </c>
      <c r="D1342" s="44">
        <v>5</v>
      </c>
      <c r="E1342" s="7" t="s">
        <v>17071</v>
      </c>
      <c r="F1342" s="7"/>
      <c r="G1342" s="7"/>
      <c r="H1342" s="6" t="s">
        <v>17047</v>
      </c>
      <c r="I1342" s="7" t="s">
        <v>552</v>
      </c>
      <c r="J1342" s="7" t="s">
        <v>17072</v>
      </c>
      <c r="K1342" s="7" t="s">
        <v>55</v>
      </c>
      <c r="L1342" s="7"/>
      <c r="M1342" s="7"/>
      <c r="N1342" s="45" t="str">
        <f t="shared" si="1015"/>
        <v>@uwsp_softball</v>
      </c>
      <c r="O1342" s="74" t="str">
        <f t="shared" si="1016"/>
        <v>Questionnaire</v>
      </c>
      <c r="P1342" s="7" t="s">
        <v>17054</v>
      </c>
      <c r="Q1342" s="57" t="s">
        <v>5094</v>
      </c>
      <c r="R1342" s="48" t="s">
        <v>17055</v>
      </c>
      <c r="S1342" s="48" t="s">
        <v>468</v>
      </c>
      <c r="T1342" s="49" t="s">
        <v>74</v>
      </c>
      <c r="U1342" s="49" t="s">
        <v>75</v>
      </c>
      <c r="V1342" s="7"/>
      <c r="W1342" s="44">
        <v>3.18</v>
      </c>
      <c r="X1342" s="7" t="s">
        <v>214</v>
      </c>
      <c r="Y1342" s="7" t="s">
        <v>214</v>
      </c>
      <c r="Z1342" s="49" t="s">
        <v>1994</v>
      </c>
      <c r="AA1342" s="61">
        <v>0.81</v>
      </c>
      <c r="AB1342" s="48" t="s">
        <v>17056</v>
      </c>
      <c r="AC1342" s="52" t="s">
        <v>17054</v>
      </c>
      <c r="AD1342" s="53" t="str">
        <f t="shared" si="1017"/>
        <v>Link</v>
      </c>
      <c r="AE1342" s="54">
        <v>8297</v>
      </c>
      <c r="AF1342" s="55"/>
      <c r="AG1342" s="7"/>
      <c r="AH1342" s="56">
        <v>240480</v>
      </c>
      <c r="AI1342" s="56"/>
    </row>
    <row r="1343" spans="1:35" ht="15" x14ac:dyDescent="0.2">
      <c r="A1343" s="57"/>
      <c r="B1343" s="78" t="s">
        <v>5109</v>
      </c>
      <c r="C1343" s="7" t="s">
        <v>43</v>
      </c>
      <c r="D1343" s="44">
        <v>5</v>
      </c>
      <c r="E1343" s="7" t="s">
        <v>17081</v>
      </c>
      <c r="F1343" s="7"/>
      <c r="G1343" s="7"/>
      <c r="H1343" s="6" t="s">
        <v>17082</v>
      </c>
      <c r="I1343" s="7" t="s">
        <v>4419</v>
      </c>
      <c r="J1343" s="7" t="s">
        <v>17083</v>
      </c>
      <c r="K1343" s="7" t="s">
        <v>48</v>
      </c>
      <c r="L1343" s="7" t="s">
        <v>17084</v>
      </c>
      <c r="M1343" s="7" t="s">
        <v>17085</v>
      </c>
      <c r="N1343" s="45" t="str">
        <f t="shared" ref="N1343:N1344" si="1018">HYPERLINK("twitter.com/uwstoutsoftball","@uwstoutsoftball")</f>
        <v>@uwstoutsoftball</v>
      </c>
      <c r="O1343" s="74" t="str">
        <f t="shared" ref="O1343:O1344" si="1019">HYPERLINK("https://athletics.uwstout.edu/sports/2011/12/14/GEN_1214111026.aspx","Questionnaire")</f>
        <v>Questionnaire</v>
      </c>
      <c r="P1343" s="7" t="s">
        <v>17090</v>
      </c>
      <c r="Q1343" s="57" t="s">
        <v>5094</v>
      </c>
      <c r="R1343" s="48" t="s">
        <v>17091</v>
      </c>
      <c r="S1343" s="48" t="s">
        <v>172</v>
      </c>
      <c r="T1343" s="49" t="s">
        <v>74</v>
      </c>
      <c r="U1343" s="49" t="s">
        <v>75</v>
      </c>
      <c r="V1343" s="7"/>
      <c r="W1343" s="44">
        <v>3.2</v>
      </c>
      <c r="X1343" s="7" t="s">
        <v>214</v>
      </c>
      <c r="Y1343" s="7" t="s">
        <v>214</v>
      </c>
      <c r="Z1343" s="49" t="s">
        <v>746</v>
      </c>
      <c r="AA1343" s="61">
        <v>0.88</v>
      </c>
      <c r="AB1343" s="48" t="s">
        <v>17092</v>
      </c>
      <c r="AC1343" s="52" t="s">
        <v>17090</v>
      </c>
      <c r="AD1343" s="53" t="str">
        <f t="shared" ref="AD1343:AD1344" si="1020">HYPERLINK("https://www.uwstout.edu/academics/majors-degrees","Link")</f>
        <v>Link</v>
      </c>
      <c r="AE1343" s="54">
        <v>8412</v>
      </c>
      <c r="AF1343" s="55"/>
      <c r="AG1343" s="7"/>
      <c r="AH1343" s="56">
        <v>240417</v>
      </c>
      <c r="AI1343" s="56"/>
    </row>
    <row r="1344" spans="1:35" ht="15" x14ac:dyDescent="0.2">
      <c r="A1344" s="57"/>
      <c r="B1344" s="78" t="s">
        <v>5109</v>
      </c>
      <c r="C1344" s="7" t="s">
        <v>43</v>
      </c>
      <c r="D1344" s="44">
        <v>5</v>
      </c>
      <c r="E1344" s="7" t="s">
        <v>17099</v>
      </c>
      <c r="F1344" s="7"/>
      <c r="G1344" s="7"/>
      <c r="H1344" s="6" t="s">
        <v>17082</v>
      </c>
      <c r="I1344" s="7" t="s">
        <v>1492</v>
      </c>
      <c r="J1344" s="7" t="s">
        <v>17101</v>
      </c>
      <c r="K1344" s="7" t="s">
        <v>55</v>
      </c>
      <c r="L1344" s="7" t="s">
        <v>17102</v>
      </c>
      <c r="M1344" s="7" t="s">
        <v>17085</v>
      </c>
      <c r="N1344" s="45" t="str">
        <f t="shared" si="1018"/>
        <v>@uwstoutsoftball</v>
      </c>
      <c r="O1344" s="74" t="str">
        <f t="shared" si="1019"/>
        <v>Questionnaire</v>
      </c>
      <c r="P1344" s="7" t="s">
        <v>17090</v>
      </c>
      <c r="Q1344" s="57" t="s">
        <v>5094</v>
      </c>
      <c r="R1344" s="48" t="s">
        <v>17091</v>
      </c>
      <c r="S1344" s="48" t="s">
        <v>172</v>
      </c>
      <c r="T1344" s="49" t="s">
        <v>74</v>
      </c>
      <c r="U1344" s="49" t="s">
        <v>75</v>
      </c>
      <c r="V1344" s="7"/>
      <c r="W1344" s="44">
        <v>3.2</v>
      </c>
      <c r="X1344" s="7" t="s">
        <v>214</v>
      </c>
      <c r="Y1344" s="7" t="s">
        <v>214</v>
      </c>
      <c r="Z1344" s="49" t="s">
        <v>746</v>
      </c>
      <c r="AA1344" s="61">
        <v>0.88</v>
      </c>
      <c r="AB1344" s="48" t="s">
        <v>17092</v>
      </c>
      <c r="AC1344" s="52" t="s">
        <v>17090</v>
      </c>
      <c r="AD1344" s="53" t="str">
        <f t="shared" si="1020"/>
        <v>Link</v>
      </c>
      <c r="AE1344" s="54">
        <v>8412</v>
      </c>
      <c r="AF1344" s="55"/>
      <c r="AG1344" s="7"/>
      <c r="AH1344" s="56">
        <v>240417</v>
      </c>
      <c r="AI1344" s="56"/>
    </row>
    <row r="1345" spans="1:35" ht="15" x14ac:dyDescent="0.2">
      <c r="A1345" s="57"/>
      <c r="B1345" s="78" t="s">
        <v>5109</v>
      </c>
      <c r="C1345" s="7" t="s">
        <v>43</v>
      </c>
      <c r="D1345" s="44">
        <v>5</v>
      </c>
      <c r="E1345" s="7" t="s">
        <v>17108</v>
      </c>
      <c r="F1345" s="7"/>
      <c r="G1345" s="7"/>
      <c r="H1345" s="6" t="s">
        <v>17109</v>
      </c>
      <c r="I1345" s="7" t="s">
        <v>3444</v>
      </c>
      <c r="J1345" s="7" t="s">
        <v>17110</v>
      </c>
      <c r="K1345" s="7" t="s">
        <v>1423</v>
      </c>
      <c r="L1345" s="7" t="s">
        <v>17112</v>
      </c>
      <c r="M1345" s="2" t="s">
        <v>17113</v>
      </c>
      <c r="N1345" s="45" t="str">
        <f>HYPERLINK("twitter.com/NickBursik","@NickBursik")</f>
        <v>@NickBursik</v>
      </c>
      <c r="O1345" s="74" t="str">
        <f t="shared" ref="O1345:O1346" si="1021">HYPERLINK("https://uwsyellowjackets.com/sports/2011/11/10/GEN_1110112730.aspx?&amp;tab=4","Questionnaire")</f>
        <v>Questionnaire</v>
      </c>
      <c r="P1345" s="7" t="s">
        <v>17127</v>
      </c>
      <c r="Q1345" s="57" t="s">
        <v>5094</v>
      </c>
      <c r="R1345" s="48" t="s">
        <v>17128</v>
      </c>
      <c r="S1345" s="48" t="s">
        <v>468</v>
      </c>
      <c r="T1345" s="73" t="s">
        <v>74</v>
      </c>
      <c r="U1345" s="49" t="s">
        <v>75</v>
      </c>
      <c r="V1345" s="7"/>
      <c r="W1345" s="44">
        <v>3.14</v>
      </c>
      <c r="X1345" s="7" t="s">
        <v>214</v>
      </c>
      <c r="Y1345" s="7" t="s">
        <v>214</v>
      </c>
      <c r="Z1345" s="49" t="s">
        <v>125</v>
      </c>
      <c r="AA1345" s="61">
        <v>0.76</v>
      </c>
      <c r="AB1345" s="48" t="s">
        <v>17129</v>
      </c>
      <c r="AC1345" s="52" t="s">
        <v>17127</v>
      </c>
      <c r="AD1345" s="53" t="str">
        <f t="shared" ref="AD1345:AD1346" si="1022">HYPERLINK("https://www.uwsuper.edu/admissions/majors-minors/index.cfm","Link")</f>
        <v>Link</v>
      </c>
      <c r="AE1345" s="54">
        <v>2367</v>
      </c>
      <c r="AF1345" s="55"/>
      <c r="AG1345" s="7"/>
      <c r="AH1345" s="56">
        <v>240426</v>
      </c>
      <c r="AI1345" s="56"/>
    </row>
    <row r="1346" spans="1:35" ht="15" x14ac:dyDescent="0.2">
      <c r="A1346" s="57"/>
      <c r="B1346" s="78" t="s">
        <v>5109</v>
      </c>
      <c r="C1346" s="7" t="s">
        <v>43</v>
      </c>
      <c r="D1346" s="44">
        <v>5</v>
      </c>
      <c r="E1346" s="7" t="s">
        <v>17135</v>
      </c>
      <c r="F1346" s="7"/>
      <c r="G1346" s="7"/>
      <c r="H1346" s="6" t="s">
        <v>17109</v>
      </c>
      <c r="I1346" s="7" t="s">
        <v>13210</v>
      </c>
      <c r="J1346" s="7" t="s">
        <v>2428</v>
      </c>
      <c r="K1346" s="7" t="s">
        <v>55</v>
      </c>
      <c r="L1346" s="7"/>
      <c r="M1346" s="2" t="s">
        <v>17137</v>
      </c>
      <c r="N1346" s="45" t="str">
        <f>HYPERLINK("twitter.com/uwssoftball","@uwssoftball")</f>
        <v>@uwssoftball</v>
      </c>
      <c r="O1346" s="74" t="str">
        <f t="shared" si="1021"/>
        <v>Questionnaire</v>
      </c>
      <c r="P1346" s="7" t="s">
        <v>17127</v>
      </c>
      <c r="Q1346" s="57" t="s">
        <v>5094</v>
      </c>
      <c r="R1346" s="48" t="s">
        <v>17128</v>
      </c>
      <c r="S1346" s="48" t="s">
        <v>468</v>
      </c>
      <c r="T1346" s="73" t="s">
        <v>74</v>
      </c>
      <c r="U1346" s="49" t="s">
        <v>75</v>
      </c>
      <c r="V1346" s="7"/>
      <c r="W1346" s="44">
        <v>3.14</v>
      </c>
      <c r="X1346" s="7" t="s">
        <v>214</v>
      </c>
      <c r="Y1346" s="7" t="s">
        <v>214</v>
      </c>
      <c r="Z1346" s="49" t="s">
        <v>125</v>
      </c>
      <c r="AA1346" s="61">
        <v>0.76</v>
      </c>
      <c r="AB1346" s="48" t="s">
        <v>17129</v>
      </c>
      <c r="AC1346" s="52" t="s">
        <v>17127</v>
      </c>
      <c r="AD1346" s="53" t="str">
        <f t="shared" si="1022"/>
        <v>Link</v>
      </c>
      <c r="AE1346" s="54">
        <v>2367</v>
      </c>
      <c r="AF1346" s="55"/>
      <c r="AG1346" s="7"/>
      <c r="AH1346" s="56">
        <v>240426</v>
      </c>
      <c r="AI1346" s="56"/>
    </row>
    <row r="1347" spans="1:35" ht="15" x14ac:dyDescent="0.2">
      <c r="A1347" s="57"/>
      <c r="B1347" s="78" t="s">
        <v>5109</v>
      </c>
      <c r="C1347" s="7" t="s">
        <v>43</v>
      </c>
      <c r="D1347" s="44">
        <v>5</v>
      </c>
      <c r="E1347" s="7" t="s">
        <v>17145</v>
      </c>
      <c r="F1347" s="7"/>
      <c r="G1347" s="7"/>
      <c r="H1347" s="6" t="s">
        <v>17146</v>
      </c>
      <c r="I1347" s="7" t="s">
        <v>4935</v>
      </c>
      <c r="J1347" s="7" t="s">
        <v>17147</v>
      </c>
      <c r="K1347" s="7" t="s">
        <v>48</v>
      </c>
      <c r="L1347" s="7" t="s">
        <v>17148</v>
      </c>
      <c r="M1347" s="7" t="s">
        <v>17149</v>
      </c>
      <c r="N1347" s="45" t="str">
        <f>HYPERLINK("twitter.com/CoachBrendaVolk","@CoachBrendaVolk")</f>
        <v>@CoachBrendaVolk</v>
      </c>
      <c r="O1347" s="74" t="str">
        <f t="shared" ref="O1347:O1349" si="1023">HYPERLINK("https://uwwsports.com/sports/2013/8/30/GEN_0830130200.aspx","Questionnaire")</f>
        <v>Questionnaire</v>
      </c>
      <c r="P1347" s="7" t="s">
        <v>17153</v>
      </c>
      <c r="Q1347" s="57" t="s">
        <v>5094</v>
      </c>
      <c r="R1347" s="48" t="s">
        <v>17154</v>
      </c>
      <c r="S1347" s="48" t="s">
        <v>172</v>
      </c>
      <c r="T1347" s="49" t="s">
        <v>74</v>
      </c>
      <c r="U1347" s="49" t="s">
        <v>75</v>
      </c>
      <c r="V1347" s="7"/>
      <c r="W1347" s="44">
        <v>3.26</v>
      </c>
      <c r="X1347" s="7" t="s">
        <v>1785</v>
      </c>
      <c r="Y1347" s="7" t="s">
        <v>1648</v>
      </c>
      <c r="Z1347" s="49" t="s">
        <v>1994</v>
      </c>
      <c r="AA1347" s="61">
        <v>0.69</v>
      </c>
      <c r="AB1347" s="48" t="s">
        <v>17156</v>
      </c>
      <c r="AC1347" s="52" t="s">
        <v>17153</v>
      </c>
      <c r="AD1347" s="53" t="str">
        <f t="shared" ref="AD1347:AD1349" si="1024">HYPERLINK("http://www.uww.edu/academics/departments-and-majors","Link")</f>
        <v>Link</v>
      </c>
      <c r="AE1347" s="54">
        <v>11409</v>
      </c>
      <c r="AF1347" s="55"/>
      <c r="AG1347" s="7"/>
      <c r="AH1347" s="56">
        <v>240189</v>
      </c>
      <c r="AI1347" s="56"/>
    </row>
    <row r="1348" spans="1:35" ht="15" x14ac:dyDescent="0.2">
      <c r="A1348" s="57"/>
      <c r="B1348" s="78" t="s">
        <v>5109</v>
      </c>
      <c r="C1348" s="7" t="s">
        <v>43</v>
      </c>
      <c r="D1348" s="44">
        <v>5</v>
      </c>
      <c r="E1348" s="7" t="s">
        <v>17159</v>
      </c>
      <c r="F1348" s="7"/>
      <c r="G1348" s="7"/>
      <c r="H1348" s="6" t="s">
        <v>17146</v>
      </c>
      <c r="I1348" s="7" t="s">
        <v>772</v>
      </c>
      <c r="J1348" s="7" t="s">
        <v>17162</v>
      </c>
      <c r="K1348" s="7" t="s">
        <v>55</v>
      </c>
      <c r="L1348" s="7" t="s">
        <v>17163</v>
      </c>
      <c r="M1348" s="7" t="s">
        <v>17164</v>
      </c>
      <c r="N1348" s="45" t="str">
        <f>HYPERLINK("twitter.com/BonusoWB","@BonusoWB")</f>
        <v>@BonusoWB</v>
      </c>
      <c r="O1348" s="74" t="str">
        <f t="shared" si="1023"/>
        <v>Questionnaire</v>
      </c>
      <c r="P1348" s="7" t="s">
        <v>17153</v>
      </c>
      <c r="Q1348" s="57" t="s">
        <v>5094</v>
      </c>
      <c r="R1348" s="48" t="s">
        <v>17154</v>
      </c>
      <c r="S1348" s="48" t="s">
        <v>172</v>
      </c>
      <c r="T1348" s="49" t="s">
        <v>74</v>
      </c>
      <c r="U1348" s="49" t="s">
        <v>75</v>
      </c>
      <c r="V1348" s="7"/>
      <c r="W1348" s="44">
        <v>3.26</v>
      </c>
      <c r="X1348" s="7" t="s">
        <v>1785</v>
      </c>
      <c r="Y1348" s="7" t="s">
        <v>1648</v>
      </c>
      <c r="Z1348" s="49" t="s">
        <v>1994</v>
      </c>
      <c r="AA1348" s="61">
        <v>0.69</v>
      </c>
      <c r="AB1348" s="48" t="s">
        <v>17156</v>
      </c>
      <c r="AC1348" s="52" t="s">
        <v>17153</v>
      </c>
      <c r="AD1348" s="53" t="str">
        <f t="shared" si="1024"/>
        <v>Link</v>
      </c>
      <c r="AE1348" s="54">
        <v>11409</v>
      </c>
      <c r="AF1348" s="55"/>
      <c r="AG1348" s="7"/>
      <c r="AH1348" s="56">
        <v>240189</v>
      </c>
      <c r="AI1348" s="56"/>
    </row>
    <row r="1349" spans="1:35" ht="15" x14ac:dyDescent="0.2">
      <c r="A1349" s="57"/>
      <c r="B1349" s="78" t="s">
        <v>5109</v>
      </c>
      <c r="C1349" s="7" t="s">
        <v>43</v>
      </c>
      <c r="D1349" s="44">
        <v>5</v>
      </c>
      <c r="E1349" s="7" t="s">
        <v>17171</v>
      </c>
      <c r="F1349" s="7"/>
      <c r="G1349" s="7"/>
      <c r="H1349" s="6" t="s">
        <v>17146</v>
      </c>
      <c r="I1349" s="7" t="s">
        <v>363</v>
      </c>
      <c r="J1349" s="7" t="s">
        <v>8951</v>
      </c>
      <c r="K1349" s="7" t="s">
        <v>55</v>
      </c>
      <c r="L1349" s="7" t="s">
        <v>17172</v>
      </c>
      <c r="M1349" s="7"/>
      <c r="N1349" s="45" t="str">
        <f>HYPERLINK("twitter.com/uwwsoftball","@uwwsoftball")</f>
        <v>@uwwsoftball</v>
      </c>
      <c r="O1349" s="74" t="str">
        <f t="shared" si="1023"/>
        <v>Questionnaire</v>
      </c>
      <c r="P1349" s="7" t="s">
        <v>17153</v>
      </c>
      <c r="Q1349" s="57" t="s">
        <v>5094</v>
      </c>
      <c r="R1349" s="48" t="s">
        <v>17154</v>
      </c>
      <c r="S1349" s="48" t="s">
        <v>172</v>
      </c>
      <c r="T1349" s="49" t="s">
        <v>74</v>
      </c>
      <c r="U1349" s="49" t="s">
        <v>75</v>
      </c>
      <c r="V1349" s="7"/>
      <c r="W1349" s="44">
        <v>3.26</v>
      </c>
      <c r="X1349" s="7" t="s">
        <v>1785</v>
      </c>
      <c r="Y1349" s="7" t="s">
        <v>1648</v>
      </c>
      <c r="Z1349" s="49" t="s">
        <v>1994</v>
      </c>
      <c r="AA1349" s="61">
        <v>0.69</v>
      </c>
      <c r="AB1349" s="48" t="s">
        <v>17156</v>
      </c>
      <c r="AC1349" s="52" t="s">
        <v>17153</v>
      </c>
      <c r="AD1349" s="53" t="str">
        <f t="shared" si="1024"/>
        <v>Link</v>
      </c>
      <c r="AE1349" s="54">
        <v>11409</v>
      </c>
      <c r="AF1349" s="55"/>
      <c r="AG1349" s="7"/>
      <c r="AH1349" s="56">
        <v>240189</v>
      </c>
      <c r="AI1349" s="56"/>
    </row>
  </sheetData>
  <mergeCells count="1">
    <mergeCell ref="A1:H1"/>
  </mergeCells>
  <hyperlinks>
    <hyperlink ref="L10" r:id="rId1" xr:uid="{00000000-0004-0000-0200-000000000000}"/>
    <hyperlink ref="L1294" r:id="rId2" xr:uid="{00000000-0004-0000-0200-000001000000}"/>
  </hyperlinks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L1198"/>
  <sheetViews>
    <sheetView workbookViewId="0">
      <selection sqref="A1:XFD1048576"/>
    </sheetView>
  </sheetViews>
  <sheetFormatPr baseColWidth="10" defaultColWidth="14.5" defaultRowHeight="15.75" customHeight="1" x14ac:dyDescent="0.15"/>
  <cols>
    <col min="1" max="1" width="16.33203125" style="3" customWidth="1"/>
    <col min="2" max="2" width="8.5" style="3" customWidth="1"/>
    <col min="3" max="3" width="9.83203125" style="3" customWidth="1"/>
    <col min="4" max="5" width="10.83203125" style="3" customWidth="1"/>
    <col min="6" max="6" width="13.5" style="3" customWidth="1"/>
    <col min="7" max="7" width="56" style="3" customWidth="1"/>
    <col min="8" max="8" width="47.83203125" style="3" customWidth="1"/>
    <col min="9" max="9" width="23.83203125" style="3" customWidth="1"/>
    <col min="10" max="10" width="62.33203125" style="3" customWidth="1"/>
    <col min="11" max="11" width="37.5" style="3" customWidth="1"/>
    <col min="12" max="12" width="31.5" style="3" customWidth="1"/>
    <col min="13" max="13" width="22.5" style="3" customWidth="1"/>
    <col min="14" max="14" width="18.1640625" style="3" customWidth="1"/>
    <col min="15" max="15" width="33" style="3" customWidth="1"/>
    <col min="16" max="16" width="23.6640625" style="3" customWidth="1"/>
    <col min="17" max="17" width="22.83203125" style="3" customWidth="1"/>
    <col min="18" max="18" width="16.6640625" style="3" customWidth="1"/>
    <col min="19" max="19" width="20.1640625" style="3" customWidth="1"/>
    <col min="20" max="20" width="19.5" style="3" customWidth="1"/>
    <col min="21" max="21" width="34.5" style="3" customWidth="1"/>
    <col min="22" max="22" width="14.33203125" style="3" customWidth="1"/>
    <col min="23" max="25" width="19.83203125" style="3" customWidth="1"/>
    <col min="26" max="26" width="16" style="3" customWidth="1"/>
    <col min="27" max="27" width="43.5" style="3" customWidth="1"/>
    <col min="28" max="28" width="33.6640625" style="3" customWidth="1"/>
    <col min="29" max="29" width="15.1640625" style="3" customWidth="1"/>
    <col min="30" max="30" width="17.1640625" style="3" customWidth="1"/>
    <col min="31" max="31" width="17.33203125" style="3" customWidth="1"/>
    <col min="32" max="32" width="24.5" style="3" customWidth="1"/>
    <col min="33" max="33" width="14.6640625" style="3" customWidth="1"/>
    <col min="34" max="34" width="4.1640625" style="3" customWidth="1"/>
    <col min="35" max="35" width="7.33203125" style="3" customWidth="1"/>
    <col min="36" max="38" width="3" style="3" customWidth="1"/>
    <col min="39" max="16384" width="14.5" style="3"/>
  </cols>
  <sheetData>
    <row r="1" spans="1:38" ht="31" customHeight="1" x14ac:dyDescent="0.35">
      <c r="A1" s="1" t="s">
        <v>12543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P1" s="6"/>
      <c r="Q1" s="4"/>
      <c r="R1" s="2"/>
      <c r="S1" s="2"/>
      <c r="T1" s="2"/>
      <c r="U1" s="2"/>
      <c r="V1" s="2"/>
      <c r="W1" s="2"/>
      <c r="X1" s="8"/>
      <c r="Y1" s="6"/>
      <c r="Z1" s="2"/>
      <c r="AA1" s="7"/>
      <c r="AB1" s="8"/>
      <c r="AC1" s="8"/>
      <c r="AD1" s="2"/>
      <c r="AE1" s="2"/>
      <c r="AF1" s="2"/>
      <c r="AG1" s="2"/>
      <c r="AH1" s="2"/>
      <c r="AI1" s="2"/>
      <c r="AJ1" s="2"/>
      <c r="AK1" s="2"/>
      <c r="AL1" s="2"/>
    </row>
    <row r="2" spans="1:38" ht="15.75" customHeight="1" x14ac:dyDescent="0.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6"/>
      <c r="Q2" s="4"/>
      <c r="R2" s="2"/>
      <c r="S2" s="2"/>
      <c r="T2" s="2"/>
      <c r="U2" s="2"/>
      <c r="V2" s="2"/>
      <c r="W2" s="2"/>
      <c r="X2" s="8"/>
      <c r="Y2" s="6"/>
      <c r="Z2" s="2"/>
      <c r="AA2" s="7"/>
      <c r="AB2" s="8"/>
      <c r="AC2" s="8"/>
      <c r="AD2" s="2"/>
      <c r="AE2" s="2"/>
      <c r="AF2" s="2"/>
      <c r="AG2" s="2"/>
      <c r="AH2" s="2"/>
      <c r="AI2" s="2"/>
      <c r="AJ2" s="2"/>
      <c r="AK2" s="2"/>
      <c r="AL2" s="2"/>
    </row>
    <row r="3" spans="1:38" ht="15.75" customHeight="1" x14ac:dyDescent="0.1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O3" s="2"/>
      <c r="P3" s="99" t="s">
        <v>3</v>
      </c>
      <c r="Q3" s="2"/>
      <c r="R3" s="6"/>
      <c r="S3" s="100" t="s">
        <v>4</v>
      </c>
      <c r="T3" s="2"/>
      <c r="U3" s="2"/>
      <c r="V3" s="31" t="s">
        <v>5</v>
      </c>
      <c r="W3" s="2"/>
      <c r="X3" s="2"/>
      <c r="Y3" s="2"/>
      <c r="Z3" s="76" t="s">
        <v>6</v>
      </c>
      <c r="AA3" s="6"/>
      <c r="AB3" s="2"/>
      <c r="AC3" s="55"/>
      <c r="AD3" s="8"/>
      <c r="AE3" s="31" t="s">
        <v>7</v>
      </c>
      <c r="AF3" s="2"/>
      <c r="AG3" s="2"/>
      <c r="AH3" s="2"/>
      <c r="AI3" s="2"/>
      <c r="AJ3" s="2"/>
      <c r="AK3" s="2"/>
      <c r="AL3" s="2"/>
    </row>
    <row r="4" spans="1:38" ht="15.75" customHeight="1" x14ac:dyDescent="0.15">
      <c r="A4" s="31" t="s">
        <v>9</v>
      </c>
      <c r="B4" s="20" t="s">
        <v>10</v>
      </c>
      <c r="C4" s="144" t="s">
        <v>12</v>
      </c>
      <c r="D4" s="20" t="s">
        <v>11</v>
      </c>
      <c r="E4" s="20" t="s">
        <v>13</v>
      </c>
      <c r="F4" s="20" t="s">
        <v>14</v>
      </c>
      <c r="G4" s="31" t="s">
        <v>15</v>
      </c>
      <c r="H4" s="31" t="s">
        <v>16</v>
      </c>
      <c r="I4" s="31" t="s">
        <v>17</v>
      </c>
      <c r="J4" s="31" t="s">
        <v>18</v>
      </c>
      <c r="K4" s="31" t="s">
        <v>19</v>
      </c>
      <c r="L4" s="31" t="s">
        <v>20</v>
      </c>
      <c r="M4" s="144" t="s">
        <v>21</v>
      </c>
      <c r="N4" s="144" t="s">
        <v>22</v>
      </c>
      <c r="O4" s="64" t="s">
        <v>15</v>
      </c>
      <c r="P4" s="64" t="s">
        <v>9</v>
      </c>
      <c r="Q4" s="31" t="s">
        <v>23</v>
      </c>
      <c r="R4" s="105" t="s">
        <v>24</v>
      </c>
      <c r="S4" s="100" t="s">
        <v>25</v>
      </c>
      <c r="T4" s="106" t="s">
        <v>26</v>
      </c>
      <c r="U4" s="31" t="s">
        <v>27</v>
      </c>
      <c r="V4" s="31" t="s">
        <v>28</v>
      </c>
      <c r="W4" s="31" t="s">
        <v>29</v>
      </c>
      <c r="X4" s="31" t="s">
        <v>30</v>
      </c>
      <c r="Y4" s="31" t="s">
        <v>31</v>
      </c>
      <c r="Z4" s="76" t="s">
        <v>32</v>
      </c>
      <c r="AA4" s="107" t="s">
        <v>33</v>
      </c>
      <c r="AB4" s="64" t="s">
        <v>15</v>
      </c>
      <c r="AC4" s="76" t="s">
        <v>34</v>
      </c>
      <c r="AD4" s="76" t="s">
        <v>35</v>
      </c>
      <c r="AE4" s="31" t="s">
        <v>36</v>
      </c>
      <c r="AF4" s="31" t="s">
        <v>37</v>
      </c>
      <c r="AG4" s="144" t="s">
        <v>38</v>
      </c>
      <c r="AH4" s="144"/>
      <c r="AI4" s="144"/>
      <c r="AJ4" s="144"/>
      <c r="AK4" s="144"/>
      <c r="AL4" s="144"/>
    </row>
    <row r="5" spans="1:38" ht="15.75" customHeight="1" x14ac:dyDescent="0.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6"/>
      <c r="Q5" s="4"/>
      <c r="R5" s="2"/>
      <c r="S5" s="2"/>
      <c r="T5" s="2"/>
      <c r="U5" s="2"/>
      <c r="V5" s="2"/>
      <c r="W5" s="2"/>
      <c r="X5" s="8"/>
      <c r="Y5" s="6"/>
      <c r="Z5" s="2"/>
      <c r="AA5" s="7"/>
      <c r="AB5" s="8"/>
      <c r="AC5" s="8"/>
      <c r="AD5" s="2"/>
      <c r="AE5" s="2"/>
      <c r="AF5" s="2"/>
      <c r="AG5" s="2"/>
      <c r="AH5" s="2"/>
      <c r="AI5" s="2"/>
      <c r="AJ5" s="2"/>
      <c r="AK5" s="2"/>
      <c r="AL5" s="2"/>
    </row>
    <row r="6" spans="1:38" ht="15.75" customHeight="1" x14ac:dyDescent="0.15">
      <c r="A6" s="110" t="s">
        <v>40</v>
      </c>
      <c r="B6" s="2" t="s">
        <v>12632</v>
      </c>
      <c r="C6" s="7"/>
      <c r="D6" s="37">
        <v>5</v>
      </c>
      <c r="E6" s="7"/>
      <c r="F6" s="37"/>
      <c r="G6" s="2" t="s">
        <v>12634</v>
      </c>
      <c r="H6" s="2" t="s">
        <v>2011</v>
      </c>
      <c r="I6" s="2" t="s">
        <v>12635</v>
      </c>
      <c r="J6" s="2" t="s">
        <v>48</v>
      </c>
      <c r="K6" s="2" t="s">
        <v>12637</v>
      </c>
      <c r="L6" s="2" t="s">
        <v>12640</v>
      </c>
      <c r="M6" s="45" t="str">
        <f>HYPERLINK("twitter.com/bscc_softball","@bscc_softball")</f>
        <v>@bscc_softball</v>
      </c>
      <c r="N6" s="48" t="s">
        <v>22</v>
      </c>
      <c r="O6" s="60" t="s">
        <v>12648</v>
      </c>
      <c r="P6" s="60" t="s">
        <v>59</v>
      </c>
      <c r="Q6" s="6" t="s">
        <v>12651</v>
      </c>
      <c r="R6" s="6" t="s">
        <v>172</v>
      </c>
      <c r="S6" s="5" t="s">
        <v>74</v>
      </c>
      <c r="T6" s="6" t="s">
        <v>75</v>
      </c>
      <c r="U6" s="5" t="s">
        <v>3678</v>
      </c>
      <c r="V6" s="2" t="s">
        <v>214</v>
      </c>
      <c r="W6" s="4" t="s">
        <v>214</v>
      </c>
      <c r="X6" s="4" t="s">
        <v>214</v>
      </c>
      <c r="Y6" s="4" t="s">
        <v>214</v>
      </c>
      <c r="Z6" s="8" t="s">
        <v>214</v>
      </c>
      <c r="AA6" s="39">
        <v>15360</v>
      </c>
      <c r="AB6" s="90" t="s">
        <v>12648</v>
      </c>
      <c r="AC6" s="53" t="str">
        <f>HYPERLINK("https://www.bscc.edu/programs","Link")</f>
        <v>Link</v>
      </c>
      <c r="AD6" s="42">
        <v>3806</v>
      </c>
      <c r="AE6" s="55"/>
      <c r="AF6" s="55"/>
      <c r="AG6" s="56">
        <v>102429</v>
      </c>
      <c r="AH6" s="7" t="s">
        <v>2459</v>
      </c>
      <c r="AI6" s="85"/>
      <c r="AJ6" s="85"/>
      <c r="AK6" s="85"/>
    </row>
    <row r="7" spans="1:38" ht="15" x14ac:dyDescent="0.2">
      <c r="A7" s="31" t="s">
        <v>40</v>
      </c>
      <c r="B7" s="33" t="s">
        <v>12632</v>
      </c>
      <c r="C7" s="7"/>
      <c r="D7" s="37">
        <v>5</v>
      </c>
      <c r="E7" s="7"/>
      <c r="F7" s="37"/>
      <c r="G7" s="2" t="s">
        <v>12667</v>
      </c>
      <c r="H7" s="2" t="s">
        <v>12668</v>
      </c>
      <c r="I7" s="2" t="s">
        <v>12669</v>
      </c>
      <c r="J7" s="2" t="s">
        <v>48</v>
      </c>
      <c r="K7" s="2" t="s">
        <v>12670</v>
      </c>
      <c r="L7" s="2"/>
      <c r="M7" s="48"/>
      <c r="N7" s="48" t="s">
        <v>22</v>
      </c>
      <c r="O7" s="108" t="s">
        <v>12671</v>
      </c>
      <c r="P7" s="60" t="s">
        <v>59</v>
      </c>
      <c r="Q7" s="48" t="s">
        <v>342</v>
      </c>
      <c r="R7" s="48" t="s">
        <v>62</v>
      </c>
      <c r="S7" s="49" t="s">
        <v>74</v>
      </c>
      <c r="T7" s="48" t="s">
        <v>75</v>
      </c>
      <c r="U7" s="49" t="s">
        <v>12676</v>
      </c>
      <c r="V7" s="48" t="s">
        <v>214</v>
      </c>
      <c r="W7" s="49" t="s">
        <v>214</v>
      </c>
      <c r="X7" s="49" t="s">
        <v>214</v>
      </c>
      <c r="Y7" s="49" t="s">
        <v>214</v>
      </c>
      <c r="Z7" s="49" t="s">
        <v>214</v>
      </c>
      <c r="AA7" s="48" t="s">
        <v>12677</v>
      </c>
      <c r="AB7" s="52" t="s">
        <v>12671</v>
      </c>
      <c r="AC7" s="53" t="str">
        <f>HYPERLINK("https://www.bishop.edu/academics/","Link")</f>
        <v>Link</v>
      </c>
      <c r="AD7" s="42">
        <v>3028</v>
      </c>
      <c r="AE7" s="55"/>
      <c r="AF7" s="55"/>
      <c r="AG7" s="56">
        <v>102030</v>
      </c>
      <c r="AH7" s="7" t="s">
        <v>2459</v>
      </c>
      <c r="AI7" s="85"/>
      <c r="AJ7" s="85"/>
      <c r="AK7" s="85"/>
    </row>
    <row r="8" spans="1:38" ht="15" x14ac:dyDescent="0.2">
      <c r="A8" s="110" t="s">
        <v>40</v>
      </c>
      <c r="B8" s="33" t="s">
        <v>12632</v>
      </c>
      <c r="C8" s="7" t="s">
        <v>12680</v>
      </c>
      <c r="D8" s="37">
        <v>5</v>
      </c>
      <c r="E8" s="7"/>
      <c r="F8" s="7"/>
      <c r="G8" s="2" t="s">
        <v>12683</v>
      </c>
      <c r="H8" s="2" t="s">
        <v>12684</v>
      </c>
      <c r="I8" s="2" t="s">
        <v>12686</v>
      </c>
      <c r="J8" s="2" t="s">
        <v>48</v>
      </c>
      <c r="K8" s="2" t="s">
        <v>12687</v>
      </c>
      <c r="L8" s="2" t="s">
        <v>12688</v>
      </c>
      <c r="M8" s="45" t="str">
        <f>HYPERLINK("twitter.com/calhounsoftball","@calhounsoftball")</f>
        <v>@calhounsoftball</v>
      </c>
      <c r="N8" s="48" t="s">
        <v>22</v>
      </c>
      <c r="O8" s="60" t="s">
        <v>12689</v>
      </c>
      <c r="P8" s="60" t="s">
        <v>59</v>
      </c>
      <c r="Q8" s="48" t="s">
        <v>12690</v>
      </c>
      <c r="R8" s="60" t="s">
        <v>205</v>
      </c>
      <c r="S8" s="49" t="s">
        <v>74</v>
      </c>
      <c r="T8" s="48" t="s">
        <v>75</v>
      </c>
      <c r="U8" s="49" t="s">
        <v>3678</v>
      </c>
      <c r="V8" s="7" t="s">
        <v>214</v>
      </c>
      <c r="W8" s="49" t="s">
        <v>214</v>
      </c>
      <c r="X8" s="49" t="s">
        <v>214</v>
      </c>
      <c r="Y8" s="49" t="s">
        <v>214</v>
      </c>
      <c r="Z8" s="49" t="s">
        <v>214</v>
      </c>
      <c r="AA8" s="48" t="s">
        <v>12692</v>
      </c>
      <c r="AB8" s="90" t="s">
        <v>12689</v>
      </c>
      <c r="AC8" s="53" t="str">
        <f>HYPERLINK("http://www.calhoun.edu/academics/alphabetical-listing-of-programs","Link")</f>
        <v>Link</v>
      </c>
      <c r="AD8" s="42">
        <v>9900</v>
      </c>
      <c r="AE8" s="55"/>
      <c r="AF8" s="55"/>
      <c r="AG8" s="56">
        <v>101514</v>
      </c>
      <c r="AH8" s="56"/>
      <c r="AI8" s="56"/>
    </row>
    <row r="9" spans="1:38" ht="15" x14ac:dyDescent="0.2">
      <c r="A9" s="31" t="s">
        <v>40</v>
      </c>
      <c r="B9" s="33" t="s">
        <v>12632</v>
      </c>
      <c r="C9" s="7"/>
      <c r="D9" s="37">
        <v>5</v>
      </c>
      <c r="E9" s="7"/>
      <c r="F9" s="37"/>
      <c r="G9" s="2" t="s">
        <v>12702</v>
      </c>
      <c r="H9" s="2" t="s">
        <v>363</v>
      </c>
      <c r="I9" s="2" t="s">
        <v>12703</v>
      </c>
      <c r="J9" s="2" t="s">
        <v>48</v>
      </c>
      <c r="K9" s="2" t="s">
        <v>12704</v>
      </c>
      <c r="L9" s="2" t="s">
        <v>12705</v>
      </c>
      <c r="M9" s="48"/>
      <c r="N9" s="48" t="s">
        <v>22</v>
      </c>
      <c r="O9" s="108" t="s">
        <v>12706</v>
      </c>
      <c r="P9" s="60" t="s">
        <v>59</v>
      </c>
      <c r="Q9" s="48" t="s">
        <v>12707</v>
      </c>
      <c r="R9" s="48" t="s">
        <v>468</v>
      </c>
      <c r="S9" s="49" t="s">
        <v>74</v>
      </c>
      <c r="T9" s="48" t="s">
        <v>75</v>
      </c>
      <c r="U9" s="49" t="s">
        <v>3678</v>
      </c>
      <c r="V9" s="48" t="s">
        <v>214</v>
      </c>
      <c r="W9" s="49" t="s">
        <v>214</v>
      </c>
      <c r="X9" s="49" t="s">
        <v>214</v>
      </c>
      <c r="Y9" s="49" t="s">
        <v>214</v>
      </c>
      <c r="Z9" s="55" t="s">
        <v>214</v>
      </c>
      <c r="AA9" s="48" t="s">
        <v>12711</v>
      </c>
      <c r="AB9" s="52" t="s">
        <v>12706</v>
      </c>
      <c r="AC9" s="53" t="str">
        <f t="shared" ref="AC9:AC11" si="0">HYPERLINK("https://www.cv.edu/divisions/degree-programs/","Link")</f>
        <v>Link</v>
      </c>
      <c r="AD9" s="42">
        <v>1528</v>
      </c>
      <c r="AE9" s="55"/>
      <c r="AF9" s="55"/>
      <c r="AG9" s="56">
        <v>101028</v>
      </c>
      <c r="AH9" s="7" t="s">
        <v>2459</v>
      </c>
      <c r="AI9" s="85"/>
      <c r="AJ9" s="85"/>
      <c r="AK9" s="85"/>
    </row>
    <row r="10" spans="1:38" ht="15" x14ac:dyDescent="0.2">
      <c r="A10" s="31" t="s">
        <v>40</v>
      </c>
      <c r="B10" s="33" t="s">
        <v>12632</v>
      </c>
      <c r="C10" s="7"/>
      <c r="D10" s="37">
        <v>5</v>
      </c>
      <c r="E10" s="7"/>
      <c r="F10" s="37"/>
      <c r="G10" s="2" t="s">
        <v>12702</v>
      </c>
      <c r="H10" s="2" t="s">
        <v>811</v>
      </c>
      <c r="I10" s="2" t="s">
        <v>977</v>
      </c>
      <c r="J10" s="2" t="s">
        <v>55</v>
      </c>
      <c r="K10" s="2"/>
      <c r="L10" s="2"/>
      <c r="M10" s="48"/>
      <c r="N10" s="48" t="s">
        <v>22</v>
      </c>
      <c r="O10" s="108" t="s">
        <v>12706</v>
      </c>
      <c r="P10" s="60" t="s">
        <v>59</v>
      </c>
      <c r="Q10" s="48" t="s">
        <v>12707</v>
      </c>
      <c r="R10" s="48" t="s">
        <v>468</v>
      </c>
      <c r="S10" s="49" t="s">
        <v>74</v>
      </c>
      <c r="T10" s="48" t="s">
        <v>75</v>
      </c>
      <c r="U10" s="49" t="s">
        <v>3678</v>
      </c>
      <c r="V10" s="48" t="s">
        <v>214</v>
      </c>
      <c r="W10" s="49" t="s">
        <v>214</v>
      </c>
      <c r="X10" s="49" t="s">
        <v>214</v>
      </c>
      <c r="Y10" s="49" t="s">
        <v>214</v>
      </c>
      <c r="Z10" s="55" t="s">
        <v>214</v>
      </c>
      <c r="AA10" s="48" t="s">
        <v>12711</v>
      </c>
      <c r="AB10" s="52" t="s">
        <v>12706</v>
      </c>
      <c r="AC10" s="53" t="str">
        <f t="shared" si="0"/>
        <v>Link</v>
      </c>
      <c r="AD10" s="42">
        <v>1528</v>
      </c>
      <c r="AE10" s="55"/>
      <c r="AF10" s="55"/>
      <c r="AG10" s="56">
        <v>101028</v>
      </c>
      <c r="AH10" s="7" t="s">
        <v>2459</v>
      </c>
      <c r="AI10" s="85"/>
      <c r="AJ10" s="85"/>
      <c r="AK10" s="85"/>
    </row>
    <row r="11" spans="1:38" ht="15" x14ac:dyDescent="0.2">
      <c r="A11" s="31" t="s">
        <v>40</v>
      </c>
      <c r="B11" s="33" t="s">
        <v>12632</v>
      </c>
      <c r="C11" s="7"/>
      <c r="D11" s="37">
        <v>5</v>
      </c>
      <c r="E11" s="7"/>
      <c r="F11" s="37"/>
      <c r="G11" s="2" t="s">
        <v>12702</v>
      </c>
      <c r="H11" s="2" t="s">
        <v>3026</v>
      </c>
      <c r="I11" s="2" t="s">
        <v>446</v>
      </c>
      <c r="J11" s="2" t="s">
        <v>55</v>
      </c>
      <c r="K11" s="2"/>
      <c r="L11" s="2"/>
      <c r="M11" s="48"/>
      <c r="N11" s="48" t="s">
        <v>22</v>
      </c>
      <c r="O11" s="108" t="s">
        <v>12706</v>
      </c>
      <c r="P11" s="60" t="s">
        <v>59</v>
      </c>
      <c r="Q11" s="48" t="s">
        <v>12707</v>
      </c>
      <c r="R11" s="48" t="s">
        <v>468</v>
      </c>
      <c r="S11" s="49" t="s">
        <v>74</v>
      </c>
      <c r="T11" s="48" t="s">
        <v>75</v>
      </c>
      <c r="U11" s="49" t="s">
        <v>3678</v>
      </c>
      <c r="V11" s="7" t="s">
        <v>214</v>
      </c>
      <c r="W11" s="49" t="s">
        <v>214</v>
      </c>
      <c r="X11" s="49" t="s">
        <v>214</v>
      </c>
      <c r="Y11" s="49" t="s">
        <v>214</v>
      </c>
      <c r="Z11" s="55" t="s">
        <v>214</v>
      </c>
      <c r="AA11" s="48" t="s">
        <v>12711</v>
      </c>
      <c r="AB11" s="52" t="s">
        <v>12706</v>
      </c>
      <c r="AC11" s="53" t="str">
        <f t="shared" si="0"/>
        <v>Link</v>
      </c>
      <c r="AD11" s="42">
        <v>1528</v>
      </c>
      <c r="AE11" s="55"/>
      <c r="AF11" s="55"/>
      <c r="AG11" s="56">
        <v>101028</v>
      </c>
      <c r="AH11" s="7" t="s">
        <v>2459</v>
      </c>
      <c r="AI11" s="85"/>
      <c r="AJ11" s="85"/>
      <c r="AK11" s="85"/>
    </row>
    <row r="12" spans="1:38" ht="15" x14ac:dyDescent="0.2">
      <c r="A12" s="110" t="s">
        <v>40</v>
      </c>
      <c r="B12" s="33" t="s">
        <v>12632</v>
      </c>
      <c r="C12" s="7" t="s">
        <v>12730</v>
      </c>
      <c r="D12" s="37">
        <v>5</v>
      </c>
      <c r="E12" s="7"/>
      <c r="F12" s="7"/>
      <c r="G12" s="2" t="s">
        <v>12735</v>
      </c>
      <c r="H12" s="2" t="s">
        <v>12736</v>
      </c>
      <c r="I12" s="2" t="s">
        <v>12737</v>
      </c>
      <c r="J12" s="2" t="s">
        <v>48</v>
      </c>
      <c r="K12" s="2" t="s">
        <v>12738</v>
      </c>
      <c r="L12" s="2"/>
      <c r="M12" s="48"/>
      <c r="N12" s="45" t="str">
        <f>HYPERLINK("http://www.coastalwarhawks.com/recruits/Prospective_Warhawk_Form","Questionnaire")</f>
        <v>Questionnaire</v>
      </c>
      <c r="O12" s="108" t="s">
        <v>12741</v>
      </c>
      <c r="P12" s="60" t="s">
        <v>59</v>
      </c>
      <c r="Q12" s="48" t="s">
        <v>12743</v>
      </c>
      <c r="R12" s="60" t="s">
        <v>205</v>
      </c>
      <c r="S12" s="49" t="s">
        <v>74</v>
      </c>
      <c r="T12" s="48" t="s">
        <v>75</v>
      </c>
      <c r="U12" s="49" t="s">
        <v>3678</v>
      </c>
      <c r="V12" s="7" t="s">
        <v>214</v>
      </c>
      <c r="W12" s="49" t="s">
        <v>214</v>
      </c>
      <c r="X12" s="49" t="s">
        <v>214</v>
      </c>
      <c r="Y12" s="49" t="s">
        <v>214</v>
      </c>
      <c r="Z12" s="55" t="s">
        <v>214</v>
      </c>
      <c r="AA12" s="48" t="s">
        <v>12744</v>
      </c>
      <c r="AB12" s="52" t="s">
        <v>12741</v>
      </c>
      <c r="AC12" s="53" t="str">
        <f t="shared" ref="AC12:AC16" si="1">HYPERLINK("http://www.jdcc.edu/programs/majors_and_departments/","Link")</f>
        <v>Link</v>
      </c>
      <c r="AD12" s="42">
        <v>4094</v>
      </c>
      <c r="AE12" s="55"/>
      <c r="AF12" s="55"/>
      <c r="AG12" s="56">
        <v>101499</v>
      </c>
      <c r="AH12" s="56"/>
      <c r="AI12" s="56"/>
    </row>
    <row r="13" spans="1:38" ht="15" x14ac:dyDescent="0.2">
      <c r="A13" s="64" t="s">
        <v>40</v>
      </c>
      <c r="B13" s="33" t="s">
        <v>12632</v>
      </c>
      <c r="C13" s="7" t="s">
        <v>12751</v>
      </c>
      <c r="D13" s="44">
        <v>5</v>
      </c>
      <c r="E13" s="7" t="s">
        <v>116</v>
      </c>
      <c r="F13" s="7"/>
      <c r="G13" s="2" t="s">
        <v>12752</v>
      </c>
      <c r="H13" s="7" t="s">
        <v>11397</v>
      </c>
      <c r="I13" s="7" t="s">
        <v>12753</v>
      </c>
      <c r="J13" s="7" t="s">
        <v>48</v>
      </c>
      <c r="K13" s="7" t="s">
        <v>12754</v>
      </c>
      <c r="L13" s="7" t="s">
        <v>12755</v>
      </c>
      <c r="M13" s="48"/>
      <c r="N13" s="45" t="str">
        <f t="shared" ref="N13:N14" si="2">HYPERLINK("http://www.coastaleagles.com/recruits/Prospective_Eagle","Questionnaire")</f>
        <v>Questionnaire</v>
      </c>
      <c r="O13" s="108" t="s">
        <v>12761</v>
      </c>
      <c r="P13" s="60" t="s">
        <v>59</v>
      </c>
      <c r="Q13" s="48" t="s">
        <v>12762</v>
      </c>
      <c r="R13" s="60" t="s">
        <v>205</v>
      </c>
      <c r="S13" s="5" t="s">
        <v>74</v>
      </c>
      <c r="T13" s="48" t="s">
        <v>75</v>
      </c>
      <c r="U13" s="49" t="s">
        <v>3678</v>
      </c>
      <c r="V13" s="7" t="s">
        <v>214</v>
      </c>
      <c r="W13" s="49" t="s">
        <v>214</v>
      </c>
      <c r="X13" s="49" t="s">
        <v>214</v>
      </c>
      <c r="Y13" s="49" t="s">
        <v>214</v>
      </c>
      <c r="Z13" s="55" t="s">
        <v>214</v>
      </c>
      <c r="AA13" s="48" t="s">
        <v>12744</v>
      </c>
      <c r="AB13" s="52" t="s">
        <v>12761</v>
      </c>
      <c r="AC13" s="53" t="str">
        <f t="shared" si="1"/>
        <v>Link</v>
      </c>
      <c r="AD13" s="42">
        <v>4094</v>
      </c>
      <c r="AE13" s="55"/>
      <c r="AF13" s="55"/>
      <c r="AG13" s="56">
        <v>101949</v>
      </c>
      <c r="AH13" s="85"/>
      <c r="AI13" s="85"/>
    </row>
    <row r="14" spans="1:38" ht="15" x14ac:dyDescent="0.2">
      <c r="A14" s="110" t="s">
        <v>40</v>
      </c>
      <c r="B14" s="33" t="s">
        <v>12632</v>
      </c>
      <c r="C14" s="7" t="s">
        <v>12771</v>
      </c>
      <c r="D14" s="37">
        <v>5</v>
      </c>
      <c r="E14" s="7"/>
      <c r="F14" s="7"/>
      <c r="G14" s="2" t="s">
        <v>12752</v>
      </c>
      <c r="H14" s="2" t="s">
        <v>427</v>
      </c>
      <c r="I14" s="2" t="s">
        <v>12774</v>
      </c>
      <c r="J14" s="2" t="s">
        <v>48</v>
      </c>
      <c r="K14" s="2" t="s">
        <v>12776</v>
      </c>
      <c r="L14" s="2" t="s">
        <v>12755</v>
      </c>
      <c r="M14" s="48"/>
      <c r="N14" s="45" t="str">
        <f t="shared" si="2"/>
        <v>Questionnaire</v>
      </c>
      <c r="O14" s="108" t="s">
        <v>12761</v>
      </c>
      <c r="P14" s="60" t="s">
        <v>59</v>
      </c>
      <c r="Q14" s="48" t="s">
        <v>12762</v>
      </c>
      <c r="R14" s="60" t="s">
        <v>205</v>
      </c>
      <c r="S14" s="5" t="s">
        <v>74</v>
      </c>
      <c r="T14" s="48" t="s">
        <v>75</v>
      </c>
      <c r="U14" s="49" t="s">
        <v>3678</v>
      </c>
      <c r="V14" s="7" t="s">
        <v>214</v>
      </c>
      <c r="W14" s="49" t="s">
        <v>214</v>
      </c>
      <c r="X14" s="49" t="s">
        <v>214</v>
      </c>
      <c r="Y14" s="49" t="s">
        <v>214</v>
      </c>
      <c r="Z14" s="55" t="s">
        <v>214</v>
      </c>
      <c r="AA14" s="48" t="s">
        <v>12744</v>
      </c>
      <c r="AB14" s="52" t="s">
        <v>12761</v>
      </c>
      <c r="AC14" s="53" t="str">
        <f t="shared" si="1"/>
        <v>Link</v>
      </c>
      <c r="AD14" s="42">
        <v>4094</v>
      </c>
      <c r="AE14" s="55"/>
      <c r="AF14" s="55"/>
      <c r="AG14" s="56">
        <v>101949</v>
      </c>
      <c r="AH14" s="56"/>
      <c r="AI14" s="56"/>
    </row>
    <row r="15" spans="1:38" ht="15" x14ac:dyDescent="0.2">
      <c r="A15" s="110" t="s">
        <v>40</v>
      </c>
      <c r="B15" s="33" t="s">
        <v>12632</v>
      </c>
      <c r="C15" s="7" t="s">
        <v>12784</v>
      </c>
      <c r="D15" s="37">
        <v>5</v>
      </c>
      <c r="E15" s="7"/>
      <c r="F15" s="7"/>
      <c r="G15" s="2" t="s">
        <v>12785</v>
      </c>
      <c r="H15" s="2" t="s">
        <v>4434</v>
      </c>
      <c r="I15" s="2" t="s">
        <v>12787</v>
      </c>
      <c r="J15" s="2" t="s">
        <v>48</v>
      </c>
      <c r="K15" s="2" t="s">
        <v>12788</v>
      </c>
      <c r="L15" s="2" t="s">
        <v>12789</v>
      </c>
      <c r="M15" s="48"/>
      <c r="N15" s="45" t="str">
        <f t="shared" ref="N15:N16" si="3">HYPERLINK("http://www.coastalsunchiefs.com/recruits/Prospective_Sun_Chief_Form","Questionnaire")</f>
        <v>Questionnaire</v>
      </c>
      <c r="O15" s="108" t="s">
        <v>12791</v>
      </c>
      <c r="P15" s="60" t="s">
        <v>59</v>
      </c>
      <c r="Q15" s="48" t="s">
        <v>12792</v>
      </c>
      <c r="R15" s="60" t="s">
        <v>205</v>
      </c>
      <c r="S15" s="49" t="s">
        <v>74</v>
      </c>
      <c r="T15" s="48" t="s">
        <v>75</v>
      </c>
      <c r="U15" s="49" t="s">
        <v>3678</v>
      </c>
      <c r="V15" s="7" t="s">
        <v>214</v>
      </c>
      <c r="W15" s="49" t="s">
        <v>214</v>
      </c>
      <c r="X15" s="49" t="s">
        <v>214</v>
      </c>
      <c r="Y15" s="49" t="s">
        <v>214</v>
      </c>
      <c r="Z15" s="49" t="s">
        <v>214</v>
      </c>
      <c r="AA15" s="48" t="s">
        <v>12744</v>
      </c>
      <c r="AB15" s="52" t="s">
        <v>12791</v>
      </c>
      <c r="AC15" s="53" t="str">
        <f t="shared" si="1"/>
        <v>Link</v>
      </c>
      <c r="AD15" s="42">
        <v>4094</v>
      </c>
      <c r="AE15" s="55"/>
      <c r="AF15" s="55"/>
      <c r="AG15" s="56">
        <v>101161</v>
      </c>
      <c r="AH15" s="56"/>
      <c r="AI15" s="56"/>
    </row>
    <row r="16" spans="1:38" ht="15" x14ac:dyDescent="0.2">
      <c r="A16" s="110" t="s">
        <v>40</v>
      </c>
      <c r="B16" s="33" t="s">
        <v>12632</v>
      </c>
      <c r="C16" s="7" t="s">
        <v>12798</v>
      </c>
      <c r="D16" s="37">
        <v>5</v>
      </c>
      <c r="E16" s="7"/>
      <c r="F16" s="7"/>
      <c r="G16" s="2" t="s">
        <v>12785</v>
      </c>
      <c r="H16" s="2" t="s">
        <v>4123</v>
      </c>
      <c r="I16" s="2" t="s">
        <v>12800</v>
      </c>
      <c r="J16" s="2" t="s">
        <v>55</v>
      </c>
      <c r="K16" s="2" t="s">
        <v>12803</v>
      </c>
      <c r="L16" s="2"/>
      <c r="M16" s="48"/>
      <c r="N16" s="45" t="str">
        <f t="shared" si="3"/>
        <v>Questionnaire</v>
      </c>
      <c r="O16" s="108" t="s">
        <v>12791</v>
      </c>
      <c r="P16" s="60" t="s">
        <v>59</v>
      </c>
      <c r="Q16" s="48" t="s">
        <v>12792</v>
      </c>
      <c r="R16" s="60" t="s">
        <v>205</v>
      </c>
      <c r="S16" s="49" t="s">
        <v>74</v>
      </c>
      <c r="T16" s="48" t="s">
        <v>75</v>
      </c>
      <c r="U16" s="49" t="s">
        <v>3678</v>
      </c>
      <c r="V16" s="7" t="s">
        <v>214</v>
      </c>
      <c r="W16" s="49" t="s">
        <v>214</v>
      </c>
      <c r="X16" s="49" t="s">
        <v>214</v>
      </c>
      <c r="Y16" s="49" t="s">
        <v>214</v>
      </c>
      <c r="Z16" s="49" t="s">
        <v>214</v>
      </c>
      <c r="AA16" s="48" t="s">
        <v>12744</v>
      </c>
      <c r="AB16" s="52" t="s">
        <v>12791</v>
      </c>
      <c r="AC16" s="53" t="str">
        <f t="shared" si="1"/>
        <v>Link</v>
      </c>
      <c r="AD16" s="42">
        <v>4094</v>
      </c>
      <c r="AE16" s="55"/>
      <c r="AF16" s="55"/>
      <c r="AG16" s="56">
        <v>101161</v>
      </c>
      <c r="AH16" s="56"/>
      <c r="AI16" s="56"/>
    </row>
    <row r="17" spans="1:37" ht="15" x14ac:dyDescent="0.2">
      <c r="A17" s="110" t="s">
        <v>40</v>
      </c>
      <c r="B17" s="33" t="s">
        <v>12632</v>
      </c>
      <c r="C17" s="7" t="s">
        <v>12809</v>
      </c>
      <c r="D17" s="37">
        <v>5</v>
      </c>
      <c r="E17" s="7"/>
      <c r="F17" s="7"/>
      <c r="G17" s="2" t="s">
        <v>12810</v>
      </c>
      <c r="H17" s="2" t="s">
        <v>11766</v>
      </c>
      <c r="I17" s="2" t="s">
        <v>7395</v>
      </c>
      <c r="J17" s="2" t="s">
        <v>48</v>
      </c>
      <c r="K17" s="2" t="s">
        <v>12813</v>
      </c>
      <c r="L17" s="2" t="s">
        <v>12815</v>
      </c>
      <c r="M17" s="45" t="str">
        <f>HYPERLINK("twitter.com/escc_softball","@escc_softball")</f>
        <v>@escc_softball</v>
      </c>
      <c r="N17" s="48" t="s">
        <v>22</v>
      </c>
      <c r="O17" s="48" t="s">
        <v>12817</v>
      </c>
      <c r="P17" s="108" t="s">
        <v>59</v>
      </c>
      <c r="Q17" s="48" t="s">
        <v>12818</v>
      </c>
      <c r="R17" s="48" t="s">
        <v>468</v>
      </c>
      <c r="S17" s="49" t="s">
        <v>74</v>
      </c>
      <c r="T17" s="48" t="s">
        <v>75</v>
      </c>
      <c r="U17" s="49" t="s">
        <v>3678</v>
      </c>
      <c r="V17" s="7" t="s">
        <v>214</v>
      </c>
      <c r="W17" s="49" t="s">
        <v>214</v>
      </c>
      <c r="X17" s="49" t="s">
        <v>214</v>
      </c>
      <c r="Y17" s="49" t="s">
        <v>214</v>
      </c>
      <c r="Z17" s="55" t="s">
        <v>214</v>
      </c>
      <c r="AA17" s="48" t="s">
        <v>12821</v>
      </c>
      <c r="AB17" s="84" t="s">
        <v>12817</v>
      </c>
      <c r="AC17" s="53" t="str">
        <f>HYPERLINK("https://www.escc.edu/programs/","Link")</f>
        <v>Link</v>
      </c>
      <c r="AD17" s="42">
        <v>1755</v>
      </c>
      <c r="AE17" s="55"/>
      <c r="AF17" s="55"/>
      <c r="AG17" s="56">
        <v>101143</v>
      </c>
      <c r="AH17" s="56"/>
      <c r="AI17" s="56"/>
    </row>
    <row r="18" spans="1:37" ht="15" x14ac:dyDescent="0.2">
      <c r="A18" s="31" t="s">
        <v>40</v>
      </c>
      <c r="B18" s="33" t="s">
        <v>12632</v>
      </c>
      <c r="C18" s="7"/>
      <c r="D18" s="37">
        <v>5</v>
      </c>
      <c r="E18" s="7"/>
      <c r="F18" s="37"/>
      <c r="G18" s="2" t="s">
        <v>12826</v>
      </c>
      <c r="H18" s="2" t="s">
        <v>92</v>
      </c>
      <c r="I18" s="2" t="s">
        <v>1124</v>
      </c>
      <c r="J18" s="2" t="s">
        <v>48</v>
      </c>
      <c r="K18" s="2" t="s">
        <v>12827</v>
      </c>
      <c r="L18" s="2" t="s">
        <v>12828</v>
      </c>
      <c r="M18" s="48"/>
      <c r="N18" s="48" t="s">
        <v>22</v>
      </c>
      <c r="O18" s="48" t="s">
        <v>12830</v>
      </c>
      <c r="P18" s="60" t="s">
        <v>59</v>
      </c>
      <c r="Q18" s="48" t="s">
        <v>12833</v>
      </c>
      <c r="R18" s="60" t="s">
        <v>205</v>
      </c>
      <c r="S18" s="49" t="s">
        <v>74</v>
      </c>
      <c r="T18" s="48" t="s">
        <v>75</v>
      </c>
      <c r="U18" s="49" t="s">
        <v>3678</v>
      </c>
      <c r="V18" s="7" t="s">
        <v>214</v>
      </c>
      <c r="W18" s="49" t="s">
        <v>214</v>
      </c>
      <c r="X18" s="49" t="s">
        <v>214</v>
      </c>
      <c r="Y18" s="49" t="s">
        <v>214</v>
      </c>
      <c r="Z18" s="55" t="s">
        <v>214</v>
      </c>
      <c r="AA18" s="48" t="s">
        <v>12839</v>
      </c>
      <c r="AB18" s="84" t="s">
        <v>12830</v>
      </c>
      <c r="AC18" s="53" t="str">
        <f>HYPERLINK("https://www.lbwcc.edu/student-services/prospective-students/getting-started/programs-of-study","Link")</f>
        <v>Link</v>
      </c>
      <c r="AD18" s="42">
        <v>1742</v>
      </c>
      <c r="AE18" s="55"/>
      <c r="AF18" s="55"/>
      <c r="AG18" s="56">
        <v>101602</v>
      </c>
      <c r="AH18" s="7" t="s">
        <v>2459</v>
      </c>
      <c r="AI18" s="85"/>
      <c r="AJ18" s="85"/>
      <c r="AK18" s="85"/>
    </row>
    <row r="19" spans="1:37" ht="15" x14ac:dyDescent="0.2">
      <c r="A19" s="110" t="s">
        <v>40</v>
      </c>
      <c r="B19" s="33" t="s">
        <v>12632</v>
      </c>
      <c r="C19" s="7" t="s">
        <v>12843</v>
      </c>
      <c r="D19" s="37">
        <v>5</v>
      </c>
      <c r="E19" s="7"/>
      <c r="F19" s="7"/>
      <c r="G19" s="2" t="s">
        <v>12844</v>
      </c>
      <c r="H19" s="2" t="s">
        <v>94</v>
      </c>
      <c r="I19" s="2" t="s">
        <v>11847</v>
      </c>
      <c r="J19" s="2" t="s">
        <v>48</v>
      </c>
      <c r="K19" s="2" t="s">
        <v>12846</v>
      </c>
      <c r="L19" s="2" t="s">
        <v>12847</v>
      </c>
      <c r="M19" s="45" t="str">
        <f t="shared" ref="M19:M20" si="4">HYPERLINK("twitter.com/mmitigerssoftba","@mmitigerssoftba")</f>
        <v>@mmitigerssoftba</v>
      </c>
      <c r="N19" s="45" t="str">
        <f t="shared" ref="N19:N20" si="5">HYPERLINK("https://mmitigers.com/recruiting/Prospective_Athlete_Form","Questionnaire")</f>
        <v>Questionnaire</v>
      </c>
      <c r="O19" s="48" t="s">
        <v>12855</v>
      </c>
      <c r="P19" s="60" t="s">
        <v>59</v>
      </c>
      <c r="Q19" s="48" t="s">
        <v>12856</v>
      </c>
      <c r="R19" s="60" t="s">
        <v>205</v>
      </c>
      <c r="S19" s="49" t="s">
        <v>74</v>
      </c>
      <c r="T19" s="48" t="s">
        <v>75</v>
      </c>
      <c r="U19" s="49" t="s">
        <v>3678</v>
      </c>
      <c r="V19" s="7" t="s">
        <v>524</v>
      </c>
      <c r="W19" s="49" t="s">
        <v>1649</v>
      </c>
      <c r="X19" s="49" t="s">
        <v>76</v>
      </c>
      <c r="Y19" s="49" t="s">
        <v>1689</v>
      </c>
      <c r="Z19" s="65">
        <v>0.64</v>
      </c>
      <c r="AA19" s="48" t="s">
        <v>12857</v>
      </c>
      <c r="AB19" s="84" t="s">
        <v>12855</v>
      </c>
      <c r="AC19" s="53" t="str">
        <f t="shared" ref="AC19:AC20" si="6">HYPERLINK("https://marionmilitary.edu/academics/","Link")</f>
        <v>Link</v>
      </c>
      <c r="AD19" s="42">
        <v>425</v>
      </c>
      <c r="AE19" s="55"/>
      <c r="AF19" s="55"/>
      <c r="AG19" s="56">
        <v>101648</v>
      </c>
      <c r="AH19" s="56"/>
      <c r="AI19" s="56"/>
    </row>
    <row r="20" spans="1:37" ht="15" x14ac:dyDescent="0.2">
      <c r="A20" s="110" t="s">
        <v>40</v>
      </c>
      <c r="B20" s="33" t="s">
        <v>12632</v>
      </c>
      <c r="C20" s="7" t="s">
        <v>12864</v>
      </c>
      <c r="D20" s="37">
        <v>5</v>
      </c>
      <c r="E20" s="7"/>
      <c r="F20" s="7"/>
      <c r="G20" s="2" t="s">
        <v>12844</v>
      </c>
      <c r="H20" s="2" t="s">
        <v>12867</v>
      </c>
      <c r="I20" s="2" t="s">
        <v>11847</v>
      </c>
      <c r="J20" s="2" t="s">
        <v>55</v>
      </c>
      <c r="K20" s="2" t="s">
        <v>12868</v>
      </c>
      <c r="L20" s="2" t="s">
        <v>12869</v>
      </c>
      <c r="M20" s="45" t="str">
        <f t="shared" si="4"/>
        <v>@mmitigerssoftba</v>
      </c>
      <c r="N20" s="45" t="str">
        <f t="shared" si="5"/>
        <v>Questionnaire</v>
      </c>
      <c r="O20" s="48" t="s">
        <v>12855</v>
      </c>
      <c r="P20" s="60" t="s">
        <v>59</v>
      </c>
      <c r="Q20" s="48" t="s">
        <v>12856</v>
      </c>
      <c r="R20" s="60" t="s">
        <v>205</v>
      </c>
      <c r="S20" s="49" t="s">
        <v>74</v>
      </c>
      <c r="T20" s="48" t="s">
        <v>75</v>
      </c>
      <c r="U20" s="49" t="s">
        <v>3678</v>
      </c>
      <c r="V20" s="7" t="s">
        <v>524</v>
      </c>
      <c r="W20" s="49" t="s">
        <v>1649</v>
      </c>
      <c r="X20" s="49" t="s">
        <v>76</v>
      </c>
      <c r="Y20" s="49" t="s">
        <v>1689</v>
      </c>
      <c r="Z20" s="65">
        <v>0.64</v>
      </c>
      <c r="AA20" s="48" t="s">
        <v>12857</v>
      </c>
      <c r="AB20" s="84" t="s">
        <v>12855</v>
      </c>
      <c r="AC20" s="53" t="str">
        <f t="shared" si="6"/>
        <v>Link</v>
      </c>
      <c r="AD20" s="42">
        <v>425</v>
      </c>
      <c r="AE20" s="55"/>
      <c r="AF20" s="55"/>
      <c r="AG20" s="56">
        <v>101648</v>
      </c>
      <c r="AH20" s="56"/>
      <c r="AI20" s="56"/>
    </row>
    <row r="21" spans="1:37" ht="15" x14ac:dyDescent="0.2">
      <c r="A21" s="110" t="s">
        <v>40</v>
      </c>
      <c r="B21" s="33" t="s">
        <v>12632</v>
      </c>
      <c r="C21" s="7" t="s">
        <v>12883</v>
      </c>
      <c r="D21" s="37">
        <v>5</v>
      </c>
      <c r="E21" s="7"/>
      <c r="F21" s="7"/>
      <c r="G21" s="2" t="s">
        <v>12884</v>
      </c>
      <c r="H21" s="2" t="s">
        <v>2094</v>
      </c>
      <c r="I21" s="2" t="s">
        <v>12885</v>
      </c>
      <c r="J21" s="2" t="s">
        <v>48</v>
      </c>
      <c r="K21" s="2" t="s">
        <v>12886</v>
      </c>
      <c r="L21" s="2" t="s">
        <v>12888</v>
      </c>
      <c r="M21" s="45" t="str">
        <f t="shared" ref="M21:M22" si="7">HYPERLINK("twitter.com/sheltonsoftball","@sheltonsoftball")</f>
        <v>@sheltonsoftball</v>
      </c>
      <c r="N21" s="48" t="s">
        <v>22</v>
      </c>
      <c r="O21" s="48" t="s">
        <v>12891</v>
      </c>
      <c r="P21" s="60" t="s">
        <v>59</v>
      </c>
      <c r="Q21" s="48" t="s">
        <v>11483</v>
      </c>
      <c r="R21" s="48" t="s">
        <v>238</v>
      </c>
      <c r="S21" s="49" t="s">
        <v>74</v>
      </c>
      <c r="T21" s="48" t="s">
        <v>75</v>
      </c>
      <c r="U21" s="49" t="s">
        <v>12676</v>
      </c>
      <c r="V21" s="7" t="s">
        <v>214</v>
      </c>
      <c r="W21" s="49" t="s">
        <v>214</v>
      </c>
      <c r="X21" s="49" t="s">
        <v>214</v>
      </c>
      <c r="Y21" s="49" t="s">
        <v>214</v>
      </c>
      <c r="Z21" s="55" t="s">
        <v>214</v>
      </c>
      <c r="AA21" s="48" t="s">
        <v>12896</v>
      </c>
      <c r="AB21" s="84" t="s">
        <v>12891</v>
      </c>
      <c r="AC21" s="53" t="str">
        <f t="shared" ref="AC21:AC22" si="8">HYPERLINK("http://catalog.sheltonstate.edu/content.php?catoid=12&amp;navoid=350","Link")</f>
        <v>Link</v>
      </c>
      <c r="AD21" s="42">
        <v>4810</v>
      </c>
      <c r="AE21" s="55"/>
      <c r="AF21" s="55"/>
      <c r="AG21" s="56">
        <v>102067</v>
      </c>
      <c r="AH21" s="56"/>
      <c r="AI21" s="56"/>
    </row>
    <row r="22" spans="1:37" ht="15" x14ac:dyDescent="0.2">
      <c r="A22" s="110" t="s">
        <v>40</v>
      </c>
      <c r="B22" s="33" t="s">
        <v>12632</v>
      </c>
      <c r="C22" s="7" t="s">
        <v>12903</v>
      </c>
      <c r="D22" s="37">
        <v>5</v>
      </c>
      <c r="E22" s="7"/>
      <c r="F22" s="7"/>
      <c r="G22" s="2" t="s">
        <v>12884</v>
      </c>
      <c r="H22" s="2" t="s">
        <v>1159</v>
      </c>
      <c r="I22" s="2" t="s">
        <v>12905</v>
      </c>
      <c r="J22" s="2" t="s">
        <v>55</v>
      </c>
      <c r="K22" s="2"/>
      <c r="L22" s="2"/>
      <c r="M22" s="45" t="str">
        <f t="shared" si="7"/>
        <v>@sheltonsoftball</v>
      </c>
      <c r="N22" s="48" t="s">
        <v>22</v>
      </c>
      <c r="O22" s="48" t="s">
        <v>12891</v>
      </c>
      <c r="P22" s="60" t="s">
        <v>59</v>
      </c>
      <c r="Q22" s="48" t="s">
        <v>11483</v>
      </c>
      <c r="R22" s="48" t="s">
        <v>238</v>
      </c>
      <c r="S22" s="49" t="s">
        <v>74</v>
      </c>
      <c r="T22" s="48" t="s">
        <v>75</v>
      </c>
      <c r="U22" s="49" t="s">
        <v>12676</v>
      </c>
      <c r="V22" s="7" t="s">
        <v>214</v>
      </c>
      <c r="W22" s="49" t="s">
        <v>214</v>
      </c>
      <c r="X22" s="49" t="s">
        <v>214</v>
      </c>
      <c r="Y22" s="49" t="s">
        <v>214</v>
      </c>
      <c r="Z22" s="55" t="s">
        <v>214</v>
      </c>
      <c r="AA22" s="48" t="s">
        <v>12896</v>
      </c>
      <c r="AB22" s="84" t="s">
        <v>12891</v>
      </c>
      <c r="AC22" s="53" t="str">
        <f t="shared" si="8"/>
        <v>Link</v>
      </c>
      <c r="AD22" s="42">
        <v>4810</v>
      </c>
      <c r="AE22" s="55"/>
      <c r="AF22" s="55"/>
      <c r="AG22" s="56">
        <v>102067</v>
      </c>
      <c r="AH22" s="56"/>
      <c r="AI22" s="56"/>
    </row>
    <row r="23" spans="1:37" ht="15" x14ac:dyDescent="0.2">
      <c r="A23" s="110" t="s">
        <v>40</v>
      </c>
      <c r="B23" s="33" t="s">
        <v>12632</v>
      </c>
      <c r="C23" s="7" t="s">
        <v>12910</v>
      </c>
      <c r="D23" s="37">
        <v>5</v>
      </c>
      <c r="E23" s="7"/>
      <c r="F23" s="7"/>
      <c r="G23" s="2" t="s">
        <v>12912</v>
      </c>
      <c r="H23" s="2" t="s">
        <v>4275</v>
      </c>
      <c r="I23" s="2" t="s">
        <v>12914</v>
      </c>
      <c r="J23" s="2" t="s">
        <v>48</v>
      </c>
      <c r="K23" s="2" t="s">
        <v>12916</v>
      </c>
      <c r="L23" s="2" t="s">
        <v>12917</v>
      </c>
      <c r="M23" s="45" t="str">
        <f t="shared" ref="M23:M26" si="9">HYPERLINK("twitter.com/SneadSoftball","@SneadSoftball")</f>
        <v>@SneadSoftball</v>
      </c>
      <c r="N23" s="48" t="s">
        <v>22</v>
      </c>
      <c r="O23" s="108" t="s">
        <v>12919</v>
      </c>
      <c r="P23" s="60" t="s">
        <v>59</v>
      </c>
      <c r="Q23" s="48" t="s">
        <v>12921</v>
      </c>
      <c r="R23" s="60" t="s">
        <v>205</v>
      </c>
      <c r="S23" s="49" t="s">
        <v>74</v>
      </c>
      <c r="T23" s="48" t="s">
        <v>75</v>
      </c>
      <c r="U23" s="49" t="s">
        <v>3678</v>
      </c>
      <c r="V23" s="7" t="s">
        <v>214</v>
      </c>
      <c r="W23" s="49" t="s">
        <v>214</v>
      </c>
      <c r="X23" s="49" t="s">
        <v>214</v>
      </c>
      <c r="Y23" s="49" t="s">
        <v>214</v>
      </c>
      <c r="Z23" s="55" t="s">
        <v>214</v>
      </c>
      <c r="AA23" s="48" t="s">
        <v>12925</v>
      </c>
      <c r="AB23" s="52" t="s">
        <v>12919</v>
      </c>
      <c r="AC23" s="53" t="str">
        <f t="shared" ref="AC23:AC26" si="10">HYPERLINK("http://www.snead.edu/academics/programs_of_study.aspx","Link")</f>
        <v>Link</v>
      </c>
      <c r="AD23" s="42">
        <v>2321</v>
      </c>
      <c r="AE23" s="55"/>
      <c r="AF23" s="55"/>
      <c r="AG23" s="56">
        <v>102076</v>
      </c>
      <c r="AH23" s="56"/>
      <c r="AI23" s="56"/>
    </row>
    <row r="24" spans="1:37" ht="15" x14ac:dyDescent="0.2">
      <c r="A24" s="110" t="s">
        <v>40</v>
      </c>
      <c r="B24" s="33" t="s">
        <v>12632</v>
      </c>
      <c r="C24" s="7" t="s">
        <v>12930</v>
      </c>
      <c r="D24" s="37">
        <v>5</v>
      </c>
      <c r="E24" s="7"/>
      <c r="F24" s="7"/>
      <c r="G24" s="2" t="s">
        <v>12912</v>
      </c>
      <c r="H24" s="2" t="s">
        <v>12931</v>
      </c>
      <c r="I24" s="2" t="s">
        <v>11755</v>
      </c>
      <c r="J24" s="2" t="s">
        <v>55</v>
      </c>
      <c r="K24" s="2" t="s">
        <v>12932</v>
      </c>
      <c r="L24" s="2" t="s">
        <v>12933</v>
      </c>
      <c r="M24" s="45" t="str">
        <f t="shared" si="9"/>
        <v>@SneadSoftball</v>
      </c>
      <c r="N24" s="48" t="s">
        <v>22</v>
      </c>
      <c r="O24" s="108" t="s">
        <v>12919</v>
      </c>
      <c r="P24" s="60" t="s">
        <v>59</v>
      </c>
      <c r="Q24" s="48" t="s">
        <v>12921</v>
      </c>
      <c r="R24" s="60" t="s">
        <v>205</v>
      </c>
      <c r="S24" s="49" t="s">
        <v>74</v>
      </c>
      <c r="T24" s="48" t="s">
        <v>75</v>
      </c>
      <c r="U24" s="49" t="s">
        <v>3678</v>
      </c>
      <c r="V24" s="7" t="s">
        <v>214</v>
      </c>
      <c r="W24" s="49" t="s">
        <v>214</v>
      </c>
      <c r="X24" s="49" t="s">
        <v>214</v>
      </c>
      <c r="Y24" s="49" t="s">
        <v>214</v>
      </c>
      <c r="Z24" s="55" t="s">
        <v>214</v>
      </c>
      <c r="AA24" s="48" t="s">
        <v>12925</v>
      </c>
      <c r="AB24" s="52" t="s">
        <v>12919</v>
      </c>
      <c r="AC24" s="53" t="str">
        <f t="shared" si="10"/>
        <v>Link</v>
      </c>
      <c r="AD24" s="42">
        <v>2321</v>
      </c>
      <c r="AE24" s="55"/>
      <c r="AF24" s="55"/>
      <c r="AG24" s="56">
        <v>102076</v>
      </c>
      <c r="AH24" s="56"/>
      <c r="AI24" s="56"/>
    </row>
    <row r="25" spans="1:37" ht="15" x14ac:dyDescent="0.2">
      <c r="A25" s="110" t="s">
        <v>40</v>
      </c>
      <c r="B25" s="33" t="s">
        <v>12632</v>
      </c>
      <c r="C25" s="7" t="s">
        <v>12944</v>
      </c>
      <c r="D25" s="37">
        <v>5</v>
      </c>
      <c r="E25" s="7"/>
      <c r="F25" s="7"/>
      <c r="G25" s="2" t="s">
        <v>12912</v>
      </c>
      <c r="H25" s="2" t="s">
        <v>12931</v>
      </c>
      <c r="I25" s="2" t="s">
        <v>11755</v>
      </c>
      <c r="J25" s="2" t="s">
        <v>6646</v>
      </c>
      <c r="K25" s="2" t="s">
        <v>12948</v>
      </c>
      <c r="L25" s="2" t="s">
        <v>12933</v>
      </c>
      <c r="M25" s="45" t="str">
        <f t="shared" si="9"/>
        <v>@SneadSoftball</v>
      </c>
      <c r="N25" s="48" t="s">
        <v>22</v>
      </c>
      <c r="O25" s="108" t="s">
        <v>12919</v>
      </c>
      <c r="P25" s="60" t="s">
        <v>59</v>
      </c>
      <c r="Q25" s="48" t="s">
        <v>12921</v>
      </c>
      <c r="R25" s="60" t="s">
        <v>205</v>
      </c>
      <c r="S25" s="49" t="s">
        <v>74</v>
      </c>
      <c r="T25" s="48" t="s">
        <v>75</v>
      </c>
      <c r="U25" s="49" t="s">
        <v>3678</v>
      </c>
      <c r="V25" s="7" t="s">
        <v>214</v>
      </c>
      <c r="W25" s="49" t="s">
        <v>214</v>
      </c>
      <c r="X25" s="49" t="s">
        <v>214</v>
      </c>
      <c r="Y25" s="49" t="s">
        <v>214</v>
      </c>
      <c r="Z25" s="55" t="s">
        <v>214</v>
      </c>
      <c r="AA25" s="48" t="s">
        <v>12925</v>
      </c>
      <c r="AB25" s="52" t="s">
        <v>12919</v>
      </c>
      <c r="AC25" s="53" t="str">
        <f t="shared" si="10"/>
        <v>Link</v>
      </c>
      <c r="AD25" s="42">
        <v>2321</v>
      </c>
      <c r="AE25" s="55"/>
      <c r="AF25" s="55"/>
      <c r="AG25" s="56">
        <v>102076</v>
      </c>
      <c r="AH25" s="56"/>
      <c r="AI25" s="56"/>
    </row>
    <row r="26" spans="1:37" ht="15" x14ac:dyDescent="0.2">
      <c r="A26" s="110" t="s">
        <v>40</v>
      </c>
      <c r="B26" s="33" t="s">
        <v>12632</v>
      </c>
      <c r="C26" s="7" t="s">
        <v>12955</v>
      </c>
      <c r="D26" s="37">
        <v>5</v>
      </c>
      <c r="E26" s="7"/>
      <c r="F26" s="7"/>
      <c r="G26" s="2" t="s">
        <v>12912</v>
      </c>
      <c r="H26" s="2" t="s">
        <v>3201</v>
      </c>
      <c r="I26" s="2" t="s">
        <v>2791</v>
      </c>
      <c r="J26" s="2" t="s">
        <v>55</v>
      </c>
      <c r="K26" s="2"/>
      <c r="L26" s="2"/>
      <c r="M26" s="45" t="str">
        <f t="shared" si="9"/>
        <v>@SneadSoftball</v>
      </c>
      <c r="N26" s="48" t="s">
        <v>22</v>
      </c>
      <c r="O26" s="108" t="s">
        <v>12919</v>
      </c>
      <c r="P26" s="60" t="s">
        <v>59</v>
      </c>
      <c r="Q26" s="48" t="s">
        <v>12921</v>
      </c>
      <c r="R26" s="60" t="s">
        <v>205</v>
      </c>
      <c r="S26" s="49" t="s">
        <v>74</v>
      </c>
      <c r="T26" s="48" t="s">
        <v>75</v>
      </c>
      <c r="U26" s="49" t="s">
        <v>3678</v>
      </c>
      <c r="V26" s="7" t="s">
        <v>214</v>
      </c>
      <c r="W26" s="49" t="s">
        <v>214</v>
      </c>
      <c r="X26" s="49" t="s">
        <v>214</v>
      </c>
      <c r="Y26" s="49" t="s">
        <v>214</v>
      </c>
      <c r="Z26" s="55" t="s">
        <v>214</v>
      </c>
      <c r="AA26" s="48" t="s">
        <v>12925</v>
      </c>
      <c r="AB26" s="52" t="s">
        <v>12919</v>
      </c>
      <c r="AC26" s="53" t="str">
        <f t="shared" si="10"/>
        <v>Link</v>
      </c>
      <c r="AD26" s="42">
        <v>2321</v>
      </c>
      <c r="AE26" s="55"/>
      <c r="AF26" s="55"/>
      <c r="AG26" s="56">
        <v>102076</v>
      </c>
      <c r="AH26" s="56"/>
      <c r="AI26" s="56"/>
    </row>
    <row r="27" spans="1:37" ht="15" x14ac:dyDescent="0.2">
      <c r="A27" s="31" t="s">
        <v>40</v>
      </c>
      <c r="B27" s="33" t="s">
        <v>12632</v>
      </c>
      <c r="C27" s="7"/>
      <c r="D27" s="37">
        <v>5</v>
      </c>
      <c r="E27" s="7"/>
      <c r="F27" s="37"/>
      <c r="G27" s="2" t="s">
        <v>12966</v>
      </c>
      <c r="H27" s="2" t="s">
        <v>5749</v>
      </c>
      <c r="I27" s="2" t="s">
        <v>12969</v>
      </c>
      <c r="J27" s="2" t="s">
        <v>48</v>
      </c>
      <c r="K27" s="2" t="s">
        <v>12970</v>
      </c>
      <c r="L27" s="2" t="s">
        <v>12971</v>
      </c>
      <c r="M27" s="45" t="str">
        <f t="shared" ref="M27:M28" si="11">HYPERLINK("twitter.com/susccsoftball","@susccsoftball")</f>
        <v>@susccsoftball</v>
      </c>
      <c r="N27" s="48" t="s">
        <v>22</v>
      </c>
      <c r="O27" s="108" t="s">
        <v>12972</v>
      </c>
      <c r="P27" s="60" t="s">
        <v>59</v>
      </c>
      <c r="Q27" s="48" t="s">
        <v>12973</v>
      </c>
      <c r="R27" s="48" t="s">
        <v>468</v>
      </c>
      <c r="S27" s="49" t="s">
        <v>74</v>
      </c>
      <c r="T27" s="48" t="s">
        <v>75</v>
      </c>
      <c r="U27" s="49" t="s">
        <v>3678</v>
      </c>
      <c r="V27" s="7" t="s">
        <v>214</v>
      </c>
      <c r="W27" s="49" t="s">
        <v>214</v>
      </c>
      <c r="X27" s="49" t="s">
        <v>214</v>
      </c>
      <c r="Y27" s="49" t="s">
        <v>214</v>
      </c>
      <c r="Z27" s="55" t="s">
        <v>214</v>
      </c>
      <c r="AA27" s="48" t="s">
        <v>12975</v>
      </c>
      <c r="AB27" s="52" t="s">
        <v>12972</v>
      </c>
      <c r="AC27" s="53" t="str">
        <f t="shared" ref="AC27:AC28" si="12">HYPERLINK("http://suscc.edu/programs/academic-overview.cms","Link")</f>
        <v>Link</v>
      </c>
      <c r="AD27" s="42">
        <v>4683</v>
      </c>
      <c r="AE27" s="55"/>
      <c r="AF27" s="55"/>
      <c r="AG27" s="56">
        <v>251260</v>
      </c>
      <c r="AH27" s="7" t="s">
        <v>2459</v>
      </c>
      <c r="AI27" s="85"/>
      <c r="AJ27" s="85"/>
      <c r="AK27" s="85"/>
    </row>
    <row r="28" spans="1:37" ht="15" x14ac:dyDescent="0.2">
      <c r="A28" s="31" t="s">
        <v>40</v>
      </c>
      <c r="B28" s="33" t="s">
        <v>12632</v>
      </c>
      <c r="C28" s="7"/>
      <c r="D28" s="37">
        <v>5</v>
      </c>
      <c r="E28" s="7"/>
      <c r="F28" s="37"/>
      <c r="G28" s="2" t="s">
        <v>12966</v>
      </c>
      <c r="H28" s="2" t="s">
        <v>1351</v>
      </c>
      <c r="I28" s="2" t="s">
        <v>12980</v>
      </c>
      <c r="J28" s="2" t="s">
        <v>55</v>
      </c>
      <c r="K28" s="2" t="s">
        <v>12981</v>
      </c>
      <c r="L28" s="2"/>
      <c r="M28" s="45" t="str">
        <f t="shared" si="11"/>
        <v>@susccsoftball</v>
      </c>
      <c r="N28" s="48" t="s">
        <v>22</v>
      </c>
      <c r="O28" s="108" t="s">
        <v>12972</v>
      </c>
      <c r="P28" s="60" t="s">
        <v>59</v>
      </c>
      <c r="Q28" s="48" t="s">
        <v>12973</v>
      </c>
      <c r="R28" s="48" t="s">
        <v>468</v>
      </c>
      <c r="S28" s="49" t="s">
        <v>74</v>
      </c>
      <c r="T28" s="48" t="s">
        <v>75</v>
      </c>
      <c r="U28" s="49" t="s">
        <v>3678</v>
      </c>
      <c r="V28" s="7" t="s">
        <v>214</v>
      </c>
      <c r="W28" s="49" t="s">
        <v>214</v>
      </c>
      <c r="X28" s="49" t="s">
        <v>214</v>
      </c>
      <c r="Y28" s="49" t="s">
        <v>214</v>
      </c>
      <c r="Z28" s="55" t="s">
        <v>214</v>
      </c>
      <c r="AA28" s="48" t="s">
        <v>12975</v>
      </c>
      <c r="AB28" s="52" t="s">
        <v>12972</v>
      </c>
      <c r="AC28" s="53" t="str">
        <f t="shared" si="12"/>
        <v>Link</v>
      </c>
      <c r="AD28" s="42">
        <v>4683</v>
      </c>
      <c r="AE28" s="55"/>
      <c r="AF28" s="55"/>
      <c r="AG28" s="56">
        <v>251260</v>
      </c>
      <c r="AH28" s="7" t="s">
        <v>2459</v>
      </c>
      <c r="AI28" s="85"/>
      <c r="AJ28" s="85"/>
      <c r="AK28" s="85"/>
    </row>
    <row r="29" spans="1:37" ht="15" x14ac:dyDescent="0.2">
      <c r="A29" s="31" t="s">
        <v>40</v>
      </c>
      <c r="B29" s="33" t="s">
        <v>12632</v>
      </c>
      <c r="C29" s="7"/>
      <c r="D29" s="37">
        <v>5</v>
      </c>
      <c r="E29" s="7"/>
      <c r="F29" s="37"/>
      <c r="G29" s="2" t="s">
        <v>12985</v>
      </c>
      <c r="H29" s="2" t="s">
        <v>12268</v>
      </c>
      <c r="I29" s="2" t="s">
        <v>12986</v>
      </c>
      <c r="J29" s="2" t="s">
        <v>48</v>
      </c>
      <c r="K29" s="2" t="s">
        <v>12988</v>
      </c>
      <c r="L29" s="2" t="s">
        <v>12990</v>
      </c>
      <c r="M29" s="45" t="str">
        <f t="shared" ref="M29:M30" si="13">HYPERLINK("twitter.com/ladygovsoftball","@ladygovsoftball")</f>
        <v>@ladygovsoftball</v>
      </c>
      <c r="N29" s="45" t="str">
        <f t="shared" ref="N29:N30" si="14">HYPERLINK("https://www.wallace.edu/student_life/athletics/baseball/quick_facts/baseball_questionnaire.aspx","Questionnaire")</f>
        <v>Questionnaire</v>
      </c>
      <c r="O29" s="48" t="s">
        <v>12994</v>
      </c>
      <c r="P29" s="60" t="s">
        <v>59</v>
      </c>
      <c r="Q29" s="48" t="s">
        <v>12995</v>
      </c>
      <c r="R29" s="60" t="s">
        <v>205</v>
      </c>
      <c r="S29" s="49" t="s">
        <v>74</v>
      </c>
      <c r="T29" s="48" t="s">
        <v>75</v>
      </c>
      <c r="U29" s="49" t="s">
        <v>3678</v>
      </c>
      <c r="V29" s="7" t="s">
        <v>214</v>
      </c>
      <c r="W29" s="49" t="s">
        <v>214</v>
      </c>
      <c r="X29" s="49" t="s">
        <v>214</v>
      </c>
      <c r="Y29" s="49" t="s">
        <v>214</v>
      </c>
      <c r="Z29" s="55" t="s">
        <v>214</v>
      </c>
      <c r="AA29" s="48" t="s">
        <v>12998</v>
      </c>
      <c r="AB29" s="84" t="s">
        <v>12994</v>
      </c>
      <c r="AC29" s="53" t="str">
        <f t="shared" ref="AC29:AC30" si="15">HYPERLINK("http://www.wallacestate.edu/programs/pathways/pathways-alphabetical-listing","Link")</f>
        <v>Link</v>
      </c>
      <c r="AD29" s="42">
        <v>5445</v>
      </c>
      <c r="AE29" s="55"/>
      <c r="AF29" s="55"/>
      <c r="AG29" s="56">
        <v>101295</v>
      </c>
      <c r="AH29" s="7" t="s">
        <v>2459</v>
      </c>
      <c r="AI29" s="85"/>
      <c r="AJ29" s="85"/>
      <c r="AK29" s="85"/>
    </row>
    <row r="30" spans="1:37" ht="15" x14ac:dyDescent="0.2">
      <c r="A30" s="31" t="s">
        <v>40</v>
      </c>
      <c r="B30" s="33" t="s">
        <v>12632</v>
      </c>
      <c r="C30" s="7"/>
      <c r="D30" s="37">
        <v>5</v>
      </c>
      <c r="E30" s="7"/>
      <c r="F30" s="37"/>
      <c r="G30" s="2" t="s">
        <v>12985</v>
      </c>
      <c r="H30" s="2" t="s">
        <v>10399</v>
      </c>
      <c r="I30" s="2" t="s">
        <v>10400</v>
      </c>
      <c r="J30" s="2" t="s">
        <v>55</v>
      </c>
      <c r="K30" s="2" t="s">
        <v>13002</v>
      </c>
      <c r="L30" s="2"/>
      <c r="M30" s="45" t="str">
        <f t="shared" si="13"/>
        <v>@ladygovsoftball</v>
      </c>
      <c r="N30" s="45" t="str">
        <f t="shared" si="14"/>
        <v>Questionnaire</v>
      </c>
      <c r="O30" s="48" t="s">
        <v>12994</v>
      </c>
      <c r="P30" s="60" t="s">
        <v>59</v>
      </c>
      <c r="Q30" s="48" t="s">
        <v>12995</v>
      </c>
      <c r="R30" s="60" t="s">
        <v>205</v>
      </c>
      <c r="S30" s="49" t="s">
        <v>74</v>
      </c>
      <c r="T30" s="48" t="s">
        <v>75</v>
      </c>
      <c r="U30" s="49" t="s">
        <v>3678</v>
      </c>
      <c r="V30" s="7" t="s">
        <v>214</v>
      </c>
      <c r="W30" s="49" t="s">
        <v>214</v>
      </c>
      <c r="X30" s="49" t="s">
        <v>214</v>
      </c>
      <c r="Y30" s="49" t="s">
        <v>214</v>
      </c>
      <c r="Z30" s="55" t="s">
        <v>214</v>
      </c>
      <c r="AA30" s="48" t="s">
        <v>12998</v>
      </c>
      <c r="AB30" s="84" t="s">
        <v>12994</v>
      </c>
      <c r="AC30" s="53" t="str">
        <f t="shared" si="15"/>
        <v>Link</v>
      </c>
      <c r="AD30" s="42">
        <v>5445</v>
      </c>
      <c r="AE30" s="55"/>
      <c r="AF30" s="55"/>
      <c r="AG30" s="56">
        <v>101295</v>
      </c>
      <c r="AH30" s="7" t="s">
        <v>2459</v>
      </c>
      <c r="AI30" s="85"/>
      <c r="AJ30" s="85"/>
      <c r="AK30" s="85"/>
    </row>
    <row r="31" spans="1:37" ht="15" x14ac:dyDescent="0.2">
      <c r="A31" s="110" t="s">
        <v>10684</v>
      </c>
      <c r="B31" s="33" t="s">
        <v>12632</v>
      </c>
      <c r="C31" s="7"/>
      <c r="D31" s="37">
        <v>5</v>
      </c>
      <c r="E31" s="7"/>
      <c r="F31" s="37"/>
      <c r="G31" s="2" t="s">
        <v>13011</v>
      </c>
      <c r="H31" s="2" t="s">
        <v>1148</v>
      </c>
      <c r="I31" s="2" t="s">
        <v>13012</v>
      </c>
      <c r="J31" s="2" t="s">
        <v>48</v>
      </c>
      <c r="K31" s="2" t="s">
        <v>13013</v>
      </c>
      <c r="L31" s="2" t="s">
        <v>13014</v>
      </c>
      <c r="M31" s="48"/>
      <c r="N31" s="45" t="str">
        <f t="shared" ref="N31:N34" si="16">HYPERLINK("https://www.awcmatadors.com/recruiting-questionnaire","Questionnaire")</f>
        <v>Questionnaire</v>
      </c>
      <c r="O31" s="60" t="s">
        <v>13019</v>
      </c>
      <c r="P31" s="60" t="s">
        <v>10678</v>
      </c>
      <c r="Q31" s="48" t="s">
        <v>13020</v>
      </c>
      <c r="R31" s="48" t="s">
        <v>238</v>
      </c>
      <c r="S31" s="49" t="s">
        <v>74</v>
      </c>
      <c r="T31" s="48" t="s">
        <v>75</v>
      </c>
      <c r="U31" s="49" t="s">
        <v>3678</v>
      </c>
      <c r="V31" s="48" t="s">
        <v>214</v>
      </c>
      <c r="W31" s="49" t="s">
        <v>214</v>
      </c>
      <c r="X31" s="49" t="s">
        <v>214</v>
      </c>
      <c r="Y31" s="49" t="s">
        <v>214</v>
      </c>
      <c r="Z31" s="55" t="s">
        <v>214</v>
      </c>
      <c r="AA31" s="48" t="s">
        <v>13022</v>
      </c>
      <c r="AB31" s="90" t="s">
        <v>13019</v>
      </c>
      <c r="AC31" s="53" t="str">
        <f t="shared" ref="AC31:AC34" si="17">HYPERLINK("https://www.azwestern.edu/academics/degrees-and-certificates","Link")</f>
        <v>Link</v>
      </c>
      <c r="AD31" s="42">
        <v>7569</v>
      </c>
      <c r="AE31" s="55"/>
      <c r="AF31" s="55"/>
      <c r="AG31" s="56">
        <v>104160</v>
      </c>
      <c r="AH31" s="7" t="s">
        <v>2459</v>
      </c>
      <c r="AI31" s="85"/>
      <c r="AJ31" s="85"/>
      <c r="AK31" s="85"/>
    </row>
    <row r="32" spans="1:37" ht="15" x14ac:dyDescent="0.2">
      <c r="A32" s="110" t="s">
        <v>10684</v>
      </c>
      <c r="B32" s="33" t="s">
        <v>12632</v>
      </c>
      <c r="C32" s="7"/>
      <c r="D32" s="37">
        <v>5</v>
      </c>
      <c r="E32" s="7"/>
      <c r="F32" s="37"/>
      <c r="G32" s="2" t="s">
        <v>13011</v>
      </c>
      <c r="H32" s="2" t="s">
        <v>904</v>
      </c>
      <c r="I32" s="2" t="s">
        <v>1226</v>
      </c>
      <c r="J32" s="2" t="s">
        <v>55</v>
      </c>
      <c r="K32" s="2"/>
      <c r="L32" s="2"/>
      <c r="M32" s="48"/>
      <c r="N32" s="45" t="str">
        <f t="shared" si="16"/>
        <v>Questionnaire</v>
      </c>
      <c r="O32" s="60" t="s">
        <v>13019</v>
      </c>
      <c r="P32" s="60" t="s">
        <v>10678</v>
      </c>
      <c r="Q32" s="48" t="s">
        <v>13020</v>
      </c>
      <c r="R32" s="48" t="s">
        <v>238</v>
      </c>
      <c r="S32" s="49" t="s">
        <v>74</v>
      </c>
      <c r="T32" s="48" t="s">
        <v>75</v>
      </c>
      <c r="U32" s="49" t="s">
        <v>3678</v>
      </c>
      <c r="V32" s="48" t="s">
        <v>214</v>
      </c>
      <c r="W32" s="49" t="s">
        <v>214</v>
      </c>
      <c r="X32" s="49" t="s">
        <v>214</v>
      </c>
      <c r="Y32" s="49" t="s">
        <v>214</v>
      </c>
      <c r="Z32" s="55" t="s">
        <v>214</v>
      </c>
      <c r="AA32" s="48" t="s">
        <v>13022</v>
      </c>
      <c r="AB32" s="90" t="s">
        <v>13019</v>
      </c>
      <c r="AC32" s="53" t="str">
        <f t="shared" si="17"/>
        <v>Link</v>
      </c>
      <c r="AD32" s="42">
        <v>7569</v>
      </c>
      <c r="AE32" s="55"/>
      <c r="AF32" s="55"/>
      <c r="AG32" s="56">
        <v>104160</v>
      </c>
      <c r="AH32" s="7" t="s">
        <v>2459</v>
      </c>
      <c r="AI32" s="85"/>
      <c r="AJ32" s="85"/>
      <c r="AK32" s="85"/>
    </row>
    <row r="33" spans="1:37" ht="15" x14ac:dyDescent="0.2">
      <c r="A33" s="110" t="s">
        <v>10684</v>
      </c>
      <c r="B33" s="33" t="s">
        <v>12632</v>
      </c>
      <c r="C33" s="7"/>
      <c r="D33" s="37">
        <v>5</v>
      </c>
      <c r="E33" s="7"/>
      <c r="F33" s="37"/>
      <c r="G33" s="2" t="s">
        <v>13011</v>
      </c>
      <c r="H33" s="2" t="s">
        <v>13033</v>
      </c>
      <c r="I33" s="2" t="s">
        <v>13034</v>
      </c>
      <c r="J33" s="2" t="s">
        <v>55</v>
      </c>
      <c r="K33" s="2"/>
      <c r="L33" s="2"/>
      <c r="M33" s="48"/>
      <c r="N33" s="45" t="str">
        <f t="shared" si="16"/>
        <v>Questionnaire</v>
      </c>
      <c r="O33" s="60" t="s">
        <v>13019</v>
      </c>
      <c r="P33" s="60" t="s">
        <v>10678</v>
      </c>
      <c r="Q33" s="48" t="s">
        <v>13020</v>
      </c>
      <c r="R33" s="48" t="s">
        <v>238</v>
      </c>
      <c r="S33" s="49" t="s">
        <v>74</v>
      </c>
      <c r="T33" s="48" t="s">
        <v>75</v>
      </c>
      <c r="U33" s="49" t="s">
        <v>3678</v>
      </c>
      <c r="V33" s="48" t="s">
        <v>214</v>
      </c>
      <c r="W33" s="49" t="s">
        <v>214</v>
      </c>
      <c r="X33" s="49" t="s">
        <v>214</v>
      </c>
      <c r="Y33" s="49" t="s">
        <v>214</v>
      </c>
      <c r="Z33" s="55" t="s">
        <v>214</v>
      </c>
      <c r="AA33" s="48" t="s">
        <v>13022</v>
      </c>
      <c r="AB33" s="90" t="s">
        <v>13019</v>
      </c>
      <c r="AC33" s="53" t="str">
        <f t="shared" si="17"/>
        <v>Link</v>
      </c>
      <c r="AD33" s="42">
        <v>7569</v>
      </c>
      <c r="AE33" s="55"/>
      <c r="AF33" s="55"/>
      <c r="AG33" s="56">
        <v>104160</v>
      </c>
      <c r="AH33" s="7" t="s">
        <v>2459</v>
      </c>
      <c r="AI33" s="85"/>
      <c r="AJ33" s="85"/>
      <c r="AK33" s="85"/>
    </row>
    <row r="34" spans="1:37" ht="15" x14ac:dyDescent="0.2">
      <c r="A34" s="110" t="s">
        <v>10684</v>
      </c>
      <c r="B34" s="33" t="s">
        <v>12632</v>
      </c>
      <c r="C34" s="7"/>
      <c r="D34" s="37">
        <v>5</v>
      </c>
      <c r="E34" s="7"/>
      <c r="F34" s="37"/>
      <c r="G34" s="2" t="s">
        <v>13011</v>
      </c>
      <c r="H34" s="2" t="s">
        <v>8020</v>
      </c>
      <c r="I34" s="2" t="s">
        <v>13041</v>
      </c>
      <c r="J34" s="2" t="s">
        <v>55</v>
      </c>
      <c r="K34" s="2"/>
      <c r="L34" s="2"/>
      <c r="M34" s="48"/>
      <c r="N34" s="45" t="str">
        <f t="shared" si="16"/>
        <v>Questionnaire</v>
      </c>
      <c r="O34" s="60" t="s">
        <v>13019</v>
      </c>
      <c r="P34" s="60" t="s">
        <v>10678</v>
      </c>
      <c r="Q34" s="48" t="s">
        <v>13020</v>
      </c>
      <c r="R34" s="48" t="s">
        <v>238</v>
      </c>
      <c r="S34" s="49" t="s">
        <v>74</v>
      </c>
      <c r="T34" s="48" t="s">
        <v>75</v>
      </c>
      <c r="U34" s="49" t="s">
        <v>3678</v>
      </c>
      <c r="V34" s="48" t="s">
        <v>214</v>
      </c>
      <c r="W34" s="49" t="s">
        <v>214</v>
      </c>
      <c r="X34" s="49" t="s">
        <v>214</v>
      </c>
      <c r="Y34" s="49" t="s">
        <v>214</v>
      </c>
      <c r="Z34" s="55" t="s">
        <v>214</v>
      </c>
      <c r="AA34" s="48" t="s">
        <v>13022</v>
      </c>
      <c r="AB34" s="90" t="s">
        <v>13019</v>
      </c>
      <c r="AC34" s="53" t="str">
        <f t="shared" si="17"/>
        <v>Link</v>
      </c>
      <c r="AD34" s="42">
        <v>7569</v>
      </c>
      <c r="AE34" s="55"/>
      <c r="AF34" s="55"/>
      <c r="AG34" s="56">
        <v>104160</v>
      </c>
      <c r="AH34" s="7" t="s">
        <v>2459</v>
      </c>
      <c r="AI34" s="85"/>
      <c r="AJ34" s="85"/>
      <c r="AK34" s="85"/>
    </row>
    <row r="35" spans="1:37" ht="15" x14ac:dyDescent="0.2">
      <c r="A35" s="31" t="s">
        <v>10684</v>
      </c>
      <c r="B35" s="33" t="s">
        <v>12632</v>
      </c>
      <c r="C35" s="7"/>
      <c r="D35" s="37">
        <v>5</v>
      </c>
      <c r="E35" s="7"/>
      <c r="F35" s="37"/>
      <c r="G35" s="2" t="s">
        <v>13047</v>
      </c>
      <c r="H35" s="2" t="s">
        <v>3983</v>
      </c>
      <c r="I35" s="2" t="s">
        <v>118</v>
      </c>
      <c r="J35" s="2" t="s">
        <v>48</v>
      </c>
      <c r="K35" s="2" t="s">
        <v>13051</v>
      </c>
      <c r="L35" s="2" t="s">
        <v>13052</v>
      </c>
      <c r="M35" s="45" t="str">
        <f>HYPERLINK("twitter.com/vaquerassb","@vaquerassb")</f>
        <v>@vaquerassb</v>
      </c>
      <c r="N35" s="48" t="s">
        <v>22</v>
      </c>
      <c r="O35" s="108" t="s">
        <v>13054</v>
      </c>
      <c r="P35" s="60" t="s">
        <v>10678</v>
      </c>
      <c r="Q35" s="48" t="s">
        <v>13055</v>
      </c>
      <c r="R35" s="48" t="s">
        <v>172</v>
      </c>
      <c r="S35" s="5" t="s">
        <v>74</v>
      </c>
      <c r="T35" s="48" t="s">
        <v>75</v>
      </c>
      <c r="U35" s="49" t="s">
        <v>3678</v>
      </c>
      <c r="V35" s="7" t="s">
        <v>214</v>
      </c>
      <c r="W35" s="49" t="s">
        <v>214</v>
      </c>
      <c r="X35" s="49" t="s">
        <v>214</v>
      </c>
      <c r="Y35" s="49" t="s">
        <v>214</v>
      </c>
      <c r="Z35" s="55" t="s">
        <v>214</v>
      </c>
      <c r="AA35" s="48" t="s">
        <v>13056</v>
      </c>
      <c r="AB35" s="52" t="s">
        <v>13054</v>
      </c>
      <c r="AC35" s="53" t="str">
        <f>HYPERLINK("https://centralaz.edu/academics/degrees-certificates/","Link")</f>
        <v>Link</v>
      </c>
      <c r="AD35" s="42">
        <v>5585</v>
      </c>
      <c r="AE35" s="55"/>
      <c r="AF35" s="55"/>
      <c r="AG35" s="56">
        <v>104346</v>
      </c>
      <c r="AH35" s="7" t="s">
        <v>2459</v>
      </c>
      <c r="AI35" s="85"/>
      <c r="AJ35" s="85"/>
      <c r="AK35" s="85"/>
    </row>
    <row r="36" spans="1:37" ht="15" x14ac:dyDescent="0.2">
      <c r="A36" s="31" t="s">
        <v>10684</v>
      </c>
      <c r="B36" s="33" t="s">
        <v>12632</v>
      </c>
      <c r="C36" s="7"/>
      <c r="D36" s="37">
        <v>5</v>
      </c>
      <c r="E36" s="7"/>
      <c r="F36" s="37"/>
      <c r="G36" s="2" t="s">
        <v>13064</v>
      </c>
      <c r="H36" s="2" t="s">
        <v>13065</v>
      </c>
      <c r="I36" s="2" t="s">
        <v>13066</v>
      </c>
      <c r="J36" s="2" t="s">
        <v>48</v>
      </c>
      <c r="K36" s="2" t="s">
        <v>13067</v>
      </c>
      <c r="L36" s="2" t="s">
        <v>13068</v>
      </c>
      <c r="M36" s="45" t="str">
        <f t="shared" ref="M36:M40" si="18">HYPERLINK("twitter.com/@SoftballCGCC","@SoftballCGCC")</f>
        <v>@SoftballCGCC</v>
      </c>
      <c r="N36" s="45" t="str">
        <f t="shared" ref="N36:N40" si="19">HYPERLINK("http://www.cgc.edu/athletics/Pages/Recruiting.aspx","Questionnaire")</f>
        <v>Questionnaire</v>
      </c>
      <c r="O36" s="108" t="s">
        <v>13071</v>
      </c>
      <c r="P36" s="60" t="s">
        <v>10678</v>
      </c>
      <c r="Q36" s="48" t="s">
        <v>1311</v>
      </c>
      <c r="R36" s="48" t="s">
        <v>62</v>
      </c>
      <c r="S36" s="49" t="s">
        <v>74</v>
      </c>
      <c r="T36" s="48" t="s">
        <v>75</v>
      </c>
      <c r="U36" s="49" t="s">
        <v>3678</v>
      </c>
      <c r="V36" s="48" t="s">
        <v>214</v>
      </c>
      <c r="W36" s="49" t="s">
        <v>214</v>
      </c>
      <c r="X36" s="49" t="s">
        <v>214</v>
      </c>
      <c r="Y36" s="49" t="s">
        <v>214</v>
      </c>
      <c r="Z36" s="55" t="s">
        <v>214</v>
      </c>
      <c r="AA36" s="48" t="s">
        <v>13075</v>
      </c>
      <c r="AB36" s="52" t="s">
        <v>13071</v>
      </c>
      <c r="AC36" s="53" t="str">
        <f t="shared" ref="AC36:AC40" si="20">HYPERLINK("https://www.cgc.edu/Academics/Pages/Home.aspx","Link")</f>
        <v>Link</v>
      </c>
      <c r="AD36" s="42">
        <v>14630</v>
      </c>
      <c r="AE36" s="55"/>
      <c r="AF36" s="55"/>
      <c r="AG36" s="56">
        <v>364025</v>
      </c>
      <c r="AH36" s="7" t="s">
        <v>2459</v>
      </c>
      <c r="AI36" s="85"/>
      <c r="AJ36" s="85"/>
      <c r="AK36" s="85"/>
    </row>
    <row r="37" spans="1:37" ht="15" x14ac:dyDescent="0.2">
      <c r="A37" s="31" t="s">
        <v>10684</v>
      </c>
      <c r="B37" s="33" t="s">
        <v>12632</v>
      </c>
      <c r="C37" s="7"/>
      <c r="D37" s="37">
        <v>5</v>
      </c>
      <c r="E37" s="7"/>
      <c r="F37" s="37"/>
      <c r="G37" s="2" t="s">
        <v>13064</v>
      </c>
      <c r="H37" s="2" t="s">
        <v>4419</v>
      </c>
      <c r="I37" s="2" t="s">
        <v>13082</v>
      </c>
      <c r="J37" s="2" t="s">
        <v>55</v>
      </c>
      <c r="K37" s="2"/>
      <c r="L37" s="2" t="s">
        <v>13084</v>
      </c>
      <c r="M37" s="45" t="str">
        <f t="shared" si="18"/>
        <v>@SoftballCGCC</v>
      </c>
      <c r="N37" s="45" t="str">
        <f t="shared" si="19"/>
        <v>Questionnaire</v>
      </c>
      <c r="O37" s="108" t="s">
        <v>13071</v>
      </c>
      <c r="P37" s="60" t="s">
        <v>10678</v>
      </c>
      <c r="Q37" s="48" t="s">
        <v>1311</v>
      </c>
      <c r="R37" s="48" t="s">
        <v>62</v>
      </c>
      <c r="S37" s="49" t="s">
        <v>74</v>
      </c>
      <c r="T37" s="48" t="s">
        <v>75</v>
      </c>
      <c r="U37" s="49" t="s">
        <v>3678</v>
      </c>
      <c r="V37" s="48" t="s">
        <v>214</v>
      </c>
      <c r="W37" s="49" t="s">
        <v>214</v>
      </c>
      <c r="X37" s="49" t="s">
        <v>214</v>
      </c>
      <c r="Y37" s="49" t="s">
        <v>214</v>
      </c>
      <c r="Z37" s="55" t="s">
        <v>214</v>
      </c>
      <c r="AA37" s="48" t="s">
        <v>13075</v>
      </c>
      <c r="AB37" s="52" t="s">
        <v>13071</v>
      </c>
      <c r="AC37" s="53" t="str">
        <f t="shared" si="20"/>
        <v>Link</v>
      </c>
      <c r="AD37" s="42">
        <v>14630</v>
      </c>
      <c r="AE37" s="55"/>
      <c r="AF37" s="55"/>
      <c r="AG37" s="56">
        <v>364025</v>
      </c>
      <c r="AH37" s="7" t="s">
        <v>2459</v>
      </c>
      <c r="AI37" s="85"/>
      <c r="AJ37" s="85"/>
      <c r="AK37" s="85"/>
    </row>
    <row r="38" spans="1:37" ht="15" x14ac:dyDescent="0.2">
      <c r="A38" s="31" t="s">
        <v>10684</v>
      </c>
      <c r="B38" s="33" t="s">
        <v>12632</v>
      </c>
      <c r="C38" s="7"/>
      <c r="D38" s="37">
        <v>5</v>
      </c>
      <c r="E38" s="7" t="s">
        <v>116</v>
      </c>
      <c r="F38" s="37"/>
      <c r="G38" s="2" t="s">
        <v>13064</v>
      </c>
      <c r="H38" s="2" t="s">
        <v>3511</v>
      </c>
      <c r="I38" s="2" t="s">
        <v>1226</v>
      </c>
      <c r="J38" s="2" t="s">
        <v>55</v>
      </c>
      <c r="K38" s="2"/>
      <c r="L38" s="2"/>
      <c r="M38" s="45" t="str">
        <f t="shared" si="18"/>
        <v>@SoftballCGCC</v>
      </c>
      <c r="N38" s="45" t="str">
        <f t="shared" si="19"/>
        <v>Questionnaire</v>
      </c>
      <c r="O38" s="108" t="s">
        <v>13071</v>
      </c>
      <c r="P38" s="60" t="s">
        <v>10678</v>
      </c>
      <c r="Q38" s="48" t="s">
        <v>1311</v>
      </c>
      <c r="R38" s="48" t="s">
        <v>62</v>
      </c>
      <c r="S38" s="49" t="s">
        <v>74</v>
      </c>
      <c r="T38" s="48" t="s">
        <v>75</v>
      </c>
      <c r="U38" s="49" t="s">
        <v>3678</v>
      </c>
      <c r="V38" s="48" t="s">
        <v>214</v>
      </c>
      <c r="W38" s="49" t="s">
        <v>214</v>
      </c>
      <c r="X38" s="49" t="s">
        <v>214</v>
      </c>
      <c r="Y38" s="49" t="s">
        <v>214</v>
      </c>
      <c r="Z38" s="55" t="s">
        <v>214</v>
      </c>
      <c r="AA38" s="48" t="s">
        <v>13075</v>
      </c>
      <c r="AB38" s="52" t="s">
        <v>13071</v>
      </c>
      <c r="AC38" s="53" t="str">
        <f t="shared" si="20"/>
        <v>Link</v>
      </c>
      <c r="AD38" s="42">
        <v>14630</v>
      </c>
      <c r="AE38" s="55"/>
      <c r="AF38" s="55"/>
      <c r="AG38" s="56">
        <v>364025</v>
      </c>
      <c r="AH38" s="7" t="s">
        <v>2459</v>
      </c>
      <c r="AI38" s="85"/>
      <c r="AJ38" s="85"/>
      <c r="AK38" s="85"/>
    </row>
    <row r="39" spans="1:37" ht="15" x14ac:dyDescent="0.2">
      <c r="A39" s="31" t="s">
        <v>10684</v>
      </c>
      <c r="B39" s="33" t="s">
        <v>12632</v>
      </c>
      <c r="C39" s="7"/>
      <c r="D39" s="37">
        <v>5</v>
      </c>
      <c r="E39" s="7" t="s">
        <v>116</v>
      </c>
      <c r="F39" s="37"/>
      <c r="G39" s="2" t="s">
        <v>13064</v>
      </c>
      <c r="H39" s="2" t="s">
        <v>1075</v>
      </c>
      <c r="I39" s="2" t="s">
        <v>3302</v>
      </c>
      <c r="J39" s="2" t="s">
        <v>55</v>
      </c>
      <c r="K39" s="2"/>
      <c r="L39" s="2"/>
      <c r="M39" s="45" t="str">
        <f t="shared" si="18"/>
        <v>@SoftballCGCC</v>
      </c>
      <c r="N39" s="45" t="str">
        <f t="shared" si="19"/>
        <v>Questionnaire</v>
      </c>
      <c r="O39" s="108" t="s">
        <v>13071</v>
      </c>
      <c r="P39" s="60" t="s">
        <v>10678</v>
      </c>
      <c r="Q39" s="48" t="s">
        <v>1311</v>
      </c>
      <c r="R39" s="48" t="s">
        <v>62</v>
      </c>
      <c r="S39" s="49" t="s">
        <v>74</v>
      </c>
      <c r="T39" s="48" t="s">
        <v>75</v>
      </c>
      <c r="U39" s="49" t="s">
        <v>3678</v>
      </c>
      <c r="V39" s="48" t="s">
        <v>214</v>
      </c>
      <c r="W39" s="49" t="s">
        <v>214</v>
      </c>
      <c r="X39" s="49" t="s">
        <v>214</v>
      </c>
      <c r="Y39" s="49" t="s">
        <v>214</v>
      </c>
      <c r="Z39" s="55" t="s">
        <v>214</v>
      </c>
      <c r="AA39" s="48" t="s">
        <v>13075</v>
      </c>
      <c r="AB39" s="52" t="s">
        <v>13071</v>
      </c>
      <c r="AC39" s="53" t="str">
        <f t="shared" si="20"/>
        <v>Link</v>
      </c>
      <c r="AD39" s="42">
        <v>14630</v>
      </c>
      <c r="AE39" s="55"/>
      <c r="AF39" s="55"/>
      <c r="AG39" s="56">
        <v>364025</v>
      </c>
      <c r="AH39" s="7" t="s">
        <v>2459</v>
      </c>
      <c r="AI39" s="85"/>
      <c r="AJ39" s="85"/>
      <c r="AK39" s="85"/>
    </row>
    <row r="40" spans="1:37" ht="15" x14ac:dyDescent="0.2">
      <c r="A40" s="31" t="s">
        <v>10684</v>
      </c>
      <c r="B40" s="33" t="s">
        <v>12632</v>
      </c>
      <c r="C40" s="7"/>
      <c r="D40" s="37">
        <v>5</v>
      </c>
      <c r="E40" s="7" t="s">
        <v>116</v>
      </c>
      <c r="F40" s="37"/>
      <c r="G40" s="2" t="s">
        <v>13064</v>
      </c>
      <c r="H40" s="2" t="s">
        <v>4279</v>
      </c>
      <c r="I40" s="2" t="s">
        <v>6721</v>
      </c>
      <c r="J40" s="2" t="s">
        <v>55</v>
      </c>
      <c r="K40" s="2"/>
      <c r="L40" s="2"/>
      <c r="M40" s="45" t="str">
        <f t="shared" si="18"/>
        <v>@SoftballCGCC</v>
      </c>
      <c r="N40" s="45" t="str">
        <f t="shared" si="19"/>
        <v>Questionnaire</v>
      </c>
      <c r="O40" s="108" t="s">
        <v>13071</v>
      </c>
      <c r="P40" s="60" t="s">
        <v>10678</v>
      </c>
      <c r="Q40" s="48" t="s">
        <v>1311</v>
      </c>
      <c r="R40" s="48" t="s">
        <v>62</v>
      </c>
      <c r="S40" s="49" t="s">
        <v>74</v>
      </c>
      <c r="T40" s="48" t="s">
        <v>75</v>
      </c>
      <c r="U40" s="49" t="s">
        <v>3678</v>
      </c>
      <c r="V40" s="48" t="s">
        <v>214</v>
      </c>
      <c r="W40" s="49" t="s">
        <v>214</v>
      </c>
      <c r="X40" s="49" t="s">
        <v>214</v>
      </c>
      <c r="Y40" s="49" t="s">
        <v>214</v>
      </c>
      <c r="Z40" s="55" t="s">
        <v>214</v>
      </c>
      <c r="AA40" s="48" t="s">
        <v>13075</v>
      </c>
      <c r="AB40" s="52" t="s">
        <v>13071</v>
      </c>
      <c r="AC40" s="53" t="str">
        <f t="shared" si="20"/>
        <v>Link</v>
      </c>
      <c r="AD40" s="42">
        <v>14630</v>
      </c>
      <c r="AE40" s="55"/>
      <c r="AF40" s="55"/>
      <c r="AG40" s="56">
        <v>364025</v>
      </c>
      <c r="AH40" s="7" t="s">
        <v>2459</v>
      </c>
      <c r="AI40" s="85"/>
      <c r="AJ40" s="85"/>
      <c r="AK40" s="85"/>
    </row>
    <row r="41" spans="1:37" ht="15" x14ac:dyDescent="0.2">
      <c r="A41" s="31" t="s">
        <v>10684</v>
      </c>
      <c r="B41" s="33" t="s">
        <v>12632</v>
      </c>
      <c r="C41" s="7"/>
      <c r="D41" s="37">
        <v>5</v>
      </c>
      <c r="E41" s="7"/>
      <c r="F41" s="37"/>
      <c r="G41" s="2" t="s">
        <v>13116</v>
      </c>
      <c r="H41" s="2" t="s">
        <v>1528</v>
      </c>
      <c r="I41" s="2" t="s">
        <v>13117</v>
      </c>
      <c r="J41" s="2" t="s">
        <v>48</v>
      </c>
      <c r="K41" s="2" t="s">
        <v>13118</v>
      </c>
      <c r="L41" s="2"/>
      <c r="M41" s="48"/>
      <c r="N41" s="48" t="s">
        <v>22</v>
      </c>
      <c r="O41" s="48" t="s">
        <v>13119</v>
      </c>
      <c r="P41" s="60" t="s">
        <v>10678</v>
      </c>
      <c r="Q41" s="48" t="s">
        <v>13120</v>
      </c>
      <c r="R41" s="60" t="s">
        <v>205</v>
      </c>
      <c r="S41" s="49" t="s">
        <v>74</v>
      </c>
      <c r="T41" s="48" t="s">
        <v>75</v>
      </c>
      <c r="U41" s="49" t="s">
        <v>3678</v>
      </c>
      <c r="V41" s="7" t="s">
        <v>214</v>
      </c>
      <c r="W41" s="49" t="s">
        <v>214</v>
      </c>
      <c r="X41" s="49" t="s">
        <v>214</v>
      </c>
      <c r="Y41" s="49" t="s">
        <v>214</v>
      </c>
      <c r="Z41" s="49" t="s">
        <v>214</v>
      </c>
      <c r="AA41" s="48" t="s">
        <v>13126</v>
      </c>
      <c r="AB41" s="84" t="s">
        <v>13119</v>
      </c>
      <c r="AC41" s="53" t="str">
        <f t="shared" ref="AC41:AC43" si="21">HYPERLINK("https://www.eac.edu/Academics/Programs_of_Study/default.shtm","Link")</f>
        <v>Link</v>
      </c>
      <c r="AD41" s="42">
        <v>6423</v>
      </c>
      <c r="AE41" s="55"/>
      <c r="AF41" s="55"/>
      <c r="AG41" s="56">
        <v>104577</v>
      </c>
      <c r="AH41" s="7" t="s">
        <v>2459</v>
      </c>
      <c r="AI41" s="85"/>
      <c r="AJ41" s="85"/>
      <c r="AK41" s="85"/>
    </row>
    <row r="42" spans="1:37" ht="15" x14ac:dyDescent="0.2">
      <c r="A42" s="31" t="s">
        <v>10684</v>
      </c>
      <c r="B42" s="33" t="s">
        <v>12632</v>
      </c>
      <c r="C42" s="7"/>
      <c r="D42" s="37">
        <v>5</v>
      </c>
      <c r="E42" s="7"/>
      <c r="F42" s="37"/>
      <c r="G42" s="2" t="s">
        <v>13116</v>
      </c>
      <c r="H42" s="2" t="s">
        <v>3966</v>
      </c>
      <c r="I42" s="2" t="s">
        <v>13131</v>
      </c>
      <c r="J42" s="2" t="s">
        <v>55</v>
      </c>
      <c r="K42" s="2"/>
      <c r="L42" s="2"/>
      <c r="M42" s="48"/>
      <c r="N42" s="48" t="s">
        <v>22</v>
      </c>
      <c r="O42" s="48" t="s">
        <v>13119</v>
      </c>
      <c r="P42" s="60" t="s">
        <v>10678</v>
      </c>
      <c r="Q42" s="48" t="s">
        <v>13120</v>
      </c>
      <c r="R42" s="60" t="s">
        <v>205</v>
      </c>
      <c r="S42" s="49" t="s">
        <v>74</v>
      </c>
      <c r="T42" s="48" t="s">
        <v>75</v>
      </c>
      <c r="U42" s="49" t="s">
        <v>3678</v>
      </c>
      <c r="V42" s="7" t="s">
        <v>214</v>
      </c>
      <c r="W42" s="49" t="s">
        <v>214</v>
      </c>
      <c r="X42" s="49" t="s">
        <v>214</v>
      </c>
      <c r="Y42" s="49" t="s">
        <v>214</v>
      </c>
      <c r="Z42" s="49" t="s">
        <v>214</v>
      </c>
      <c r="AA42" s="48" t="s">
        <v>13126</v>
      </c>
      <c r="AB42" s="84" t="s">
        <v>13119</v>
      </c>
      <c r="AC42" s="53" t="str">
        <f t="shared" si="21"/>
        <v>Link</v>
      </c>
      <c r="AD42" s="42">
        <v>6423</v>
      </c>
      <c r="AE42" s="55"/>
      <c r="AF42" s="55"/>
      <c r="AG42" s="56">
        <v>104577</v>
      </c>
      <c r="AH42" s="7" t="s">
        <v>2459</v>
      </c>
      <c r="AI42" s="85"/>
      <c r="AJ42" s="85"/>
      <c r="AK42" s="85"/>
    </row>
    <row r="43" spans="1:37" ht="15" x14ac:dyDescent="0.2">
      <c r="A43" s="31" t="s">
        <v>10684</v>
      </c>
      <c r="B43" s="33" t="s">
        <v>12632</v>
      </c>
      <c r="C43" s="7"/>
      <c r="D43" s="37">
        <v>5</v>
      </c>
      <c r="E43" s="7"/>
      <c r="F43" s="37"/>
      <c r="G43" s="2" t="s">
        <v>13116</v>
      </c>
      <c r="H43" s="2" t="s">
        <v>754</v>
      </c>
      <c r="I43" s="2" t="s">
        <v>13140</v>
      </c>
      <c r="J43" s="2" t="s">
        <v>55</v>
      </c>
      <c r="K43" s="2"/>
      <c r="L43" s="2"/>
      <c r="M43" s="48"/>
      <c r="N43" s="48" t="s">
        <v>22</v>
      </c>
      <c r="O43" s="48" t="s">
        <v>13119</v>
      </c>
      <c r="P43" s="60" t="s">
        <v>10678</v>
      </c>
      <c r="Q43" s="48" t="s">
        <v>13120</v>
      </c>
      <c r="R43" s="60" t="s">
        <v>205</v>
      </c>
      <c r="S43" s="49" t="s">
        <v>74</v>
      </c>
      <c r="T43" s="48" t="s">
        <v>75</v>
      </c>
      <c r="U43" s="49" t="s">
        <v>3678</v>
      </c>
      <c r="V43" s="7" t="s">
        <v>214</v>
      </c>
      <c r="W43" s="49" t="s">
        <v>214</v>
      </c>
      <c r="X43" s="49" t="s">
        <v>214</v>
      </c>
      <c r="Y43" s="49" t="s">
        <v>214</v>
      </c>
      <c r="Z43" s="49" t="s">
        <v>214</v>
      </c>
      <c r="AA43" s="48" t="s">
        <v>13126</v>
      </c>
      <c r="AB43" s="84" t="s">
        <v>13119</v>
      </c>
      <c r="AC43" s="53" t="str">
        <f t="shared" si="21"/>
        <v>Link</v>
      </c>
      <c r="AD43" s="42">
        <v>6423</v>
      </c>
      <c r="AE43" s="55"/>
      <c r="AF43" s="55"/>
      <c r="AG43" s="56">
        <v>104577</v>
      </c>
      <c r="AH43" s="7" t="s">
        <v>2459</v>
      </c>
      <c r="AI43" s="85"/>
      <c r="AJ43" s="85"/>
      <c r="AK43" s="85"/>
    </row>
    <row r="44" spans="1:37" ht="15" x14ac:dyDescent="0.2">
      <c r="A44" s="31" t="s">
        <v>10684</v>
      </c>
      <c r="B44" s="33" t="s">
        <v>12632</v>
      </c>
      <c r="C44" s="7"/>
      <c r="D44" s="37">
        <v>5</v>
      </c>
      <c r="E44" s="7"/>
      <c r="F44" s="37"/>
      <c r="G44" s="2" t="s">
        <v>13144</v>
      </c>
      <c r="H44" s="2" t="s">
        <v>13146</v>
      </c>
      <c r="I44" s="2" t="s">
        <v>13147</v>
      </c>
      <c r="J44" s="2" t="s">
        <v>48</v>
      </c>
      <c r="K44" s="2" t="s">
        <v>13149</v>
      </c>
      <c r="L44" s="2" t="s">
        <v>13150</v>
      </c>
      <c r="M44" s="48"/>
      <c r="N44" s="48" t="s">
        <v>22</v>
      </c>
      <c r="O44" s="48" t="s">
        <v>13152</v>
      </c>
      <c r="P44" s="60" t="s">
        <v>158</v>
      </c>
      <c r="Q44" s="48" t="s">
        <v>776</v>
      </c>
      <c r="R44" s="48" t="s">
        <v>238</v>
      </c>
      <c r="S44" s="49" t="s">
        <v>74</v>
      </c>
      <c r="T44" s="48" t="s">
        <v>75</v>
      </c>
      <c r="U44" s="49" t="s">
        <v>3678</v>
      </c>
      <c r="V44" s="7" t="s">
        <v>214</v>
      </c>
      <c r="W44" s="49" t="s">
        <v>214</v>
      </c>
      <c r="X44" s="49" t="s">
        <v>214</v>
      </c>
      <c r="Y44" s="49" t="s">
        <v>214</v>
      </c>
      <c r="Z44" s="55" t="s">
        <v>214</v>
      </c>
      <c r="AA44" s="48" t="s">
        <v>13156</v>
      </c>
      <c r="AB44" s="84" t="s">
        <v>13152</v>
      </c>
      <c r="AC44" s="53" t="str">
        <f t="shared" ref="AC44:AC49" si="22">HYPERLINK("http://www.gatewayct.edu/Programs-Courses","Link")</f>
        <v>Link</v>
      </c>
      <c r="AD44" s="42">
        <v>7217</v>
      </c>
      <c r="AE44" s="55"/>
      <c r="AF44" s="55"/>
      <c r="AG44" s="56">
        <v>130396</v>
      </c>
      <c r="AH44" s="7" t="s">
        <v>2459</v>
      </c>
      <c r="AI44" s="85"/>
      <c r="AJ44" s="85"/>
      <c r="AK44" s="85"/>
    </row>
    <row r="45" spans="1:37" ht="15" x14ac:dyDescent="0.2">
      <c r="A45" s="31" t="s">
        <v>10684</v>
      </c>
      <c r="B45" s="33" t="s">
        <v>12632</v>
      </c>
      <c r="C45" s="7"/>
      <c r="D45" s="37">
        <v>5</v>
      </c>
      <c r="E45" s="7"/>
      <c r="F45" s="37"/>
      <c r="G45" s="2" t="s">
        <v>13144</v>
      </c>
      <c r="H45" s="2" t="s">
        <v>9911</v>
      </c>
      <c r="I45" s="2" t="s">
        <v>13159</v>
      </c>
      <c r="J45" s="2" t="s">
        <v>55</v>
      </c>
      <c r="K45" s="2"/>
      <c r="L45" s="2"/>
      <c r="M45" s="48"/>
      <c r="N45" s="48" t="s">
        <v>22</v>
      </c>
      <c r="O45" s="48" t="s">
        <v>13152</v>
      </c>
      <c r="P45" s="60" t="s">
        <v>158</v>
      </c>
      <c r="Q45" s="48" t="s">
        <v>776</v>
      </c>
      <c r="R45" s="48" t="s">
        <v>238</v>
      </c>
      <c r="S45" s="49" t="s">
        <v>74</v>
      </c>
      <c r="T45" s="48" t="s">
        <v>75</v>
      </c>
      <c r="U45" s="49" t="s">
        <v>3678</v>
      </c>
      <c r="V45" s="7" t="s">
        <v>214</v>
      </c>
      <c r="W45" s="49" t="s">
        <v>214</v>
      </c>
      <c r="X45" s="49" t="s">
        <v>214</v>
      </c>
      <c r="Y45" s="49" t="s">
        <v>214</v>
      </c>
      <c r="Z45" s="55" t="s">
        <v>214</v>
      </c>
      <c r="AA45" s="48" t="s">
        <v>13156</v>
      </c>
      <c r="AB45" s="84" t="s">
        <v>13152</v>
      </c>
      <c r="AC45" s="53" t="str">
        <f t="shared" si="22"/>
        <v>Link</v>
      </c>
      <c r="AD45" s="42">
        <v>7217</v>
      </c>
      <c r="AE45" s="55"/>
      <c r="AF45" s="55"/>
      <c r="AG45" s="56">
        <v>130396</v>
      </c>
      <c r="AH45" s="7" t="s">
        <v>2459</v>
      </c>
      <c r="AI45" s="85"/>
      <c r="AJ45" s="85"/>
      <c r="AK45" s="85"/>
    </row>
    <row r="46" spans="1:37" ht="15" x14ac:dyDescent="0.2">
      <c r="A46" s="31" t="s">
        <v>10684</v>
      </c>
      <c r="B46" s="33" t="s">
        <v>12632</v>
      </c>
      <c r="C46" s="7"/>
      <c r="D46" s="37">
        <v>5</v>
      </c>
      <c r="E46" s="7"/>
      <c r="F46" s="37"/>
      <c r="G46" s="2" t="s">
        <v>13144</v>
      </c>
      <c r="H46" s="2" t="s">
        <v>13166</v>
      </c>
      <c r="I46" s="2" t="s">
        <v>13167</v>
      </c>
      <c r="J46" s="2" t="s">
        <v>55</v>
      </c>
      <c r="K46" s="2"/>
      <c r="L46" s="2" t="s">
        <v>13168</v>
      </c>
      <c r="M46" s="48"/>
      <c r="N46" s="48" t="s">
        <v>22</v>
      </c>
      <c r="O46" s="48" t="s">
        <v>13152</v>
      </c>
      <c r="P46" s="60" t="s">
        <v>158</v>
      </c>
      <c r="Q46" s="48" t="s">
        <v>776</v>
      </c>
      <c r="R46" s="48" t="s">
        <v>238</v>
      </c>
      <c r="S46" s="49" t="s">
        <v>74</v>
      </c>
      <c r="T46" s="48" t="s">
        <v>75</v>
      </c>
      <c r="U46" s="49" t="s">
        <v>3678</v>
      </c>
      <c r="V46" s="7" t="s">
        <v>214</v>
      </c>
      <c r="W46" s="49" t="s">
        <v>214</v>
      </c>
      <c r="X46" s="49" t="s">
        <v>214</v>
      </c>
      <c r="Y46" s="49" t="s">
        <v>214</v>
      </c>
      <c r="Z46" s="55" t="s">
        <v>214</v>
      </c>
      <c r="AA46" s="48" t="s">
        <v>13156</v>
      </c>
      <c r="AB46" s="84" t="s">
        <v>13152</v>
      </c>
      <c r="AC46" s="53" t="str">
        <f t="shared" si="22"/>
        <v>Link</v>
      </c>
      <c r="AD46" s="42">
        <v>7217</v>
      </c>
      <c r="AE46" s="55"/>
      <c r="AF46" s="55"/>
      <c r="AG46" s="56">
        <v>130396</v>
      </c>
      <c r="AH46" s="7" t="s">
        <v>2459</v>
      </c>
      <c r="AI46" s="85"/>
      <c r="AJ46" s="85"/>
      <c r="AK46" s="85"/>
    </row>
    <row r="47" spans="1:37" ht="15" x14ac:dyDescent="0.2">
      <c r="A47" s="31" t="s">
        <v>10684</v>
      </c>
      <c r="B47" s="33" t="s">
        <v>12632</v>
      </c>
      <c r="C47" s="7"/>
      <c r="D47" s="37">
        <v>5</v>
      </c>
      <c r="E47" s="7"/>
      <c r="F47" s="37"/>
      <c r="G47" s="2" t="s">
        <v>13144</v>
      </c>
      <c r="H47" s="2" t="s">
        <v>13175</v>
      </c>
      <c r="I47" s="2" t="s">
        <v>13159</v>
      </c>
      <c r="J47" s="2" t="s">
        <v>55</v>
      </c>
      <c r="K47" s="2"/>
      <c r="L47" s="2"/>
      <c r="M47" s="48"/>
      <c r="N47" s="48" t="s">
        <v>22</v>
      </c>
      <c r="O47" s="48" t="s">
        <v>13152</v>
      </c>
      <c r="P47" s="60" t="s">
        <v>158</v>
      </c>
      <c r="Q47" s="48" t="s">
        <v>776</v>
      </c>
      <c r="R47" s="48" t="s">
        <v>238</v>
      </c>
      <c r="S47" s="49" t="s">
        <v>74</v>
      </c>
      <c r="T47" s="48" t="s">
        <v>75</v>
      </c>
      <c r="U47" s="49" t="s">
        <v>3678</v>
      </c>
      <c r="V47" s="48" t="s">
        <v>214</v>
      </c>
      <c r="W47" s="49" t="s">
        <v>214</v>
      </c>
      <c r="X47" s="49" t="s">
        <v>214</v>
      </c>
      <c r="Y47" s="49" t="s">
        <v>214</v>
      </c>
      <c r="Z47" s="55" t="s">
        <v>214</v>
      </c>
      <c r="AA47" s="48" t="s">
        <v>13156</v>
      </c>
      <c r="AB47" s="84" t="s">
        <v>13152</v>
      </c>
      <c r="AC47" s="53" t="str">
        <f t="shared" si="22"/>
        <v>Link</v>
      </c>
      <c r="AD47" s="42">
        <v>7217</v>
      </c>
      <c r="AE47" s="55"/>
      <c r="AF47" s="55"/>
      <c r="AG47" s="56">
        <v>130396</v>
      </c>
      <c r="AH47" s="7" t="s">
        <v>2459</v>
      </c>
      <c r="AI47" s="85"/>
      <c r="AJ47" s="85"/>
      <c r="AK47" s="85"/>
    </row>
    <row r="48" spans="1:37" ht="15" x14ac:dyDescent="0.2">
      <c r="A48" s="31" t="s">
        <v>10684</v>
      </c>
      <c r="B48" s="33" t="s">
        <v>12632</v>
      </c>
      <c r="C48" s="7"/>
      <c r="D48" s="37">
        <v>5</v>
      </c>
      <c r="E48" s="7"/>
      <c r="F48" s="37"/>
      <c r="G48" s="2" t="s">
        <v>13144</v>
      </c>
      <c r="H48" s="2" t="s">
        <v>13181</v>
      </c>
      <c r="I48" s="2" t="s">
        <v>661</v>
      </c>
      <c r="J48" s="2" t="s">
        <v>55</v>
      </c>
      <c r="K48" s="2"/>
      <c r="L48" s="2"/>
      <c r="M48" s="48"/>
      <c r="N48" s="48" t="s">
        <v>22</v>
      </c>
      <c r="O48" s="48" t="s">
        <v>13152</v>
      </c>
      <c r="P48" s="60" t="s">
        <v>158</v>
      </c>
      <c r="Q48" s="48" t="s">
        <v>776</v>
      </c>
      <c r="R48" s="48" t="s">
        <v>238</v>
      </c>
      <c r="S48" s="49" t="s">
        <v>74</v>
      </c>
      <c r="T48" s="48" t="s">
        <v>75</v>
      </c>
      <c r="U48" s="49" t="s">
        <v>3678</v>
      </c>
      <c r="V48" s="48" t="s">
        <v>214</v>
      </c>
      <c r="W48" s="49" t="s">
        <v>214</v>
      </c>
      <c r="X48" s="49" t="s">
        <v>214</v>
      </c>
      <c r="Y48" s="49" t="s">
        <v>214</v>
      </c>
      <c r="Z48" s="55" t="s">
        <v>214</v>
      </c>
      <c r="AA48" s="48" t="s">
        <v>13156</v>
      </c>
      <c r="AB48" s="84" t="s">
        <v>13152</v>
      </c>
      <c r="AC48" s="53" t="str">
        <f t="shared" si="22"/>
        <v>Link</v>
      </c>
      <c r="AD48" s="42">
        <v>7217</v>
      </c>
      <c r="AE48" s="55"/>
      <c r="AF48" s="55"/>
      <c r="AG48" s="56">
        <v>130396</v>
      </c>
      <c r="AH48" s="7" t="s">
        <v>2459</v>
      </c>
      <c r="AI48" s="85"/>
      <c r="AJ48" s="85"/>
      <c r="AK48" s="85"/>
    </row>
    <row r="49" spans="1:37" ht="15" x14ac:dyDescent="0.2">
      <c r="A49" s="31" t="s">
        <v>10684</v>
      </c>
      <c r="B49" s="33" t="s">
        <v>12632</v>
      </c>
      <c r="C49" s="7"/>
      <c r="D49" s="37">
        <v>5</v>
      </c>
      <c r="E49" s="7"/>
      <c r="F49" s="37"/>
      <c r="G49" s="2" t="s">
        <v>13144</v>
      </c>
      <c r="H49" s="2" t="s">
        <v>13190</v>
      </c>
      <c r="I49" s="2" t="s">
        <v>13191</v>
      </c>
      <c r="J49" s="2" t="s">
        <v>55</v>
      </c>
      <c r="K49" s="2" t="s">
        <v>13192</v>
      </c>
      <c r="L49" s="2" t="s">
        <v>13168</v>
      </c>
      <c r="M49" s="48"/>
      <c r="N49" s="48" t="s">
        <v>22</v>
      </c>
      <c r="O49" s="48" t="s">
        <v>13152</v>
      </c>
      <c r="P49" s="60" t="s">
        <v>158</v>
      </c>
      <c r="Q49" s="48" t="s">
        <v>776</v>
      </c>
      <c r="R49" s="48" t="s">
        <v>238</v>
      </c>
      <c r="S49" s="49" t="s">
        <v>74</v>
      </c>
      <c r="T49" s="48" t="s">
        <v>75</v>
      </c>
      <c r="U49" s="49" t="s">
        <v>3678</v>
      </c>
      <c r="V49" s="48" t="s">
        <v>214</v>
      </c>
      <c r="W49" s="49" t="s">
        <v>214</v>
      </c>
      <c r="X49" s="49" t="s">
        <v>214</v>
      </c>
      <c r="Y49" s="49" t="s">
        <v>214</v>
      </c>
      <c r="Z49" s="55" t="s">
        <v>214</v>
      </c>
      <c r="AA49" s="48" t="s">
        <v>13156</v>
      </c>
      <c r="AB49" s="84" t="s">
        <v>13152</v>
      </c>
      <c r="AC49" s="53" t="str">
        <f t="shared" si="22"/>
        <v>Link</v>
      </c>
      <c r="AD49" s="42">
        <v>7217</v>
      </c>
      <c r="AE49" s="55"/>
      <c r="AF49" s="55"/>
      <c r="AG49" s="56">
        <v>130396</v>
      </c>
      <c r="AH49" s="7" t="s">
        <v>2459</v>
      </c>
      <c r="AI49" s="85"/>
      <c r="AJ49" s="85"/>
      <c r="AK49" s="85"/>
    </row>
    <row r="50" spans="1:37" ht="15" x14ac:dyDescent="0.2">
      <c r="A50" s="110" t="s">
        <v>10684</v>
      </c>
      <c r="B50" s="33" t="s">
        <v>12632</v>
      </c>
      <c r="C50" s="7" t="s">
        <v>13201</v>
      </c>
      <c r="D50" s="37">
        <v>5</v>
      </c>
      <c r="E50" s="7"/>
      <c r="F50" s="7"/>
      <c r="G50" s="2" t="s">
        <v>13202</v>
      </c>
      <c r="H50" s="2" t="s">
        <v>8467</v>
      </c>
      <c r="I50" s="2" t="s">
        <v>5025</v>
      </c>
      <c r="J50" s="2" t="s">
        <v>48</v>
      </c>
      <c r="K50" s="2" t="s">
        <v>13205</v>
      </c>
      <c r="L50" s="2" t="s">
        <v>13206</v>
      </c>
      <c r="M50" s="48"/>
      <c r="N50" s="45" t="str">
        <f>HYPERLINK("https://www.gccathletics.com/information/Recruiting_Questionnaire","Questionnaire")</f>
        <v>Questionnaire</v>
      </c>
      <c r="O50" s="48" t="s">
        <v>13213</v>
      </c>
      <c r="P50" s="60" t="s">
        <v>10678</v>
      </c>
      <c r="Q50" s="48" t="s">
        <v>13214</v>
      </c>
      <c r="R50" s="48" t="s">
        <v>62</v>
      </c>
      <c r="S50" s="49" t="s">
        <v>74</v>
      </c>
      <c r="T50" s="48" t="s">
        <v>75</v>
      </c>
      <c r="U50" s="49" t="s">
        <v>3678</v>
      </c>
      <c r="V50" s="7" t="s">
        <v>214</v>
      </c>
      <c r="W50" s="49" t="s">
        <v>214</v>
      </c>
      <c r="X50" s="49" t="s">
        <v>214</v>
      </c>
      <c r="Y50" s="49" t="s">
        <v>214</v>
      </c>
      <c r="Z50" s="55" t="s">
        <v>214</v>
      </c>
      <c r="AA50" s="48" t="s">
        <v>13156</v>
      </c>
      <c r="AB50" s="84" t="s">
        <v>13213</v>
      </c>
      <c r="AC50" s="53" t="str">
        <f>HYPERLINK("http://www.gccaz.edu/degrees-certifications","Link")</f>
        <v>Link</v>
      </c>
      <c r="AD50" s="42">
        <v>19000</v>
      </c>
      <c r="AE50" s="55"/>
      <c r="AF50" s="55"/>
      <c r="AG50" s="56">
        <v>130396</v>
      </c>
      <c r="AH50" s="56"/>
      <c r="AI50" s="56"/>
    </row>
    <row r="51" spans="1:37" ht="15" x14ac:dyDescent="0.2">
      <c r="A51" s="110" t="s">
        <v>10684</v>
      </c>
      <c r="B51" s="33" t="s">
        <v>12632</v>
      </c>
      <c r="C51" s="7" t="s">
        <v>13224</v>
      </c>
      <c r="D51" s="37">
        <v>5</v>
      </c>
      <c r="E51" s="7"/>
      <c r="F51" s="7"/>
      <c r="G51" s="2" t="s">
        <v>13227</v>
      </c>
      <c r="H51" s="2" t="s">
        <v>13229</v>
      </c>
      <c r="I51" s="2" t="s">
        <v>5891</v>
      </c>
      <c r="J51" s="2" t="s">
        <v>48</v>
      </c>
      <c r="K51" s="2" t="s">
        <v>13232</v>
      </c>
      <c r="L51" s="2" t="s">
        <v>13233</v>
      </c>
      <c r="M51" s="48"/>
      <c r="N51" s="45" t="str">
        <f t="shared" ref="N51:N53" si="23">HYPERLINK("https://www.mesatbirdsports.com/bio_form","Questionnaire")</f>
        <v>Questionnaire</v>
      </c>
      <c r="O51" s="48" t="s">
        <v>13236</v>
      </c>
      <c r="P51" s="60" t="s">
        <v>10678</v>
      </c>
      <c r="Q51" s="48" t="s">
        <v>13238</v>
      </c>
      <c r="R51" s="48" t="s">
        <v>354</v>
      </c>
      <c r="S51" s="5" t="s">
        <v>74</v>
      </c>
      <c r="T51" s="48" t="s">
        <v>75</v>
      </c>
      <c r="U51" s="49" t="s">
        <v>3678</v>
      </c>
      <c r="V51" s="7" t="s">
        <v>214</v>
      </c>
      <c r="W51" s="49" t="s">
        <v>214</v>
      </c>
      <c r="X51" s="49" t="s">
        <v>214</v>
      </c>
      <c r="Y51" s="49" t="s">
        <v>214</v>
      </c>
      <c r="Z51" s="55" t="s">
        <v>214</v>
      </c>
      <c r="AA51" s="48" t="s">
        <v>13156</v>
      </c>
      <c r="AB51" s="84" t="s">
        <v>13236</v>
      </c>
      <c r="AC51" s="53" t="str">
        <f t="shared" ref="AC51:AC53" si="24">HYPERLINK("https://www.mesacc.edu/programs/by-degree","Link")</f>
        <v>Link</v>
      </c>
      <c r="AD51" s="42">
        <v>20508</v>
      </c>
      <c r="AE51" s="55"/>
      <c r="AF51" s="55"/>
      <c r="AG51" s="56">
        <v>105154</v>
      </c>
      <c r="AH51" s="56"/>
      <c r="AI51" s="56"/>
    </row>
    <row r="52" spans="1:37" ht="15" x14ac:dyDescent="0.2">
      <c r="A52" s="110" t="s">
        <v>10684</v>
      </c>
      <c r="B52" s="33" t="s">
        <v>12632</v>
      </c>
      <c r="C52" s="7" t="s">
        <v>13246</v>
      </c>
      <c r="D52" s="37">
        <v>5</v>
      </c>
      <c r="E52" s="7"/>
      <c r="F52" s="7"/>
      <c r="G52" s="2" t="s">
        <v>13227</v>
      </c>
      <c r="H52" s="2" t="s">
        <v>13247</v>
      </c>
      <c r="I52" s="2" t="s">
        <v>13249</v>
      </c>
      <c r="J52" s="2" t="s">
        <v>55</v>
      </c>
      <c r="K52" s="2"/>
      <c r="L52" s="2"/>
      <c r="M52" s="48"/>
      <c r="N52" s="45" t="str">
        <f t="shared" si="23"/>
        <v>Questionnaire</v>
      </c>
      <c r="O52" s="48" t="s">
        <v>13236</v>
      </c>
      <c r="P52" s="60" t="s">
        <v>10678</v>
      </c>
      <c r="Q52" s="48" t="s">
        <v>13238</v>
      </c>
      <c r="R52" s="48" t="s">
        <v>354</v>
      </c>
      <c r="S52" s="5" t="s">
        <v>74</v>
      </c>
      <c r="T52" s="48" t="s">
        <v>75</v>
      </c>
      <c r="U52" s="49" t="s">
        <v>3678</v>
      </c>
      <c r="V52" s="7" t="s">
        <v>214</v>
      </c>
      <c r="W52" s="49" t="s">
        <v>214</v>
      </c>
      <c r="X52" s="49" t="s">
        <v>214</v>
      </c>
      <c r="Y52" s="49" t="s">
        <v>214</v>
      </c>
      <c r="Z52" s="55" t="s">
        <v>214</v>
      </c>
      <c r="AA52" s="48" t="s">
        <v>13156</v>
      </c>
      <c r="AB52" s="84" t="s">
        <v>13236</v>
      </c>
      <c r="AC52" s="53" t="str">
        <f t="shared" si="24"/>
        <v>Link</v>
      </c>
      <c r="AD52" s="42">
        <v>20508</v>
      </c>
      <c r="AE52" s="55"/>
      <c r="AF52" s="55"/>
      <c r="AG52" s="56">
        <v>105154</v>
      </c>
      <c r="AH52" s="56"/>
      <c r="AI52" s="56"/>
    </row>
    <row r="53" spans="1:37" ht="15" x14ac:dyDescent="0.2">
      <c r="A53" s="110" t="s">
        <v>10684</v>
      </c>
      <c r="B53" s="33" t="s">
        <v>12632</v>
      </c>
      <c r="C53" s="7" t="s">
        <v>13255</v>
      </c>
      <c r="D53" s="37">
        <v>5</v>
      </c>
      <c r="E53" s="7"/>
      <c r="F53" s="7"/>
      <c r="G53" s="2" t="s">
        <v>13227</v>
      </c>
      <c r="H53" s="2" t="s">
        <v>13257</v>
      </c>
      <c r="I53" s="2" t="s">
        <v>5757</v>
      </c>
      <c r="J53" s="2" t="s">
        <v>55</v>
      </c>
      <c r="K53" s="2"/>
      <c r="L53" s="2"/>
      <c r="M53" s="48"/>
      <c r="N53" s="45" t="str">
        <f t="shared" si="23"/>
        <v>Questionnaire</v>
      </c>
      <c r="O53" s="48" t="s">
        <v>13236</v>
      </c>
      <c r="P53" s="60" t="s">
        <v>10678</v>
      </c>
      <c r="Q53" s="48" t="s">
        <v>13238</v>
      </c>
      <c r="R53" s="48" t="s">
        <v>354</v>
      </c>
      <c r="S53" s="5" t="s">
        <v>74</v>
      </c>
      <c r="T53" s="48" t="s">
        <v>75</v>
      </c>
      <c r="U53" s="49" t="s">
        <v>3678</v>
      </c>
      <c r="V53" s="7" t="s">
        <v>214</v>
      </c>
      <c r="W53" s="49" t="s">
        <v>214</v>
      </c>
      <c r="X53" s="49" t="s">
        <v>214</v>
      </c>
      <c r="Y53" s="49" t="s">
        <v>214</v>
      </c>
      <c r="Z53" s="55" t="s">
        <v>214</v>
      </c>
      <c r="AA53" s="48" t="s">
        <v>13156</v>
      </c>
      <c r="AB53" s="84" t="s">
        <v>13236</v>
      </c>
      <c r="AC53" s="53" t="str">
        <f t="shared" si="24"/>
        <v>Link</v>
      </c>
      <c r="AD53" s="42">
        <v>20508</v>
      </c>
      <c r="AE53" s="55"/>
      <c r="AF53" s="55"/>
      <c r="AG53" s="56">
        <v>105154</v>
      </c>
      <c r="AH53" s="56"/>
      <c r="AI53" s="56"/>
    </row>
    <row r="54" spans="1:37" ht="15" x14ac:dyDescent="0.2">
      <c r="A54" s="110" t="s">
        <v>10684</v>
      </c>
      <c r="B54" s="33" t="s">
        <v>12632</v>
      </c>
      <c r="C54" s="7" t="s">
        <v>13263</v>
      </c>
      <c r="D54" s="37">
        <v>5</v>
      </c>
      <c r="E54" s="7"/>
      <c r="F54" s="7"/>
      <c r="G54" s="2" t="s">
        <v>13264</v>
      </c>
      <c r="H54" s="2" t="s">
        <v>13265</v>
      </c>
      <c r="I54" s="2" t="s">
        <v>3412</v>
      </c>
      <c r="J54" s="2" t="s">
        <v>48</v>
      </c>
      <c r="K54" s="2" t="s">
        <v>13266</v>
      </c>
      <c r="L54" s="2" t="s">
        <v>13267</v>
      </c>
      <c r="M54" s="45" t="str">
        <f>HYPERLINK("twitter.com/pcbearssoftball","@pcbearssoftball")</f>
        <v>@pcbearssoftball</v>
      </c>
      <c r="N54" s="48" t="s">
        <v>22</v>
      </c>
      <c r="O54" s="48" t="s">
        <v>13273</v>
      </c>
      <c r="P54" s="60" t="s">
        <v>10678</v>
      </c>
      <c r="Q54" s="48" t="s">
        <v>13273</v>
      </c>
      <c r="R54" s="48" t="s">
        <v>288</v>
      </c>
      <c r="S54" s="49" t="s">
        <v>74</v>
      </c>
      <c r="T54" s="48" t="s">
        <v>75</v>
      </c>
      <c r="U54" s="49" t="s">
        <v>3678</v>
      </c>
      <c r="V54" s="7" t="s">
        <v>214</v>
      </c>
      <c r="W54" s="49" t="s">
        <v>214</v>
      </c>
      <c r="X54" s="49" t="s">
        <v>214</v>
      </c>
      <c r="Y54" s="49" t="s">
        <v>214</v>
      </c>
      <c r="Z54" s="55" t="s">
        <v>214</v>
      </c>
      <c r="AA54" s="48" t="s">
        <v>13156</v>
      </c>
      <c r="AB54" s="84" t="s">
        <v>13273</v>
      </c>
      <c r="AC54" s="53" t="str">
        <f>HYPERLINK("https://www.phoenixcollege.edu/programs","Link")</f>
        <v>Link</v>
      </c>
      <c r="AD54" s="42">
        <v>11508</v>
      </c>
      <c r="AE54" s="55"/>
      <c r="AF54" s="55"/>
      <c r="AG54" s="56">
        <v>105428</v>
      </c>
      <c r="AH54" s="56"/>
      <c r="AI54" s="56"/>
    </row>
    <row r="55" spans="1:37" ht="15" x14ac:dyDescent="0.2">
      <c r="A55" s="110" t="s">
        <v>10684</v>
      </c>
      <c r="B55" s="33" t="s">
        <v>12632</v>
      </c>
      <c r="C55" s="7" t="s">
        <v>13279</v>
      </c>
      <c r="D55" s="37">
        <v>5</v>
      </c>
      <c r="E55" s="7"/>
      <c r="F55" s="7"/>
      <c r="G55" s="2" t="s">
        <v>13281</v>
      </c>
      <c r="H55" s="2" t="s">
        <v>13282</v>
      </c>
      <c r="I55" s="2" t="s">
        <v>13283</v>
      </c>
      <c r="J55" s="2" t="s">
        <v>48</v>
      </c>
      <c r="K55" s="2" t="s">
        <v>13286</v>
      </c>
      <c r="L55" s="2" t="s">
        <v>13287</v>
      </c>
      <c r="M55" s="48"/>
      <c r="N55" s="45" t="str">
        <f t="shared" ref="N55:N58" si="25">HYPERLINK("http://pimaaztecs.com/prospective_athletes/Recruiting_Questionnaire","Questionnaire")</f>
        <v>Questionnaire</v>
      </c>
      <c r="O55" s="48" t="s">
        <v>13293</v>
      </c>
      <c r="P55" s="60" t="s">
        <v>10678</v>
      </c>
      <c r="Q55" s="48" t="s">
        <v>10685</v>
      </c>
      <c r="R55" s="48" t="s">
        <v>354</v>
      </c>
      <c r="S55" s="49" t="s">
        <v>74</v>
      </c>
      <c r="T55" s="48" t="s">
        <v>75</v>
      </c>
      <c r="U55" s="49" t="s">
        <v>3678</v>
      </c>
      <c r="V55" s="7" t="s">
        <v>214</v>
      </c>
      <c r="W55" s="49" t="s">
        <v>214</v>
      </c>
      <c r="X55" s="49" t="s">
        <v>214</v>
      </c>
      <c r="Y55" s="49" t="s">
        <v>214</v>
      </c>
      <c r="Z55" s="55" t="s">
        <v>214</v>
      </c>
      <c r="AA55" s="48" t="s">
        <v>13294</v>
      </c>
      <c r="AB55" s="84" t="s">
        <v>13293</v>
      </c>
      <c r="AC55" s="53" t="str">
        <f t="shared" ref="AC55:AC58" si="26">HYPERLINK("https://www.pima.edu/programs-courses/credit-programs-degrees/index.html","Link")</f>
        <v>Link</v>
      </c>
      <c r="AD55" s="42">
        <v>24956</v>
      </c>
      <c r="AE55" s="55"/>
      <c r="AF55" s="55"/>
      <c r="AG55" s="56">
        <v>105525</v>
      </c>
      <c r="AH55" s="56"/>
      <c r="AI55" s="56"/>
    </row>
    <row r="56" spans="1:37" ht="15" x14ac:dyDescent="0.2">
      <c r="A56" s="110" t="s">
        <v>10684</v>
      </c>
      <c r="B56" s="33" t="s">
        <v>12632</v>
      </c>
      <c r="C56" s="7" t="s">
        <v>13296</v>
      </c>
      <c r="D56" s="37">
        <v>5</v>
      </c>
      <c r="E56" s="7"/>
      <c r="F56" s="7"/>
      <c r="G56" s="2" t="s">
        <v>13281</v>
      </c>
      <c r="H56" s="2" t="s">
        <v>1080</v>
      </c>
      <c r="I56" s="2" t="s">
        <v>13299</v>
      </c>
      <c r="J56" s="2" t="s">
        <v>55</v>
      </c>
      <c r="K56" s="2"/>
      <c r="L56" s="2"/>
      <c r="M56" s="48"/>
      <c r="N56" s="45" t="str">
        <f t="shared" si="25"/>
        <v>Questionnaire</v>
      </c>
      <c r="O56" s="48" t="s">
        <v>13293</v>
      </c>
      <c r="P56" s="60" t="s">
        <v>10678</v>
      </c>
      <c r="Q56" s="48" t="s">
        <v>10685</v>
      </c>
      <c r="R56" s="48" t="s">
        <v>354</v>
      </c>
      <c r="S56" s="49" t="s">
        <v>74</v>
      </c>
      <c r="T56" s="48" t="s">
        <v>75</v>
      </c>
      <c r="U56" s="49" t="s">
        <v>3678</v>
      </c>
      <c r="V56" s="7" t="s">
        <v>214</v>
      </c>
      <c r="W56" s="49" t="s">
        <v>214</v>
      </c>
      <c r="X56" s="49" t="s">
        <v>214</v>
      </c>
      <c r="Y56" s="49" t="s">
        <v>214</v>
      </c>
      <c r="Z56" s="55" t="s">
        <v>214</v>
      </c>
      <c r="AA56" s="48" t="s">
        <v>13294</v>
      </c>
      <c r="AB56" s="84" t="s">
        <v>13293</v>
      </c>
      <c r="AC56" s="53" t="str">
        <f t="shared" si="26"/>
        <v>Link</v>
      </c>
      <c r="AD56" s="42">
        <v>24956</v>
      </c>
      <c r="AE56" s="55"/>
      <c r="AF56" s="55"/>
      <c r="AG56" s="56">
        <v>105525</v>
      </c>
      <c r="AH56" s="56"/>
      <c r="AI56" s="56"/>
    </row>
    <row r="57" spans="1:37" ht="15" x14ac:dyDescent="0.2">
      <c r="A57" s="110" t="s">
        <v>10684</v>
      </c>
      <c r="B57" s="33" t="s">
        <v>12632</v>
      </c>
      <c r="C57" s="7" t="s">
        <v>13304</v>
      </c>
      <c r="D57" s="37">
        <v>5</v>
      </c>
      <c r="E57" s="7"/>
      <c r="F57" s="7"/>
      <c r="G57" s="2" t="s">
        <v>13281</v>
      </c>
      <c r="H57" s="2" t="s">
        <v>13306</v>
      </c>
      <c r="I57" s="2" t="s">
        <v>263</v>
      </c>
      <c r="J57" s="2" t="s">
        <v>919</v>
      </c>
      <c r="K57" s="2"/>
      <c r="L57" s="2"/>
      <c r="M57" s="48"/>
      <c r="N57" s="45" t="str">
        <f t="shared" si="25"/>
        <v>Questionnaire</v>
      </c>
      <c r="O57" s="48" t="s">
        <v>13293</v>
      </c>
      <c r="P57" s="60" t="s">
        <v>10678</v>
      </c>
      <c r="Q57" s="48" t="s">
        <v>10685</v>
      </c>
      <c r="R57" s="48" t="s">
        <v>354</v>
      </c>
      <c r="S57" s="49" t="s">
        <v>74</v>
      </c>
      <c r="T57" s="48" t="s">
        <v>75</v>
      </c>
      <c r="U57" s="49" t="s">
        <v>3678</v>
      </c>
      <c r="V57" s="7" t="s">
        <v>214</v>
      </c>
      <c r="W57" s="49" t="s">
        <v>214</v>
      </c>
      <c r="X57" s="49" t="s">
        <v>214</v>
      </c>
      <c r="Y57" s="49" t="s">
        <v>214</v>
      </c>
      <c r="Z57" s="55" t="s">
        <v>214</v>
      </c>
      <c r="AA57" s="48" t="s">
        <v>13294</v>
      </c>
      <c r="AB57" s="84" t="s">
        <v>13293</v>
      </c>
      <c r="AC57" s="53" t="str">
        <f t="shared" si="26"/>
        <v>Link</v>
      </c>
      <c r="AD57" s="42">
        <v>24956</v>
      </c>
      <c r="AE57" s="55"/>
      <c r="AF57" s="55"/>
      <c r="AG57" s="56">
        <v>105525</v>
      </c>
      <c r="AH57" s="56"/>
      <c r="AI57" s="56"/>
    </row>
    <row r="58" spans="1:37" ht="15" x14ac:dyDescent="0.2">
      <c r="A58" s="110" t="s">
        <v>10684</v>
      </c>
      <c r="B58" s="33" t="s">
        <v>12632</v>
      </c>
      <c r="C58" s="7" t="s">
        <v>13313</v>
      </c>
      <c r="D58" s="37">
        <v>5</v>
      </c>
      <c r="E58" s="7"/>
      <c r="F58" s="7"/>
      <c r="G58" s="2" t="s">
        <v>13281</v>
      </c>
      <c r="H58" s="2" t="s">
        <v>13314</v>
      </c>
      <c r="I58" s="2" t="s">
        <v>13315</v>
      </c>
      <c r="J58" s="2" t="s">
        <v>919</v>
      </c>
      <c r="K58" s="2"/>
      <c r="L58" s="2"/>
      <c r="M58" s="48"/>
      <c r="N58" s="45" t="str">
        <f t="shared" si="25"/>
        <v>Questionnaire</v>
      </c>
      <c r="O58" s="48" t="s">
        <v>13293</v>
      </c>
      <c r="P58" s="60" t="s">
        <v>10678</v>
      </c>
      <c r="Q58" s="48" t="s">
        <v>10685</v>
      </c>
      <c r="R58" s="48" t="s">
        <v>354</v>
      </c>
      <c r="S58" s="49" t="s">
        <v>74</v>
      </c>
      <c r="T58" s="48" t="s">
        <v>75</v>
      </c>
      <c r="U58" s="49" t="s">
        <v>3678</v>
      </c>
      <c r="V58" s="7" t="s">
        <v>214</v>
      </c>
      <c r="W58" s="49" t="s">
        <v>214</v>
      </c>
      <c r="X58" s="49" t="s">
        <v>214</v>
      </c>
      <c r="Y58" s="49" t="s">
        <v>214</v>
      </c>
      <c r="Z58" s="55" t="s">
        <v>214</v>
      </c>
      <c r="AA58" s="48" t="s">
        <v>13294</v>
      </c>
      <c r="AB58" s="84" t="s">
        <v>13293</v>
      </c>
      <c r="AC58" s="53" t="str">
        <f t="shared" si="26"/>
        <v>Link</v>
      </c>
      <c r="AD58" s="42">
        <v>24956</v>
      </c>
      <c r="AE58" s="55"/>
      <c r="AF58" s="55"/>
      <c r="AG58" s="56">
        <v>105525</v>
      </c>
      <c r="AH58" s="56"/>
      <c r="AI58" s="56"/>
    </row>
    <row r="59" spans="1:37" ht="15" x14ac:dyDescent="0.2">
      <c r="A59" s="110" t="s">
        <v>10684</v>
      </c>
      <c r="B59" s="33" t="s">
        <v>12632</v>
      </c>
      <c r="C59" s="7" t="s">
        <v>13326</v>
      </c>
      <c r="D59" s="37">
        <v>5</v>
      </c>
      <c r="E59" s="7"/>
      <c r="F59" s="7"/>
      <c r="G59" s="2" t="s">
        <v>13328</v>
      </c>
      <c r="H59" s="2" t="s">
        <v>13330</v>
      </c>
      <c r="I59" s="2" t="s">
        <v>13331</v>
      </c>
      <c r="J59" s="2" t="s">
        <v>48</v>
      </c>
      <c r="K59" s="2" t="s">
        <v>13332</v>
      </c>
      <c r="L59" s="2" t="s">
        <v>13334</v>
      </c>
      <c r="M59" s="45" t="str">
        <f t="shared" ref="M59:M60" si="27">HYPERLINK("twitter.com/chokesoftball","@chokesoftball")</f>
        <v>@chokesoftball</v>
      </c>
      <c r="N59" s="45" t="str">
        <f t="shared" ref="N59:N60" si="28">HYPERLINK("http://www.gochokes.com/SIDHelp.php?action=form&amp;parameters=4","Questionnaire")</f>
        <v>Questionnaire</v>
      </c>
      <c r="O59" s="48" t="s">
        <v>13340</v>
      </c>
      <c r="P59" s="60" t="s">
        <v>10678</v>
      </c>
      <c r="Q59" s="48" t="s">
        <v>13341</v>
      </c>
      <c r="R59" s="48" t="s">
        <v>62</v>
      </c>
      <c r="S59" s="49" t="s">
        <v>74</v>
      </c>
      <c r="T59" s="48" t="s">
        <v>75</v>
      </c>
      <c r="U59" s="49" t="s">
        <v>3678</v>
      </c>
      <c r="V59" s="7" t="s">
        <v>214</v>
      </c>
      <c r="W59" s="49" t="s">
        <v>214</v>
      </c>
      <c r="X59" s="49" t="s">
        <v>214</v>
      </c>
      <c r="Y59" s="49" t="s">
        <v>214</v>
      </c>
      <c r="Z59" s="55" t="s">
        <v>214</v>
      </c>
      <c r="AA59" s="48" t="s">
        <v>13156</v>
      </c>
      <c r="AB59" s="84" t="s">
        <v>13340</v>
      </c>
      <c r="AC59" s="53" t="str">
        <f t="shared" ref="AC59:AC60" si="29">HYPERLINK("https://www.scottsdalecc.edu/programs/list-name","Link")</f>
        <v>Link</v>
      </c>
      <c r="AD59" s="42">
        <v>9551</v>
      </c>
      <c r="AE59" s="55"/>
      <c r="AF59" s="55"/>
      <c r="AG59" s="56">
        <v>105747</v>
      </c>
      <c r="AH59" s="56"/>
      <c r="AI59" s="56"/>
    </row>
    <row r="60" spans="1:37" ht="15" x14ac:dyDescent="0.2">
      <c r="A60" s="110" t="s">
        <v>10684</v>
      </c>
      <c r="B60" s="33" t="s">
        <v>12632</v>
      </c>
      <c r="C60" s="7" t="s">
        <v>13345</v>
      </c>
      <c r="D60" s="37">
        <v>5</v>
      </c>
      <c r="E60" s="7"/>
      <c r="F60" s="7"/>
      <c r="G60" s="2" t="s">
        <v>13328</v>
      </c>
      <c r="H60" s="2" t="s">
        <v>981</v>
      </c>
      <c r="I60" s="2" t="s">
        <v>13346</v>
      </c>
      <c r="J60" s="2" t="s">
        <v>55</v>
      </c>
      <c r="K60" s="2"/>
      <c r="L60" s="2"/>
      <c r="M60" s="45" t="str">
        <f t="shared" si="27"/>
        <v>@chokesoftball</v>
      </c>
      <c r="N60" s="45" t="str">
        <f t="shared" si="28"/>
        <v>Questionnaire</v>
      </c>
      <c r="O60" s="48" t="s">
        <v>13340</v>
      </c>
      <c r="P60" s="60" t="s">
        <v>10678</v>
      </c>
      <c r="Q60" s="48" t="s">
        <v>13341</v>
      </c>
      <c r="R60" s="48" t="s">
        <v>62</v>
      </c>
      <c r="S60" s="49" t="s">
        <v>74</v>
      </c>
      <c r="T60" s="48" t="s">
        <v>75</v>
      </c>
      <c r="U60" s="49" t="s">
        <v>3678</v>
      </c>
      <c r="V60" s="7" t="s">
        <v>214</v>
      </c>
      <c r="W60" s="49" t="s">
        <v>214</v>
      </c>
      <c r="X60" s="49" t="s">
        <v>214</v>
      </c>
      <c r="Y60" s="49" t="s">
        <v>214</v>
      </c>
      <c r="Z60" s="55" t="s">
        <v>214</v>
      </c>
      <c r="AA60" s="48" t="s">
        <v>13156</v>
      </c>
      <c r="AB60" s="84" t="s">
        <v>13340</v>
      </c>
      <c r="AC60" s="53" t="str">
        <f t="shared" si="29"/>
        <v>Link</v>
      </c>
      <c r="AD60" s="42">
        <v>9551</v>
      </c>
      <c r="AE60" s="55"/>
      <c r="AF60" s="55"/>
      <c r="AG60" s="56">
        <v>105747</v>
      </c>
      <c r="AH60" s="56"/>
      <c r="AI60" s="56"/>
    </row>
    <row r="61" spans="1:37" ht="15" x14ac:dyDescent="0.2">
      <c r="A61" s="110" t="s">
        <v>10684</v>
      </c>
      <c r="B61" s="33" t="s">
        <v>12632</v>
      </c>
      <c r="C61" s="7" t="s">
        <v>13351</v>
      </c>
      <c r="D61" s="37">
        <v>5</v>
      </c>
      <c r="E61" s="7"/>
      <c r="F61" s="7"/>
      <c r="G61" s="2" t="s">
        <v>13352</v>
      </c>
      <c r="H61" s="2" t="s">
        <v>2028</v>
      </c>
      <c r="I61" s="2" t="s">
        <v>13353</v>
      </c>
      <c r="J61" s="2" t="s">
        <v>48</v>
      </c>
      <c r="K61" s="2" t="s">
        <v>13354</v>
      </c>
      <c r="L61" s="2"/>
      <c r="M61" s="45" t="str">
        <f t="shared" ref="M61:M62" si="30">HYPERLINK("twitter.com/_smccsoftball","@_smccsoftball")</f>
        <v>@_smccsoftball</v>
      </c>
      <c r="N61" s="48" t="s">
        <v>22</v>
      </c>
      <c r="O61" s="48" t="s">
        <v>13356</v>
      </c>
      <c r="P61" s="60" t="s">
        <v>10678</v>
      </c>
      <c r="Q61" s="48" t="s">
        <v>13273</v>
      </c>
      <c r="R61" s="55" t="s">
        <v>288</v>
      </c>
      <c r="S61" s="5" t="s">
        <v>74</v>
      </c>
      <c r="T61" s="48" t="s">
        <v>75</v>
      </c>
      <c r="U61" s="49" t="s">
        <v>3678</v>
      </c>
      <c r="V61" s="7" t="s">
        <v>214</v>
      </c>
      <c r="W61" s="49" t="s">
        <v>214</v>
      </c>
      <c r="X61" s="49" t="s">
        <v>214</v>
      </c>
      <c r="Y61" s="49" t="s">
        <v>214</v>
      </c>
      <c r="Z61" s="55" t="s">
        <v>214</v>
      </c>
      <c r="AA61" s="48" t="s">
        <v>13156</v>
      </c>
      <c r="AB61" s="84" t="s">
        <v>13356</v>
      </c>
      <c r="AC61" s="53" t="str">
        <f t="shared" ref="AC61:AC62" si="31">HYPERLINK("http://www.southmountaincc.edu/academics/","Link")</f>
        <v>Link</v>
      </c>
      <c r="AD61" s="42">
        <v>4058</v>
      </c>
      <c r="AE61" s="55"/>
      <c r="AF61" s="55"/>
      <c r="AG61" s="56">
        <v>105792</v>
      </c>
      <c r="AH61" s="56"/>
      <c r="AI61" s="56"/>
    </row>
    <row r="62" spans="1:37" ht="15" x14ac:dyDescent="0.2">
      <c r="A62" s="110" t="s">
        <v>10684</v>
      </c>
      <c r="B62" s="33" t="s">
        <v>12632</v>
      </c>
      <c r="C62" s="7" t="s">
        <v>13367</v>
      </c>
      <c r="D62" s="37">
        <v>5</v>
      </c>
      <c r="E62" s="7"/>
      <c r="F62" s="7"/>
      <c r="G62" s="2" t="s">
        <v>13352</v>
      </c>
      <c r="H62" s="2" t="s">
        <v>683</v>
      </c>
      <c r="I62" s="2" t="s">
        <v>8926</v>
      </c>
      <c r="J62" s="2" t="s">
        <v>55</v>
      </c>
      <c r="K62" s="2"/>
      <c r="L62" s="2"/>
      <c r="M62" s="45" t="str">
        <f t="shared" si="30"/>
        <v>@_smccsoftball</v>
      </c>
      <c r="N62" s="48" t="s">
        <v>22</v>
      </c>
      <c r="O62" s="48" t="s">
        <v>13356</v>
      </c>
      <c r="P62" s="60" t="s">
        <v>10678</v>
      </c>
      <c r="Q62" s="48" t="s">
        <v>13273</v>
      </c>
      <c r="R62" s="55" t="s">
        <v>288</v>
      </c>
      <c r="S62" s="5" t="s">
        <v>74</v>
      </c>
      <c r="T62" s="48" t="s">
        <v>75</v>
      </c>
      <c r="U62" s="49" t="s">
        <v>3678</v>
      </c>
      <c r="V62" s="7" t="s">
        <v>214</v>
      </c>
      <c r="W62" s="49" t="s">
        <v>214</v>
      </c>
      <c r="X62" s="49" t="s">
        <v>214</v>
      </c>
      <c r="Y62" s="49" t="s">
        <v>214</v>
      </c>
      <c r="Z62" s="55" t="s">
        <v>214</v>
      </c>
      <c r="AA62" s="48" t="s">
        <v>13156</v>
      </c>
      <c r="AB62" s="84" t="s">
        <v>13356</v>
      </c>
      <c r="AC62" s="53" t="str">
        <f t="shared" si="31"/>
        <v>Link</v>
      </c>
      <c r="AD62" s="42">
        <v>4058</v>
      </c>
      <c r="AE62" s="55"/>
      <c r="AF62" s="55"/>
      <c r="AG62" s="56">
        <v>105792</v>
      </c>
      <c r="AH62" s="56"/>
      <c r="AI62" s="56"/>
    </row>
    <row r="63" spans="1:37" ht="15" x14ac:dyDescent="0.2">
      <c r="A63" s="110" t="s">
        <v>10684</v>
      </c>
      <c r="B63" s="33" t="s">
        <v>12632</v>
      </c>
      <c r="C63" s="7" t="s">
        <v>13373</v>
      </c>
      <c r="D63" s="37">
        <v>5</v>
      </c>
      <c r="E63" s="7"/>
      <c r="F63" s="7"/>
      <c r="G63" s="2" t="s">
        <v>13375</v>
      </c>
      <c r="H63" s="2" t="s">
        <v>1454</v>
      </c>
      <c r="I63" s="2" t="s">
        <v>13378</v>
      </c>
      <c r="J63" s="2" t="s">
        <v>48</v>
      </c>
      <c r="K63" s="2" t="s">
        <v>13379</v>
      </c>
      <c r="L63" s="2" t="s">
        <v>13381</v>
      </c>
      <c r="M63" s="45" t="str">
        <f t="shared" ref="M63:M64" si="32">HYPERLINK("twitter.com/yavapaisoftball","@yavapaisoftball")</f>
        <v>@yavapaisoftball</v>
      </c>
      <c r="N63" s="48" t="s">
        <v>22</v>
      </c>
      <c r="O63" s="48" t="s">
        <v>13386</v>
      </c>
      <c r="P63" s="145" t="s">
        <v>10678</v>
      </c>
      <c r="Q63" s="48" t="s">
        <v>7850</v>
      </c>
      <c r="R63" s="48" t="s">
        <v>468</v>
      </c>
      <c r="S63" s="49" t="s">
        <v>74</v>
      </c>
      <c r="T63" s="48" t="s">
        <v>75</v>
      </c>
      <c r="U63" s="49" t="s">
        <v>3678</v>
      </c>
      <c r="V63" s="7" t="s">
        <v>214</v>
      </c>
      <c r="W63" s="49" t="s">
        <v>214</v>
      </c>
      <c r="X63" s="49" t="s">
        <v>214</v>
      </c>
      <c r="Y63" s="49" t="s">
        <v>214</v>
      </c>
      <c r="Z63" s="55" t="s">
        <v>214</v>
      </c>
      <c r="AA63" s="48" t="s">
        <v>13394</v>
      </c>
      <c r="AB63" s="84" t="s">
        <v>13386</v>
      </c>
      <c r="AC63" s="53" t="str">
        <f t="shared" ref="AC63:AC64" si="33">HYPERLINK("http://catalog.yc.edu/content.php?catoid=12&amp;navoid=1050/","Link")</f>
        <v>Link</v>
      </c>
      <c r="AD63" s="42">
        <v>7282</v>
      </c>
      <c r="AE63" s="55"/>
      <c r="AF63" s="55"/>
      <c r="AG63" s="56">
        <v>106148</v>
      </c>
      <c r="AH63" s="56"/>
      <c r="AI63" s="56"/>
    </row>
    <row r="64" spans="1:37" ht="15" x14ac:dyDescent="0.2">
      <c r="A64" s="110" t="s">
        <v>10684</v>
      </c>
      <c r="B64" s="33" t="s">
        <v>12632</v>
      </c>
      <c r="C64" s="7" t="s">
        <v>13400</v>
      </c>
      <c r="D64" s="37">
        <v>5</v>
      </c>
      <c r="E64" s="7"/>
      <c r="F64" s="7"/>
      <c r="G64" s="2" t="s">
        <v>13375</v>
      </c>
      <c r="H64" s="2" t="s">
        <v>8725</v>
      </c>
      <c r="I64" s="2" t="s">
        <v>8090</v>
      </c>
      <c r="J64" s="2" t="s">
        <v>55</v>
      </c>
      <c r="K64" s="2" t="s">
        <v>13402</v>
      </c>
      <c r="L64" s="2" t="s">
        <v>13381</v>
      </c>
      <c r="M64" s="45" t="str">
        <f t="shared" si="32"/>
        <v>@yavapaisoftball</v>
      </c>
      <c r="N64" s="48" t="s">
        <v>22</v>
      </c>
      <c r="O64" s="48" t="s">
        <v>13386</v>
      </c>
      <c r="P64" s="145" t="s">
        <v>10678</v>
      </c>
      <c r="Q64" s="48" t="s">
        <v>7850</v>
      </c>
      <c r="R64" s="48" t="s">
        <v>468</v>
      </c>
      <c r="S64" s="49" t="s">
        <v>74</v>
      </c>
      <c r="T64" s="48" t="s">
        <v>75</v>
      </c>
      <c r="U64" s="49" t="s">
        <v>3678</v>
      </c>
      <c r="V64" s="7" t="s">
        <v>214</v>
      </c>
      <c r="W64" s="49" t="s">
        <v>214</v>
      </c>
      <c r="X64" s="49" t="s">
        <v>214</v>
      </c>
      <c r="Y64" s="49" t="s">
        <v>214</v>
      </c>
      <c r="Z64" s="55" t="s">
        <v>214</v>
      </c>
      <c r="AA64" s="48" t="s">
        <v>13394</v>
      </c>
      <c r="AB64" s="84" t="s">
        <v>13386</v>
      </c>
      <c r="AC64" s="53" t="str">
        <f t="shared" si="33"/>
        <v>Link</v>
      </c>
      <c r="AD64" s="42">
        <v>7282</v>
      </c>
      <c r="AE64" s="55"/>
      <c r="AF64" s="55"/>
      <c r="AG64" s="56">
        <v>106148</v>
      </c>
      <c r="AH64" s="56"/>
      <c r="AI64" s="56"/>
    </row>
    <row r="65" spans="1:37" ht="15" x14ac:dyDescent="0.2">
      <c r="A65" s="110" t="s">
        <v>140</v>
      </c>
      <c r="B65" s="33" t="s">
        <v>12632</v>
      </c>
      <c r="C65" s="7"/>
      <c r="D65" s="37">
        <v>5</v>
      </c>
      <c r="E65" s="7"/>
      <c r="F65" s="37"/>
      <c r="G65" s="2" t="s">
        <v>13408</v>
      </c>
      <c r="H65" s="2" t="s">
        <v>13411</v>
      </c>
      <c r="I65" s="2" t="s">
        <v>13413</v>
      </c>
      <c r="J65" s="2" t="s">
        <v>48</v>
      </c>
      <c r="K65" s="2" t="s">
        <v>13415</v>
      </c>
      <c r="L65" s="2"/>
      <c r="M65" s="48"/>
      <c r="N65" s="48" t="s">
        <v>22</v>
      </c>
      <c r="O65" s="60" t="s">
        <v>13417</v>
      </c>
      <c r="P65" s="60" t="s">
        <v>184</v>
      </c>
      <c r="Q65" s="48" t="s">
        <v>13419</v>
      </c>
      <c r="R65" s="48" t="s">
        <v>62</v>
      </c>
      <c r="S65" s="49" t="s">
        <v>63</v>
      </c>
      <c r="T65" s="48" t="s">
        <v>2619</v>
      </c>
      <c r="U65" s="49" t="s">
        <v>212</v>
      </c>
      <c r="V65" s="39">
        <v>2.6</v>
      </c>
      <c r="W65" s="49" t="s">
        <v>214</v>
      </c>
      <c r="X65" s="49" t="s">
        <v>214</v>
      </c>
      <c r="Y65" s="49" t="s">
        <v>214</v>
      </c>
      <c r="Z65" s="55" t="s">
        <v>214</v>
      </c>
      <c r="AA65" s="39">
        <v>23060</v>
      </c>
      <c r="AB65" s="90" t="s">
        <v>13417</v>
      </c>
      <c r="AC65" s="53" t="str">
        <f>HYPERLINK("http://www.arkansasbaptist.edu/academics/programs/","Link")</f>
        <v>Link</v>
      </c>
      <c r="AD65" s="42">
        <v>878</v>
      </c>
      <c r="AE65" s="55"/>
      <c r="AF65" s="55"/>
      <c r="AG65" s="56">
        <v>106306</v>
      </c>
      <c r="AH65" s="7" t="s">
        <v>2459</v>
      </c>
      <c r="AI65" s="85"/>
      <c r="AJ65" s="85"/>
      <c r="AK65" s="85"/>
    </row>
    <row r="66" spans="1:37" ht="15" x14ac:dyDescent="0.2">
      <c r="A66" s="110" t="s">
        <v>140</v>
      </c>
      <c r="B66" s="33" t="s">
        <v>12632</v>
      </c>
      <c r="C66" s="7" t="s">
        <v>13428</v>
      </c>
      <c r="D66" s="37">
        <v>5</v>
      </c>
      <c r="E66" s="7"/>
      <c r="F66" s="7"/>
      <c r="G66" s="2" t="s">
        <v>13432</v>
      </c>
      <c r="H66" s="2" t="s">
        <v>13433</v>
      </c>
      <c r="I66" s="2" t="s">
        <v>13434</v>
      </c>
      <c r="J66" s="2" t="s">
        <v>48</v>
      </c>
      <c r="K66" s="2" t="s">
        <v>13435</v>
      </c>
      <c r="L66" s="2" t="s">
        <v>13436</v>
      </c>
      <c r="M66" s="48"/>
      <c r="N66" s="45" t="str">
        <f>HYPERLINK("https://www.cognitoforms.com/NorthArkansasCollege1/AthleticInformationRequest","Questionnaire")</f>
        <v>Questionnaire</v>
      </c>
      <c r="O66" s="48" t="s">
        <v>13438</v>
      </c>
      <c r="P66" s="60" t="s">
        <v>184</v>
      </c>
      <c r="Q66" s="48" t="s">
        <v>7395</v>
      </c>
      <c r="R66" s="48" t="s">
        <v>172</v>
      </c>
      <c r="S66" s="49" t="s">
        <v>74</v>
      </c>
      <c r="T66" s="48" t="s">
        <v>75</v>
      </c>
      <c r="U66" s="49" t="s">
        <v>3678</v>
      </c>
      <c r="V66" s="7" t="s">
        <v>214</v>
      </c>
      <c r="W66" s="49" t="s">
        <v>214</v>
      </c>
      <c r="X66" s="49" t="s">
        <v>214</v>
      </c>
      <c r="Y66" s="49" t="s">
        <v>214</v>
      </c>
      <c r="Z66" s="55" t="s">
        <v>214</v>
      </c>
      <c r="AA66" s="48" t="s">
        <v>13441</v>
      </c>
      <c r="AB66" s="84" t="s">
        <v>13438</v>
      </c>
      <c r="AC66" s="53" t="str">
        <f>HYPERLINK("http://www.northark.edu/academics/about-degrees-and-certificates/index","Link")</f>
        <v>Link</v>
      </c>
      <c r="AD66" s="42">
        <v>1886</v>
      </c>
      <c r="AE66" s="55"/>
      <c r="AF66" s="55"/>
      <c r="AG66" s="56">
        <v>107460</v>
      </c>
      <c r="AH66" s="56"/>
      <c r="AI66" s="56"/>
    </row>
    <row r="67" spans="1:37" ht="15" x14ac:dyDescent="0.2">
      <c r="A67" s="110" t="s">
        <v>907</v>
      </c>
      <c r="B67" s="33" t="s">
        <v>12632</v>
      </c>
      <c r="C67" s="7" t="s">
        <v>13445</v>
      </c>
      <c r="D67" s="37">
        <v>5</v>
      </c>
      <c r="E67" s="7"/>
      <c r="F67" s="7"/>
      <c r="G67" s="2" t="s">
        <v>13446</v>
      </c>
      <c r="H67" s="2" t="s">
        <v>3909</v>
      </c>
      <c r="I67" s="2" t="s">
        <v>13448</v>
      </c>
      <c r="J67" s="2" t="s">
        <v>48</v>
      </c>
      <c r="K67" s="2" t="s">
        <v>13449</v>
      </c>
      <c r="L67" s="2" t="s">
        <v>13450</v>
      </c>
      <c r="M67" s="48"/>
      <c r="N67" s="45" t="str">
        <f t="shared" ref="N67:N71" si="34">HYPERLINK("https://douglas.prestosports.com/information/royals-recruiting-form","Questionnaire")</f>
        <v>Questionnaire</v>
      </c>
      <c r="O67" s="48" t="s">
        <v>13459</v>
      </c>
      <c r="P67" s="60" t="s">
        <v>914</v>
      </c>
      <c r="Q67" s="48" t="s">
        <v>13460</v>
      </c>
      <c r="R67" s="48" t="s">
        <v>186</v>
      </c>
      <c r="S67" s="49" t="s">
        <v>74</v>
      </c>
      <c r="T67" s="48" t="s">
        <v>75</v>
      </c>
      <c r="U67" s="49" t="s">
        <v>13462</v>
      </c>
      <c r="V67" s="7" t="s">
        <v>214</v>
      </c>
      <c r="W67" s="49" t="s">
        <v>214</v>
      </c>
      <c r="X67" s="49" t="s">
        <v>214</v>
      </c>
      <c r="Y67" s="49" t="s">
        <v>214</v>
      </c>
      <c r="Z67" s="55" t="s">
        <v>214</v>
      </c>
      <c r="AA67" s="146" t="str">
        <f t="shared" ref="AA67:AA71" si="35">HYPERLINK("https://www.douglascollege.ca/study-at-douglas/fees-and-related-information/tuition-fee-charts","Chart")</f>
        <v>Chart</v>
      </c>
      <c r="AB67" s="84" t="s">
        <v>13459</v>
      </c>
      <c r="AC67" s="53" t="str">
        <f t="shared" ref="AC67:AC71" si="36">HYPERLINK("https://www.douglascollege.ca/programs-courses/catalogue/programs","Link")</f>
        <v>Link</v>
      </c>
      <c r="AD67" s="55" t="s">
        <v>214</v>
      </c>
      <c r="AE67" s="55"/>
      <c r="AF67" s="55"/>
      <c r="AG67" s="7"/>
      <c r="AH67" s="7"/>
      <c r="AI67" s="7"/>
    </row>
    <row r="68" spans="1:37" ht="15" x14ac:dyDescent="0.2">
      <c r="A68" s="110" t="s">
        <v>907</v>
      </c>
      <c r="B68" s="33" t="s">
        <v>12632</v>
      </c>
      <c r="C68" s="7" t="s">
        <v>13478</v>
      </c>
      <c r="D68" s="37">
        <v>5</v>
      </c>
      <c r="E68" s="7"/>
      <c r="F68" s="7"/>
      <c r="G68" s="2" t="s">
        <v>13446</v>
      </c>
      <c r="H68" s="2" t="s">
        <v>3488</v>
      </c>
      <c r="I68" s="2" t="s">
        <v>13480</v>
      </c>
      <c r="J68" s="2" t="s">
        <v>55</v>
      </c>
      <c r="K68" s="2"/>
      <c r="L68" s="2"/>
      <c r="M68" s="48"/>
      <c r="N68" s="45" t="str">
        <f t="shared" si="34"/>
        <v>Questionnaire</v>
      </c>
      <c r="O68" s="48" t="s">
        <v>13459</v>
      </c>
      <c r="P68" s="60" t="s">
        <v>914</v>
      </c>
      <c r="Q68" s="48" t="s">
        <v>13460</v>
      </c>
      <c r="R68" s="48" t="s">
        <v>186</v>
      </c>
      <c r="S68" s="49" t="s">
        <v>74</v>
      </c>
      <c r="T68" s="48" t="s">
        <v>75</v>
      </c>
      <c r="U68" s="49" t="s">
        <v>13462</v>
      </c>
      <c r="V68" s="7" t="s">
        <v>214</v>
      </c>
      <c r="W68" s="49" t="s">
        <v>214</v>
      </c>
      <c r="X68" s="49" t="s">
        <v>214</v>
      </c>
      <c r="Y68" s="49" t="s">
        <v>214</v>
      </c>
      <c r="Z68" s="55" t="s">
        <v>214</v>
      </c>
      <c r="AA68" s="146" t="str">
        <f t="shared" si="35"/>
        <v>Chart</v>
      </c>
      <c r="AB68" s="84" t="s">
        <v>13459</v>
      </c>
      <c r="AC68" s="53" t="str">
        <f t="shared" si="36"/>
        <v>Link</v>
      </c>
      <c r="AD68" s="55" t="s">
        <v>214</v>
      </c>
      <c r="AE68" s="55"/>
      <c r="AF68" s="55"/>
      <c r="AG68" s="7"/>
      <c r="AH68" s="7"/>
      <c r="AI68" s="7"/>
    </row>
    <row r="69" spans="1:37" ht="15" x14ac:dyDescent="0.2">
      <c r="A69" s="110" t="s">
        <v>907</v>
      </c>
      <c r="B69" s="33" t="s">
        <v>12632</v>
      </c>
      <c r="C69" s="7" t="s">
        <v>13485</v>
      </c>
      <c r="D69" s="37">
        <v>5</v>
      </c>
      <c r="E69" s="7"/>
      <c r="F69" s="7"/>
      <c r="G69" s="2" t="s">
        <v>13446</v>
      </c>
      <c r="H69" s="2" t="s">
        <v>13487</v>
      </c>
      <c r="I69" s="2" t="s">
        <v>13488</v>
      </c>
      <c r="J69" s="2" t="s">
        <v>55</v>
      </c>
      <c r="K69" s="2"/>
      <c r="L69" s="2"/>
      <c r="M69" s="48"/>
      <c r="N69" s="45" t="str">
        <f t="shared" si="34"/>
        <v>Questionnaire</v>
      </c>
      <c r="O69" s="48" t="s">
        <v>13459</v>
      </c>
      <c r="P69" s="60" t="s">
        <v>914</v>
      </c>
      <c r="Q69" s="48" t="s">
        <v>13460</v>
      </c>
      <c r="R69" s="48" t="s">
        <v>186</v>
      </c>
      <c r="S69" s="49" t="s">
        <v>74</v>
      </c>
      <c r="T69" s="48" t="s">
        <v>75</v>
      </c>
      <c r="U69" s="49" t="s">
        <v>13462</v>
      </c>
      <c r="V69" s="7" t="s">
        <v>214</v>
      </c>
      <c r="W69" s="49" t="s">
        <v>214</v>
      </c>
      <c r="X69" s="49" t="s">
        <v>214</v>
      </c>
      <c r="Y69" s="49" t="s">
        <v>214</v>
      </c>
      <c r="Z69" s="55" t="s">
        <v>214</v>
      </c>
      <c r="AA69" s="146" t="str">
        <f t="shared" si="35"/>
        <v>Chart</v>
      </c>
      <c r="AB69" s="84" t="s">
        <v>13459</v>
      </c>
      <c r="AC69" s="53" t="str">
        <f t="shared" si="36"/>
        <v>Link</v>
      </c>
      <c r="AD69" s="55" t="s">
        <v>214</v>
      </c>
      <c r="AE69" s="55"/>
      <c r="AF69" s="55"/>
      <c r="AG69" s="7"/>
      <c r="AH69" s="7"/>
      <c r="AI69" s="7"/>
    </row>
    <row r="70" spans="1:37" ht="15" x14ac:dyDescent="0.2">
      <c r="A70" s="110" t="s">
        <v>907</v>
      </c>
      <c r="B70" s="33" t="s">
        <v>12632</v>
      </c>
      <c r="C70" s="7" t="s">
        <v>13493</v>
      </c>
      <c r="D70" s="37">
        <v>5</v>
      </c>
      <c r="E70" s="7"/>
      <c r="F70" s="7"/>
      <c r="G70" s="2" t="s">
        <v>13446</v>
      </c>
      <c r="H70" s="2" t="s">
        <v>13495</v>
      </c>
      <c r="I70" s="2" t="s">
        <v>11338</v>
      </c>
      <c r="J70" s="2" t="s">
        <v>55</v>
      </c>
      <c r="K70" s="2"/>
      <c r="L70" s="2"/>
      <c r="M70" s="48"/>
      <c r="N70" s="45" t="str">
        <f t="shared" si="34"/>
        <v>Questionnaire</v>
      </c>
      <c r="O70" s="48" t="s">
        <v>13459</v>
      </c>
      <c r="P70" s="60" t="s">
        <v>914</v>
      </c>
      <c r="Q70" s="48" t="s">
        <v>13460</v>
      </c>
      <c r="R70" s="48" t="s">
        <v>186</v>
      </c>
      <c r="S70" s="49" t="s">
        <v>74</v>
      </c>
      <c r="T70" s="48" t="s">
        <v>75</v>
      </c>
      <c r="U70" s="49" t="s">
        <v>13462</v>
      </c>
      <c r="V70" s="7" t="s">
        <v>214</v>
      </c>
      <c r="W70" s="49" t="s">
        <v>214</v>
      </c>
      <c r="X70" s="49" t="s">
        <v>214</v>
      </c>
      <c r="Y70" s="49" t="s">
        <v>214</v>
      </c>
      <c r="Z70" s="55" t="s">
        <v>214</v>
      </c>
      <c r="AA70" s="146" t="str">
        <f t="shared" si="35"/>
        <v>Chart</v>
      </c>
      <c r="AB70" s="84" t="s">
        <v>13459</v>
      </c>
      <c r="AC70" s="53" t="str">
        <f t="shared" si="36"/>
        <v>Link</v>
      </c>
      <c r="AD70" s="55" t="s">
        <v>214</v>
      </c>
      <c r="AE70" s="55"/>
      <c r="AF70" s="55"/>
      <c r="AG70" s="7"/>
      <c r="AH70" s="7"/>
      <c r="AI70" s="7"/>
    </row>
    <row r="71" spans="1:37" ht="15" x14ac:dyDescent="0.2">
      <c r="A71" s="110" t="s">
        <v>907</v>
      </c>
      <c r="B71" s="33" t="s">
        <v>12632</v>
      </c>
      <c r="C71" s="7" t="s">
        <v>13506</v>
      </c>
      <c r="D71" s="37">
        <v>5</v>
      </c>
      <c r="E71" s="7"/>
      <c r="F71" s="7" t="s">
        <v>126</v>
      </c>
      <c r="G71" s="2" t="s">
        <v>13446</v>
      </c>
      <c r="H71" s="2" t="s">
        <v>13509</v>
      </c>
      <c r="I71" s="2"/>
      <c r="J71" s="2"/>
      <c r="K71" s="2"/>
      <c r="L71" s="2"/>
      <c r="M71" s="48"/>
      <c r="N71" s="45" t="str">
        <f t="shared" si="34"/>
        <v>Questionnaire</v>
      </c>
      <c r="O71" s="48" t="s">
        <v>13459</v>
      </c>
      <c r="P71" s="60" t="s">
        <v>914</v>
      </c>
      <c r="Q71" s="48" t="s">
        <v>13460</v>
      </c>
      <c r="R71" s="48" t="s">
        <v>186</v>
      </c>
      <c r="S71" s="49" t="s">
        <v>74</v>
      </c>
      <c r="T71" s="48" t="s">
        <v>75</v>
      </c>
      <c r="U71" s="49" t="s">
        <v>13462</v>
      </c>
      <c r="V71" s="7" t="s">
        <v>214</v>
      </c>
      <c r="W71" s="49" t="s">
        <v>214</v>
      </c>
      <c r="X71" s="49" t="s">
        <v>214</v>
      </c>
      <c r="Y71" s="49" t="s">
        <v>214</v>
      </c>
      <c r="Z71" s="55" t="s">
        <v>214</v>
      </c>
      <c r="AA71" s="146" t="str">
        <f t="shared" si="35"/>
        <v>Chart</v>
      </c>
      <c r="AB71" s="84" t="s">
        <v>13459</v>
      </c>
      <c r="AC71" s="53" t="str">
        <f t="shared" si="36"/>
        <v>Link</v>
      </c>
      <c r="AD71" s="55" t="s">
        <v>214</v>
      </c>
      <c r="AE71" s="55"/>
      <c r="AF71" s="55"/>
      <c r="AG71" s="7"/>
      <c r="AH71" s="7"/>
      <c r="AI71" s="7"/>
    </row>
    <row r="72" spans="1:37" ht="15" x14ac:dyDescent="0.2">
      <c r="A72" s="110" t="s">
        <v>300</v>
      </c>
      <c r="B72" s="33" t="s">
        <v>12632</v>
      </c>
      <c r="C72" s="7" t="s">
        <v>13517</v>
      </c>
      <c r="D72" s="112">
        <v>5</v>
      </c>
      <c r="E72" s="7"/>
      <c r="F72" s="7"/>
      <c r="G72" s="2" t="s">
        <v>13518</v>
      </c>
      <c r="H72" s="2" t="s">
        <v>13519</v>
      </c>
      <c r="I72" s="2" t="s">
        <v>13521</v>
      </c>
      <c r="J72" s="2" t="s">
        <v>48</v>
      </c>
      <c r="K72" s="2" t="s">
        <v>13522</v>
      </c>
      <c r="L72" s="2" t="s">
        <v>13524</v>
      </c>
      <c r="M72" s="48"/>
      <c r="N72" s="45" t="str">
        <f t="shared" ref="N72:N75" si="37">HYPERLINK("https://allanhancock.prestosports.com/recruits/first_contact_form","Questionnaire")</f>
        <v>Questionnaire</v>
      </c>
      <c r="O72" s="60" t="s">
        <v>13528</v>
      </c>
      <c r="P72" s="60" t="s">
        <v>312</v>
      </c>
      <c r="Q72" s="48" t="s">
        <v>13530</v>
      </c>
      <c r="R72" s="48" t="s">
        <v>238</v>
      </c>
      <c r="S72" s="49" t="s">
        <v>74</v>
      </c>
      <c r="T72" s="48" t="s">
        <v>75</v>
      </c>
      <c r="U72" s="49" t="s">
        <v>3678</v>
      </c>
      <c r="V72" s="7" t="s">
        <v>214</v>
      </c>
      <c r="W72" s="49" t="s">
        <v>214</v>
      </c>
      <c r="X72" s="49" t="s">
        <v>214</v>
      </c>
      <c r="Y72" s="49" t="s">
        <v>214</v>
      </c>
      <c r="Z72" s="55" t="s">
        <v>214</v>
      </c>
      <c r="AA72" s="48" t="s">
        <v>13531</v>
      </c>
      <c r="AB72" s="90" t="s">
        <v>13528</v>
      </c>
      <c r="AC72" s="53" t="str">
        <f t="shared" ref="AC72:AC75" si="38">HYPERLINK("http://www.hancockcollege.edu/academic_departments/programs.php","Link")</f>
        <v>Link</v>
      </c>
      <c r="AD72" s="42">
        <v>12012</v>
      </c>
      <c r="AE72" s="55"/>
      <c r="AF72" s="55"/>
      <c r="AG72" s="56">
        <v>108807</v>
      </c>
      <c r="AH72" s="56"/>
      <c r="AI72" s="56"/>
    </row>
    <row r="73" spans="1:37" ht="15" x14ac:dyDescent="0.2">
      <c r="A73" s="110" t="s">
        <v>300</v>
      </c>
      <c r="B73" s="33" t="s">
        <v>12632</v>
      </c>
      <c r="C73" s="7" t="s">
        <v>13538</v>
      </c>
      <c r="D73" s="112">
        <v>5</v>
      </c>
      <c r="E73" s="7"/>
      <c r="F73" s="7"/>
      <c r="G73" s="2" t="s">
        <v>13518</v>
      </c>
      <c r="H73" s="2" t="s">
        <v>13539</v>
      </c>
      <c r="I73" s="2" t="s">
        <v>263</v>
      </c>
      <c r="J73" s="2" t="s">
        <v>55</v>
      </c>
      <c r="K73" s="2"/>
      <c r="L73" s="2"/>
      <c r="M73" s="48"/>
      <c r="N73" s="45" t="str">
        <f t="shared" si="37"/>
        <v>Questionnaire</v>
      </c>
      <c r="O73" s="60" t="s">
        <v>13528</v>
      </c>
      <c r="P73" s="60" t="s">
        <v>312</v>
      </c>
      <c r="Q73" s="48" t="s">
        <v>13530</v>
      </c>
      <c r="R73" s="48" t="s">
        <v>238</v>
      </c>
      <c r="S73" s="49" t="s">
        <v>74</v>
      </c>
      <c r="T73" s="48" t="s">
        <v>75</v>
      </c>
      <c r="U73" s="49" t="s">
        <v>3678</v>
      </c>
      <c r="V73" s="7" t="s">
        <v>214</v>
      </c>
      <c r="W73" s="49" t="s">
        <v>214</v>
      </c>
      <c r="X73" s="49" t="s">
        <v>214</v>
      </c>
      <c r="Y73" s="49" t="s">
        <v>214</v>
      </c>
      <c r="Z73" s="55" t="s">
        <v>214</v>
      </c>
      <c r="AA73" s="48" t="s">
        <v>13531</v>
      </c>
      <c r="AB73" s="90" t="s">
        <v>13528</v>
      </c>
      <c r="AC73" s="53" t="str">
        <f t="shared" si="38"/>
        <v>Link</v>
      </c>
      <c r="AD73" s="42">
        <v>12012</v>
      </c>
      <c r="AE73" s="55"/>
      <c r="AF73" s="55"/>
      <c r="AG73" s="56">
        <v>108807</v>
      </c>
      <c r="AH73" s="56"/>
      <c r="AI73" s="56"/>
    </row>
    <row r="74" spans="1:37" ht="15" x14ac:dyDescent="0.2">
      <c r="A74" s="110" t="s">
        <v>300</v>
      </c>
      <c r="B74" s="33" t="s">
        <v>12632</v>
      </c>
      <c r="C74" s="7" t="s">
        <v>13546</v>
      </c>
      <c r="D74" s="112">
        <v>5</v>
      </c>
      <c r="E74" s="7"/>
      <c r="F74" s="7"/>
      <c r="G74" s="2" t="s">
        <v>13518</v>
      </c>
      <c r="H74" s="2" t="s">
        <v>13548</v>
      </c>
      <c r="I74" s="2" t="s">
        <v>3498</v>
      </c>
      <c r="J74" s="2" t="s">
        <v>55</v>
      </c>
      <c r="K74" s="2"/>
      <c r="L74" s="2"/>
      <c r="M74" s="48"/>
      <c r="N74" s="45" t="str">
        <f t="shared" si="37"/>
        <v>Questionnaire</v>
      </c>
      <c r="O74" s="60" t="s">
        <v>13528</v>
      </c>
      <c r="P74" s="60" t="s">
        <v>312</v>
      </c>
      <c r="Q74" s="48" t="s">
        <v>13530</v>
      </c>
      <c r="R74" s="48" t="s">
        <v>238</v>
      </c>
      <c r="S74" s="49" t="s">
        <v>74</v>
      </c>
      <c r="T74" s="48" t="s">
        <v>75</v>
      </c>
      <c r="U74" s="49" t="s">
        <v>3678</v>
      </c>
      <c r="V74" s="7" t="s">
        <v>214</v>
      </c>
      <c r="W74" s="49" t="s">
        <v>214</v>
      </c>
      <c r="X74" s="49" t="s">
        <v>214</v>
      </c>
      <c r="Y74" s="49" t="s">
        <v>214</v>
      </c>
      <c r="Z74" s="55" t="s">
        <v>214</v>
      </c>
      <c r="AA74" s="48" t="s">
        <v>13531</v>
      </c>
      <c r="AB74" s="90" t="s">
        <v>13528</v>
      </c>
      <c r="AC74" s="53" t="str">
        <f t="shared" si="38"/>
        <v>Link</v>
      </c>
      <c r="AD74" s="42">
        <v>12012</v>
      </c>
      <c r="AE74" s="55"/>
      <c r="AF74" s="55"/>
      <c r="AG74" s="56">
        <v>108807</v>
      </c>
      <c r="AH74" s="56"/>
      <c r="AI74" s="56"/>
    </row>
    <row r="75" spans="1:37" ht="15" x14ac:dyDescent="0.2">
      <c r="A75" s="110" t="s">
        <v>300</v>
      </c>
      <c r="B75" s="33" t="s">
        <v>12632</v>
      </c>
      <c r="C75" s="7" t="s">
        <v>13554</v>
      </c>
      <c r="D75" s="112">
        <v>5</v>
      </c>
      <c r="E75" s="7"/>
      <c r="F75" s="7"/>
      <c r="G75" s="2" t="s">
        <v>13518</v>
      </c>
      <c r="H75" s="2" t="s">
        <v>361</v>
      </c>
      <c r="I75" s="2" t="s">
        <v>13557</v>
      </c>
      <c r="J75" s="2" t="s">
        <v>55</v>
      </c>
      <c r="K75" s="2"/>
      <c r="L75" s="2"/>
      <c r="M75" s="48"/>
      <c r="N75" s="45" t="str">
        <f t="shared" si="37"/>
        <v>Questionnaire</v>
      </c>
      <c r="O75" s="60" t="s">
        <v>13528</v>
      </c>
      <c r="P75" s="60" t="s">
        <v>312</v>
      </c>
      <c r="Q75" s="48" t="s">
        <v>13530</v>
      </c>
      <c r="R75" s="48" t="s">
        <v>238</v>
      </c>
      <c r="S75" s="49" t="s">
        <v>74</v>
      </c>
      <c r="T75" s="48" t="s">
        <v>75</v>
      </c>
      <c r="U75" s="49" t="s">
        <v>3678</v>
      </c>
      <c r="V75" s="7" t="s">
        <v>214</v>
      </c>
      <c r="W75" s="49" t="s">
        <v>214</v>
      </c>
      <c r="X75" s="49" t="s">
        <v>214</v>
      </c>
      <c r="Y75" s="49" t="s">
        <v>214</v>
      </c>
      <c r="Z75" s="55" t="s">
        <v>214</v>
      </c>
      <c r="AA75" s="48" t="s">
        <v>13531</v>
      </c>
      <c r="AB75" s="90" t="s">
        <v>13528</v>
      </c>
      <c r="AC75" s="53" t="str">
        <f t="shared" si="38"/>
        <v>Link</v>
      </c>
      <c r="AD75" s="42">
        <v>12012</v>
      </c>
      <c r="AE75" s="55"/>
      <c r="AF75" s="55"/>
      <c r="AG75" s="56">
        <v>108807</v>
      </c>
      <c r="AH75" s="56"/>
      <c r="AI75" s="56"/>
    </row>
    <row r="76" spans="1:37" ht="15" x14ac:dyDescent="0.2">
      <c r="A76" s="110" t="s">
        <v>300</v>
      </c>
      <c r="B76" s="33" t="s">
        <v>12632</v>
      </c>
      <c r="C76" s="7" t="s">
        <v>13560</v>
      </c>
      <c r="D76" s="112">
        <v>5</v>
      </c>
      <c r="E76" s="7"/>
      <c r="F76" s="7"/>
      <c r="G76" s="2" t="s">
        <v>13562</v>
      </c>
      <c r="H76" s="2" t="s">
        <v>1822</v>
      </c>
      <c r="I76" s="2" t="s">
        <v>7039</v>
      </c>
      <c r="J76" s="2" t="s">
        <v>48</v>
      </c>
      <c r="K76" s="2" t="s">
        <v>13565</v>
      </c>
      <c r="L76" s="2" t="s">
        <v>13566</v>
      </c>
      <c r="M76" s="48"/>
      <c r="N76" s="48" t="s">
        <v>22</v>
      </c>
      <c r="O76" s="108" t="s">
        <v>13568</v>
      </c>
      <c r="P76" s="60" t="s">
        <v>312</v>
      </c>
      <c r="Q76" s="48" t="s">
        <v>3424</v>
      </c>
      <c r="R76" s="48" t="s">
        <v>354</v>
      </c>
      <c r="S76" s="5" t="s">
        <v>74</v>
      </c>
      <c r="T76" s="48" t="s">
        <v>75</v>
      </c>
      <c r="U76" s="49" t="s">
        <v>3678</v>
      </c>
      <c r="V76" s="7" t="s">
        <v>214</v>
      </c>
      <c r="W76" s="49" t="s">
        <v>214</v>
      </c>
      <c r="X76" s="49" t="s">
        <v>214</v>
      </c>
      <c r="Y76" s="49" t="s">
        <v>214</v>
      </c>
      <c r="Z76" s="55" t="s">
        <v>214</v>
      </c>
      <c r="AA76" s="48" t="s">
        <v>13569</v>
      </c>
      <c r="AB76" s="52" t="s">
        <v>13568</v>
      </c>
      <c r="AC76" s="53" t="str">
        <f>HYPERLINK("http://www.arc.losrios.edu/ARC_Majors.htm","Link")</f>
        <v>Link</v>
      </c>
      <c r="AD76" s="42">
        <v>30519</v>
      </c>
      <c r="AE76" s="55"/>
      <c r="AF76" s="55"/>
      <c r="AG76" s="56">
        <v>109208</v>
      </c>
      <c r="AH76" s="56"/>
      <c r="AI76" s="56"/>
    </row>
    <row r="77" spans="1:37" ht="15" x14ac:dyDescent="0.2">
      <c r="A77" s="110" t="s">
        <v>300</v>
      </c>
      <c r="B77" s="33" t="s">
        <v>12632</v>
      </c>
      <c r="C77" s="7" t="s">
        <v>13572</v>
      </c>
      <c r="D77" s="112">
        <v>5</v>
      </c>
      <c r="E77" s="7"/>
      <c r="F77" s="7"/>
      <c r="G77" s="2" t="s">
        <v>13574</v>
      </c>
      <c r="H77" s="2" t="s">
        <v>13576</v>
      </c>
      <c r="I77" s="2"/>
      <c r="J77" s="2" t="s">
        <v>3472</v>
      </c>
      <c r="K77" s="2" t="s">
        <v>13577</v>
      </c>
      <c r="L77" s="2" t="s">
        <v>13578</v>
      </c>
      <c r="M77" s="48"/>
      <c r="N77" s="45" t="str">
        <f t="shared" ref="N77:N81" si="39">HYPERLINK("https://www.avc.edu/academics/hs/athleterecruitment","Questionnaire")</f>
        <v>Questionnaire</v>
      </c>
      <c r="O77" s="60" t="s">
        <v>13574</v>
      </c>
      <c r="P77" s="60" t="s">
        <v>312</v>
      </c>
      <c r="Q77" s="48" t="s">
        <v>12732</v>
      </c>
      <c r="R77" s="48" t="s">
        <v>62</v>
      </c>
      <c r="S77" s="49" t="s">
        <v>74</v>
      </c>
      <c r="T77" s="48" t="s">
        <v>75</v>
      </c>
      <c r="U77" s="49" t="s">
        <v>3678</v>
      </c>
      <c r="V77" s="7" t="s">
        <v>214</v>
      </c>
      <c r="W77" s="49" t="s">
        <v>214</v>
      </c>
      <c r="X77" s="49" t="s">
        <v>214</v>
      </c>
      <c r="Y77" s="49" t="s">
        <v>214</v>
      </c>
      <c r="Z77" s="55" t="s">
        <v>214</v>
      </c>
      <c r="AA77" s="48" t="s">
        <v>13583</v>
      </c>
      <c r="AB77" s="90" t="s">
        <v>13574</v>
      </c>
      <c r="AC77" s="53" t="str">
        <f t="shared" ref="AC77:AC81" si="40">HYPERLINK("https://www.avc.edu/academics/transferdegrees","Link")</f>
        <v>Link</v>
      </c>
      <c r="AD77" s="42">
        <v>14105</v>
      </c>
      <c r="AE77" s="55"/>
      <c r="AF77" s="55"/>
      <c r="AG77" s="56">
        <v>109350</v>
      </c>
      <c r="AH77" s="56"/>
      <c r="AI77" s="56"/>
    </row>
    <row r="78" spans="1:37" ht="15" x14ac:dyDescent="0.2">
      <c r="A78" s="110" t="s">
        <v>300</v>
      </c>
      <c r="B78" s="33" t="s">
        <v>12632</v>
      </c>
      <c r="C78" s="7" t="s">
        <v>13586</v>
      </c>
      <c r="D78" s="112">
        <v>5</v>
      </c>
      <c r="E78" s="7"/>
      <c r="F78" s="7"/>
      <c r="G78" s="2" t="s">
        <v>13574</v>
      </c>
      <c r="H78" s="2" t="s">
        <v>70</v>
      </c>
      <c r="I78" s="2" t="s">
        <v>13587</v>
      </c>
      <c r="J78" s="2" t="s">
        <v>48</v>
      </c>
      <c r="K78" s="2" t="s">
        <v>13588</v>
      </c>
      <c r="L78" s="2" t="s">
        <v>13578</v>
      </c>
      <c r="M78" s="48"/>
      <c r="N78" s="45" t="str">
        <f t="shared" si="39"/>
        <v>Questionnaire</v>
      </c>
      <c r="O78" s="60" t="s">
        <v>13574</v>
      </c>
      <c r="P78" s="60" t="s">
        <v>312</v>
      </c>
      <c r="Q78" s="48" t="s">
        <v>12732</v>
      </c>
      <c r="R78" s="48" t="s">
        <v>62</v>
      </c>
      <c r="S78" s="49" t="s">
        <v>74</v>
      </c>
      <c r="T78" s="48" t="s">
        <v>75</v>
      </c>
      <c r="U78" s="49" t="s">
        <v>3678</v>
      </c>
      <c r="V78" s="7" t="s">
        <v>214</v>
      </c>
      <c r="W78" s="49" t="s">
        <v>214</v>
      </c>
      <c r="X78" s="49" t="s">
        <v>214</v>
      </c>
      <c r="Y78" s="49" t="s">
        <v>214</v>
      </c>
      <c r="Z78" s="55" t="s">
        <v>214</v>
      </c>
      <c r="AA78" s="48" t="s">
        <v>13583</v>
      </c>
      <c r="AB78" s="90" t="s">
        <v>13574</v>
      </c>
      <c r="AC78" s="53" t="str">
        <f t="shared" si="40"/>
        <v>Link</v>
      </c>
      <c r="AD78" s="42">
        <v>14105</v>
      </c>
      <c r="AE78" s="55"/>
      <c r="AF78" s="55"/>
      <c r="AG78" s="56">
        <v>109350</v>
      </c>
      <c r="AH78" s="56"/>
      <c r="AI78" s="56"/>
    </row>
    <row r="79" spans="1:37" ht="15" x14ac:dyDescent="0.2">
      <c r="A79" s="110" t="s">
        <v>300</v>
      </c>
      <c r="B79" s="33" t="s">
        <v>12632</v>
      </c>
      <c r="C79" s="7" t="s">
        <v>13594</v>
      </c>
      <c r="D79" s="112">
        <v>5</v>
      </c>
      <c r="E79" s="7"/>
      <c r="F79" s="7"/>
      <c r="G79" s="2" t="s">
        <v>13574</v>
      </c>
      <c r="H79" s="2" t="s">
        <v>754</v>
      </c>
      <c r="I79" s="2" t="s">
        <v>13587</v>
      </c>
      <c r="J79" s="2" t="s">
        <v>55</v>
      </c>
      <c r="K79" s="2" t="s">
        <v>13597</v>
      </c>
      <c r="L79" s="2" t="s">
        <v>13578</v>
      </c>
      <c r="M79" s="48"/>
      <c r="N79" s="45" t="str">
        <f t="shared" si="39"/>
        <v>Questionnaire</v>
      </c>
      <c r="O79" s="60" t="s">
        <v>13574</v>
      </c>
      <c r="P79" s="60" t="s">
        <v>312</v>
      </c>
      <c r="Q79" s="48" t="s">
        <v>12732</v>
      </c>
      <c r="R79" s="48" t="s">
        <v>62</v>
      </c>
      <c r="S79" s="49" t="s">
        <v>74</v>
      </c>
      <c r="T79" s="48" t="s">
        <v>75</v>
      </c>
      <c r="U79" s="49" t="s">
        <v>3678</v>
      </c>
      <c r="V79" s="7" t="s">
        <v>214</v>
      </c>
      <c r="W79" s="49" t="s">
        <v>214</v>
      </c>
      <c r="X79" s="49" t="s">
        <v>214</v>
      </c>
      <c r="Y79" s="49" t="s">
        <v>214</v>
      </c>
      <c r="Z79" s="55" t="s">
        <v>214</v>
      </c>
      <c r="AA79" s="48" t="s">
        <v>13583</v>
      </c>
      <c r="AB79" s="90" t="s">
        <v>13574</v>
      </c>
      <c r="AC79" s="53" t="str">
        <f t="shared" si="40"/>
        <v>Link</v>
      </c>
      <c r="AD79" s="42">
        <v>14105</v>
      </c>
      <c r="AE79" s="55"/>
      <c r="AF79" s="55"/>
      <c r="AG79" s="56">
        <v>109350</v>
      </c>
      <c r="AH79" s="56"/>
      <c r="AI79" s="56"/>
    </row>
    <row r="80" spans="1:37" ht="15" x14ac:dyDescent="0.2">
      <c r="A80" s="110" t="s">
        <v>300</v>
      </c>
      <c r="B80" s="33" t="s">
        <v>12632</v>
      </c>
      <c r="C80" s="7" t="s">
        <v>13598</v>
      </c>
      <c r="D80" s="112">
        <v>5</v>
      </c>
      <c r="E80" s="7"/>
      <c r="F80" s="7"/>
      <c r="G80" s="2" t="s">
        <v>13574</v>
      </c>
      <c r="H80" s="2" t="s">
        <v>754</v>
      </c>
      <c r="I80" s="2" t="s">
        <v>13587</v>
      </c>
      <c r="J80" s="2" t="s">
        <v>6646</v>
      </c>
      <c r="K80" s="2" t="s">
        <v>13600</v>
      </c>
      <c r="L80" s="2" t="s">
        <v>13578</v>
      </c>
      <c r="M80" s="48"/>
      <c r="N80" s="45" t="str">
        <f t="shared" si="39"/>
        <v>Questionnaire</v>
      </c>
      <c r="O80" s="60" t="s">
        <v>13574</v>
      </c>
      <c r="P80" s="60" t="s">
        <v>312</v>
      </c>
      <c r="Q80" s="48" t="s">
        <v>12732</v>
      </c>
      <c r="R80" s="48" t="s">
        <v>62</v>
      </c>
      <c r="S80" s="49" t="s">
        <v>74</v>
      </c>
      <c r="T80" s="48" t="s">
        <v>75</v>
      </c>
      <c r="U80" s="49" t="s">
        <v>3678</v>
      </c>
      <c r="V80" s="7" t="s">
        <v>214</v>
      </c>
      <c r="W80" s="49" t="s">
        <v>214</v>
      </c>
      <c r="X80" s="49" t="s">
        <v>214</v>
      </c>
      <c r="Y80" s="49" t="s">
        <v>214</v>
      </c>
      <c r="Z80" s="55" t="s">
        <v>214</v>
      </c>
      <c r="AA80" s="48" t="s">
        <v>13583</v>
      </c>
      <c r="AB80" s="90" t="s">
        <v>13574</v>
      </c>
      <c r="AC80" s="53" t="str">
        <f t="shared" si="40"/>
        <v>Link</v>
      </c>
      <c r="AD80" s="42">
        <v>14105</v>
      </c>
      <c r="AE80" s="55"/>
      <c r="AF80" s="55"/>
      <c r="AG80" s="56">
        <v>109350</v>
      </c>
      <c r="AH80" s="56"/>
      <c r="AI80" s="56"/>
    </row>
    <row r="81" spans="1:37" ht="15" x14ac:dyDescent="0.2">
      <c r="A81" s="110" t="s">
        <v>300</v>
      </c>
      <c r="B81" s="33" t="s">
        <v>12632</v>
      </c>
      <c r="C81" s="7" t="s">
        <v>13603</v>
      </c>
      <c r="D81" s="112">
        <v>5</v>
      </c>
      <c r="E81" s="7"/>
      <c r="F81" s="7"/>
      <c r="G81" s="2" t="s">
        <v>13574</v>
      </c>
      <c r="H81" s="2" t="s">
        <v>683</v>
      </c>
      <c r="I81" s="2" t="s">
        <v>13604</v>
      </c>
      <c r="J81" s="2" t="s">
        <v>55</v>
      </c>
      <c r="K81" s="2" t="s">
        <v>13605</v>
      </c>
      <c r="L81" s="2" t="s">
        <v>13578</v>
      </c>
      <c r="M81" s="48"/>
      <c r="N81" s="45" t="str">
        <f t="shared" si="39"/>
        <v>Questionnaire</v>
      </c>
      <c r="O81" s="60" t="s">
        <v>13574</v>
      </c>
      <c r="P81" s="60" t="s">
        <v>312</v>
      </c>
      <c r="Q81" s="48" t="s">
        <v>12732</v>
      </c>
      <c r="R81" s="48" t="s">
        <v>62</v>
      </c>
      <c r="S81" s="49" t="s">
        <v>74</v>
      </c>
      <c r="T81" s="48" t="s">
        <v>75</v>
      </c>
      <c r="U81" s="49" t="s">
        <v>3678</v>
      </c>
      <c r="V81" s="7" t="s">
        <v>214</v>
      </c>
      <c r="W81" s="49" t="s">
        <v>214</v>
      </c>
      <c r="X81" s="49" t="s">
        <v>214</v>
      </c>
      <c r="Y81" s="49" t="s">
        <v>214</v>
      </c>
      <c r="Z81" s="55" t="s">
        <v>214</v>
      </c>
      <c r="AA81" s="48" t="s">
        <v>13583</v>
      </c>
      <c r="AB81" s="90" t="s">
        <v>13574</v>
      </c>
      <c r="AC81" s="53" t="str">
        <f t="shared" si="40"/>
        <v>Link</v>
      </c>
      <c r="AD81" s="42">
        <v>14105</v>
      </c>
      <c r="AE81" s="55"/>
      <c r="AF81" s="55"/>
      <c r="AG81" s="56">
        <v>109350</v>
      </c>
      <c r="AH81" s="56"/>
      <c r="AI81" s="56"/>
    </row>
    <row r="82" spans="1:37" ht="13" x14ac:dyDescent="0.15">
      <c r="A82" s="110" t="s">
        <v>300</v>
      </c>
      <c r="B82" s="2" t="s">
        <v>12632</v>
      </c>
      <c r="C82" s="7" t="s">
        <v>13609</v>
      </c>
      <c r="D82" s="44">
        <v>5</v>
      </c>
      <c r="E82" s="7"/>
      <c r="F82" s="7"/>
      <c r="G82" s="7" t="s">
        <v>13610</v>
      </c>
      <c r="H82" s="7" t="s">
        <v>92</v>
      </c>
      <c r="I82" s="7" t="s">
        <v>4590</v>
      </c>
      <c r="J82" s="7" t="s">
        <v>55</v>
      </c>
      <c r="K82" s="7"/>
      <c r="L82" s="7"/>
      <c r="M82" s="47"/>
      <c r="N82" s="47"/>
      <c r="O82" s="47" t="s">
        <v>13611</v>
      </c>
      <c r="P82" s="47" t="s">
        <v>312</v>
      </c>
      <c r="Q82" s="48" t="s">
        <v>13612</v>
      </c>
      <c r="R82" s="48" t="s">
        <v>354</v>
      </c>
      <c r="S82" s="5" t="s">
        <v>74</v>
      </c>
      <c r="T82" s="4" t="s">
        <v>75</v>
      </c>
      <c r="U82" s="49" t="s">
        <v>3678</v>
      </c>
      <c r="V82" s="7" t="s">
        <v>214</v>
      </c>
      <c r="W82" s="49" t="s">
        <v>214</v>
      </c>
      <c r="X82" s="49" t="s">
        <v>214</v>
      </c>
      <c r="Y82" s="4" t="s">
        <v>214</v>
      </c>
      <c r="Z82" s="8" t="s">
        <v>214</v>
      </c>
      <c r="AA82" s="48" t="s">
        <v>13616</v>
      </c>
      <c r="AB82" s="66" t="s">
        <v>13611</v>
      </c>
      <c r="AC82" s="67" t="str">
        <f t="shared" ref="AC82:AC86" si="41">HYPERLINK("https://www.bakersfieldcollege.edu/programs","Link")</f>
        <v>Link</v>
      </c>
      <c r="AD82" s="42">
        <v>22710</v>
      </c>
      <c r="AE82" s="8"/>
      <c r="AF82" s="55"/>
      <c r="AG82" s="56">
        <v>109819</v>
      </c>
      <c r="AH82" s="56"/>
      <c r="AI82" s="56"/>
    </row>
    <row r="83" spans="1:37" ht="15" x14ac:dyDescent="0.2">
      <c r="A83" s="64" t="s">
        <v>300</v>
      </c>
      <c r="B83" s="33" t="s">
        <v>12632</v>
      </c>
      <c r="C83" s="7" t="s">
        <v>13619</v>
      </c>
      <c r="D83" s="44">
        <v>5</v>
      </c>
      <c r="E83" s="7" t="s">
        <v>116</v>
      </c>
      <c r="F83" s="7"/>
      <c r="G83" s="2" t="s">
        <v>13610</v>
      </c>
      <c r="H83" s="7" t="s">
        <v>306</v>
      </c>
      <c r="I83" s="7" t="s">
        <v>8392</v>
      </c>
      <c r="J83" s="7" t="s">
        <v>55</v>
      </c>
      <c r="K83" s="7"/>
      <c r="L83" s="7"/>
      <c r="M83" s="45" t="str">
        <f t="shared" ref="M83:M86" si="42">HYPERLINK("twitter.com/gadessoftball","@gadessoftball")</f>
        <v>@gadessoftball</v>
      </c>
      <c r="N83" s="45" t="str">
        <f t="shared" ref="N83:N86" si="43">HYPERLINK("http://www.gogades.com/recruits/RecruitPortal","Questionnaire")</f>
        <v>Questionnaire</v>
      </c>
      <c r="O83" s="60" t="s">
        <v>13611</v>
      </c>
      <c r="P83" s="60" t="s">
        <v>312</v>
      </c>
      <c r="Q83" s="48" t="s">
        <v>13612</v>
      </c>
      <c r="R83" s="48" t="s">
        <v>354</v>
      </c>
      <c r="S83" s="5" t="s">
        <v>74</v>
      </c>
      <c r="T83" s="48" t="s">
        <v>75</v>
      </c>
      <c r="U83" s="49" t="s">
        <v>3678</v>
      </c>
      <c r="V83" s="7" t="s">
        <v>214</v>
      </c>
      <c r="W83" s="49" t="s">
        <v>214</v>
      </c>
      <c r="X83" s="49" t="s">
        <v>214</v>
      </c>
      <c r="Y83" s="49" t="s">
        <v>214</v>
      </c>
      <c r="Z83" s="55" t="s">
        <v>214</v>
      </c>
      <c r="AA83" s="48" t="s">
        <v>13616</v>
      </c>
      <c r="AB83" s="90" t="s">
        <v>13611</v>
      </c>
      <c r="AC83" s="53" t="str">
        <f t="shared" si="41"/>
        <v>Link</v>
      </c>
      <c r="AD83" s="42">
        <v>22710</v>
      </c>
      <c r="AE83" s="55"/>
      <c r="AF83" s="55"/>
      <c r="AG83" s="56">
        <v>109819</v>
      </c>
      <c r="AH83" s="85"/>
      <c r="AI83" s="85"/>
    </row>
    <row r="84" spans="1:37" ht="15" x14ac:dyDescent="0.2">
      <c r="A84" s="110" t="s">
        <v>300</v>
      </c>
      <c r="B84" s="33" t="s">
        <v>12632</v>
      </c>
      <c r="C84" s="7" t="s">
        <v>13627</v>
      </c>
      <c r="D84" s="112">
        <v>5</v>
      </c>
      <c r="E84" s="7"/>
      <c r="F84" s="7"/>
      <c r="G84" s="2" t="s">
        <v>13610</v>
      </c>
      <c r="H84" s="2" t="s">
        <v>111</v>
      </c>
      <c r="I84" s="2" t="s">
        <v>13628</v>
      </c>
      <c r="J84" s="2" t="s">
        <v>48</v>
      </c>
      <c r="K84" s="2" t="s">
        <v>13629</v>
      </c>
      <c r="L84" s="2" t="s">
        <v>13630</v>
      </c>
      <c r="M84" s="45" t="str">
        <f t="shared" si="42"/>
        <v>@gadessoftball</v>
      </c>
      <c r="N84" s="45" t="str">
        <f t="shared" si="43"/>
        <v>Questionnaire</v>
      </c>
      <c r="O84" s="60" t="s">
        <v>13611</v>
      </c>
      <c r="P84" s="60" t="s">
        <v>312</v>
      </c>
      <c r="Q84" s="48" t="s">
        <v>13612</v>
      </c>
      <c r="R84" s="48" t="s">
        <v>354</v>
      </c>
      <c r="S84" s="5" t="s">
        <v>74</v>
      </c>
      <c r="T84" s="48" t="s">
        <v>75</v>
      </c>
      <c r="U84" s="49" t="s">
        <v>3678</v>
      </c>
      <c r="V84" s="7" t="s">
        <v>214</v>
      </c>
      <c r="W84" s="49" t="s">
        <v>214</v>
      </c>
      <c r="X84" s="49" t="s">
        <v>214</v>
      </c>
      <c r="Y84" s="49" t="s">
        <v>214</v>
      </c>
      <c r="Z84" s="55" t="s">
        <v>214</v>
      </c>
      <c r="AA84" s="48" t="s">
        <v>13616</v>
      </c>
      <c r="AB84" s="90" t="s">
        <v>13611</v>
      </c>
      <c r="AC84" s="53" t="str">
        <f t="shared" si="41"/>
        <v>Link</v>
      </c>
      <c r="AD84" s="42">
        <v>22710</v>
      </c>
      <c r="AE84" s="55"/>
      <c r="AF84" s="55"/>
      <c r="AG84" s="56">
        <v>109819</v>
      </c>
      <c r="AH84" s="56"/>
      <c r="AI84" s="56"/>
    </row>
    <row r="85" spans="1:37" ht="15" x14ac:dyDescent="0.2">
      <c r="A85" s="110" t="s">
        <v>300</v>
      </c>
      <c r="B85" s="33" t="s">
        <v>12632</v>
      </c>
      <c r="C85" s="7" t="s">
        <v>13637</v>
      </c>
      <c r="D85" s="112">
        <v>5</v>
      </c>
      <c r="E85" s="7"/>
      <c r="F85" s="7"/>
      <c r="G85" s="2" t="s">
        <v>13610</v>
      </c>
      <c r="H85" s="2" t="s">
        <v>728</v>
      </c>
      <c r="I85" s="2" t="s">
        <v>13638</v>
      </c>
      <c r="J85" s="2" t="s">
        <v>55</v>
      </c>
      <c r="K85" s="2"/>
      <c r="L85" s="2"/>
      <c r="M85" s="45" t="str">
        <f t="shared" si="42"/>
        <v>@gadessoftball</v>
      </c>
      <c r="N85" s="45" t="str">
        <f t="shared" si="43"/>
        <v>Questionnaire</v>
      </c>
      <c r="O85" s="60" t="s">
        <v>13611</v>
      </c>
      <c r="P85" s="60" t="s">
        <v>312</v>
      </c>
      <c r="Q85" s="48" t="s">
        <v>13612</v>
      </c>
      <c r="R85" s="48" t="s">
        <v>354</v>
      </c>
      <c r="S85" s="5" t="s">
        <v>74</v>
      </c>
      <c r="T85" s="48" t="s">
        <v>75</v>
      </c>
      <c r="U85" s="49" t="s">
        <v>3678</v>
      </c>
      <c r="V85" s="7" t="s">
        <v>214</v>
      </c>
      <c r="W85" s="49" t="s">
        <v>214</v>
      </c>
      <c r="X85" s="49" t="s">
        <v>214</v>
      </c>
      <c r="Y85" s="49" t="s">
        <v>214</v>
      </c>
      <c r="Z85" s="55" t="s">
        <v>214</v>
      </c>
      <c r="AA85" s="48" t="s">
        <v>13616</v>
      </c>
      <c r="AB85" s="90" t="s">
        <v>13611</v>
      </c>
      <c r="AC85" s="53" t="str">
        <f t="shared" si="41"/>
        <v>Link</v>
      </c>
      <c r="AD85" s="42">
        <v>22710</v>
      </c>
      <c r="AE85" s="55"/>
      <c r="AF85" s="55"/>
      <c r="AG85" s="56">
        <v>109819</v>
      </c>
      <c r="AH85" s="56"/>
      <c r="AI85" s="56"/>
    </row>
    <row r="86" spans="1:37" ht="15" x14ac:dyDescent="0.2">
      <c r="A86" s="110" t="s">
        <v>300</v>
      </c>
      <c r="B86" s="33" t="s">
        <v>12632</v>
      </c>
      <c r="C86" s="7" t="s">
        <v>13645</v>
      </c>
      <c r="D86" s="112">
        <v>5</v>
      </c>
      <c r="E86" s="7"/>
      <c r="F86" s="7"/>
      <c r="G86" s="2" t="s">
        <v>13610</v>
      </c>
      <c r="H86" s="2" t="s">
        <v>13646</v>
      </c>
      <c r="I86" s="2" t="s">
        <v>1761</v>
      </c>
      <c r="J86" s="2" t="s">
        <v>55</v>
      </c>
      <c r="K86" s="2"/>
      <c r="L86" s="2"/>
      <c r="M86" s="45" t="str">
        <f t="shared" si="42"/>
        <v>@gadessoftball</v>
      </c>
      <c r="N86" s="45" t="str">
        <f t="shared" si="43"/>
        <v>Questionnaire</v>
      </c>
      <c r="O86" s="60" t="s">
        <v>13611</v>
      </c>
      <c r="P86" s="60" t="s">
        <v>312</v>
      </c>
      <c r="Q86" s="48" t="s">
        <v>13612</v>
      </c>
      <c r="R86" s="48" t="s">
        <v>354</v>
      </c>
      <c r="S86" s="5" t="s">
        <v>74</v>
      </c>
      <c r="T86" s="48" t="s">
        <v>75</v>
      </c>
      <c r="U86" s="49" t="s">
        <v>3678</v>
      </c>
      <c r="V86" s="7" t="s">
        <v>214</v>
      </c>
      <c r="W86" s="49" t="s">
        <v>214</v>
      </c>
      <c r="X86" s="49" t="s">
        <v>214</v>
      </c>
      <c r="Y86" s="49" t="s">
        <v>214</v>
      </c>
      <c r="Z86" s="55" t="s">
        <v>214</v>
      </c>
      <c r="AA86" s="48" t="s">
        <v>13616</v>
      </c>
      <c r="AB86" s="90" t="s">
        <v>13611</v>
      </c>
      <c r="AC86" s="53" t="str">
        <f t="shared" si="41"/>
        <v>Link</v>
      </c>
      <c r="AD86" s="42">
        <v>22710</v>
      </c>
      <c r="AE86" s="55"/>
      <c r="AF86" s="55"/>
      <c r="AG86" s="56">
        <v>109819</v>
      </c>
      <c r="AH86" s="56"/>
      <c r="AI86" s="56"/>
    </row>
    <row r="87" spans="1:37" ht="15" x14ac:dyDescent="0.2">
      <c r="A87" s="110" t="s">
        <v>300</v>
      </c>
      <c r="B87" s="33" t="s">
        <v>12632</v>
      </c>
      <c r="C87" s="7" t="s">
        <v>13654</v>
      </c>
      <c r="D87" s="112">
        <v>5</v>
      </c>
      <c r="E87" s="7"/>
      <c r="F87" s="7"/>
      <c r="G87" s="2" t="s">
        <v>13655</v>
      </c>
      <c r="H87" s="2" t="s">
        <v>4659</v>
      </c>
      <c r="I87" s="2" t="s">
        <v>13656</v>
      </c>
      <c r="J87" s="2" t="s">
        <v>48</v>
      </c>
      <c r="K87" s="2" t="s">
        <v>13657</v>
      </c>
      <c r="L87" s="2"/>
      <c r="M87" s="48"/>
      <c r="N87" s="45" t="str">
        <f t="shared" ref="N87:N88" si="44">HYPERLINK("https://www.barstowvikings.com/information/Viking_Recruiting_Questionnaire","Questionnaire")</f>
        <v>Questionnaire</v>
      </c>
      <c r="O87" s="48" t="s">
        <v>13664</v>
      </c>
      <c r="P87" s="60" t="s">
        <v>312</v>
      </c>
      <c r="Q87" s="48" t="s">
        <v>13665</v>
      </c>
      <c r="R87" s="48" t="s">
        <v>172</v>
      </c>
      <c r="S87" s="49" t="s">
        <v>74</v>
      </c>
      <c r="T87" s="48" t="s">
        <v>75</v>
      </c>
      <c r="U87" s="49" t="s">
        <v>3678</v>
      </c>
      <c r="V87" s="7" t="s">
        <v>214</v>
      </c>
      <c r="W87" s="49" t="s">
        <v>214</v>
      </c>
      <c r="X87" s="49" t="s">
        <v>214</v>
      </c>
      <c r="Y87" s="49" t="s">
        <v>214</v>
      </c>
      <c r="Z87" s="55" t="s">
        <v>214</v>
      </c>
      <c r="AA87" s="48" t="s">
        <v>13666</v>
      </c>
      <c r="AB87" s="84" t="s">
        <v>13664</v>
      </c>
      <c r="AC87" s="53" t="str">
        <f t="shared" ref="AC87:AC88" si="45">HYPERLINK("http://www.barstow.edu/Programs-Study.html","Link")</f>
        <v>Link</v>
      </c>
      <c r="AD87" s="42">
        <v>3285</v>
      </c>
      <c r="AE87" s="55"/>
      <c r="AF87" s="55"/>
      <c r="AG87" s="56">
        <v>109907</v>
      </c>
      <c r="AH87" s="56"/>
      <c r="AI87" s="56"/>
    </row>
    <row r="88" spans="1:37" ht="15" x14ac:dyDescent="0.2">
      <c r="A88" s="110" t="s">
        <v>300</v>
      </c>
      <c r="B88" s="33" t="s">
        <v>12632</v>
      </c>
      <c r="C88" s="7" t="s">
        <v>13671</v>
      </c>
      <c r="D88" s="112">
        <v>5</v>
      </c>
      <c r="E88" s="7"/>
      <c r="F88" s="7"/>
      <c r="G88" s="2" t="s">
        <v>13655</v>
      </c>
      <c r="H88" s="2" t="s">
        <v>130</v>
      </c>
      <c r="I88" s="2" t="s">
        <v>13672</v>
      </c>
      <c r="J88" s="2" t="s">
        <v>55</v>
      </c>
      <c r="K88" s="2" t="s">
        <v>13673</v>
      </c>
      <c r="L88" s="2"/>
      <c r="M88" s="48"/>
      <c r="N88" s="45" t="str">
        <f t="shared" si="44"/>
        <v>Questionnaire</v>
      </c>
      <c r="O88" s="48" t="s">
        <v>13664</v>
      </c>
      <c r="P88" s="60" t="s">
        <v>312</v>
      </c>
      <c r="Q88" s="48" t="s">
        <v>13665</v>
      </c>
      <c r="R88" s="48" t="s">
        <v>172</v>
      </c>
      <c r="S88" s="49" t="s">
        <v>74</v>
      </c>
      <c r="T88" s="48" t="s">
        <v>75</v>
      </c>
      <c r="U88" s="49" t="s">
        <v>3678</v>
      </c>
      <c r="V88" s="7" t="s">
        <v>214</v>
      </c>
      <c r="W88" s="49" t="s">
        <v>214</v>
      </c>
      <c r="X88" s="49" t="s">
        <v>214</v>
      </c>
      <c r="Y88" s="49" t="s">
        <v>214</v>
      </c>
      <c r="Z88" s="55" t="s">
        <v>214</v>
      </c>
      <c r="AA88" s="48" t="s">
        <v>13666</v>
      </c>
      <c r="AB88" s="84" t="s">
        <v>13664</v>
      </c>
      <c r="AC88" s="53" t="str">
        <f t="shared" si="45"/>
        <v>Link</v>
      </c>
      <c r="AD88" s="42">
        <v>3285</v>
      </c>
      <c r="AE88" s="55"/>
      <c r="AF88" s="55"/>
      <c r="AG88" s="56">
        <v>109907</v>
      </c>
      <c r="AH88" s="56"/>
      <c r="AI88" s="56"/>
    </row>
    <row r="89" spans="1:37" ht="15" x14ac:dyDescent="0.2">
      <c r="A89" s="31" t="s">
        <v>300</v>
      </c>
      <c r="B89" s="33" t="s">
        <v>12632</v>
      </c>
      <c r="C89" s="7"/>
      <c r="D89" s="112">
        <v>5</v>
      </c>
      <c r="E89" s="7"/>
      <c r="F89" s="112"/>
      <c r="G89" s="2" t="s">
        <v>13676</v>
      </c>
      <c r="H89" s="2" t="s">
        <v>13677</v>
      </c>
      <c r="I89" s="2" t="s">
        <v>13678</v>
      </c>
      <c r="J89" s="2" t="s">
        <v>48</v>
      </c>
      <c r="K89" s="2" t="s">
        <v>13679</v>
      </c>
      <c r="L89" s="2" t="s">
        <v>13680</v>
      </c>
      <c r="M89" s="48"/>
      <c r="N89" s="48" t="s">
        <v>22</v>
      </c>
      <c r="O89" s="60" t="s">
        <v>13681</v>
      </c>
      <c r="P89" s="60" t="s">
        <v>312</v>
      </c>
      <c r="Q89" s="48" t="s">
        <v>13683</v>
      </c>
      <c r="R89" s="48" t="s">
        <v>172</v>
      </c>
      <c r="S89" s="49" t="s">
        <v>74</v>
      </c>
      <c r="T89" s="48" t="s">
        <v>75</v>
      </c>
      <c r="U89" s="49" t="s">
        <v>3678</v>
      </c>
      <c r="V89" s="7" t="s">
        <v>214</v>
      </c>
      <c r="W89" s="49" t="s">
        <v>214</v>
      </c>
      <c r="X89" s="49" t="s">
        <v>214</v>
      </c>
      <c r="Y89" s="49" t="s">
        <v>214</v>
      </c>
      <c r="Z89" s="55" t="s">
        <v>214</v>
      </c>
      <c r="AA89" s="48" t="s">
        <v>13688</v>
      </c>
      <c r="AB89" s="90" t="s">
        <v>13681</v>
      </c>
      <c r="AC89" s="53" t="str">
        <f>HYPERLINK("http://www.butte.edu/academicprograms/","Link")</f>
        <v>Link</v>
      </c>
      <c r="AD89" s="42">
        <v>11300</v>
      </c>
      <c r="AE89" s="55"/>
      <c r="AF89" s="55"/>
      <c r="AG89" s="56">
        <v>110246</v>
      </c>
      <c r="AH89" s="7" t="s">
        <v>2459</v>
      </c>
      <c r="AI89" s="7"/>
      <c r="AJ89" s="7"/>
      <c r="AK89" s="7"/>
    </row>
    <row r="90" spans="1:37" ht="15" x14ac:dyDescent="0.2">
      <c r="A90" s="110" t="s">
        <v>300</v>
      </c>
      <c r="B90" s="33" t="s">
        <v>12632</v>
      </c>
      <c r="C90" s="7" t="s">
        <v>13692</v>
      </c>
      <c r="D90" s="112">
        <v>5</v>
      </c>
      <c r="E90" s="7"/>
      <c r="F90" s="7"/>
      <c r="G90" s="2" t="s">
        <v>13694</v>
      </c>
      <c r="H90" s="2" t="s">
        <v>5834</v>
      </c>
      <c r="I90" s="2" t="s">
        <v>13696</v>
      </c>
      <c r="J90" s="2" t="s">
        <v>48</v>
      </c>
      <c r="K90" s="2" t="s">
        <v>13697</v>
      </c>
      <c r="L90" s="2" t="s">
        <v>13698</v>
      </c>
      <c r="M90" s="48"/>
      <c r="N90" s="48" t="s">
        <v>22</v>
      </c>
      <c r="O90" s="108" t="s">
        <v>13699</v>
      </c>
      <c r="P90" s="60" t="s">
        <v>312</v>
      </c>
      <c r="Q90" s="48" t="s">
        <v>13700</v>
      </c>
      <c r="R90" s="48" t="s">
        <v>186</v>
      </c>
      <c r="S90" s="49" t="s">
        <v>74</v>
      </c>
      <c r="T90" s="48" t="s">
        <v>75</v>
      </c>
      <c r="U90" s="49" t="s">
        <v>3678</v>
      </c>
      <c r="V90" s="7" t="s">
        <v>214</v>
      </c>
      <c r="W90" s="49" t="s">
        <v>214</v>
      </c>
      <c r="X90" s="49" t="s">
        <v>214</v>
      </c>
      <c r="Y90" s="49" t="s">
        <v>214</v>
      </c>
      <c r="Z90" s="49" t="s">
        <v>214</v>
      </c>
      <c r="AA90" s="48" t="s">
        <v>13701</v>
      </c>
      <c r="AB90" s="52" t="s">
        <v>13699</v>
      </c>
      <c r="AC90" s="53" t="str">
        <f t="shared" ref="AC90:AC93" si="46">HYPERLINK("https://www.cabrillo.edu/home/programs/","Link")</f>
        <v>Link</v>
      </c>
      <c r="AD90" s="42">
        <v>11978</v>
      </c>
      <c r="AE90" s="55"/>
      <c r="AF90" s="55"/>
      <c r="AG90" s="56">
        <v>110334</v>
      </c>
      <c r="AH90" s="56"/>
      <c r="AI90" s="56"/>
    </row>
    <row r="91" spans="1:37" ht="15" x14ac:dyDescent="0.2">
      <c r="A91" s="110" t="s">
        <v>300</v>
      </c>
      <c r="B91" s="33" t="s">
        <v>12632</v>
      </c>
      <c r="C91" s="7" t="s">
        <v>13704</v>
      </c>
      <c r="D91" s="112">
        <v>5</v>
      </c>
      <c r="E91" s="7"/>
      <c r="F91" s="7"/>
      <c r="G91" s="2" t="s">
        <v>13694</v>
      </c>
      <c r="H91" s="2" t="s">
        <v>12506</v>
      </c>
      <c r="I91" s="2" t="s">
        <v>13696</v>
      </c>
      <c r="J91" s="2" t="s">
        <v>55</v>
      </c>
      <c r="K91" s="2"/>
      <c r="L91" s="2"/>
      <c r="M91" s="48"/>
      <c r="N91" s="48" t="s">
        <v>22</v>
      </c>
      <c r="O91" s="108" t="s">
        <v>13699</v>
      </c>
      <c r="P91" s="60" t="s">
        <v>312</v>
      </c>
      <c r="Q91" s="48" t="s">
        <v>13700</v>
      </c>
      <c r="R91" s="48" t="s">
        <v>186</v>
      </c>
      <c r="S91" s="49" t="s">
        <v>74</v>
      </c>
      <c r="T91" s="48" t="s">
        <v>75</v>
      </c>
      <c r="U91" s="49" t="s">
        <v>3678</v>
      </c>
      <c r="V91" s="7" t="s">
        <v>214</v>
      </c>
      <c r="W91" s="49" t="s">
        <v>214</v>
      </c>
      <c r="X91" s="49" t="s">
        <v>214</v>
      </c>
      <c r="Y91" s="49" t="s">
        <v>214</v>
      </c>
      <c r="Z91" s="49" t="s">
        <v>214</v>
      </c>
      <c r="AA91" s="48" t="s">
        <v>13701</v>
      </c>
      <c r="AB91" s="52" t="s">
        <v>13699</v>
      </c>
      <c r="AC91" s="53" t="str">
        <f t="shared" si="46"/>
        <v>Link</v>
      </c>
      <c r="AD91" s="42">
        <v>11978</v>
      </c>
      <c r="AE91" s="55"/>
      <c r="AF91" s="55"/>
      <c r="AG91" s="56">
        <v>110334</v>
      </c>
      <c r="AH91" s="56"/>
      <c r="AI91" s="56"/>
    </row>
    <row r="92" spans="1:37" ht="15" x14ac:dyDescent="0.2">
      <c r="A92" s="110" t="s">
        <v>300</v>
      </c>
      <c r="B92" s="33" t="s">
        <v>12632</v>
      </c>
      <c r="C92" s="7" t="s">
        <v>13712</v>
      </c>
      <c r="D92" s="112">
        <v>5</v>
      </c>
      <c r="E92" s="7"/>
      <c r="F92" s="7"/>
      <c r="G92" s="2" t="s">
        <v>13694</v>
      </c>
      <c r="H92" s="2" t="s">
        <v>9286</v>
      </c>
      <c r="I92" s="2" t="s">
        <v>13713</v>
      </c>
      <c r="J92" s="2" t="s">
        <v>55</v>
      </c>
      <c r="K92" s="2"/>
      <c r="L92" s="2"/>
      <c r="M92" s="48"/>
      <c r="N92" s="48" t="s">
        <v>22</v>
      </c>
      <c r="O92" s="108" t="s">
        <v>13699</v>
      </c>
      <c r="P92" s="60" t="s">
        <v>312</v>
      </c>
      <c r="Q92" s="48" t="s">
        <v>13700</v>
      </c>
      <c r="R92" s="48" t="s">
        <v>186</v>
      </c>
      <c r="S92" s="49" t="s">
        <v>74</v>
      </c>
      <c r="T92" s="48" t="s">
        <v>75</v>
      </c>
      <c r="U92" s="49" t="s">
        <v>3678</v>
      </c>
      <c r="V92" s="7" t="s">
        <v>214</v>
      </c>
      <c r="W92" s="49" t="s">
        <v>214</v>
      </c>
      <c r="X92" s="49" t="s">
        <v>214</v>
      </c>
      <c r="Y92" s="49" t="s">
        <v>214</v>
      </c>
      <c r="Z92" s="49" t="s">
        <v>214</v>
      </c>
      <c r="AA92" s="48" t="s">
        <v>13701</v>
      </c>
      <c r="AB92" s="52" t="s">
        <v>13699</v>
      </c>
      <c r="AC92" s="53" t="str">
        <f t="shared" si="46"/>
        <v>Link</v>
      </c>
      <c r="AD92" s="42">
        <v>11978</v>
      </c>
      <c r="AE92" s="55"/>
      <c r="AF92" s="55"/>
      <c r="AG92" s="56">
        <v>110334</v>
      </c>
      <c r="AH92" s="56"/>
      <c r="AI92" s="56"/>
    </row>
    <row r="93" spans="1:37" ht="15" x14ac:dyDescent="0.2">
      <c r="A93" s="110" t="s">
        <v>300</v>
      </c>
      <c r="B93" s="33" t="s">
        <v>12632</v>
      </c>
      <c r="C93" s="7" t="s">
        <v>13718</v>
      </c>
      <c r="D93" s="112">
        <v>5</v>
      </c>
      <c r="E93" s="7"/>
      <c r="F93" s="7"/>
      <c r="G93" s="2" t="s">
        <v>13694</v>
      </c>
      <c r="H93" s="2" t="s">
        <v>13720</v>
      </c>
      <c r="I93" s="2" t="s">
        <v>13721</v>
      </c>
      <c r="J93" s="2" t="s">
        <v>55</v>
      </c>
      <c r="K93" s="2"/>
      <c r="L93" s="2"/>
      <c r="M93" s="48"/>
      <c r="N93" s="48" t="s">
        <v>22</v>
      </c>
      <c r="O93" s="108" t="s">
        <v>13699</v>
      </c>
      <c r="P93" s="60" t="s">
        <v>312</v>
      </c>
      <c r="Q93" s="48" t="s">
        <v>13700</v>
      </c>
      <c r="R93" s="48" t="s">
        <v>186</v>
      </c>
      <c r="S93" s="49" t="s">
        <v>74</v>
      </c>
      <c r="T93" s="48" t="s">
        <v>75</v>
      </c>
      <c r="U93" s="49" t="s">
        <v>3678</v>
      </c>
      <c r="V93" s="7" t="s">
        <v>214</v>
      </c>
      <c r="W93" s="49" t="s">
        <v>214</v>
      </c>
      <c r="X93" s="49" t="s">
        <v>214</v>
      </c>
      <c r="Y93" s="49" t="s">
        <v>214</v>
      </c>
      <c r="Z93" s="49" t="s">
        <v>214</v>
      </c>
      <c r="AA93" s="48" t="s">
        <v>13701</v>
      </c>
      <c r="AB93" s="52" t="s">
        <v>13699</v>
      </c>
      <c r="AC93" s="53" t="str">
        <f t="shared" si="46"/>
        <v>Link</v>
      </c>
      <c r="AD93" s="42">
        <v>11978</v>
      </c>
      <c r="AE93" s="55"/>
      <c r="AF93" s="55"/>
      <c r="AG93" s="56">
        <v>110334</v>
      </c>
      <c r="AH93" s="56"/>
      <c r="AI93" s="56"/>
    </row>
    <row r="94" spans="1:37" ht="15" x14ac:dyDescent="0.2">
      <c r="A94" s="64" t="s">
        <v>300</v>
      </c>
      <c r="B94" s="33" t="s">
        <v>12632</v>
      </c>
      <c r="C94" s="7" t="s">
        <v>13729</v>
      </c>
      <c r="D94" s="44">
        <v>5</v>
      </c>
      <c r="E94" s="7" t="s">
        <v>116</v>
      </c>
      <c r="F94" s="7"/>
      <c r="G94" s="2" t="s">
        <v>13731</v>
      </c>
      <c r="H94" s="7" t="s">
        <v>234</v>
      </c>
      <c r="I94" s="7" t="s">
        <v>13732</v>
      </c>
      <c r="J94" s="7" t="s">
        <v>139</v>
      </c>
      <c r="K94" s="7"/>
      <c r="L94" s="7"/>
      <c r="M94" s="48"/>
      <c r="N94" s="45" t="str">
        <f t="shared" ref="N94:N98" si="47">HYPERLINK("https://www3.canyons.edu/offices/athletics/recruit/default.asp","Questionnaire")</f>
        <v>Questionnaire</v>
      </c>
      <c r="O94" s="108" t="s">
        <v>13734</v>
      </c>
      <c r="P94" s="60" t="s">
        <v>312</v>
      </c>
      <c r="Q94" s="48" t="s">
        <v>13736</v>
      </c>
      <c r="R94" s="48" t="s">
        <v>62</v>
      </c>
      <c r="S94" s="49" t="s">
        <v>74</v>
      </c>
      <c r="T94" s="48" t="s">
        <v>75</v>
      </c>
      <c r="U94" s="49" t="s">
        <v>3678</v>
      </c>
      <c r="V94" s="7" t="s">
        <v>214</v>
      </c>
      <c r="W94" s="49" t="s">
        <v>214</v>
      </c>
      <c r="X94" s="49" t="s">
        <v>214</v>
      </c>
      <c r="Y94" s="49" t="s">
        <v>214</v>
      </c>
      <c r="Z94" s="55" t="s">
        <v>214</v>
      </c>
      <c r="AA94" s="48" t="s">
        <v>13741</v>
      </c>
      <c r="AB94" s="52" t="s">
        <v>13734</v>
      </c>
      <c r="AC94" s="53" t="str">
        <f t="shared" ref="AC94:AC98" si="48">HYPERLINK("https://www.canyons.edu/Offices/Counseling/Pages/Majors.aspx","Link")</f>
        <v>Link</v>
      </c>
      <c r="AD94" s="42">
        <v>19966</v>
      </c>
      <c r="AE94" s="55"/>
      <c r="AF94" s="55"/>
      <c r="AG94" s="56">
        <v>111461</v>
      </c>
      <c r="AH94" s="85"/>
      <c r="AI94" s="85"/>
    </row>
    <row r="95" spans="1:37" ht="15" x14ac:dyDescent="0.2">
      <c r="A95" s="64" t="s">
        <v>300</v>
      </c>
      <c r="B95" s="33" t="s">
        <v>12632</v>
      </c>
      <c r="C95" s="7" t="s">
        <v>13743</v>
      </c>
      <c r="D95" s="44">
        <v>5</v>
      </c>
      <c r="E95" s="7" t="s">
        <v>116</v>
      </c>
      <c r="F95" s="7"/>
      <c r="G95" s="2" t="s">
        <v>13731</v>
      </c>
      <c r="H95" s="7" t="s">
        <v>234</v>
      </c>
      <c r="I95" s="7" t="s">
        <v>13744</v>
      </c>
      <c r="J95" s="7" t="s">
        <v>139</v>
      </c>
      <c r="K95" s="7"/>
      <c r="L95" s="7"/>
      <c r="M95" s="48"/>
      <c r="N95" s="45" t="str">
        <f t="shared" si="47"/>
        <v>Questionnaire</v>
      </c>
      <c r="O95" s="108" t="s">
        <v>13734</v>
      </c>
      <c r="P95" s="60" t="s">
        <v>312</v>
      </c>
      <c r="Q95" s="48" t="s">
        <v>13736</v>
      </c>
      <c r="R95" s="48" t="s">
        <v>62</v>
      </c>
      <c r="S95" s="49" t="s">
        <v>74</v>
      </c>
      <c r="T95" s="48" t="s">
        <v>75</v>
      </c>
      <c r="U95" s="49" t="s">
        <v>3678</v>
      </c>
      <c r="V95" s="7" t="s">
        <v>214</v>
      </c>
      <c r="W95" s="49" t="s">
        <v>214</v>
      </c>
      <c r="X95" s="49" t="s">
        <v>214</v>
      </c>
      <c r="Y95" s="49" t="s">
        <v>214</v>
      </c>
      <c r="Z95" s="55" t="s">
        <v>214</v>
      </c>
      <c r="AA95" s="48" t="s">
        <v>13741</v>
      </c>
      <c r="AB95" s="52" t="s">
        <v>13734</v>
      </c>
      <c r="AC95" s="53" t="str">
        <f t="shared" si="48"/>
        <v>Link</v>
      </c>
      <c r="AD95" s="42">
        <v>19966</v>
      </c>
      <c r="AE95" s="55"/>
      <c r="AF95" s="55"/>
      <c r="AG95" s="56">
        <v>111461</v>
      </c>
      <c r="AH95" s="85"/>
      <c r="AI95" s="85"/>
    </row>
    <row r="96" spans="1:37" ht="15" x14ac:dyDescent="0.2">
      <c r="A96" s="110" t="s">
        <v>300</v>
      </c>
      <c r="B96" s="33" t="s">
        <v>12632</v>
      </c>
      <c r="C96" s="7" t="s">
        <v>13749</v>
      </c>
      <c r="D96" s="112">
        <v>5</v>
      </c>
      <c r="E96" s="7"/>
      <c r="F96" s="7"/>
      <c r="G96" s="2" t="s">
        <v>13731</v>
      </c>
      <c r="H96" s="2" t="s">
        <v>658</v>
      </c>
      <c r="I96" s="2" t="s">
        <v>13750</v>
      </c>
      <c r="J96" s="2" t="s">
        <v>48</v>
      </c>
      <c r="K96" s="2" t="s">
        <v>13751</v>
      </c>
      <c r="L96" s="2" t="s">
        <v>13752</v>
      </c>
      <c r="M96" s="48"/>
      <c r="N96" s="45" t="str">
        <f t="shared" si="47"/>
        <v>Questionnaire</v>
      </c>
      <c r="O96" s="108" t="s">
        <v>13734</v>
      </c>
      <c r="P96" s="60" t="s">
        <v>312</v>
      </c>
      <c r="Q96" s="48" t="s">
        <v>13736</v>
      </c>
      <c r="R96" s="48" t="s">
        <v>62</v>
      </c>
      <c r="S96" s="49" t="s">
        <v>74</v>
      </c>
      <c r="T96" s="48" t="s">
        <v>75</v>
      </c>
      <c r="U96" s="49" t="s">
        <v>3678</v>
      </c>
      <c r="V96" s="7" t="s">
        <v>214</v>
      </c>
      <c r="W96" s="49" t="s">
        <v>214</v>
      </c>
      <c r="X96" s="49" t="s">
        <v>214</v>
      </c>
      <c r="Y96" s="49" t="s">
        <v>214</v>
      </c>
      <c r="Z96" s="55" t="s">
        <v>214</v>
      </c>
      <c r="AA96" s="48" t="s">
        <v>13741</v>
      </c>
      <c r="AB96" s="52" t="s">
        <v>13734</v>
      </c>
      <c r="AC96" s="53" t="str">
        <f t="shared" si="48"/>
        <v>Link</v>
      </c>
      <c r="AD96" s="42">
        <v>19966</v>
      </c>
      <c r="AE96" s="55"/>
      <c r="AF96" s="55"/>
      <c r="AG96" s="56">
        <v>111461</v>
      </c>
      <c r="AH96" s="56"/>
      <c r="AI96" s="56"/>
    </row>
    <row r="97" spans="1:35" ht="15" x14ac:dyDescent="0.2">
      <c r="A97" s="110" t="s">
        <v>300</v>
      </c>
      <c r="B97" s="33" t="s">
        <v>12632</v>
      </c>
      <c r="C97" s="7" t="s">
        <v>13758</v>
      </c>
      <c r="D97" s="112">
        <v>5</v>
      </c>
      <c r="E97" s="7"/>
      <c r="F97" s="7"/>
      <c r="G97" s="2" t="s">
        <v>13731</v>
      </c>
      <c r="H97" s="2" t="s">
        <v>981</v>
      </c>
      <c r="I97" s="2" t="s">
        <v>13759</v>
      </c>
      <c r="J97" s="2" t="s">
        <v>55</v>
      </c>
      <c r="K97" s="2"/>
      <c r="L97" s="2"/>
      <c r="M97" s="48"/>
      <c r="N97" s="45" t="str">
        <f t="shared" si="47"/>
        <v>Questionnaire</v>
      </c>
      <c r="O97" s="108" t="s">
        <v>13734</v>
      </c>
      <c r="P97" s="60" t="s">
        <v>312</v>
      </c>
      <c r="Q97" s="48" t="s">
        <v>13736</v>
      </c>
      <c r="R97" s="48" t="s">
        <v>62</v>
      </c>
      <c r="S97" s="49" t="s">
        <v>74</v>
      </c>
      <c r="T97" s="48" t="s">
        <v>75</v>
      </c>
      <c r="U97" s="49" t="s">
        <v>3678</v>
      </c>
      <c r="V97" s="7" t="s">
        <v>214</v>
      </c>
      <c r="W97" s="49" t="s">
        <v>214</v>
      </c>
      <c r="X97" s="49" t="s">
        <v>214</v>
      </c>
      <c r="Y97" s="49" t="s">
        <v>214</v>
      </c>
      <c r="Z97" s="55" t="s">
        <v>214</v>
      </c>
      <c r="AA97" s="48" t="s">
        <v>13741</v>
      </c>
      <c r="AB97" s="52" t="s">
        <v>13734</v>
      </c>
      <c r="AC97" s="53" t="str">
        <f t="shared" si="48"/>
        <v>Link</v>
      </c>
      <c r="AD97" s="42">
        <v>19966</v>
      </c>
      <c r="AE97" s="55"/>
      <c r="AF97" s="55"/>
      <c r="AG97" s="56">
        <v>111461</v>
      </c>
      <c r="AH97" s="56"/>
      <c r="AI97" s="56"/>
    </row>
    <row r="98" spans="1:35" ht="15" x14ac:dyDescent="0.2">
      <c r="A98" s="110" t="s">
        <v>300</v>
      </c>
      <c r="B98" s="33" t="s">
        <v>12632</v>
      </c>
      <c r="C98" s="7" t="s">
        <v>13761</v>
      </c>
      <c r="D98" s="112">
        <v>5</v>
      </c>
      <c r="E98" s="7" t="s">
        <v>116</v>
      </c>
      <c r="F98" s="7"/>
      <c r="G98" s="2" t="s">
        <v>13731</v>
      </c>
      <c r="H98" s="7" t="s">
        <v>1541</v>
      </c>
      <c r="I98" s="7" t="s">
        <v>13763</v>
      </c>
      <c r="J98" s="7" t="s">
        <v>55</v>
      </c>
      <c r="K98" s="2"/>
      <c r="L98" s="2"/>
      <c r="M98" s="48"/>
      <c r="N98" s="45" t="str">
        <f t="shared" si="47"/>
        <v>Questionnaire</v>
      </c>
      <c r="O98" s="108" t="s">
        <v>13734</v>
      </c>
      <c r="P98" s="60" t="s">
        <v>312</v>
      </c>
      <c r="Q98" s="48" t="s">
        <v>13736</v>
      </c>
      <c r="R98" s="48" t="s">
        <v>62</v>
      </c>
      <c r="S98" s="49" t="s">
        <v>74</v>
      </c>
      <c r="T98" s="48" t="s">
        <v>75</v>
      </c>
      <c r="U98" s="49" t="s">
        <v>3678</v>
      </c>
      <c r="V98" s="7" t="s">
        <v>214</v>
      </c>
      <c r="W98" s="49" t="s">
        <v>214</v>
      </c>
      <c r="X98" s="49" t="s">
        <v>214</v>
      </c>
      <c r="Y98" s="49" t="s">
        <v>214</v>
      </c>
      <c r="Z98" s="55" t="s">
        <v>214</v>
      </c>
      <c r="AA98" s="48" t="s">
        <v>13741</v>
      </c>
      <c r="AB98" s="52" t="s">
        <v>13734</v>
      </c>
      <c r="AC98" s="53" t="str">
        <f t="shared" si="48"/>
        <v>Link</v>
      </c>
      <c r="AD98" s="42">
        <v>19966</v>
      </c>
      <c r="AE98" s="55"/>
      <c r="AF98" s="55"/>
      <c r="AG98" s="56">
        <v>111461</v>
      </c>
      <c r="AH98" s="56"/>
      <c r="AI98" s="56"/>
    </row>
    <row r="99" spans="1:35" ht="15" x14ac:dyDescent="0.2">
      <c r="A99" s="110" t="s">
        <v>300</v>
      </c>
      <c r="B99" s="33" t="s">
        <v>12632</v>
      </c>
      <c r="C99" s="7" t="s">
        <v>13770</v>
      </c>
      <c r="D99" s="112">
        <v>5</v>
      </c>
      <c r="E99" s="7"/>
      <c r="F99" s="7"/>
      <c r="G99" s="2" t="s">
        <v>13771</v>
      </c>
      <c r="H99" s="2" t="s">
        <v>12109</v>
      </c>
      <c r="I99" s="2" t="s">
        <v>7334</v>
      </c>
      <c r="J99" s="2" t="s">
        <v>48</v>
      </c>
      <c r="K99" s="2" t="s">
        <v>13773</v>
      </c>
      <c r="L99" s="2" t="s">
        <v>13774</v>
      </c>
      <c r="M99" s="48"/>
      <c r="N99" s="45" t="str">
        <f t="shared" ref="N99:N103" si="49">HYPERLINK("https://www.cerritosfalcons.com/recruits/Recruiting_Questionnaire","Questionnaire")</f>
        <v>Questionnaire</v>
      </c>
      <c r="O99" s="108" t="s">
        <v>13777</v>
      </c>
      <c r="P99" s="60" t="s">
        <v>312</v>
      </c>
      <c r="Q99" s="48" t="s">
        <v>13778</v>
      </c>
      <c r="R99" s="48" t="s">
        <v>238</v>
      </c>
      <c r="S99" s="49" t="s">
        <v>74</v>
      </c>
      <c r="T99" s="48" t="s">
        <v>75</v>
      </c>
      <c r="U99" s="49" t="s">
        <v>3678</v>
      </c>
      <c r="V99" s="7" t="s">
        <v>214</v>
      </c>
      <c r="W99" s="49" t="s">
        <v>214</v>
      </c>
      <c r="X99" s="49" t="s">
        <v>214</v>
      </c>
      <c r="Y99" s="49" t="s">
        <v>214</v>
      </c>
      <c r="Z99" s="55" t="s">
        <v>214</v>
      </c>
      <c r="AA99" s="48" t="s">
        <v>13779</v>
      </c>
      <c r="AB99" s="52" t="s">
        <v>13777</v>
      </c>
      <c r="AC99" s="53" t="str">
        <f t="shared" ref="AC99:AC103" si="50">HYPERLINK("http://www.cerritos.edu/default/academics.htm","Link")</f>
        <v>Link</v>
      </c>
      <c r="AD99" s="42">
        <v>20979</v>
      </c>
      <c r="AE99" s="55"/>
      <c r="AF99" s="55"/>
      <c r="AG99" s="56">
        <v>111887</v>
      </c>
      <c r="AH99" s="56"/>
      <c r="AI99" s="56"/>
    </row>
    <row r="100" spans="1:35" ht="15" x14ac:dyDescent="0.2">
      <c r="A100" s="110" t="s">
        <v>300</v>
      </c>
      <c r="B100" s="33" t="s">
        <v>12632</v>
      </c>
      <c r="C100" s="7" t="s">
        <v>13784</v>
      </c>
      <c r="D100" s="112">
        <v>5</v>
      </c>
      <c r="E100" s="7"/>
      <c r="F100" s="7"/>
      <c r="G100" s="2" t="s">
        <v>13771</v>
      </c>
      <c r="H100" s="2" t="s">
        <v>13787</v>
      </c>
      <c r="I100" s="2" t="s">
        <v>7334</v>
      </c>
      <c r="J100" s="2" t="s">
        <v>55</v>
      </c>
      <c r="K100" s="2"/>
      <c r="L100" s="2"/>
      <c r="M100" s="48"/>
      <c r="N100" s="45" t="str">
        <f t="shared" si="49"/>
        <v>Questionnaire</v>
      </c>
      <c r="O100" s="108" t="s">
        <v>13777</v>
      </c>
      <c r="P100" s="60" t="s">
        <v>312</v>
      </c>
      <c r="Q100" s="48" t="s">
        <v>13778</v>
      </c>
      <c r="R100" s="48" t="s">
        <v>238</v>
      </c>
      <c r="S100" s="49" t="s">
        <v>74</v>
      </c>
      <c r="T100" s="48" t="s">
        <v>75</v>
      </c>
      <c r="U100" s="49" t="s">
        <v>3678</v>
      </c>
      <c r="V100" s="7" t="s">
        <v>214</v>
      </c>
      <c r="W100" s="49" t="s">
        <v>214</v>
      </c>
      <c r="X100" s="49" t="s">
        <v>214</v>
      </c>
      <c r="Y100" s="49" t="s">
        <v>214</v>
      </c>
      <c r="Z100" s="55" t="s">
        <v>214</v>
      </c>
      <c r="AA100" s="48" t="s">
        <v>13779</v>
      </c>
      <c r="AB100" s="52" t="s">
        <v>13777</v>
      </c>
      <c r="AC100" s="53" t="str">
        <f t="shared" si="50"/>
        <v>Link</v>
      </c>
      <c r="AD100" s="42">
        <v>20979</v>
      </c>
      <c r="AE100" s="55"/>
      <c r="AF100" s="55"/>
      <c r="AG100" s="56">
        <v>111887</v>
      </c>
      <c r="AH100" s="56"/>
      <c r="AI100" s="56"/>
    </row>
    <row r="101" spans="1:35" ht="15" x14ac:dyDescent="0.2">
      <c r="A101" s="110" t="s">
        <v>300</v>
      </c>
      <c r="B101" s="33" t="s">
        <v>12632</v>
      </c>
      <c r="C101" s="7" t="s">
        <v>13795</v>
      </c>
      <c r="D101" s="112">
        <v>5</v>
      </c>
      <c r="E101" s="7"/>
      <c r="F101" s="7"/>
      <c r="G101" s="2" t="s">
        <v>13771</v>
      </c>
      <c r="H101" s="2" t="s">
        <v>981</v>
      </c>
      <c r="I101" s="2" t="s">
        <v>13796</v>
      </c>
      <c r="J101" s="7" t="s">
        <v>919</v>
      </c>
      <c r="K101" s="2"/>
      <c r="L101" s="2"/>
      <c r="M101" s="48"/>
      <c r="N101" s="45" t="str">
        <f t="shared" si="49"/>
        <v>Questionnaire</v>
      </c>
      <c r="O101" s="108" t="s">
        <v>13777</v>
      </c>
      <c r="P101" s="60" t="s">
        <v>312</v>
      </c>
      <c r="Q101" s="48" t="s">
        <v>13778</v>
      </c>
      <c r="R101" s="48" t="s">
        <v>238</v>
      </c>
      <c r="S101" s="49" t="s">
        <v>74</v>
      </c>
      <c r="T101" s="48" t="s">
        <v>75</v>
      </c>
      <c r="U101" s="49" t="s">
        <v>3678</v>
      </c>
      <c r="V101" s="7" t="s">
        <v>214</v>
      </c>
      <c r="W101" s="49" t="s">
        <v>214</v>
      </c>
      <c r="X101" s="49" t="s">
        <v>214</v>
      </c>
      <c r="Y101" s="49" t="s">
        <v>214</v>
      </c>
      <c r="Z101" s="55" t="s">
        <v>214</v>
      </c>
      <c r="AA101" s="48" t="s">
        <v>13779</v>
      </c>
      <c r="AB101" s="52" t="s">
        <v>13777</v>
      </c>
      <c r="AC101" s="53" t="str">
        <f t="shared" si="50"/>
        <v>Link</v>
      </c>
      <c r="AD101" s="42">
        <v>20979</v>
      </c>
      <c r="AE101" s="55"/>
      <c r="AF101" s="55"/>
      <c r="AG101" s="56">
        <v>111887</v>
      </c>
      <c r="AH101" s="56"/>
      <c r="AI101" s="56"/>
    </row>
    <row r="102" spans="1:35" ht="15" x14ac:dyDescent="0.2">
      <c r="A102" s="110" t="s">
        <v>300</v>
      </c>
      <c r="B102" s="33" t="s">
        <v>12632</v>
      </c>
      <c r="C102" s="7" t="s">
        <v>13802</v>
      </c>
      <c r="D102" s="112">
        <v>5</v>
      </c>
      <c r="E102" s="7"/>
      <c r="F102" s="7"/>
      <c r="G102" s="2" t="s">
        <v>13771</v>
      </c>
      <c r="H102" s="2" t="s">
        <v>7016</v>
      </c>
      <c r="I102" s="2" t="s">
        <v>981</v>
      </c>
      <c r="J102" s="2" t="s">
        <v>55</v>
      </c>
      <c r="K102" s="2"/>
      <c r="L102" s="2"/>
      <c r="M102" s="48"/>
      <c r="N102" s="45" t="str">
        <f t="shared" si="49"/>
        <v>Questionnaire</v>
      </c>
      <c r="O102" s="108" t="s">
        <v>13777</v>
      </c>
      <c r="P102" s="60" t="s">
        <v>312</v>
      </c>
      <c r="Q102" s="48" t="s">
        <v>13778</v>
      </c>
      <c r="R102" s="48" t="s">
        <v>238</v>
      </c>
      <c r="S102" s="49" t="s">
        <v>74</v>
      </c>
      <c r="T102" s="48" t="s">
        <v>75</v>
      </c>
      <c r="U102" s="49" t="s">
        <v>3678</v>
      </c>
      <c r="V102" s="7" t="s">
        <v>214</v>
      </c>
      <c r="W102" s="49" t="s">
        <v>214</v>
      </c>
      <c r="X102" s="49" t="s">
        <v>214</v>
      </c>
      <c r="Y102" s="49" t="s">
        <v>214</v>
      </c>
      <c r="Z102" s="55" t="s">
        <v>214</v>
      </c>
      <c r="AA102" s="48" t="s">
        <v>13779</v>
      </c>
      <c r="AB102" s="52" t="s">
        <v>13777</v>
      </c>
      <c r="AC102" s="53" t="str">
        <f t="shared" si="50"/>
        <v>Link</v>
      </c>
      <c r="AD102" s="42">
        <v>20979</v>
      </c>
      <c r="AE102" s="55"/>
      <c r="AF102" s="55"/>
      <c r="AG102" s="56">
        <v>111887</v>
      </c>
      <c r="AH102" s="56"/>
      <c r="AI102" s="56"/>
    </row>
    <row r="103" spans="1:35" ht="15" x14ac:dyDescent="0.2">
      <c r="A103" s="110" t="s">
        <v>300</v>
      </c>
      <c r="B103" s="33" t="s">
        <v>12632</v>
      </c>
      <c r="C103" s="7" t="s">
        <v>13812</v>
      </c>
      <c r="D103" s="112">
        <v>5</v>
      </c>
      <c r="E103" s="7"/>
      <c r="F103" s="7"/>
      <c r="G103" s="2" t="s">
        <v>13771</v>
      </c>
      <c r="H103" s="2" t="s">
        <v>501</v>
      </c>
      <c r="I103" s="2" t="s">
        <v>13813</v>
      </c>
      <c r="J103" s="2" t="s">
        <v>55</v>
      </c>
      <c r="K103" s="2"/>
      <c r="L103" s="2"/>
      <c r="M103" s="48"/>
      <c r="N103" s="45" t="str">
        <f t="shared" si="49"/>
        <v>Questionnaire</v>
      </c>
      <c r="O103" s="108" t="s">
        <v>13777</v>
      </c>
      <c r="P103" s="60" t="s">
        <v>312</v>
      </c>
      <c r="Q103" s="48" t="s">
        <v>13778</v>
      </c>
      <c r="R103" s="48" t="s">
        <v>238</v>
      </c>
      <c r="S103" s="49" t="s">
        <v>74</v>
      </c>
      <c r="T103" s="48" t="s">
        <v>75</v>
      </c>
      <c r="U103" s="49" t="s">
        <v>3678</v>
      </c>
      <c r="V103" s="7" t="s">
        <v>214</v>
      </c>
      <c r="W103" s="49" t="s">
        <v>214</v>
      </c>
      <c r="X103" s="49" t="s">
        <v>214</v>
      </c>
      <c r="Y103" s="49" t="s">
        <v>214</v>
      </c>
      <c r="Z103" s="55" t="s">
        <v>214</v>
      </c>
      <c r="AA103" s="48" t="s">
        <v>13779</v>
      </c>
      <c r="AB103" s="52" t="s">
        <v>13777</v>
      </c>
      <c r="AC103" s="53" t="str">
        <f t="shared" si="50"/>
        <v>Link</v>
      </c>
      <c r="AD103" s="42">
        <v>20979</v>
      </c>
      <c r="AE103" s="55"/>
      <c r="AF103" s="55"/>
      <c r="AG103" s="56">
        <v>111887</v>
      </c>
      <c r="AH103" s="56"/>
      <c r="AI103" s="56"/>
    </row>
    <row r="104" spans="1:35" ht="15" x14ac:dyDescent="0.2">
      <c r="A104" s="110" t="s">
        <v>300</v>
      </c>
      <c r="B104" s="33" t="s">
        <v>12632</v>
      </c>
      <c r="C104" s="7" t="s">
        <v>13821</v>
      </c>
      <c r="D104" s="112">
        <v>5</v>
      </c>
      <c r="E104" s="7"/>
      <c r="F104" s="7"/>
      <c r="G104" s="2" t="s">
        <v>13822</v>
      </c>
      <c r="H104" s="2" t="s">
        <v>421</v>
      </c>
      <c r="I104" s="2"/>
      <c r="J104" s="2" t="s">
        <v>48</v>
      </c>
      <c r="K104" s="2"/>
      <c r="L104" s="2"/>
      <c r="M104" s="48"/>
      <c r="N104" s="48" t="s">
        <v>22</v>
      </c>
      <c r="O104" s="108" t="s">
        <v>13825</v>
      </c>
      <c r="P104" s="60" t="s">
        <v>312</v>
      </c>
      <c r="Q104" s="48" t="s">
        <v>13826</v>
      </c>
      <c r="R104" s="48" t="s">
        <v>468</v>
      </c>
      <c r="S104" s="49" t="s">
        <v>74</v>
      </c>
      <c r="T104" s="48" t="s">
        <v>75</v>
      </c>
      <c r="U104" s="49" t="s">
        <v>3678</v>
      </c>
      <c r="V104" s="7" t="s">
        <v>214</v>
      </c>
      <c r="W104" s="49" t="s">
        <v>214</v>
      </c>
      <c r="X104" s="49" t="s">
        <v>214</v>
      </c>
      <c r="Y104" s="49" t="s">
        <v>214</v>
      </c>
      <c r="Z104" s="55" t="s">
        <v>214</v>
      </c>
      <c r="AA104" s="48" t="s">
        <v>13829</v>
      </c>
      <c r="AB104" s="52" t="s">
        <v>13825</v>
      </c>
      <c r="AC104" s="53" t="str">
        <f>HYPERLINK("https://www.cerrocoso.edu/academics/programs","Link")</f>
        <v>Link</v>
      </c>
      <c r="AD104" s="42">
        <v>5136</v>
      </c>
      <c r="AE104" s="55"/>
      <c r="AF104" s="55"/>
      <c r="AG104" s="56">
        <v>111896</v>
      </c>
      <c r="AH104" s="56"/>
      <c r="AI104" s="56"/>
    </row>
    <row r="105" spans="1:35" ht="15" x14ac:dyDescent="0.2">
      <c r="A105" s="110" t="s">
        <v>300</v>
      </c>
      <c r="B105" s="33" t="s">
        <v>12632</v>
      </c>
      <c r="C105" s="7" t="s">
        <v>13832</v>
      </c>
      <c r="D105" s="112">
        <v>5</v>
      </c>
      <c r="E105" s="7"/>
      <c r="F105" s="7"/>
      <c r="G105" s="2" t="s">
        <v>13834</v>
      </c>
      <c r="H105" s="2" t="s">
        <v>306</v>
      </c>
      <c r="I105" s="2" t="s">
        <v>13835</v>
      </c>
      <c r="J105" s="2" t="s">
        <v>48</v>
      </c>
      <c r="K105" s="2" t="s">
        <v>13837</v>
      </c>
      <c r="L105" s="2" t="s">
        <v>13838</v>
      </c>
      <c r="M105" s="48"/>
      <c r="N105" s="45" t="str">
        <f>HYPERLINK("http://athletics.chabotcollege.edu/prospective-athletes/Prospective_Student_Athlete_Form_Links","Questionnaire")</f>
        <v>Questionnaire</v>
      </c>
      <c r="O105" s="60" t="s">
        <v>13845</v>
      </c>
      <c r="P105" s="60" t="s">
        <v>312</v>
      </c>
      <c r="Q105" s="48" t="s">
        <v>1299</v>
      </c>
      <c r="R105" s="48" t="s">
        <v>62</v>
      </c>
      <c r="S105" s="5" t="s">
        <v>74</v>
      </c>
      <c r="T105" s="48" t="s">
        <v>75</v>
      </c>
      <c r="U105" s="49" t="s">
        <v>3678</v>
      </c>
      <c r="V105" s="7" t="s">
        <v>214</v>
      </c>
      <c r="W105" s="49" t="s">
        <v>214</v>
      </c>
      <c r="X105" s="49" t="s">
        <v>214</v>
      </c>
      <c r="Y105" s="49" t="s">
        <v>214</v>
      </c>
      <c r="Z105" s="55" t="s">
        <v>214</v>
      </c>
      <c r="AA105" s="48" t="s">
        <v>13846</v>
      </c>
      <c r="AB105" s="90" t="s">
        <v>13845</v>
      </c>
      <c r="AC105" s="53" t="str">
        <f>HYPERLINK("http://www.chabotcollege.edu/academics/programs.php","Link")</f>
        <v>Link</v>
      </c>
      <c r="AD105" s="42">
        <v>13742</v>
      </c>
      <c r="AE105" s="55"/>
      <c r="AF105" s="55"/>
      <c r="AG105" s="56">
        <v>111920</v>
      </c>
      <c r="AH105" s="56"/>
      <c r="AI105" s="56"/>
    </row>
    <row r="106" spans="1:35" ht="15" x14ac:dyDescent="0.2">
      <c r="A106" s="64" t="s">
        <v>300</v>
      </c>
      <c r="B106" s="33" t="s">
        <v>12632</v>
      </c>
      <c r="C106" s="7" t="s">
        <v>13850</v>
      </c>
      <c r="D106" s="44">
        <v>5</v>
      </c>
      <c r="E106" s="7" t="s">
        <v>116</v>
      </c>
      <c r="F106" s="7"/>
      <c r="G106" s="2" t="s">
        <v>13851</v>
      </c>
      <c r="H106" s="7" t="s">
        <v>270</v>
      </c>
      <c r="I106" s="7" t="s">
        <v>13852</v>
      </c>
      <c r="J106" s="7" t="s">
        <v>55</v>
      </c>
      <c r="K106" s="7"/>
      <c r="L106" s="7"/>
      <c r="M106" s="45" t="str">
        <f t="shared" ref="M106:M110" si="51">HYPERLINK("twitter.com/ChaffeySoftball","@ChaffeySoftball")</f>
        <v>@ChaffeySoftball</v>
      </c>
      <c r="N106" s="45" t="str">
        <f t="shared" ref="N106:N110" si="52">HYPERLINK("https://www.chaffeypanthers.com/Become_a_Panther","Questionnaire")</f>
        <v>Questionnaire</v>
      </c>
      <c r="O106" s="108" t="s">
        <v>13861</v>
      </c>
      <c r="P106" s="60" t="s">
        <v>312</v>
      </c>
      <c r="Q106" s="48" t="s">
        <v>13862</v>
      </c>
      <c r="R106" s="48" t="s">
        <v>62</v>
      </c>
      <c r="S106" s="5" t="s">
        <v>74</v>
      </c>
      <c r="T106" s="48" t="s">
        <v>75</v>
      </c>
      <c r="U106" s="49" t="s">
        <v>3678</v>
      </c>
      <c r="V106" s="7" t="s">
        <v>214</v>
      </c>
      <c r="W106" s="49" t="s">
        <v>214</v>
      </c>
      <c r="X106" s="49" t="s">
        <v>214</v>
      </c>
      <c r="Y106" s="49" t="s">
        <v>214</v>
      </c>
      <c r="Z106" s="55" t="s">
        <v>214</v>
      </c>
      <c r="AA106" s="48" t="s">
        <v>13863</v>
      </c>
      <c r="AB106" s="52" t="s">
        <v>13861</v>
      </c>
      <c r="AC106" s="53" t="str">
        <f t="shared" ref="AC106:AC110" si="53">HYPERLINK("http://www.chaffey.edu/counseling/majorsheets/index.shtml","Link")</f>
        <v>Link</v>
      </c>
      <c r="AD106" s="42">
        <v>22002</v>
      </c>
      <c r="AE106" s="55"/>
      <c r="AF106" s="55"/>
      <c r="AG106" s="56">
        <v>111939</v>
      </c>
      <c r="AH106" s="85"/>
      <c r="AI106" s="85"/>
    </row>
    <row r="107" spans="1:35" ht="15" x14ac:dyDescent="0.2">
      <c r="A107" s="64" t="s">
        <v>300</v>
      </c>
      <c r="B107" s="33" t="s">
        <v>12632</v>
      </c>
      <c r="C107" s="7" t="s">
        <v>13870</v>
      </c>
      <c r="D107" s="44">
        <v>5</v>
      </c>
      <c r="E107" s="7" t="s">
        <v>116</v>
      </c>
      <c r="F107" s="7"/>
      <c r="G107" s="2" t="s">
        <v>13851</v>
      </c>
      <c r="H107" s="7" t="s">
        <v>3393</v>
      </c>
      <c r="I107" s="7" t="s">
        <v>13871</v>
      </c>
      <c r="J107" s="7" t="s">
        <v>55</v>
      </c>
      <c r="K107" s="7"/>
      <c r="L107" s="7"/>
      <c r="M107" s="45" t="str">
        <f t="shared" si="51"/>
        <v>@ChaffeySoftball</v>
      </c>
      <c r="N107" s="45" t="str">
        <f t="shared" si="52"/>
        <v>Questionnaire</v>
      </c>
      <c r="O107" s="108" t="s">
        <v>13861</v>
      </c>
      <c r="P107" s="60" t="s">
        <v>312</v>
      </c>
      <c r="Q107" s="48" t="s">
        <v>13862</v>
      </c>
      <c r="R107" s="48" t="s">
        <v>62</v>
      </c>
      <c r="S107" s="5" t="s">
        <v>74</v>
      </c>
      <c r="T107" s="48" t="s">
        <v>75</v>
      </c>
      <c r="U107" s="49" t="s">
        <v>3678</v>
      </c>
      <c r="V107" s="7" t="s">
        <v>214</v>
      </c>
      <c r="W107" s="49" t="s">
        <v>214</v>
      </c>
      <c r="X107" s="49" t="s">
        <v>214</v>
      </c>
      <c r="Y107" s="49" t="s">
        <v>214</v>
      </c>
      <c r="Z107" s="55" t="s">
        <v>214</v>
      </c>
      <c r="AA107" s="48" t="s">
        <v>13863</v>
      </c>
      <c r="AB107" s="52" t="s">
        <v>13861</v>
      </c>
      <c r="AC107" s="53" t="str">
        <f t="shared" si="53"/>
        <v>Link</v>
      </c>
      <c r="AD107" s="42">
        <v>22002</v>
      </c>
      <c r="AE107" s="55"/>
      <c r="AF107" s="55"/>
      <c r="AG107" s="56">
        <v>111939</v>
      </c>
      <c r="AH107" s="85"/>
      <c r="AI107" s="85"/>
    </row>
    <row r="108" spans="1:35" ht="15" x14ac:dyDescent="0.2">
      <c r="A108" s="64" t="s">
        <v>300</v>
      </c>
      <c r="B108" s="33" t="s">
        <v>12632</v>
      </c>
      <c r="C108" s="7" t="s">
        <v>13879</v>
      </c>
      <c r="D108" s="44">
        <v>5</v>
      </c>
      <c r="E108" s="7" t="s">
        <v>116</v>
      </c>
      <c r="F108" s="7"/>
      <c r="G108" s="2" t="s">
        <v>13851</v>
      </c>
      <c r="H108" s="7" t="s">
        <v>13880</v>
      </c>
      <c r="I108" s="7" t="s">
        <v>3810</v>
      </c>
      <c r="J108" s="7" t="s">
        <v>55</v>
      </c>
      <c r="K108" s="7"/>
      <c r="L108" s="7"/>
      <c r="M108" s="45" t="str">
        <f t="shared" si="51"/>
        <v>@ChaffeySoftball</v>
      </c>
      <c r="N108" s="45" t="str">
        <f t="shared" si="52"/>
        <v>Questionnaire</v>
      </c>
      <c r="O108" s="108" t="s">
        <v>13861</v>
      </c>
      <c r="P108" s="60" t="s">
        <v>312</v>
      </c>
      <c r="Q108" s="48" t="s">
        <v>13862</v>
      </c>
      <c r="R108" s="48" t="s">
        <v>62</v>
      </c>
      <c r="S108" s="5" t="s">
        <v>74</v>
      </c>
      <c r="T108" s="48" t="s">
        <v>75</v>
      </c>
      <c r="U108" s="49" t="s">
        <v>3678</v>
      </c>
      <c r="V108" s="7" t="s">
        <v>214</v>
      </c>
      <c r="W108" s="49" t="s">
        <v>214</v>
      </c>
      <c r="X108" s="49" t="s">
        <v>214</v>
      </c>
      <c r="Y108" s="49" t="s">
        <v>214</v>
      </c>
      <c r="Z108" s="55" t="s">
        <v>214</v>
      </c>
      <c r="AA108" s="48" t="s">
        <v>13863</v>
      </c>
      <c r="AB108" s="52" t="s">
        <v>13861</v>
      </c>
      <c r="AC108" s="53" t="str">
        <f t="shared" si="53"/>
        <v>Link</v>
      </c>
      <c r="AD108" s="42">
        <v>22002</v>
      </c>
      <c r="AE108" s="55"/>
      <c r="AF108" s="55"/>
      <c r="AG108" s="56">
        <v>111939</v>
      </c>
      <c r="AH108" s="85"/>
      <c r="AI108" s="85"/>
    </row>
    <row r="109" spans="1:35" ht="15" x14ac:dyDescent="0.2">
      <c r="A109" s="110" t="s">
        <v>300</v>
      </c>
      <c r="B109" s="33" t="s">
        <v>12632</v>
      </c>
      <c r="C109" s="7" t="s">
        <v>13886</v>
      </c>
      <c r="D109" s="112">
        <v>5</v>
      </c>
      <c r="E109" s="7"/>
      <c r="F109" s="7"/>
      <c r="G109" s="2" t="s">
        <v>13851</v>
      </c>
      <c r="H109" s="2" t="s">
        <v>6305</v>
      </c>
      <c r="I109" s="2" t="s">
        <v>13887</v>
      </c>
      <c r="J109" s="2" t="s">
        <v>48</v>
      </c>
      <c r="K109" s="2" t="s">
        <v>13888</v>
      </c>
      <c r="L109" s="2" t="s">
        <v>13889</v>
      </c>
      <c r="M109" s="45" t="str">
        <f t="shared" si="51"/>
        <v>@ChaffeySoftball</v>
      </c>
      <c r="N109" s="45" t="str">
        <f t="shared" si="52"/>
        <v>Questionnaire</v>
      </c>
      <c r="O109" s="108" t="s">
        <v>13861</v>
      </c>
      <c r="P109" s="60" t="s">
        <v>312</v>
      </c>
      <c r="Q109" s="48" t="s">
        <v>13862</v>
      </c>
      <c r="R109" s="48" t="s">
        <v>62</v>
      </c>
      <c r="S109" s="5" t="s">
        <v>74</v>
      </c>
      <c r="T109" s="48" t="s">
        <v>75</v>
      </c>
      <c r="U109" s="49" t="s">
        <v>3678</v>
      </c>
      <c r="V109" s="7" t="s">
        <v>214</v>
      </c>
      <c r="W109" s="49" t="s">
        <v>214</v>
      </c>
      <c r="X109" s="49" t="s">
        <v>214</v>
      </c>
      <c r="Y109" s="49" t="s">
        <v>214</v>
      </c>
      <c r="Z109" s="55" t="s">
        <v>214</v>
      </c>
      <c r="AA109" s="48" t="s">
        <v>13863</v>
      </c>
      <c r="AB109" s="52" t="s">
        <v>13861</v>
      </c>
      <c r="AC109" s="53" t="str">
        <f t="shared" si="53"/>
        <v>Link</v>
      </c>
      <c r="AD109" s="42">
        <v>22002</v>
      </c>
      <c r="AE109" s="55"/>
      <c r="AF109" s="55"/>
      <c r="AG109" s="56">
        <v>111939</v>
      </c>
      <c r="AH109" s="56"/>
      <c r="AI109" s="56"/>
    </row>
    <row r="110" spans="1:35" ht="15" x14ac:dyDescent="0.2">
      <c r="A110" s="110" t="s">
        <v>300</v>
      </c>
      <c r="B110" s="33" t="s">
        <v>12632</v>
      </c>
      <c r="C110" s="7" t="s">
        <v>13895</v>
      </c>
      <c r="D110" s="112">
        <v>5</v>
      </c>
      <c r="E110" s="7"/>
      <c r="F110" s="7"/>
      <c r="G110" s="2" t="s">
        <v>13851</v>
      </c>
      <c r="H110" s="2" t="s">
        <v>4746</v>
      </c>
      <c r="I110" s="2" t="s">
        <v>482</v>
      </c>
      <c r="J110" s="2" t="s">
        <v>55</v>
      </c>
      <c r="K110" s="2"/>
      <c r="L110" s="2"/>
      <c r="M110" s="45" t="str">
        <f t="shared" si="51"/>
        <v>@ChaffeySoftball</v>
      </c>
      <c r="N110" s="45" t="str">
        <f t="shared" si="52"/>
        <v>Questionnaire</v>
      </c>
      <c r="O110" s="108" t="s">
        <v>13861</v>
      </c>
      <c r="P110" s="60" t="s">
        <v>312</v>
      </c>
      <c r="Q110" s="48" t="s">
        <v>13862</v>
      </c>
      <c r="R110" s="48" t="s">
        <v>62</v>
      </c>
      <c r="S110" s="5" t="s">
        <v>74</v>
      </c>
      <c r="T110" s="48" t="s">
        <v>75</v>
      </c>
      <c r="U110" s="49" t="s">
        <v>3678</v>
      </c>
      <c r="V110" s="7" t="s">
        <v>214</v>
      </c>
      <c r="W110" s="49" t="s">
        <v>214</v>
      </c>
      <c r="X110" s="49" t="s">
        <v>214</v>
      </c>
      <c r="Y110" s="49" t="s">
        <v>214</v>
      </c>
      <c r="Z110" s="55" t="s">
        <v>214</v>
      </c>
      <c r="AA110" s="48" t="s">
        <v>13863</v>
      </c>
      <c r="AB110" s="52" t="s">
        <v>13861</v>
      </c>
      <c r="AC110" s="53" t="str">
        <f t="shared" si="53"/>
        <v>Link</v>
      </c>
      <c r="AD110" s="42">
        <v>22002</v>
      </c>
      <c r="AE110" s="55"/>
      <c r="AF110" s="55"/>
      <c r="AG110" s="56">
        <v>111939</v>
      </c>
      <c r="AH110" s="56"/>
      <c r="AI110" s="56"/>
    </row>
    <row r="111" spans="1:35" ht="15" x14ac:dyDescent="0.2">
      <c r="A111" s="110" t="s">
        <v>300</v>
      </c>
      <c r="B111" s="33" t="s">
        <v>12632</v>
      </c>
      <c r="C111" s="7" t="s">
        <v>13901</v>
      </c>
      <c r="D111" s="112">
        <v>5</v>
      </c>
      <c r="E111" s="7"/>
      <c r="F111" s="7"/>
      <c r="G111" s="2" t="s">
        <v>13902</v>
      </c>
      <c r="H111" s="2" t="s">
        <v>421</v>
      </c>
      <c r="I111" s="2"/>
      <c r="J111" s="2" t="s">
        <v>48</v>
      </c>
      <c r="K111" s="2"/>
      <c r="L111" s="2"/>
      <c r="M111" s="48"/>
      <c r="N111" s="45" t="str">
        <f t="shared" ref="N111:N112" si="54">HYPERLINK("https://www.citrusowls.com/recruits/recruitmentform","Questionnaire")</f>
        <v>Questionnaire</v>
      </c>
      <c r="O111" s="60" t="s">
        <v>13905</v>
      </c>
      <c r="P111" s="60" t="s">
        <v>312</v>
      </c>
      <c r="Q111" s="48" t="s">
        <v>13906</v>
      </c>
      <c r="R111" s="48" t="s">
        <v>186</v>
      </c>
      <c r="S111" s="49" t="s">
        <v>74</v>
      </c>
      <c r="T111" s="48" t="s">
        <v>75</v>
      </c>
      <c r="U111" s="49" t="s">
        <v>3678</v>
      </c>
      <c r="V111" s="7" t="s">
        <v>214</v>
      </c>
      <c r="W111" s="49" t="s">
        <v>214</v>
      </c>
      <c r="X111" s="49" t="s">
        <v>214</v>
      </c>
      <c r="Y111" s="49" t="s">
        <v>214</v>
      </c>
      <c r="Z111" s="55" t="s">
        <v>214</v>
      </c>
      <c r="AA111" s="48" t="s">
        <v>13909</v>
      </c>
      <c r="AB111" s="90" t="s">
        <v>13905</v>
      </c>
      <c r="AC111" s="53" t="str">
        <f t="shared" ref="AC111:AC112" si="55">HYPERLINK("http://www.citruscollege.edu/stdntsrv/counsel/Pages/DegreeCertificateChart.aspx","Link")</f>
        <v>Link</v>
      </c>
      <c r="AD111" s="42">
        <v>12753</v>
      </c>
      <c r="AE111" s="55"/>
      <c r="AF111" s="55"/>
      <c r="AG111" s="56">
        <v>112172</v>
      </c>
      <c r="AH111" s="56"/>
      <c r="AI111" s="56"/>
    </row>
    <row r="112" spans="1:35" ht="15" x14ac:dyDescent="0.2">
      <c r="A112" s="110" t="s">
        <v>300</v>
      </c>
      <c r="B112" s="33" t="s">
        <v>12632</v>
      </c>
      <c r="C112" s="7" t="s">
        <v>13913</v>
      </c>
      <c r="D112" s="112">
        <v>5</v>
      </c>
      <c r="E112" s="7"/>
      <c r="F112" s="7"/>
      <c r="G112" s="2" t="s">
        <v>13902</v>
      </c>
      <c r="H112" s="2" t="s">
        <v>2829</v>
      </c>
      <c r="I112" s="2" t="s">
        <v>13914</v>
      </c>
      <c r="J112" s="2" t="s">
        <v>1423</v>
      </c>
      <c r="K112" s="6" t="s">
        <v>13915</v>
      </c>
      <c r="L112" s="2" t="s">
        <v>13917</v>
      </c>
      <c r="M112" s="7"/>
      <c r="N112" s="45" t="str">
        <f t="shared" si="54"/>
        <v>Questionnaire</v>
      </c>
      <c r="O112" s="60" t="s">
        <v>13905</v>
      </c>
      <c r="P112" s="60" t="s">
        <v>312</v>
      </c>
      <c r="Q112" s="48" t="s">
        <v>13906</v>
      </c>
      <c r="R112" s="48" t="s">
        <v>186</v>
      </c>
      <c r="S112" s="49" t="s">
        <v>74</v>
      </c>
      <c r="T112" s="48" t="s">
        <v>75</v>
      </c>
      <c r="U112" s="49" t="s">
        <v>3678</v>
      </c>
      <c r="V112" s="7" t="s">
        <v>214</v>
      </c>
      <c r="W112" s="49" t="s">
        <v>214</v>
      </c>
      <c r="X112" s="49" t="s">
        <v>214</v>
      </c>
      <c r="Y112" s="49" t="s">
        <v>214</v>
      </c>
      <c r="Z112" s="55" t="s">
        <v>214</v>
      </c>
      <c r="AA112" s="48" t="s">
        <v>13909</v>
      </c>
      <c r="AB112" s="90" t="s">
        <v>13905</v>
      </c>
      <c r="AC112" s="53" t="str">
        <f t="shared" si="55"/>
        <v>Link</v>
      </c>
      <c r="AD112" s="42">
        <v>12753</v>
      </c>
      <c r="AE112" s="55"/>
      <c r="AF112" s="55"/>
      <c r="AG112" s="56">
        <v>112172</v>
      </c>
      <c r="AH112" s="56"/>
      <c r="AI112" s="56"/>
    </row>
    <row r="113" spans="1:37" ht="15" x14ac:dyDescent="0.2">
      <c r="A113" s="110" t="s">
        <v>300</v>
      </c>
      <c r="B113" s="33" t="s">
        <v>12632</v>
      </c>
      <c r="C113" s="7" t="s">
        <v>13922</v>
      </c>
      <c r="D113" s="112">
        <v>5</v>
      </c>
      <c r="E113" s="7"/>
      <c r="F113" s="7"/>
      <c r="G113" s="2" t="s">
        <v>13923</v>
      </c>
      <c r="H113" s="2" t="s">
        <v>1541</v>
      </c>
      <c r="I113" s="2" t="s">
        <v>13924</v>
      </c>
      <c r="J113" s="2" t="s">
        <v>48</v>
      </c>
      <c r="K113" s="2" t="s">
        <v>13925</v>
      </c>
      <c r="L113" s="2" t="s">
        <v>13926</v>
      </c>
      <c r="M113" s="48"/>
      <c r="N113" s="45" t="str">
        <f t="shared" ref="N113:N114" si="56">HYPERLINK("https://www.comptontartars.com/recruits/Prospective_SA-s","Questionnaire")</f>
        <v>Questionnaire</v>
      </c>
      <c r="O113" s="48" t="s">
        <v>13934</v>
      </c>
      <c r="P113" s="60" t="s">
        <v>312</v>
      </c>
      <c r="Q113" s="48" t="s">
        <v>13934</v>
      </c>
      <c r="R113" s="48" t="s">
        <v>238</v>
      </c>
      <c r="S113" s="49" t="s">
        <v>74</v>
      </c>
      <c r="T113" s="48" t="s">
        <v>75</v>
      </c>
      <c r="U113" s="49" t="s">
        <v>3678</v>
      </c>
      <c r="V113" s="7" t="s">
        <v>214</v>
      </c>
      <c r="W113" s="49" t="s">
        <v>214</v>
      </c>
      <c r="X113" s="49" t="s">
        <v>214</v>
      </c>
      <c r="Y113" s="49" t="s">
        <v>214</v>
      </c>
      <c r="Z113" s="55" t="s">
        <v>214</v>
      </c>
      <c r="AA113" s="48" t="s">
        <v>13935</v>
      </c>
      <c r="AB113" s="84" t="s">
        <v>13934</v>
      </c>
      <c r="AC113" s="53" t="str">
        <f t="shared" ref="AC113:AC115" si="57">HYPERLINK("http://www.compton.edu/academics/majors/","Link")</f>
        <v>Link</v>
      </c>
      <c r="AD113" s="42">
        <v>7492</v>
      </c>
      <c r="AE113" s="55"/>
      <c r="AF113" s="55"/>
      <c r="AG113" s="56">
        <v>112686</v>
      </c>
      <c r="AH113" s="56"/>
      <c r="AI113" s="56"/>
    </row>
    <row r="114" spans="1:37" ht="15" x14ac:dyDescent="0.2">
      <c r="A114" s="110" t="s">
        <v>300</v>
      </c>
      <c r="B114" s="33" t="s">
        <v>12632</v>
      </c>
      <c r="C114" s="7" t="s">
        <v>13941</v>
      </c>
      <c r="D114" s="112">
        <v>5</v>
      </c>
      <c r="E114" s="7"/>
      <c r="F114" s="7"/>
      <c r="G114" s="2" t="s">
        <v>13923</v>
      </c>
      <c r="H114" s="2" t="s">
        <v>11885</v>
      </c>
      <c r="I114" s="2" t="s">
        <v>3866</v>
      </c>
      <c r="J114" s="2" t="s">
        <v>55</v>
      </c>
      <c r="K114" s="2"/>
      <c r="L114" s="2"/>
      <c r="M114" s="48"/>
      <c r="N114" s="45" t="str">
        <f t="shared" si="56"/>
        <v>Questionnaire</v>
      </c>
      <c r="O114" s="48" t="s">
        <v>13934</v>
      </c>
      <c r="P114" s="60" t="s">
        <v>312</v>
      </c>
      <c r="Q114" s="48" t="s">
        <v>13934</v>
      </c>
      <c r="R114" s="48" t="s">
        <v>238</v>
      </c>
      <c r="S114" s="49" t="s">
        <v>74</v>
      </c>
      <c r="T114" s="48" t="s">
        <v>75</v>
      </c>
      <c r="U114" s="49" t="s">
        <v>3678</v>
      </c>
      <c r="V114" s="7" t="s">
        <v>214</v>
      </c>
      <c r="W114" s="49" t="s">
        <v>214</v>
      </c>
      <c r="X114" s="49" t="s">
        <v>214</v>
      </c>
      <c r="Y114" s="49" t="s">
        <v>214</v>
      </c>
      <c r="Z114" s="55" t="s">
        <v>214</v>
      </c>
      <c r="AA114" s="48" t="s">
        <v>13935</v>
      </c>
      <c r="AB114" s="84" t="s">
        <v>13934</v>
      </c>
      <c r="AC114" s="53" t="str">
        <f t="shared" si="57"/>
        <v>Link</v>
      </c>
      <c r="AD114" s="42">
        <v>7492</v>
      </c>
      <c r="AE114" s="55"/>
      <c r="AF114" s="55"/>
      <c r="AG114" s="56">
        <v>112686</v>
      </c>
      <c r="AH114" s="56"/>
      <c r="AI114" s="56"/>
    </row>
    <row r="115" spans="1:37" ht="13" x14ac:dyDescent="0.15">
      <c r="A115" s="110" t="s">
        <v>300</v>
      </c>
      <c r="B115" s="2" t="s">
        <v>12632</v>
      </c>
      <c r="C115" s="7" t="s">
        <v>13948</v>
      </c>
      <c r="D115" s="44">
        <v>5</v>
      </c>
      <c r="E115" s="7"/>
      <c r="F115" s="7"/>
      <c r="G115" s="7" t="s">
        <v>13923</v>
      </c>
      <c r="H115" s="7" t="s">
        <v>13952</v>
      </c>
      <c r="I115" s="7" t="s">
        <v>9150</v>
      </c>
      <c r="J115" s="7" t="s">
        <v>55</v>
      </c>
      <c r="K115" s="7"/>
      <c r="L115" s="7"/>
      <c r="M115" s="48"/>
      <c r="N115" s="48"/>
      <c r="O115" s="48" t="s">
        <v>13934</v>
      </c>
      <c r="P115" s="47" t="s">
        <v>312</v>
      </c>
      <c r="Q115" s="48" t="s">
        <v>13934</v>
      </c>
      <c r="R115" s="48" t="s">
        <v>238</v>
      </c>
      <c r="S115" s="49" t="s">
        <v>74</v>
      </c>
      <c r="T115" s="49" t="s">
        <v>75</v>
      </c>
      <c r="U115" s="49" t="s">
        <v>3678</v>
      </c>
      <c r="V115" s="7" t="s">
        <v>214</v>
      </c>
      <c r="W115" s="49" t="s">
        <v>214</v>
      </c>
      <c r="X115" s="49" t="s">
        <v>214</v>
      </c>
      <c r="Y115" s="49" t="s">
        <v>214</v>
      </c>
      <c r="Z115" s="55" t="s">
        <v>214</v>
      </c>
      <c r="AA115" s="48" t="s">
        <v>13935</v>
      </c>
      <c r="AB115" s="84" t="s">
        <v>13934</v>
      </c>
      <c r="AC115" s="53" t="str">
        <f t="shared" si="57"/>
        <v>Link</v>
      </c>
      <c r="AD115" s="54">
        <v>7492</v>
      </c>
      <c r="AE115" s="55"/>
      <c r="AF115" s="55"/>
      <c r="AG115" s="56">
        <v>112686</v>
      </c>
      <c r="AH115" s="56"/>
      <c r="AI115" s="56"/>
    </row>
    <row r="116" spans="1:37" ht="15" x14ac:dyDescent="0.2">
      <c r="A116" s="31" t="s">
        <v>300</v>
      </c>
      <c r="B116" s="33" t="s">
        <v>12632</v>
      </c>
      <c r="C116" s="7"/>
      <c r="D116" s="112">
        <v>5</v>
      </c>
      <c r="E116" s="7"/>
      <c r="F116" s="112"/>
      <c r="G116" s="2" t="s">
        <v>13955</v>
      </c>
      <c r="H116" s="2" t="s">
        <v>13956</v>
      </c>
      <c r="I116" s="2" t="s">
        <v>695</v>
      </c>
      <c r="J116" s="2" t="s">
        <v>48</v>
      </c>
      <c r="K116" s="2" t="s">
        <v>13957</v>
      </c>
      <c r="L116" s="2" t="s">
        <v>13958</v>
      </c>
      <c r="M116" s="48"/>
      <c r="N116" s="45" t="str">
        <f>HYPERLINK("http://www.contracosta.edu/wp-content/uploads/2017/04/First-Contact-Form-Athletics.pdf","Questionnaire")</f>
        <v>Questionnaire</v>
      </c>
      <c r="O116" s="48" t="s">
        <v>13960</v>
      </c>
      <c r="P116" s="60" t="s">
        <v>312</v>
      </c>
      <c r="Q116" s="48" t="s">
        <v>13961</v>
      </c>
      <c r="R116" s="48" t="s">
        <v>468</v>
      </c>
      <c r="S116" s="49" t="s">
        <v>74</v>
      </c>
      <c r="T116" s="48" t="s">
        <v>75</v>
      </c>
      <c r="U116" s="49" t="s">
        <v>3678</v>
      </c>
      <c r="V116" s="7" t="s">
        <v>214</v>
      </c>
      <c r="W116" s="49" t="s">
        <v>214</v>
      </c>
      <c r="X116" s="49" t="s">
        <v>214</v>
      </c>
      <c r="Y116" s="49" t="s">
        <v>214</v>
      </c>
      <c r="Z116" s="55" t="s">
        <v>214</v>
      </c>
      <c r="AA116" s="48" t="s">
        <v>13965</v>
      </c>
      <c r="AB116" s="84" t="s">
        <v>13960</v>
      </c>
      <c r="AC116" s="53" t="str">
        <f>HYPERLINK("https://www.contracosta.edu/classes/degrees-certificates/","Link")</f>
        <v>Link</v>
      </c>
      <c r="AD116" s="42">
        <v>6340</v>
      </c>
      <c r="AE116" s="55"/>
      <c r="AF116" s="55"/>
      <c r="AG116" s="56">
        <v>112826</v>
      </c>
      <c r="AH116" s="7" t="s">
        <v>2459</v>
      </c>
      <c r="AI116" s="7"/>
      <c r="AJ116" s="7"/>
      <c r="AK116" s="7"/>
    </row>
    <row r="117" spans="1:37" ht="13" x14ac:dyDescent="0.15">
      <c r="A117" s="110" t="s">
        <v>300</v>
      </c>
      <c r="B117" s="2" t="s">
        <v>12632</v>
      </c>
      <c r="C117" s="7" t="s">
        <v>13971</v>
      </c>
      <c r="D117" s="44">
        <v>5</v>
      </c>
      <c r="E117" s="7"/>
      <c r="F117" s="7"/>
      <c r="G117" s="7" t="s">
        <v>13972</v>
      </c>
      <c r="H117" s="7" t="s">
        <v>1307</v>
      </c>
      <c r="I117" s="7" t="s">
        <v>13973</v>
      </c>
      <c r="J117" s="7" t="s">
        <v>55</v>
      </c>
      <c r="K117" s="7"/>
      <c r="L117" s="7"/>
      <c r="M117" s="48"/>
      <c r="N117" s="48"/>
      <c r="O117" s="48" t="s">
        <v>13974</v>
      </c>
      <c r="P117" s="47" t="s">
        <v>312</v>
      </c>
      <c r="Q117" s="48" t="s">
        <v>3424</v>
      </c>
      <c r="R117" s="48" t="s">
        <v>354</v>
      </c>
      <c r="S117" s="49" t="s">
        <v>74</v>
      </c>
      <c r="T117" s="49" t="s">
        <v>75</v>
      </c>
      <c r="U117" s="49" t="s">
        <v>3678</v>
      </c>
      <c r="V117" s="7" t="s">
        <v>214</v>
      </c>
      <c r="W117" s="49" t="s">
        <v>214</v>
      </c>
      <c r="X117" s="49" t="s">
        <v>214</v>
      </c>
      <c r="Y117" s="49" t="s">
        <v>214</v>
      </c>
      <c r="Z117" s="49" t="s">
        <v>214</v>
      </c>
      <c r="AA117" s="48" t="s">
        <v>13977</v>
      </c>
      <c r="AB117" s="62" t="s">
        <v>13974</v>
      </c>
      <c r="AC117" s="53" t="str">
        <f t="shared" ref="AC117:AC120" si="58">HYPERLINK("https://www.crc.losrios.edu/areas","Link")</f>
        <v>Link</v>
      </c>
      <c r="AD117" s="54">
        <v>14010</v>
      </c>
      <c r="AE117" s="55"/>
      <c r="AF117" s="55"/>
      <c r="AG117" s="56">
        <v>113096</v>
      </c>
      <c r="AH117" s="56"/>
      <c r="AI117" s="56"/>
    </row>
    <row r="118" spans="1:37" ht="15" x14ac:dyDescent="0.2">
      <c r="A118" s="110" t="s">
        <v>300</v>
      </c>
      <c r="B118" s="33" t="s">
        <v>12632</v>
      </c>
      <c r="C118" s="7" t="s">
        <v>13980</v>
      </c>
      <c r="D118" s="112">
        <v>5</v>
      </c>
      <c r="E118" s="7"/>
      <c r="F118" s="7"/>
      <c r="G118" s="2" t="s">
        <v>13972</v>
      </c>
      <c r="H118" s="2" t="s">
        <v>5834</v>
      </c>
      <c r="I118" s="2" t="s">
        <v>12324</v>
      </c>
      <c r="J118" s="2" t="s">
        <v>48</v>
      </c>
      <c r="K118" s="2" t="s">
        <v>13981</v>
      </c>
      <c r="L118" s="2" t="s">
        <v>13982</v>
      </c>
      <c r="M118" s="45" t="str">
        <f t="shared" ref="M118:M120" si="59">HYPERLINK("twitter.com/@crcsoftball","@crcsoftball")</f>
        <v>@crcsoftball</v>
      </c>
      <c r="N118" s="45" t="str">
        <f t="shared" ref="N118:N120" si="60">HYPERLINK("https://www.crc.losrios.edu/areas/kha/recruits","Questionnaire")</f>
        <v>Questionnaire</v>
      </c>
      <c r="O118" s="48" t="s">
        <v>13974</v>
      </c>
      <c r="P118" s="60" t="s">
        <v>312</v>
      </c>
      <c r="Q118" s="48" t="s">
        <v>3424</v>
      </c>
      <c r="R118" s="48" t="s">
        <v>354</v>
      </c>
      <c r="S118" s="49" t="s">
        <v>74</v>
      </c>
      <c r="T118" s="48" t="s">
        <v>75</v>
      </c>
      <c r="U118" s="49" t="s">
        <v>3678</v>
      </c>
      <c r="V118" s="7" t="s">
        <v>214</v>
      </c>
      <c r="W118" s="49" t="s">
        <v>214</v>
      </c>
      <c r="X118" s="49" t="s">
        <v>214</v>
      </c>
      <c r="Y118" s="49" t="s">
        <v>214</v>
      </c>
      <c r="Z118" s="49" t="s">
        <v>214</v>
      </c>
      <c r="AA118" s="48" t="s">
        <v>13977</v>
      </c>
      <c r="AB118" s="84" t="s">
        <v>13974</v>
      </c>
      <c r="AC118" s="53" t="str">
        <f t="shared" si="58"/>
        <v>Link</v>
      </c>
      <c r="AD118" s="42">
        <v>14010</v>
      </c>
      <c r="AE118" s="55"/>
      <c r="AF118" s="55"/>
      <c r="AG118" s="56">
        <v>113096</v>
      </c>
      <c r="AH118" s="56"/>
      <c r="AI118" s="56"/>
    </row>
    <row r="119" spans="1:37" ht="15" x14ac:dyDescent="0.2">
      <c r="A119" s="110" t="s">
        <v>300</v>
      </c>
      <c r="B119" s="33" t="s">
        <v>12632</v>
      </c>
      <c r="C119" s="7" t="s">
        <v>13993</v>
      </c>
      <c r="D119" s="112">
        <v>5</v>
      </c>
      <c r="E119" s="7"/>
      <c r="F119" s="7"/>
      <c r="G119" s="2" t="s">
        <v>13972</v>
      </c>
      <c r="H119" s="2" t="s">
        <v>2465</v>
      </c>
      <c r="I119" s="2" t="s">
        <v>13994</v>
      </c>
      <c r="J119" s="7" t="s">
        <v>55</v>
      </c>
      <c r="K119" s="2"/>
      <c r="L119" s="2"/>
      <c r="M119" s="45" t="str">
        <f t="shared" si="59"/>
        <v>@crcsoftball</v>
      </c>
      <c r="N119" s="45" t="str">
        <f t="shared" si="60"/>
        <v>Questionnaire</v>
      </c>
      <c r="O119" s="48" t="s">
        <v>13974</v>
      </c>
      <c r="P119" s="60" t="s">
        <v>312</v>
      </c>
      <c r="Q119" s="48" t="s">
        <v>3424</v>
      </c>
      <c r="R119" s="48" t="s">
        <v>354</v>
      </c>
      <c r="S119" s="49" t="s">
        <v>74</v>
      </c>
      <c r="T119" s="48" t="s">
        <v>75</v>
      </c>
      <c r="U119" s="49" t="s">
        <v>3678</v>
      </c>
      <c r="V119" s="7" t="s">
        <v>214</v>
      </c>
      <c r="W119" s="49" t="s">
        <v>214</v>
      </c>
      <c r="X119" s="49" t="s">
        <v>214</v>
      </c>
      <c r="Y119" s="49" t="s">
        <v>214</v>
      </c>
      <c r="Z119" s="49" t="s">
        <v>214</v>
      </c>
      <c r="AA119" s="48" t="s">
        <v>13977</v>
      </c>
      <c r="AB119" s="84" t="s">
        <v>13974</v>
      </c>
      <c r="AC119" s="53" t="str">
        <f t="shared" si="58"/>
        <v>Link</v>
      </c>
      <c r="AD119" s="42">
        <v>14010</v>
      </c>
      <c r="AE119" s="55"/>
      <c r="AF119" s="55"/>
      <c r="AG119" s="56">
        <v>113096</v>
      </c>
      <c r="AH119" s="56"/>
      <c r="AI119" s="56"/>
    </row>
    <row r="120" spans="1:37" ht="15" x14ac:dyDescent="0.2">
      <c r="A120" s="110" t="s">
        <v>300</v>
      </c>
      <c r="B120" s="33" t="s">
        <v>12632</v>
      </c>
      <c r="C120" s="7" t="s">
        <v>14003</v>
      </c>
      <c r="D120" s="112">
        <v>5</v>
      </c>
      <c r="E120" s="7"/>
      <c r="F120" s="7" t="s">
        <v>126</v>
      </c>
      <c r="G120" s="2" t="s">
        <v>13972</v>
      </c>
      <c r="H120" s="2" t="s">
        <v>14004</v>
      </c>
      <c r="I120" s="2"/>
      <c r="J120" s="2"/>
      <c r="K120" s="2"/>
      <c r="L120" s="2"/>
      <c r="M120" s="45" t="str">
        <f t="shared" si="59"/>
        <v>@crcsoftball</v>
      </c>
      <c r="N120" s="45" t="str">
        <f t="shared" si="60"/>
        <v>Questionnaire</v>
      </c>
      <c r="O120" s="48" t="s">
        <v>13974</v>
      </c>
      <c r="P120" s="60" t="s">
        <v>312</v>
      </c>
      <c r="Q120" s="48" t="s">
        <v>3424</v>
      </c>
      <c r="R120" s="48" t="s">
        <v>354</v>
      </c>
      <c r="S120" s="49" t="s">
        <v>74</v>
      </c>
      <c r="T120" s="48" t="s">
        <v>75</v>
      </c>
      <c r="U120" s="49" t="s">
        <v>3678</v>
      </c>
      <c r="V120" s="7" t="s">
        <v>214</v>
      </c>
      <c r="W120" s="49" t="s">
        <v>214</v>
      </c>
      <c r="X120" s="49" t="s">
        <v>214</v>
      </c>
      <c r="Y120" s="49" t="s">
        <v>214</v>
      </c>
      <c r="Z120" s="49" t="s">
        <v>214</v>
      </c>
      <c r="AA120" s="48" t="s">
        <v>13977</v>
      </c>
      <c r="AB120" s="84" t="s">
        <v>13974</v>
      </c>
      <c r="AC120" s="53" t="str">
        <f t="shared" si="58"/>
        <v>Link</v>
      </c>
      <c r="AD120" s="42">
        <v>14010</v>
      </c>
      <c r="AE120" s="55"/>
      <c r="AF120" s="55"/>
      <c r="AG120" s="56">
        <v>113096</v>
      </c>
      <c r="AH120" s="56"/>
      <c r="AI120" s="56"/>
    </row>
    <row r="121" spans="1:37" ht="15" x14ac:dyDescent="0.2">
      <c r="A121" s="31" t="s">
        <v>300</v>
      </c>
      <c r="B121" s="33" t="s">
        <v>12632</v>
      </c>
      <c r="C121" s="7"/>
      <c r="D121" s="112">
        <v>5</v>
      </c>
      <c r="E121" s="7"/>
      <c r="F121" s="112"/>
      <c r="G121" s="2" t="s">
        <v>14005</v>
      </c>
      <c r="H121" s="2" t="s">
        <v>14007</v>
      </c>
      <c r="I121" s="2" t="s">
        <v>14008</v>
      </c>
      <c r="J121" s="2" t="s">
        <v>48</v>
      </c>
      <c r="K121" s="2" t="s">
        <v>14009</v>
      </c>
      <c r="L121" s="2" t="s">
        <v>14010</v>
      </c>
      <c r="M121" s="48"/>
      <c r="N121" s="45" t="str">
        <f>HYPERLINK("https://www.cuesta.edu/student/campuslife/athletics/sportsteams/softball/sball_questionnaire.html","Questionnaire")</f>
        <v>Questionnaire</v>
      </c>
      <c r="O121" s="48" t="s">
        <v>14016</v>
      </c>
      <c r="P121" s="60" t="s">
        <v>312</v>
      </c>
      <c r="Q121" s="48" t="s">
        <v>5153</v>
      </c>
      <c r="R121" s="48" t="s">
        <v>468</v>
      </c>
      <c r="S121" s="49" t="s">
        <v>74</v>
      </c>
      <c r="T121" s="48" t="s">
        <v>75</v>
      </c>
      <c r="U121" s="49" t="s">
        <v>3678</v>
      </c>
      <c r="V121" s="7" t="s">
        <v>214</v>
      </c>
      <c r="W121" s="49" t="s">
        <v>214</v>
      </c>
      <c r="X121" s="49" t="s">
        <v>214</v>
      </c>
      <c r="Y121" s="49" t="s">
        <v>214</v>
      </c>
      <c r="Z121" s="55" t="s">
        <v>214</v>
      </c>
      <c r="AA121" s="48" t="s">
        <v>14017</v>
      </c>
      <c r="AB121" s="84" t="s">
        <v>14016</v>
      </c>
      <c r="AC121" s="53" t="str">
        <f>HYPERLINK("https://www.cuesta.edu/academics/","Link")</f>
        <v>Link</v>
      </c>
      <c r="AD121" s="42">
        <v>10232</v>
      </c>
      <c r="AE121" s="55"/>
      <c r="AF121" s="55"/>
      <c r="AG121" s="56">
        <v>113193</v>
      </c>
      <c r="AH121" s="7" t="s">
        <v>2459</v>
      </c>
      <c r="AI121" s="7"/>
      <c r="AJ121" s="7"/>
      <c r="AK121" s="7"/>
    </row>
    <row r="122" spans="1:37" ht="15" x14ac:dyDescent="0.2">
      <c r="A122" s="110" t="s">
        <v>300</v>
      </c>
      <c r="B122" s="33" t="s">
        <v>12632</v>
      </c>
      <c r="C122" s="7" t="s">
        <v>14023</v>
      </c>
      <c r="D122" s="112">
        <v>5</v>
      </c>
      <c r="E122" s="7"/>
      <c r="F122" s="7"/>
      <c r="G122" s="2" t="s">
        <v>14024</v>
      </c>
      <c r="H122" s="2" t="s">
        <v>2705</v>
      </c>
      <c r="I122" s="2" t="s">
        <v>14026</v>
      </c>
      <c r="J122" s="2" t="s">
        <v>48</v>
      </c>
      <c r="K122" s="2" t="s">
        <v>14027</v>
      </c>
      <c r="L122" s="2" t="s">
        <v>14028</v>
      </c>
      <c r="M122" s="48"/>
      <c r="N122" s="45" t="str">
        <f t="shared" ref="N122:N124" si="61">HYPERLINK("http://sports.cypresscollege.edu/sports/mbkb/Recruiting_Form","Questionnaire")</f>
        <v>Questionnaire</v>
      </c>
      <c r="O122" s="48" t="s">
        <v>14030</v>
      </c>
      <c r="P122" s="60" t="s">
        <v>312</v>
      </c>
      <c r="Q122" s="48" t="s">
        <v>14030</v>
      </c>
      <c r="R122" s="48" t="s">
        <v>468</v>
      </c>
      <c r="S122" s="49" t="s">
        <v>74</v>
      </c>
      <c r="T122" s="48" t="s">
        <v>75</v>
      </c>
      <c r="U122" s="49" t="s">
        <v>3678</v>
      </c>
      <c r="V122" s="7" t="s">
        <v>214</v>
      </c>
      <c r="W122" s="49" t="s">
        <v>214</v>
      </c>
      <c r="X122" s="49" t="s">
        <v>214</v>
      </c>
      <c r="Y122" s="49" t="s">
        <v>214</v>
      </c>
      <c r="Z122" s="55" t="s">
        <v>214</v>
      </c>
      <c r="AA122" s="48" t="s">
        <v>14033</v>
      </c>
      <c r="AB122" s="84" t="s">
        <v>14030</v>
      </c>
      <c r="AC122" s="53" t="str">
        <f t="shared" ref="AC122:AC124" si="62">HYPERLINK("http://www.cypresscollege.edu/degrees-certificates/","Link")</f>
        <v>Link</v>
      </c>
      <c r="AD122" s="42">
        <v>15941</v>
      </c>
      <c r="AE122" s="55"/>
      <c r="AF122" s="55"/>
      <c r="AG122" s="56">
        <v>113236</v>
      </c>
      <c r="AH122" s="56"/>
      <c r="AI122" s="56"/>
    </row>
    <row r="123" spans="1:37" ht="15" x14ac:dyDescent="0.2">
      <c r="A123" s="110" t="s">
        <v>300</v>
      </c>
      <c r="B123" s="33" t="s">
        <v>12632</v>
      </c>
      <c r="C123" s="7" t="s">
        <v>14038</v>
      </c>
      <c r="D123" s="112">
        <v>5</v>
      </c>
      <c r="E123" s="7"/>
      <c r="F123" s="7" t="s">
        <v>126</v>
      </c>
      <c r="G123" s="2" t="s">
        <v>14024</v>
      </c>
      <c r="H123" s="2" t="s">
        <v>4500</v>
      </c>
      <c r="I123" s="2"/>
      <c r="J123" s="2"/>
      <c r="K123" s="2"/>
      <c r="L123" s="2"/>
      <c r="M123" s="48"/>
      <c r="N123" s="45" t="str">
        <f t="shared" si="61"/>
        <v>Questionnaire</v>
      </c>
      <c r="O123" s="48" t="s">
        <v>14030</v>
      </c>
      <c r="P123" s="60" t="s">
        <v>312</v>
      </c>
      <c r="Q123" s="48" t="s">
        <v>14030</v>
      </c>
      <c r="R123" s="48" t="s">
        <v>468</v>
      </c>
      <c r="S123" s="49" t="s">
        <v>74</v>
      </c>
      <c r="T123" s="48" t="s">
        <v>75</v>
      </c>
      <c r="U123" s="49" t="s">
        <v>3678</v>
      </c>
      <c r="V123" s="7" t="s">
        <v>214</v>
      </c>
      <c r="W123" s="49" t="s">
        <v>214</v>
      </c>
      <c r="X123" s="49" t="s">
        <v>214</v>
      </c>
      <c r="Y123" s="49" t="s">
        <v>214</v>
      </c>
      <c r="Z123" s="55" t="s">
        <v>214</v>
      </c>
      <c r="AA123" s="48" t="s">
        <v>14033</v>
      </c>
      <c r="AB123" s="84" t="s">
        <v>14030</v>
      </c>
      <c r="AC123" s="53" t="str">
        <f t="shared" si="62"/>
        <v>Link</v>
      </c>
      <c r="AD123" s="42">
        <v>15941</v>
      </c>
      <c r="AE123" s="55"/>
      <c r="AF123" s="55"/>
      <c r="AG123" s="56">
        <v>113236</v>
      </c>
      <c r="AH123" s="56"/>
      <c r="AI123" s="56"/>
    </row>
    <row r="124" spans="1:37" ht="15" x14ac:dyDescent="0.2">
      <c r="A124" s="110" t="s">
        <v>300</v>
      </c>
      <c r="B124" s="33" t="s">
        <v>12632</v>
      </c>
      <c r="C124" s="7" t="s">
        <v>14045</v>
      </c>
      <c r="D124" s="112">
        <v>5</v>
      </c>
      <c r="E124" s="7"/>
      <c r="F124" s="7"/>
      <c r="G124" s="2" t="s">
        <v>14024</v>
      </c>
      <c r="H124" s="2" t="s">
        <v>557</v>
      </c>
      <c r="I124" s="2" t="s">
        <v>14046</v>
      </c>
      <c r="J124" s="2" t="s">
        <v>55</v>
      </c>
      <c r="K124" s="2"/>
      <c r="L124" s="2"/>
      <c r="M124" s="48"/>
      <c r="N124" s="45" t="str">
        <f t="shared" si="61"/>
        <v>Questionnaire</v>
      </c>
      <c r="O124" s="48" t="s">
        <v>14030</v>
      </c>
      <c r="P124" s="60" t="s">
        <v>312</v>
      </c>
      <c r="Q124" s="48" t="s">
        <v>14030</v>
      </c>
      <c r="R124" s="48" t="s">
        <v>468</v>
      </c>
      <c r="S124" s="49" t="s">
        <v>74</v>
      </c>
      <c r="T124" s="48" t="s">
        <v>75</v>
      </c>
      <c r="U124" s="49" t="s">
        <v>3678</v>
      </c>
      <c r="V124" s="7" t="s">
        <v>214</v>
      </c>
      <c r="W124" s="49" t="s">
        <v>214</v>
      </c>
      <c r="X124" s="49" t="s">
        <v>214</v>
      </c>
      <c r="Y124" s="49" t="s">
        <v>214</v>
      </c>
      <c r="Z124" s="55" t="s">
        <v>214</v>
      </c>
      <c r="AA124" s="48" t="s">
        <v>14033</v>
      </c>
      <c r="AB124" s="84" t="s">
        <v>14030</v>
      </c>
      <c r="AC124" s="53" t="str">
        <f t="shared" si="62"/>
        <v>Link</v>
      </c>
      <c r="AD124" s="42">
        <v>15941</v>
      </c>
      <c r="AE124" s="55"/>
      <c r="AF124" s="55"/>
      <c r="AG124" s="56">
        <v>113236</v>
      </c>
      <c r="AH124" s="56"/>
      <c r="AI124" s="56"/>
    </row>
    <row r="125" spans="1:37" ht="15" x14ac:dyDescent="0.2">
      <c r="A125" s="31" t="s">
        <v>300</v>
      </c>
      <c r="B125" s="33" t="s">
        <v>12632</v>
      </c>
      <c r="C125" s="7"/>
      <c r="D125" s="112">
        <v>5</v>
      </c>
      <c r="E125" s="7"/>
      <c r="F125" s="112"/>
      <c r="G125" s="2" t="s">
        <v>14051</v>
      </c>
      <c r="H125" s="2" t="s">
        <v>361</v>
      </c>
      <c r="I125" s="2" t="s">
        <v>14052</v>
      </c>
      <c r="J125" s="2" t="s">
        <v>48</v>
      </c>
      <c r="K125" s="2" t="s">
        <v>14054</v>
      </c>
      <c r="L125" s="2" t="s">
        <v>14055</v>
      </c>
      <c r="M125" s="48"/>
      <c r="N125" s="45" t="str">
        <f>HYPERLINK("https://www.deanza.edu/athletics/prospective-student.html","Questionnaire")</f>
        <v>Questionnaire</v>
      </c>
      <c r="O125" s="48" t="s">
        <v>14060</v>
      </c>
      <c r="P125" s="60" t="s">
        <v>312</v>
      </c>
      <c r="Q125" s="48" t="s">
        <v>14061</v>
      </c>
      <c r="R125" s="48" t="s">
        <v>186</v>
      </c>
      <c r="S125" s="49" t="s">
        <v>74</v>
      </c>
      <c r="T125" s="48" t="s">
        <v>75</v>
      </c>
      <c r="U125" s="49" t="s">
        <v>3678</v>
      </c>
      <c r="V125" s="7" t="s">
        <v>214</v>
      </c>
      <c r="W125" s="49" t="s">
        <v>214</v>
      </c>
      <c r="X125" s="49" t="s">
        <v>214</v>
      </c>
      <c r="Y125" s="49" t="s">
        <v>214</v>
      </c>
      <c r="Z125" s="55" t="s">
        <v>214</v>
      </c>
      <c r="AA125" s="48" t="s">
        <v>14064</v>
      </c>
      <c r="AB125" s="84" t="s">
        <v>14060</v>
      </c>
      <c r="AC125" s="53" t="str">
        <f>HYPERLINK("https://www.deanza.edu/aatastdegrees/degrees.html","Link")</f>
        <v>Link</v>
      </c>
      <c r="AD125" s="42">
        <v>21716</v>
      </c>
      <c r="AE125" s="55"/>
      <c r="AF125" s="55"/>
      <c r="AG125" s="56">
        <v>113333</v>
      </c>
      <c r="AH125" s="7" t="s">
        <v>2459</v>
      </c>
      <c r="AI125" s="7"/>
      <c r="AJ125" s="7"/>
      <c r="AK125" s="7"/>
    </row>
    <row r="126" spans="1:37" ht="13" x14ac:dyDescent="0.15">
      <c r="A126" s="64" t="s">
        <v>300</v>
      </c>
      <c r="B126" s="2" t="s">
        <v>12632</v>
      </c>
      <c r="C126" s="7" t="s">
        <v>14072</v>
      </c>
      <c r="D126" s="44">
        <v>5</v>
      </c>
      <c r="E126" s="7" t="s">
        <v>116</v>
      </c>
      <c r="F126" s="7"/>
      <c r="G126" s="2" t="s">
        <v>14074</v>
      </c>
      <c r="H126" s="7" t="s">
        <v>4935</v>
      </c>
      <c r="I126" s="7" t="s">
        <v>14075</v>
      </c>
      <c r="J126" s="7" t="s">
        <v>55</v>
      </c>
      <c r="K126" s="7" t="s">
        <v>14076</v>
      </c>
      <c r="L126" s="7"/>
      <c r="M126" s="48"/>
      <c r="N126" s="45" t="str">
        <f t="shared" ref="N126:N129" si="63">HYPERLINK("https://www.codathletics.com/Recruits/Recruit_Me_Forms","Questionnaire")</f>
        <v>Questionnaire</v>
      </c>
      <c r="O126" s="48" t="s">
        <v>14077</v>
      </c>
      <c r="P126" s="60" t="s">
        <v>312</v>
      </c>
      <c r="Q126" s="6" t="s">
        <v>14080</v>
      </c>
      <c r="R126" s="6" t="s">
        <v>186</v>
      </c>
      <c r="S126" s="4" t="s">
        <v>74</v>
      </c>
      <c r="T126" s="4" t="s">
        <v>75</v>
      </c>
      <c r="U126" s="49" t="s">
        <v>3678</v>
      </c>
      <c r="V126" s="7" t="s">
        <v>214</v>
      </c>
      <c r="W126" s="49" t="s">
        <v>214</v>
      </c>
      <c r="X126" s="49" t="s">
        <v>214</v>
      </c>
      <c r="Y126" s="4" t="s">
        <v>214</v>
      </c>
      <c r="Z126" s="8" t="s">
        <v>214</v>
      </c>
      <c r="AA126" s="6" t="s">
        <v>14084</v>
      </c>
      <c r="AB126" s="76" t="s">
        <v>14077</v>
      </c>
      <c r="AC126" s="67" t="str">
        <f t="shared" ref="AC126:AC129" si="64">HYPERLINK("http://www.collegeofthedesert.edu/students/ap/Pages/default.aspx","Link")</f>
        <v>Link</v>
      </c>
      <c r="AD126" s="42">
        <v>10792</v>
      </c>
      <c r="AE126" s="8"/>
      <c r="AF126" s="55"/>
      <c r="AG126" s="56">
        <v>113573</v>
      </c>
      <c r="AH126" s="85"/>
      <c r="AI126" s="85"/>
    </row>
    <row r="127" spans="1:37" ht="15" x14ac:dyDescent="0.2">
      <c r="A127" s="110" t="s">
        <v>300</v>
      </c>
      <c r="B127" s="33" t="s">
        <v>12632</v>
      </c>
      <c r="C127" s="7" t="s">
        <v>14088</v>
      </c>
      <c r="D127" s="112">
        <v>5</v>
      </c>
      <c r="E127" s="7"/>
      <c r="F127" s="7"/>
      <c r="G127" s="2" t="s">
        <v>14074</v>
      </c>
      <c r="H127" s="2" t="s">
        <v>7779</v>
      </c>
      <c r="I127" s="2" t="s">
        <v>14091</v>
      </c>
      <c r="J127" s="2" t="s">
        <v>48</v>
      </c>
      <c r="K127" s="2" t="s">
        <v>14092</v>
      </c>
      <c r="L127" s="2" t="s">
        <v>14093</v>
      </c>
      <c r="M127" s="48"/>
      <c r="N127" s="45" t="str">
        <f t="shared" si="63"/>
        <v>Questionnaire</v>
      </c>
      <c r="O127" s="48" t="s">
        <v>14077</v>
      </c>
      <c r="P127" s="60" t="s">
        <v>312</v>
      </c>
      <c r="Q127" s="48" t="s">
        <v>14080</v>
      </c>
      <c r="R127" s="48" t="s">
        <v>186</v>
      </c>
      <c r="S127" s="49" t="s">
        <v>74</v>
      </c>
      <c r="T127" s="48" t="s">
        <v>75</v>
      </c>
      <c r="U127" s="49" t="s">
        <v>3678</v>
      </c>
      <c r="V127" s="7" t="s">
        <v>214</v>
      </c>
      <c r="W127" s="49" t="s">
        <v>214</v>
      </c>
      <c r="X127" s="49" t="s">
        <v>214</v>
      </c>
      <c r="Y127" s="49" t="s">
        <v>214</v>
      </c>
      <c r="Z127" s="55" t="s">
        <v>214</v>
      </c>
      <c r="AA127" s="48" t="s">
        <v>14084</v>
      </c>
      <c r="AB127" s="84" t="s">
        <v>14077</v>
      </c>
      <c r="AC127" s="53" t="str">
        <f t="shared" si="64"/>
        <v>Link</v>
      </c>
      <c r="AD127" s="42">
        <v>10792</v>
      </c>
      <c r="AE127" s="55"/>
      <c r="AF127" s="55"/>
      <c r="AG127" s="56">
        <v>113573</v>
      </c>
      <c r="AH127" s="56"/>
      <c r="AI127" s="56"/>
    </row>
    <row r="128" spans="1:37" ht="15" x14ac:dyDescent="0.2">
      <c r="A128" s="110" t="s">
        <v>300</v>
      </c>
      <c r="B128" s="33" t="s">
        <v>12632</v>
      </c>
      <c r="C128" s="7" t="s">
        <v>14097</v>
      </c>
      <c r="D128" s="112">
        <v>5</v>
      </c>
      <c r="E128" s="7"/>
      <c r="F128" s="7" t="s">
        <v>126</v>
      </c>
      <c r="G128" s="2" t="s">
        <v>14074</v>
      </c>
      <c r="H128" s="2" t="s">
        <v>14098</v>
      </c>
      <c r="I128" s="2"/>
      <c r="J128" s="2"/>
      <c r="K128" s="2"/>
      <c r="L128" s="2"/>
      <c r="M128" s="48"/>
      <c r="N128" s="45" t="str">
        <f t="shared" si="63"/>
        <v>Questionnaire</v>
      </c>
      <c r="O128" s="48" t="s">
        <v>14077</v>
      </c>
      <c r="P128" s="60" t="s">
        <v>312</v>
      </c>
      <c r="Q128" s="48" t="s">
        <v>14080</v>
      </c>
      <c r="R128" s="48" t="s">
        <v>186</v>
      </c>
      <c r="S128" s="49" t="s">
        <v>74</v>
      </c>
      <c r="T128" s="48" t="s">
        <v>75</v>
      </c>
      <c r="U128" s="49" t="s">
        <v>3678</v>
      </c>
      <c r="V128" s="7" t="s">
        <v>214</v>
      </c>
      <c r="W128" s="49" t="s">
        <v>214</v>
      </c>
      <c r="X128" s="49" t="s">
        <v>214</v>
      </c>
      <c r="Y128" s="49" t="s">
        <v>214</v>
      </c>
      <c r="Z128" s="55" t="s">
        <v>214</v>
      </c>
      <c r="AA128" s="48" t="s">
        <v>14084</v>
      </c>
      <c r="AB128" s="84" t="s">
        <v>14077</v>
      </c>
      <c r="AC128" s="53" t="str">
        <f t="shared" si="64"/>
        <v>Link</v>
      </c>
      <c r="AD128" s="42">
        <v>10792</v>
      </c>
      <c r="AE128" s="55"/>
      <c r="AF128" s="55"/>
      <c r="AG128" s="56">
        <v>113573</v>
      </c>
      <c r="AH128" s="56"/>
      <c r="AI128" s="56"/>
    </row>
    <row r="129" spans="1:35" ht="15" x14ac:dyDescent="0.2">
      <c r="A129" s="110" t="s">
        <v>300</v>
      </c>
      <c r="B129" s="33" t="s">
        <v>12632</v>
      </c>
      <c r="C129" s="7" t="s">
        <v>14107</v>
      </c>
      <c r="D129" s="112">
        <v>5</v>
      </c>
      <c r="E129" s="7"/>
      <c r="F129" s="7"/>
      <c r="G129" s="2" t="s">
        <v>14074</v>
      </c>
      <c r="H129" s="2" t="s">
        <v>385</v>
      </c>
      <c r="I129" s="2" t="s">
        <v>14091</v>
      </c>
      <c r="J129" s="2" t="s">
        <v>139</v>
      </c>
      <c r="K129" s="2"/>
      <c r="L129" s="2"/>
      <c r="M129" s="48"/>
      <c r="N129" s="45" t="str">
        <f t="shared" si="63"/>
        <v>Questionnaire</v>
      </c>
      <c r="O129" s="48" t="s">
        <v>14077</v>
      </c>
      <c r="P129" s="60" t="s">
        <v>312</v>
      </c>
      <c r="Q129" s="48" t="s">
        <v>14080</v>
      </c>
      <c r="R129" s="48" t="s">
        <v>186</v>
      </c>
      <c r="S129" s="49" t="s">
        <v>74</v>
      </c>
      <c r="T129" s="48" t="s">
        <v>75</v>
      </c>
      <c r="U129" s="49" t="s">
        <v>3678</v>
      </c>
      <c r="V129" s="7" t="s">
        <v>214</v>
      </c>
      <c r="W129" s="49" t="s">
        <v>214</v>
      </c>
      <c r="X129" s="49" t="s">
        <v>214</v>
      </c>
      <c r="Y129" s="49" t="s">
        <v>214</v>
      </c>
      <c r="Z129" s="55" t="s">
        <v>214</v>
      </c>
      <c r="AA129" s="48" t="s">
        <v>14084</v>
      </c>
      <c r="AB129" s="84" t="s">
        <v>14077</v>
      </c>
      <c r="AC129" s="53" t="str">
        <f t="shared" si="64"/>
        <v>Link</v>
      </c>
      <c r="AD129" s="42">
        <v>10792</v>
      </c>
      <c r="AE129" s="55"/>
      <c r="AF129" s="55"/>
      <c r="AG129" s="56">
        <v>113573</v>
      </c>
      <c r="AH129" s="56"/>
      <c r="AI129" s="56"/>
    </row>
    <row r="130" spans="1:35" ht="15" x14ac:dyDescent="0.2">
      <c r="A130" s="110" t="s">
        <v>300</v>
      </c>
      <c r="B130" s="33" t="s">
        <v>12632</v>
      </c>
      <c r="C130" s="7" t="s">
        <v>14110</v>
      </c>
      <c r="D130" s="112">
        <v>5</v>
      </c>
      <c r="E130" s="7"/>
      <c r="F130" s="7"/>
      <c r="G130" s="2" t="s">
        <v>14111</v>
      </c>
      <c r="H130" s="2" t="s">
        <v>1390</v>
      </c>
      <c r="I130" s="2" t="s">
        <v>852</v>
      </c>
      <c r="J130" s="2" t="s">
        <v>48</v>
      </c>
      <c r="K130" s="2" t="s">
        <v>14112</v>
      </c>
      <c r="L130" s="2"/>
      <c r="M130" s="45" t="str">
        <f t="shared" ref="M130:M131" si="65">HYPERLINK("twitter.com/@dvc_sb","@dvc_sb")</f>
        <v>@dvc_sb</v>
      </c>
      <c r="N130" s="45" t="str">
        <f t="shared" ref="N130:N131" si="66">HYPERLINK("https://www.dvcvikings.com/General/Become_a_Viking","Questionnaire")</f>
        <v>Questionnaire</v>
      </c>
      <c r="O130" s="48" t="s">
        <v>14117</v>
      </c>
      <c r="P130" s="60" t="s">
        <v>312</v>
      </c>
      <c r="Q130" s="48" t="s">
        <v>13961</v>
      </c>
      <c r="R130" s="48" t="s">
        <v>468</v>
      </c>
      <c r="S130" s="5" t="s">
        <v>74</v>
      </c>
      <c r="T130" s="48" t="s">
        <v>75</v>
      </c>
      <c r="U130" s="49" t="s">
        <v>3678</v>
      </c>
      <c r="V130" s="7" t="s">
        <v>214</v>
      </c>
      <c r="W130" s="49" t="s">
        <v>214</v>
      </c>
      <c r="X130" s="49" t="s">
        <v>214</v>
      </c>
      <c r="Y130" s="49" t="s">
        <v>214</v>
      </c>
      <c r="Z130" s="55" t="s">
        <v>214</v>
      </c>
      <c r="AA130" s="48" t="s">
        <v>13965</v>
      </c>
      <c r="AB130" s="84" t="s">
        <v>14117</v>
      </c>
      <c r="AC130" s="53" t="str">
        <f t="shared" ref="AC130:AC131" si="67">HYPERLINK("http://www.dvc.edu/academics/programs.html","Link")</f>
        <v>Link</v>
      </c>
      <c r="AD130" s="42">
        <v>19419</v>
      </c>
      <c r="AE130" s="55"/>
      <c r="AF130" s="55"/>
      <c r="AG130" s="56">
        <v>113634</v>
      </c>
      <c r="AH130" s="56"/>
      <c r="AI130" s="56"/>
    </row>
    <row r="131" spans="1:35" ht="15" x14ac:dyDescent="0.2">
      <c r="A131" s="110" t="s">
        <v>300</v>
      </c>
      <c r="B131" s="33" t="s">
        <v>12632</v>
      </c>
      <c r="C131" s="7" t="s">
        <v>14124</v>
      </c>
      <c r="D131" s="112">
        <v>5</v>
      </c>
      <c r="E131" s="7"/>
      <c r="F131" s="7"/>
      <c r="G131" s="2" t="s">
        <v>14111</v>
      </c>
      <c r="H131" s="2" t="s">
        <v>1163</v>
      </c>
      <c r="I131" s="2" t="s">
        <v>14125</v>
      </c>
      <c r="J131" s="2" t="s">
        <v>55</v>
      </c>
      <c r="K131" s="2"/>
      <c r="L131" s="2"/>
      <c r="M131" s="45" t="str">
        <f t="shared" si="65"/>
        <v>@dvc_sb</v>
      </c>
      <c r="N131" s="45" t="str">
        <f t="shared" si="66"/>
        <v>Questionnaire</v>
      </c>
      <c r="O131" s="48" t="s">
        <v>14117</v>
      </c>
      <c r="P131" s="60" t="s">
        <v>312</v>
      </c>
      <c r="Q131" s="48" t="s">
        <v>13961</v>
      </c>
      <c r="R131" s="48" t="s">
        <v>468</v>
      </c>
      <c r="S131" s="5" t="s">
        <v>74</v>
      </c>
      <c r="T131" s="48" t="s">
        <v>75</v>
      </c>
      <c r="U131" s="49" t="s">
        <v>3678</v>
      </c>
      <c r="V131" s="7" t="s">
        <v>214</v>
      </c>
      <c r="W131" s="49" t="s">
        <v>214</v>
      </c>
      <c r="X131" s="49" t="s">
        <v>214</v>
      </c>
      <c r="Y131" s="49" t="s">
        <v>214</v>
      </c>
      <c r="Z131" s="55" t="s">
        <v>214</v>
      </c>
      <c r="AA131" s="48" t="s">
        <v>13965</v>
      </c>
      <c r="AB131" s="84" t="s">
        <v>14117</v>
      </c>
      <c r="AC131" s="53" t="str">
        <f t="shared" si="67"/>
        <v>Link</v>
      </c>
      <c r="AD131" s="42">
        <v>19419</v>
      </c>
      <c r="AE131" s="55"/>
      <c r="AF131" s="55"/>
      <c r="AG131" s="56">
        <v>113634</v>
      </c>
      <c r="AH131" s="56"/>
      <c r="AI131" s="56"/>
    </row>
    <row r="132" spans="1:35" ht="15" x14ac:dyDescent="0.2">
      <c r="A132" s="110" t="s">
        <v>300</v>
      </c>
      <c r="B132" s="33" t="s">
        <v>12632</v>
      </c>
      <c r="C132" s="7" t="s">
        <v>14132</v>
      </c>
      <c r="D132" s="112">
        <v>5</v>
      </c>
      <c r="E132" s="7"/>
      <c r="F132" s="7"/>
      <c r="G132" s="2" t="s">
        <v>14133</v>
      </c>
      <c r="H132" s="2" t="s">
        <v>8725</v>
      </c>
      <c r="I132" s="2" t="s">
        <v>14134</v>
      </c>
      <c r="J132" s="2" t="s">
        <v>48</v>
      </c>
      <c r="K132" s="2" t="s">
        <v>14135</v>
      </c>
      <c r="L132" s="2" t="s">
        <v>14136</v>
      </c>
      <c r="M132" s="48"/>
      <c r="N132" s="45" t="str">
        <f t="shared" ref="N132:N134" si="68">HYPERLINK("https://www.elacathletics.com/recruits/Recruits","Questionnaire")</f>
        <v>Questionnaire</v>
      </c>
      <c r="O132" s="48" t="s">
        <v>14137</v>
      </c>
      <c r="P132" s="60" t="s">
        <v>312</v>
      </c>
      <c r="Q132" s="48" t="s">
        <v>14138</v>
      </c>
      <c r="R132" s="48" t="s">
        <v>186</v>
      </c>
      <c r="S132" s="49" t="s">
        <v>74</v>
      </c>
      <c r="T132" s="48" t="s">
        <v>75</v>
      </c>
      <c r="U132" s="49" t="s">
        <v>3678</v>
      </c>
      <c r="V132" s="7" t="s">
        <v>214</v>
      </c>
      <c r="W132" s="49" t="s">
        <v>214</v>
      </c>
      <c r="X132" s="49" t="s">
        <v>214</v>
      </c>
      <c r="Y132" s="49" t="s">
        <v>214</v>
      </c>
      <c r="Z132" s="55" t="s">
        <v>214</v>
      </c>
      <c r="AA132" s="48" t="s">
        <v>14146</v>
      </c>
      <c r="AB132" s="84" t="s">
        <v>14137</v>
      </c>
      <c r="AC132" s="53" t="str">
        <f t="shared" ref="AC132:AC134" si="69">HYPERLINK("https://www.elac.edu/academics/catalog/asdegreeinfo.htm","Link")</f>
        <v>Link</v>
      </c>
      <c r="AD132" s="42">
        <v>36970</v>
      </c>
      <c r="AE132" s="55"/>
      <c r="AF132" s="55"/>
      <c r="AG132" s="56">
        <v>113856</v>
      </c>
      <c r="AH132" s="56"/>
      <c r="AI132" s="56"/>
    </row>
    <row r="133" spans="1:35" ht="15" x14ac:dyDescent="0.2">
      <c r="A133" s="110" t="s">
        <v>300</v>
      </c>
      <c r="B133" s="33" t="s">
        <v>12632</v>
      </c>
      <c r="C133" s="7" t="s">
        <v>14151</v>
      </c>
      <c r="D133" s="112">
        <v>5</v>
      </c>
      <c r="E133" s="7"/>
      <c r="F133" s="7"/>
      <c r="G133" s="2" t="s">
        <v>14133</v>
      </c>
      <c r="H133" s="2" t="s">
        <v>70</v>
      </c>
      <c r="I133" s="2" t="s">
        <v>14152</v>
      </c>
      <c r="J133" s="2" t="s">
        <v>55</v>
      </c>
      <c r="K133" s="2" t="s">
        <v>14153</v>
      </c>
      <c r="L133" s="2" t="s">
        <v>14154</v>
      </c>
      <c r="M133" s="48"/>
      <c r="N133" s="45" t="str">
        <f t="shared" si="68"/>
        <v>Questionnaire</v>
      </c>
      <c r="O133" s="48" t="s">
        <v>14137</v>
      </c>
      <c r="P133" s="60" t="s">
        <v>312</v>
      </c>
      <c r="Q133" s="48" t="s">
        <v>14138</v>
      </c>
      <c r="R133" s="48" t="s">
        <v>186</v>
      </c>
      <c r="S133" s="49" t="s">
        <v>74</v>
      </c>
      <c r="T133" s="48" t="s">
        <v>75</v>
      </c>
      <c r="U133" s="49" t="s">
        <v>3678</v>
      </c>
      <c r="V133" s="7" t="s">
        <v>214</v>
      </c>
      <c r="W133" s="49" t="s">
        <v>214</v>
      </c>
      <c r="X133" s="49" t="s">
        <v>214</v>
      </c>
      <c r="Y133" s="49" t="s">
        <v>214</v>
      </c>
      <c r="Z133" s="55" t="s">
        <v>214</v>
      </c>
      <c r="AA133" s="48" t="s">
        <v>14146</v>
      </c>
      <c r="AB133" s="84" t="s">
        <v>14137</v>
      </c>
      <c r="AC133" s="53" t="str">
        <f t="shared" si="69"/>
        <v>Link</v>
      </c>
      <c r="AD133" s="42">
        <v>36970</v>
      </c>
      <c r="AE133" s="55"/>
      <c r="AF133" s="55"/>
      <c r="AG133" s="56">
        <v>113856</v>
      </c>
      <c r="AH133" s="56"/>
      <c r="AI133" s="56"/>
    </row>
    <row r="134" spans="1:35" ht="15" x14ac:dyDescent="0.2">
      <c r="A134" s="110" t="s">
        <v>300</v>
      </c>
      <c r="B134" s="33" t="s">
        <v>12632</v>
      </c>
      <c r="C134" s="7" t="s">
        <v>14158</v>
      </c>
      <c r="D134" s="112">
        <v>5</v>
      </c>
      <c r="E134" s="7"/>
      <c r="F134" s="7"/>
      <c r="G134" s="2" t="s">
        <v>14133</v>
      </c>
      <c r="H134" s="2" t="s">
        <v>1163</v>
      </c>
      <c r="I134" s="2" t="s">
        <v>431</v>
      </c>
      <c r="J134" s="2" t="s">
        <v>55</v>
      </c>
      <c r="K134" s="2" t="s">
        <v>14159</v>
      </c>
      <c r="L134" s="2" t="s">
        <v>14160</v>
      </c>
      <c r="M134" s="48"/>
      <c r="N134" s="45" t="str">
        <f t="shared" si="68"/>
        <v>Questionnaire</v>
      </c>
      <c r="O134" s="48" t="s">
        <v>14137</v>
      </c>
      <c r="P134" s="60" t="s">
        <v>312</v>
      </c>
      <c r="Q134" s="48" t="s">
        <v>14138</v>
      </c>
      <c r="R134" s="48" t="s">
        <v>186</v>
      </c>
      <c r="S134" s="49" t="s">
        <v>74</v>
      </c>
      <c r="T134" s="48" t="s">
        <v>75</v>
      </c>
      <c r="U134" s="49" t="s">
        <v>3678</v>
      </c>
      <c r="V134" s="7" t="s">
        <v>214</v>
      </c>
      <c r="W134" s="49" t="s">
        <v>214</v>
      </c>
      <c r="X134" s="49" t="s">
        <v>214</v>
      </c>
      <c r="Y134" s="49" t="s">
        <v>214</v>
      </c>
      <c r="Z134" s="55" t="s">
        <v>214</v>
      </c>
      <c r="AA134" s="48" t="s">
        <v>14146</v>
      </c>
      <c r="AB134" s="84" t="s">
        <v>14137</v>
      </c>
      <c r="AC134" s="53" t="str">
        <f t="shared" si="69"/>
        <v>Link</v>
      </c>
      <c r="AD134" s="42">
        <v>36970</v>
      </c>
      <c r="AE134" s="55"/>
      <c r="AF134" s="55"/>
      <c r="AG134" s="56">
        <v>113856</v>
      </c>
      <c r="AH134" s="56"/>
      <c r="AI134" s="56"/>
    </row>
    <row r="135" spans="1:35" ht="15" x14ac:dyDescent="0.2">
      <c r="A135" s="110" t="s">
        <v>300</v>
      </c>
      <c r="B135" s="33" t="s">
        <v>12632</v>
      </c>
      <c r="C135" s="7" t="s">
        <v>14167</v>
      </c>
      <c r="D135" s="112">
        <v>5</v>
      </c>
      <c r="E135" s="7"/>
      <c r="F135" s="7"/>
      <c r="G135" s="2" t="s">
        <v>14168</v>
      </c>
      <c r="H135" s="2" t="s">
        <v>2465</v>
      </c>
      <c r="I135" s="2" t="s">
        <v>894</v>
      </c>
      <c r="J135" s="2" t="s">
        <v>55</v>
      </c>
      <c r="K135" s="2"/>
      <c r="L135" s="2"/>
      <c r="M135" s="45" t="str">
        <f t="shared" ref="M135:M138" si="70">HYPERLINK("twitter.com/@_eccsoftball","@_eccsoftball")</f>
        <v>@_eccsoftball</v>
      </c>
      <c r="N135" s="45" t="str">
        <f t="shared" ref="N135:N138" si="71">HYPERLINK("https://eccwarriors.com/information/Prospective_Student-Athlete_Information_Request_Form","Questionnaire")</f>
        <v>Questionnaire</v>
      </c>
      <c r="O135" s="48" t="s">
        <v>14176</v>
      </c>
      <c r="P135" s="48" t="s">
        <v>312</v>
      </c>
      <c r="Q135" s="60" t="s">
        <v>14177</v>
      </c>
      <c r="R135" s="48" t="s">
        <v>238</v>
      </c>
      <c r="S135" s="49" t="s">
        <v>74</v>
      </c>
      <c r="T135" s="48" t="s">
        <v>75</v>
      </c>
      <c r="U135" s="49" t="s">
        <v>3678</v>
      </c>
      <c r="V135" s="7" t="s">
        <v>214</v>
      </c>
      <c r="W135" s="49" t="s">
        <v>214</v>
      </c>
      <c r="X135" s="49" t="s">
        <v>214</v>
      </c>
      <c r="Y135" s="49" t="s">
        <v>214</v>
      </c>
      <c r="Z135" s="49" t="s">
        <v>214</v>
      </c>
      <c r="AA135" s="48" t="s">
        <v>14178</v>
      </c>
      <c r="AB135" s="84" t="s">
        <v>14176</v>
      </c>
      <c r="AC135" s="53" t="str">
        <f t="shared" ref="AC135:AC138" si="72">HYPERLINK("http://www.elcamino.edu/academics/programs.aspx","Link")</f>
        <v>Link</v>
      </c>
      <c r="AD135" s="42">
        <v>24033</v>
      </c>
      <c r="AE135" s="55"/>
      <c r="AF135" s="55"/>
      <c r="AG135" s="56">
        <v>113980</v>
      </c>
      <c r="AH135" s="56"/>
      <c r="AI135" s="56"/>
    </row>
    <row r="136" spans="1:35" ht="15" x14ac:dyDescent="0.2">
      <c r="A136" s="110" t="s">
        <v>300</v>
      </c>
      <c r="B136" s="33" t="s">
        <v>12632</v>
      </c>
      <c r="C136" s="7" t="s">
        <v>14183</v>
      </c>
      <c r="D136" s="112">
        <v>5</v>
      </c>
      <c r="E136" s="7"/>
      <c r="F136" s="7"/>
      <c r="G136" s="2" t="s">
        <v>14168</v>
      </c>
      <c r="H136" s="2" t="s">
        <v>70</v>
      </c>
      <c r="I136" s="2" t="s">
        <v>14186</v>
      </c>
      <c r="J136" s="2" t="s">
        <v>55</v>
      </c>
      <c r="K136" s="2"/>
      <c r="L136" s="2"/>
      <c r="M136" s="45" t="str">
        <f t="shared" si="70"/>
        <v>@_eccsoftball</v>
      </c>
      <c r="N136" s="45" t="str">
        <f t="shared" si="71"/>
        <v>Questionnaire</v>
      </c>
      <c r="O136" s="48" t="s">
        <v>14176</v>
      </c>
      <c r="P136" s="48" t="s">
        <v>312</v>
      </c>
      <c r="Q136" s="60" t="s">
        <v>14177</v>
      </c>
      <c r="R136" s="48" t="s">
        <v>238</v>
      </c>
      <c r="S136" s="49" t="s">
        <v>74</v>
      </c>
      <c r="T136" s="48" t="s">
        <v>75</v>
      </c>
      <c r="U136" s="49" t="s">
        <v>3678</v>
      </c>
      <c r="V136" s="7" t="s">
        <v>214</v>
      </c>
      <c r="W136" s="49" t="s">
        <v>214</v>
      </c>
      <c r="X136" s="49" t="s">
        <v>214</v>
      </c>
      <c r="Y136" s="49" t="s">
        <v>214</v>
      </c>
      <c r="Z136" s="49" t="s">
        <v>214</v>
      </c>
      <c r="AA136" s="48" t="s">
        <v>14178</v>
      </c>
      <c r="AB136" s="84" t="s">
        <v>14176</v>
      </c>
      <c r="AC136" s="53" t="str">
        <f t="shared" si="72"/>
        <v>Link</v>
      </c>
      <c r="AD136" s="42">
        <v>24033</v>
      </c>
      <c r="AE136" s="55"/>
      <c r="AF136" s="55"/>
      <c r="AG136" s="56">
        <v>113980</v>
      </c>
      <c r="AH136" s="56"/>
      <c r="AI136" s="56"/>
    </row>
    <row r="137" spans="1:35" ht="15" x14ac:dyDescent="0.2">
      <c r="A137" s="110" t="s">
        <v>300</v>
      </c>
      <c r="B137" s="33" t="s">
        <v>12632</v>
      </c>
      <c r="C137" s="7" t="s">
        <v>14190</v>
      </c>
      <c r="D137" s="112">
        <v>5</v>
      </c>
      <c r="E137" s="7"/>
      <c r="F137" s="7"/>
      <c r="G137" s="2" t="s">
        <v>14168</v>
      </c>
      <c r="H137" s="2" t="s">
        <v>201</v>
      </c>
      <c r="I137" s="2" t="s">
        <v>14191</v>
      </c>
      <c r="J137" s="2" t="s">
        <v>48</v>
      </c>
      <c r="K137" s="2" t="s">
        <v>14192</v>
      </c>
      <c r="L137" s="2" t="s">
        <v>14194</v>
      </c>
      <c r="M137" s="45" t="str">
        <f t="shared" si="70"/>
        <v>@_eccsoftball</v>
      </c>
      <c r="N137" s="45" t="str">
        <f t="shared" si="71"/>
        <v>Questionnaire</v>
      </c>
      <c r="O137" s="48" t="s">
        <v>14176</v>
      </c>
      <c r="P137" s="48" t="s">
        <v>312</v>
      </c>
      <c r="Q137" s="60" t="s">
        <v>14177</v>
      </c>
      <c r="R137" s="48" t="s">
        <v>238</v>
      </c>
      <c r="S137" s="49" t="s">
        <v>74</v>
      </c>
      <c r="T137" s="48" t="s">
        <v>75</v>
      </c>
      <c r="U137" s="49" t="s">
        <v>3678</v>
      </c>
      <c r="V137" s="7" t="s">
        <v>214</v>
      </c>
      <c r="W137" s="49" t="s">
        <v>214</v>
      </c>
      <c r="X137" s="49" t="s">
        <v>214</v>
      </c>
      <c r="Y137" s="49" t="s">
        <v>214</v>
      </c>
      <c r="Z137" s="49" t="s">
        <v>214</v>
      </c>
      <c r="AA137" s="48" t="s">
        <v>14178</v>
      </c>
      <c r="AB137" s="84" t="s">
        <v>14176</v>
      </c>
      <c r="AC137" s="53" t="str">
        <f t="shared" si="72"/>
        <v>Link</v>
      </c>
      <c r="AD137" s="42">
        <v>24033</v>
      </c>
      <c r="AE137" s="55"/>
      <c r="AF137" s="55"/>
      <c r="AG137" s="56">
        <v>113980</v>
      </c>
      <c r="AH137" s="56"/>
      <c r="AI137" s="56"/>
    </row>
    <row r="138" spans="1:35" ht="15" x14ac:dyDescent="0.2">
      <c r="A138" s="110" t="s">
        <v>300</v>
      </c>
      <c r="B138" s="33" t="s">
        <v>12632</v>
      </c>
      <c r="C138" s="7" t="s">
        <v>14198</v>
      </c>
      <c r="D138" s="112">
        <v>5</v>
      </c>
      <c r="E138" s="7"/>
      <c r="F138" s="7"/>
      <c r="G138" s="2" t="s">
        <v>14168</v>
      </c>
      <c r="H138" s="2" t="s">
        <v>4123</v>
      </c>
      <c r="I138" s="2" t="s">
        <v>11820</v>
      </c>
      <c r="J138" s="2" t="s">
        <v>55</v>
      </c>
      <c r="K138" s="2"/>
      <c r="L138" s="2"/>
      <c r="M138" s="45" t="str">
        <f t="shared" si="70"/>
        <v>@_eccsoftball</v>
      </c>
      <c r="N138" s="45" t="str">
        <f t="shared" si="71"/>
        <v>Questionnaire</v>
      </c>
      <c r="O138" s="48" t="s">
        <v>14176</v>
      </c>
      <c r="P138" s="48" t="s">
        <v>312</v>
      </c>
      <c r="Q138" s="60" t="s">
        <v>14177</v>
      </c>
      <c r="R138" s="48" t="s">
        <v>238</v>
      </c>
      <c r="S138" s="49" t="s">
        <v>74</v>
      </c>
      <c r="T138" s="48" t="s">
        <v>75</v>
      </c>
      <c r="U138" s="49" t="s">
        <v>3678</v>
      </c>
      <c r="V138" s="7" t="s">
        <v>214</v>
      </c>
      <c r="W138" s="49" t="s">
        <v>214</v>
      </c>
      <c r="X138" s="49" t="s">
        <v>214</v>
      </c>
      <c r="Y138" s="49" t="s">
        <v>214</v>
      </c>
      <c r="Z138" s="49" t="s">
        <v>214</v>
      </c>
      <c r="AA138" s="48" t="s">
        <v>14178</v>
      </c>
      <c r="AB138" s="84" t="s">
        <v>14176</v>
      </c>
      <c r="AC138" s="53" t="str">
        <f t="shared" si="72"/>
        <v>Link</v>
      </c>
      <c r="AD138" s="42">
        <v>24033</v>
      </c>
      <c r="AE138" s="55"/>
      <c r="AF138" s="55"/>
      <c r="AG138" s="56">
        <v>113980</v>
      </c>
      <c r="AH138" s="56"/>
      <c r="AI138" s="56"/>
    </row>
    <row r="139" spans="1:35" ht="15" x14ac:dyDescent="0.2">
      <c r="A139" s="110" t="s">
        <v>300</v>
      </c>
      <c r="B139" s="33" t="s">
        <v>12632</v>
      </c>
      <c r="C139" s="7" t="s">
        <v>14202</v>
      </c>
      <c r="D139" s="112">
        <v>5</v>
      </c>
      <c r="E139" s="7"/>
      <c r="F139" s="7"/>
      <c r="G139" s="2" t="s">
        <v>14203</v>
      </c>
      <c r="H139" s="2" t="s">
        <v>8357</v>
      </c>
      <c r="I139" s="2" t="s">
        <v>14204</v>
      </c>
      <c r="J139" s="2" t="s">
        <v>48</v>
      </c>
      <c r="K139" s="2" t="s">
        <v>14205</v>
      </c>
      <c r="L139" s="2" t="s">
        <v>14206</v>
      </c>
      <c r="M139" s="48"/>
      <c r="N139" s="48" t="s">
        <v>22</v>
      </c>
      <c r="O139" s="60" t="s">
        <v>14208</v>
      </c>
      <c r="P139" s="60" t="s">
        <v>312</v>
      </c>
      <c r="Q139" s="48" t="s">
        <v>4499</v>
      </c>
      <c r="R139" s="60" t="s">
        <v>205</v>
      </c>
      <c r="S139" s="49" t="s">
        <v>74</v>
      </c>
      <c r="T139" s="48" t="s">
        <v>75</v>
      </c>
      <c r="U139" s="49" t="s">
        <v>3678</v>
      </c>
      <c r="V139" s="7" t="s">
        <v>214</v>
      </c>
      <c r="W139" s="49" t="s">
        <v>214</v>
      </c>
      <c r="X139" s="49" t="s">
        <v>214</v>
      </c>
      <c r="Y139" s="49" t="s">
        <v>214</v>
      </c>
      <c r="Z139" s="55" t="s">
        <v>214</v>
      </c>
      <c r="AA139" s="48" t="s">
        <v>14209</v>
      </c>
      <c r="AB139" s="90" t="s">
        <v>14208</v>
      </c>
      <c r="AC139" s="53" t="str">
        <f t="shared" ref="AC139:AC141" si="73">HYPERLINK("http://www.frc.edu/instruction/academics.cfm","Link")</f>
        <v>Link</v>
      </c>
      <c r="AD139" s="42">
        <v>1973</v>
      </c>
      <c r="AE139" s="55"/>
      <c r="AF139" s="55"/>
      <c r="AG139" s="56">
        <v>114433</v>
      </c>
      <c r="AH139" s="56"/>
      <c r="AI139" s="56"/>
    </row>
    <row r="140" spans="1:35" ht="15" x14ac:dyDescent="0.2">
      <c r="A140" s="110" t="s">
        <v>300</v>
      </c>
      <c r="B140" s="33" t="s">
        <v>12632</v>
      </c>
      <c r="C140" s="7" t="s">
        <v>14211</v>
      </c>
      <c r="D140" s="112">
        <v>5</v>
      </c>
      <c r="E140" s="7"/>
      <c r="F140" s="7"/>
      <c r="G140" s="2" t="s">
        <v>14203</v>
      </c>
      <c r="H140" s="2" t="s">
        <v>14213</v>
      </c>
      <c r="I140" s="2" t="s">
        <v>14204</v>
      </c>
      <c r="J140" s="2" t="s">
        <v>55</v>
      </c>
      <c r="K140" s="2" t="s">
        <v>14217</v>
      </c>
      <c r="L140" s="2" t="s">
        <v>14206</v>
      </c>
      <c r="M140" s="48"/>
      <c r="N140" s="48" t="s">
        <v>22</v>
      </c>
      <c r="O140" s="60" t="s">
        <v>14208</v>
      </c>
      <c r="P140" s="60" t="s">
        <v>312</v>
      </c>
      <c r="Q140" s="48" t="s">
        <v>4499</v>
      </c>
      <c r="R140" s="60" t="s">
        <v>205</v>
      </c>
      <c r="S140" s="49" t="s">
        <v>74</v>
      </c>
      <c r="T140" s="48" t="s">
        <v>75</v>
      </c>
      <c r="U140" s="49" t="s">
        <v>3678</v>
      </c>
      <c r="V140" s="7" t="s">
        <v>214</v>
      </c>
      <c r="W140" s="49" t="s">
        <v>214</v>
      </c>
      <c r="X140" s="49" t="s">
        <v>214</v>
      </c>
      <c r="Y140" s="49" t="s">
        <v>214</v>
      </c>
      <c r="Z140" s="55" t="s">
        <v>214</v>
      </c>
      <c r="AA140" s="48" t="s">
        <v>14209</v>
      </c>
      <c r="AB140" s="90" t="s">
        <v>14208</v>
      </c>
      <c r="AC140" s="53" t="str">
        <f t="shared" si="73"/>
        <v>Link</v>
      </c>
      <c r="AD140" s="42">
        <v>1973</v>
      </c>
      <c r="AE140" s="55"/>
      <c r="AF140" s="55"/>
      <c r="AG140" s="56">
        <v>114433</v>
      </c>
      <c r="AH140" s="56"/>
      <c r="AI140" s="56"/>
    </row>
    <row r="141" spans="1:35" ht="15" x14ac:dyDescent="0.2">
      <c r="A141" s="110" t="s">
        <v>300</v>
      </c>
      <c r="B141" s="33" t="s">
        <v>12632</v>
      </c>
      <c r="C141" s="7" t="s">
        <v>14218</v>
      </c>
      <c r="D141" s="112">
        <v>5</v>
      </c>
      <c r="E141" s="7"/>
      <c r="F141" s="7"/>
      <c r="G141" s="2" t="s">
        <v>14203</v>
      </c>
      <c r="H141" s="2" t="s">
        <v>14219</v>
      </c>
      <c r="I141" s="2" t="s">
        <v>14220</v>
      </c>
      <c r="J141" s="2" t="s">
        <v>55</v>
      </c>
      <c r="K141" s="2" t="s">
        <v>14221</v>
      </c>
      <c r="L141" s="2" t="s">
        <v>14206</v>
      </c>
      <c r="M141" s="48"/>
      <c r="N141" s="48" t="s">
        <v>22</v>
      </c>
      <c r="O141" s="60" t="s">
        <v>14208</v>
      </c>
      <c r="P141" s="60" t="s">
        <v>312</v>
      </c>
      <c r="Q141" s="48" t="s">
        <v>4499</v>
      </c>
      <c r="R141" s="60" t="s">
        <v>205</v>
      </c>
      <c r="S141" s="49" t="s">
        <v>74</v>
      </c>
      <c r="T141" s="48" t="s">
        <v>75</v>
      </c>
      <c r="U141" s="49" t="s">
        <v>3678</v>
      </c>
      <c r="V141" s="7" t="s">
        <v>214</v>
      </c>
      <c r="W141" s="49" t="s">
        <v>214</v>
      </c>
      <c r="X141" s="49" t="s">
        <v>214</v>
      </c>
      <c r="Y141" s="49" t="s">
        <v>214</v>
      </c>
      <c r="Z141" s="55" t="s">
        <v>214</v>
      </c>
      <c r="AA141" s="48" t="s">
        <v>14209</v>
      </c>
      <c r="AB141" s="90" t="s">
        <v>14208</v>
      </c>
      <c r="AC141" s="53" t="str">
        <f t="shared" si="73"/>
        <v>Link</v>
      </c>
      <c r="AD141" s="42">
        <v>1973</v>
      </c>
      <c r="AE141" s="55"/>
      <c r="AF141" s="55"/>
      <c r="AG141" s="56">
        <v>114433</v>
      </c>
      <c r="AH141" s="56"/>
      <c r="AI141" s="56"/>
    </row>
    <row r="142" spans="1:35" ht="15" x14ac:dyDescent="0.2">
      <c r="A142" s="110" t="s">
        <v>300</v>
      </c>
      <c r="B142" s="33" t="s">
        <v>12632</v>
      </c>
      <c r="C142" s="7" t="s">
        <v>14231</v>
      </c>
      <c r="D142" s="112">
        <v>5</v>
      </c>
      <c r="E142" s="7"/>
      <c r="F142" s="7"/>
      <c r="G142" s="2" t="s">
        <v>14233</v>
      </c>
      <c r="H142" s="2" t="s">
        <v>4599</v>
      </c>
      <c r="I142" s="2" t="s">
        <v>14234</v>
      </c>
      <c r="J142" s="2" t="s">
        <v>48</v>
      </c>
      <c r="K142" s="2" t="s">
        <v>14235</v>
      </c>
      <c r="L142" s="2" t="s">
        <v>14238</v>
      </c>
      <c r="M142" s="48"/>
      <c r="N142" s="45" t="str">
        <f t="shared" ref="N142:N144" si="74">HYPERLINK("https://flcfalcons.com/information/First_Contact_Form","Questionnaire")</f>
        <v>Questionnaire</v>
      </c>
      <c r="O142" s="48" t="s">
        <v>14242</v>
      </c>
      <c r="P142" s="60" t="s">
        <v>312</v>
      </c>
      <c r="Q142" s="48" t="s">
        <v>14244</v>
      </c>
      <c r="R142" s="48" t="s">
        <v>238</v>
      </c>
      <c r="S142" s="49" t="s">
        <v>74</v>
      </c>
      <c r="T142" s="48" t="s">
        <v>75</v>
      </c>
      <c r="U142" s="49" t="s">
        <v>3678</v>
      </c>
      <c r="V142" s="7" t="s">
        <v>214</v>
      </c>
      <c r="W142" s="49" t="s">
        <v>214</v>
      </c>
      <c r="X142" s="49" t="s">
        <v>214</v>
      </c>
      <c r="Y142" s="49" t="s">
        <v>214</v>
      </c>
      <c r="Z142" s="55" t="s">
        <v>214</v>
      </c>
      <c r="AA142" s="48" t="s">
        <v>13977</v>
      </c>
      <c r="AB142" s="84" t="s">
        <v>14242</v>
      </c>
      <c r="AC142" s="53" t="str">
        <f t="shared" ref="AC142:AC144" si="75">HYPERLINK("http://www.flc.losrios.edu/academics/degrees-and-certificates","Link")</f>
        <v>Link</v>
      </c>
      <c r="AD142" s="42">
        <v>8499</v>
      </c>
      <c r="AE142" s="55"/>
      <c r="AF142" s="55"/>
      <c r="AG142" s="56">
        <v>444219</v>
      </c>
      <c r="AH142" s="56"/>
      <c r="AI142" s="56"/>
    </row>
    <row r="143" spans="1:35" ht="15" x14ac:dyDescent="0.2">
      <c r="A143" s="110" t="s">
        <v>300</v>
      </c>
      <c r="B143" s="33" t="s">
        <v>12632</v>
      </c>
      <c r="C143" s="7" t="s">
        <v>14252</v>
      </c>
      <c r="D143" s="112">
        <v>5</v>
      </c>
      <c r="E143" s="7"/>
      <c r="F143" s="7"/>
      <c r="G143" s="2" t="s">
        <v>14233</v>
      </c>
      <c r="H143" s="2" t="s">
        <v>402</v>
      </c>
      <c r="I143" s="2" t="s">
        <v>14253</v>
      </c>
      <c r="J143" s="2" t="s">
        <v>14254</v>
      </c>
      <c r="K143" s="2"/>
      <c r="L143" s="2"/>
      <c r="M143" s="48"/>
      <c r="N143" s="45" t="str">
        <f t="shared" si="74"/>
        <v>Questionnaire</v>
      </c>
      <c r="O143" s="48" t="s">
        <v>14242</v>
      </c>
      <c r="P143" s="60" t="s">
        <v>312</v>
      </c>
      <c r="Q143" s="48" t="s">
        <v>14244</v>
      </c>
      <c r="R143" s="48" t="s">
        <v>238</v>
      </c>
      <c r="S143" s="49" t="s">
        <v>74</v>
      </c>
      <c r="T143" s="48" t="s">
        <v>75</v>
      </c>
      <c r="U143" s="49" t="s">
        <v>3678</v>
      </c>
      <c r="V143" s="7" t="s">
        <v>214</v>
      </c>
      <c r="W143" s="49" t="s">
        <v>214</v>
      </c>
      <c r="X143" s="49" t="s">
        <v>214</v>
      </c>
      <c r="Y143" s="49" t="s">
        <v>214</v>
      </c>
      <c r="Z143" s="55" t="s">
        <v>214</v>
      </c>
      <c r="AA143" s="48" t="s">
        <v>13977</v>
      </c>
      <c r="AB143" s="84" t="s">
        <v>14242</v>
      </c>
      <c r="AC143" s="53" t="str">
        <f t="shared" si="75"/>
        <v>Link</v>
      </c>
      <c r="AD143" s="42">
        <v>8499</v>
      </c>
      <c r="AE143" s="55"/>
      <c r="AF143" s="55"/>
      <c r="AG143" s="56">
        <v>444219</v>
      </c>
      <c r="AH143" s="56"/>
      <c r="AI143" s="56"/>
    </row>
    <row r="144" spans="1:35" ht="15" x14ac:dyDescent="0.2">
      <c r="A144" s="110" t="s">
        <v>300</v>
      </c>
      <c r="B144" s="33" t="s">
        <v>12632</v>
      </c>
      <c r="C144" s="7" t="s">
        <v>14260</v>
      </c>
      <c r="D144" s="112">
        <v>5</v>
      </c>
      <c r="E144" s="7"/>
      <c r="F144" s="7"/>
      <c r="G144" s="2" t="s">
        <v>14233</v>
      </c>
      <c r="H144" s="2" t="s">
        <v>1954</v>
      </c>
      <c r="I144" s="2" t="s">
        <v>14262</v>
      </c>
      <c r="J144" s="2" t="s">
        <v>55</v>
      </c>
      <c r="K144" s="2" t="s">
        <v>14265</v>
      </c>
      <c r="L144" s="2"/>
      <c r="M144" s="48"/>
      <c r="N144" s="45" t="str">
        <f t="shared" si="74"/>
        <v>Questionnaire</v>
      </c>
      <c r="O144" s="48" t="s">
        <v>14242</v>
      </c>
      <c r="P144" s="60" t="s">
        <v>312</v>
      </c>
      <c r="Q144" s="48" t="s">
        <v>14244</v>
      </c>
      <c r="R144" s="48" t="s">
        <v>238</v>
      </c>
      <c r="S144" s="49" t="s">
        <v>74</v>
      </c>
      <c r="T144" s="48" t="s">
        <v>75</v>
      </c>
      <c r="U144" s="49" t="s">
        <v>3678</v>
      </c>
      <c r="V144" s="7" t="s">
        <v>214</v>
      </c>
      <c r="W144" s="49" t="s">
        <v>214</v>
      </c>
      <c r="X144" s="49" t="s">
        <v>214</v>
      </c>
      <c r="Y144" s="49" t="s">
        <v>214</v>
      </c>
      <c r="Z144" s="55" t="s">
        <v>214</v>
      </c>
      <c r="AA144" s="48" t="s">
        <v>13977</v>
      </c>
      <c r="AB144" s="84" t="s">
        <v>14242</v>
      </c>
      <c r="AC144" s="53" t="str">
        <f t="shared" si="75"/>
        <v>Link</v>
      </c>
      <c r="AD144" s="42">
        <v>8499</v>
      </c>
      <c r="AE144" s="55"/>
      <c r="AF144" s="55"/>
      <c r="AG144" s="56">
        <v>444219</v>
      </c>
      <c r="AH144" s="56"/>
      <c r="AI144" s="56"/>
    </row>
    <row r="145" spans="1:35" ht="15" x14ac:dyDescent="0.2">
      <c r="A145" s="110" t="s">
        <v>300</v>
      </c>
      <c r="B145" s="33" t="s">
        <v>12632</v>
      </c>
      <c r="C145" s="7" t="s">
        <v>14268</v>
      </c>
      <c r="D145" s="112">
        <v>5</v>
      </c>
      <c r="E145" s="7"/>
      <c r="F145" s="7"/>
      <c r="G145" s="2" t="s">
        <v>14269</v>
      </c>
      <c r="H145" s="2" t="s">
        <v>14270</v>
      </c>
      <c r="I145" s="2" t="s">
        <v>196</v>
      </c>
      <c r="J145" s="2" t="s">
        <v>48</v>
      </c>
      <c r="K145" s="2" t="s">
        <v>14271</v>
      </c>
      <c r="L145" s="2" t="s">
        <v>14272</v>
      </c>
      <c r="M145" s="48"/>
      <c r="N145" s="45" t="str">
        <f t="shared" ref="N145:N146" si="76">HYPERLINK("https://foothill.prestosports.com/sports/mbkb/Recruiting_Questionnaire","Questionnaire")</f>
        <v>Questionnaire</v>
      </c>
      <c r="O145" s="48" t="s">
        <v>14277</v>
      </c>
      <c r="P145" s="60" t="s">
        <v>312</v>
      </c>
      <c r="Q145" s="48" t="s">
        <v>14278</v>
      </c>
      <c r="R145" s="60" t="s">
        <v>205</v>
      </c>
      <c r="S145" s="49" t="s">
        <v>74</v>
      </c>
      <c r="T145" s="48" t="s">
        <v>75</v>
      </c>
      <c r="U145" s="49" t="s">
        <v>3678</v>
      </c>
      <c r="V145" s="7" t="s">
        <v>214</v>
      </c>
      <c r="W145" s="49" t="s">
        <v>214</v>
      </c>
      <c r="X145" s="49" t="s">
        <v>214</v>
      </c>
      <c r="Y145" s="49" t="s">
        <v>214</v>
      </c>
      <c r="Z145" s="55" t="s">
        <v>214</v>
      </c>
      <c r="AA145" s="48" t="s">
        <v>14280</v>
      </c>
      <c r="AB145" s="84" t="s">
        <v>14277</v>
      </c>
      <c r="AC145" s="53" t="str">
        <f t="shared" ref="AC145:AC146" si="77">HYPERLINK("https://foothill.edu/programs/","Link")</f>
        <v>Link</v>
      </c>
      <c r="AD145" s="42">
        <v>15369</v>
      </c>
      <c r="AE145" s="55"/>
      <c r="AF145" s="55"/>
      <c r="AG145" s="56">
        <v>114716</v>
      </c>
      <c r="AH145" s="56"/>
      <c r="AI145" s="56"/>
    </row>
    <row r="146" spans="1:35" ht="15" x14ac:dyDescent="0.2">
      <c r="A146" s="110" t="s">
        <v>300</v>
      </c>
      <c r="B146" s="33" t="s">
        <v>12632</v>
      </c>
      <c r="C146" s="7" t="s">
        <v>14282</v>
      </c>
      <c r="D146" s="112">
        <v>5</v>
      </c>
      <c r="E146" s="7"/>
      <c r="F146" s="7"/>
      <c r="G146" s="2" t="s">
        <v>14269</v>
      </c>
      <c r="H146" s="2" t="s">
        <v>427</v>
      </c>
      <c r="I146" s="2" t="s">
        <v>14283</v>
      </c>
      <c r="J146" s="2" t="s">
        <v>55</v>
      </c>
      <c r="K146" s="2"/>
      <c r="L146" s="2"/>
      <c r="M146" s="48"/>
      <c r="N146" s="45" t="str">
        <f t="shared" si="76"/>
        <v>Questionnaire</v>
      </c>
      <c r="O146" s="48" t="s">
        <v>14277</v>
      </c>
      <c r="P146" s="60" t="s">
        <v>312</v>
      </c>
      <c r="Q146" s="48" t="s">
        <v>14278</v>
      </c>
      <c r="R146" s="60" t="s">
        <v>205</v>
      </c>
      <c r="S146" s="49" t="s">
        <v>74</v>
      </c>
      <c r="T146" s="48" t="s">
        <v>75</v>
      </c>
      <c r="U146" s="49" t="s">
        <v>3678</v>
      </c>
      <c r="V146" s="7" t="s">
        <v>214</v>
      </c>
      <c r="W146" s="49" t="s">
        <v>214</v>
      </c>
      <c r="X146" s="49" t="s">
        <v>214</v>
      </c>
      <c r="Y146" s="49" t="s">
        <v>214</v>
      </c>
      <c r="Z146" s="55" t="s">
        <v>214</v>
      </c>
      <c r="AA146" s="48" t="s">
        <v>14280</v>
      </c>
      <c r="AB146" s="84" t="s">
        <v>14277</v>
      </c>
      <c r="AC146" s="53" t="str">
        <f t="shared" si="77"/>
        <v>Link</v>
      </c>
      <c r="AD146" s="42">
        <v>15369</v>
      </c>
      <c r="AE146" s="55"/>
      <c r="AF146" s="55"/>
      <c r="AG146" s="56">
        <v>114716</v>
      </c>
      <c r="AH146" s="56"/>
      <c r="AI146" s="56"/>
    </row>
    <row r="147" spans="1:35" ht="15" x14ac:dyDescent="0.2">
      <c r="A147" s="64" t="s">
        <v>300</v>
      </c>
      <c r="B147" s="33" t="s">
        <v>12632</v>
      </c>
      <c r="C147" s="7" t="s">
        <v>14290</v>
      </c>
      <c r="D147" s="44">
        <v>5</v>
      </c>
      <c r="E147" s="7" t="s">
        <v>116</v>
      </c>
      <c r="F147" s="7"/>
      <c r="G147" s="2" t="s">
        <v>14291</v>
      </c>
      <c r="H147" s="7" t="s">
        <v>14292</v>
      </c>
      <c r="I147" s="7" t="s">
        <v>1226</v>
      </c>
      <c r="J147" s="7" t="s">
        <v>139</v>
      </c>
      <c r="K147" s="7"/>
      <c r="L147" s="7"/>
      <c r="M147" s="45" t="str">
        <f t="shared" ref="M147:M152" si="78">HYPERLINK("twitter.com/fcc_softball","@fcc_softball")</f>
        <v>@fcc_softball</v>
      </c>
      <c r="N147" s="45" t="str">
        <f t="shared" ref="N147:N152" si="79">HYPERLINK("https://fresnocc.prestosports.com/recruit","Questionnaire")</f>
        <v>Questionnaire</v>
      </c>
      <c r="O147" s="48" t="s">
        <v>14301</v>
      </c>
      <c r="P147" s="60" t="s">
        <v>312</v>
      </c>
      <c r="Q147" s="48" t="s">
        <v>1768</v>
      </c>
      <c r="R147" s="48" t="s">
        <v>354</v>
      </c>
      <c r="S147" s="5" t="s">
        <v>74</v>
      </c>
      <c r="T147" s="48" t="s">
        <v>75</v>
      </c>
      <c r="U147" s="49" t="s">
        <v>3678</v>
      </c>
      <c r="V147" s="7" t="s">
        <v>214</v>
      </c>
      <c r="W147" s="49" t="s">
        <v>214</v>
      </c>
      <c r="X147" s="49" t="s">
        <v>214</v>
      </c>
      <c r="Y147" s="49" t="s">
        <v>214</v>
      </c>
      <c r="Z147" s="55" t="s">
        <v>214</v>
      </c>
      <c r="AA147" s="48" t="s">
        <v>14302</v>
      </c>
      <c r="AB147" s="84" t="s">
        <v>14301</v>
      </c>
      <c r="AC147" s="53" t="str">
        <f t="shared" ref="AC147:AC152" si="80">HYPERLINK("http://www.fresnocitycollege.edu/academics/majors.html","Link")</f>
        <v>Link</v>
      </c>
      <c r="AD147" s="42">
        <v>22925</v>
      </c>
      <c r="AE147" s="55"/>
      <c r="AF147" s="55"/>
      <c r="AG147" s="56">
        <v>114789</v>
      </c>
      <c r="AH147" s="85"/>
      <c r="AI147" s="85"/>
    </row>
    <row r="148" spans="1:35" ht="15" x14ac:dyDescent="0.2">
      <c r="A148" s="64" t="s">
        <v>300</v>
      </c>
      <c r="B148" s="33" t="s">
        <v>12632</v>
      </c>
      <c r="C148" s="7" t="s">
        <v>14304</v>
      </c>
      <c r="D148" s="44">
        <v>5</v>
      </c>
      <c r="E148" s="7" t="s">
        <v>116</v>
      </c>
      <c r="F148" s="7"/>
      <c r="G148" s="2" t="s">
        <v>14291</v>
      </c>
      <c r="H148" s="7" t="s">
        <v>981</v>
      </c>
      <c r="I148" s="7" t="s">
        <v>1276</v>
      </c>
      <c r="J148" s="7" t="s">
        <v>6646</v>
      </c>
      <c r="K148" s="7" t="s">
        <v>14307</v>
      </c>
      <c r="L148" s="7"/>
      <c r="M148" s="45" t="str">
        <f t="shared" si="78"/>
        <v>@fcc_softball</v>
      </c>
      <c r="N148" s="69" t="str">
        <f t="shared" si="79"/>
        <v>Questionnaire</v>
      </c>
      <c r="O148" s="48" t="s">
        <v>14301</v>
      </c>
      <c r="P148" s="60" t="s">
        <v>312</v>
      </c>
      <c r="Q148" s="48" t="s">
        <v>1768</v>
      </c>
      <c r="R148" s="48" t="s">
        <v>354</v>
      </c>
      <c r="S148" s="5" t="s">
        <v>74</v>
      </c>
      <c r="T148" s="48" t="s">
        <v>75</v>
      </c>
      <c r="U148" s="49" t="s">
        <v>3678</v>
      </c>
      <c r="V148" s="7" t="s">
        <v>214</v>
      </c>
      <c r="W148" s="49" t="s">
        <v>214</v>
      </c>
      <c r="X148" s="49" t="s">
        <v>214</v>
      </c>
      <c r="Y148" s="49" t="s">
        <v>214</v>
      </c>
      <c r="Z148" s="55" t="s">
        <v>214</v>
      </c>
      <c r="AA148" s="48" t="s">
        <v>14302</v>
      </c>
      <c r="AB148" s="84" t="s">
        <v>14301</v>
      </c>
      <c r="AC148" s="53" t="str">
        <f t="shared" si="80"/>
        <v>Link</v>
      </c>
      <c r="AD148" s="42">
        <v>22925</v>
      </c>
      <c r="AE148" s="55"/>
      <c r="AF148" s="55"/>
      <c r="AG148" s="56">
        <v>114789</v>
      </c>
      <c r="AH148" s="85"/>
      <c r="AI148" s="85"/>
    </row>
    <row r="149" spans="1:35" ht="15" x14ac:dyDescent="0.2">
      <c r="A149" s="110" t="s">
        <v>300</v>
      </c>
      <c r="B149" s="33" t="s">
        <v>12632</v>
      </c>
      <c r="C149" s="7" t="s">
        <v>14314</v>
      </c>
      <c r="D149" s="112">
        <v>5</v>
      </c>
      <c r="E149" s="7" t="s">
        <v>116</v>
      </c>
      <c r="F149" s="7"/>
      <c r="G149" s="2" t="s">
        <v>14291</v>
      </c>
      <c r="H149" s="7" t="s">
        <v>694</v>
      </c>
      <c r="I149" s="7" t="s">
        <v>14317</v>
      </c>
      <c r="J149" s="7" t="s">
        <v>48</v>
      </c>
      <c r="K149" s="7" t="s">
        <v>14318</v>
      </c>
      <c r="L149" s="7" t="s">
        <v>14319</v>
      </c>
      <c r="M149" s="45" t="str">
        <f t="shared" si="78"/>
        <v>@fcc_softball</v>
      </c>
      <c r="N149" s="45" t="str">
        <f t="shared" si="79"/>
        <v>Questionnaire</v>
      </c>
      <c r="O149" s="48" t="s">
        <v>14301</v>
      </c>
      <c r="P149" s="60" t="s">
        <v>312</v>
      </c>
      <c r="Q149" s="48" t="s">
        <v>1768</v>
      </c>
      <c r="R149" s="48" t="s">
        <v>354</v>
      </c>
      <c r="S149" s="5" t="s">
        <v>74</v>
      </c>
      <c r="T149" s="48" t="s">
        <v>75</v>
      </c>
      <c r="U149" s="49" t="s">
        <v>3678</v>
      </c>
      <c r="V149" s="7" t="s">
        <v>214</v>
      </c>
      <c r="W149" s="49" t="s">
        <v>214</v>
      </c>
      <c r="X149" s="49" t="s">
        <v>214</v>
      </c>
      <c r="Y149" s="49" t="s">
        <v>214</v>
      </c>
      <c r="Z149" s="55" t="s">
        <v>214</v>
      </c>
      <c r="AA149" s="48" t="s">
        <v>14302</v>
      </c>
      <c r="AB149" s="84" t="s">
        <v>14301</v>
      </c>
      <c r="AC149" s="53" t="str">
        <f t="shared" si="80"/>
        <v>Link</v>
      </c>
      <c r="AD149" s="42">
        <v>22925</v>
      </c>
      <c r="AE149" s="55"/>
      <c r="AF149" s="55"/>
      <c r="AG149" s="56">
        <v>114789</v>
      </c>
      <c r="AH149" s="56"/>
      <c r="AI149" s="56"/>
    </row>
    <row r="150" spans="1:35" ht="15" x14ac:dyDescent="0.2">
      <c r="A150" s="110" t="s">
        <v>300</v>
      </c>
      <c r="B150" s="33" t="s">
        <v>12632</v>
      </c>
      <c r="C150" s="7" t="s">
        <v>14328</v>
      </c>
      <c r="D150" s="112">
        <v>5</v>
      </c>
      <c r="E150" s="7"/>
      <c r="F150" s="7"/>
      <c r="G150" s="2" t="s">
        <v>14291</v>
      </c>
      <c r="H150" s="2" t="s">
        <v>981</v>
      </c>
      <c r="I150" s="2" t="s">
        <v>1276</v>
      </c>
      <c r="J150" s="2" t="s">
        <v>55</v>
      </c>
      <c r="K150" s="2" t="s">
        <v>14331</v>
      </c>
      <c r="L150" s="2"/>
      <c r="M150" s="45" t="str">
        <f t="shared" si="78"/>
        <v>@fcc_softball</v>
      </c>
      <c r="N150" s="45" t="str">
        <f t="shared" si="79"/>
        <v>Questionnaire</v>
      </c>
      <c r="O150" s="48" t="s">
        <v>14301</v>
      </c>
      <c r="P150" s="60" t="s">
        <v>312</v>
      </c>
      <c r="Q150" s="48" t="s">
        <v>1768</v>
      </c>
      <c r="R150" s="48" t="s">
        <v>354</v>
      </c>
      <c r="S150" s="5" t="s">
        <v>74</v>
      </c>
      <c r="T150" s="48" t="s">
        <v>75</v>
      </c>
      <c r="U150" s="49" t="s">
        <v>3678</v>
      </c>
      <c r="V150" s="7" t="s">
        <v>214</v>
      </c>
      <c r="W150" s="49" t="s">
        <v>214</v>
      </c>
      <c r="X150" s="49" t="s">
        <v>214</v>
      </c>
      <c r="Y150" s="49" t="s">
        <v>214</v>
      </c>
      <c r="Z150" s="55" t="s">
        <v>214</v>
      </c>
      <c r="AA150" s="48" t="s">
        <v>14302</v>
      </c>
      <c r="AB150" s="84" t="s">
        <v>14301</v>
      </c>
      <c r="AC150" s="53" t="str">
        <f t="shared" si="80"/>
        <v>Link</v>
      </c>
      <c r="AD150" s="42">
        <v>22925</v>
      </c>
      <c r="AE150" s="55"/>
      <c r="AF150" s="55"/>
      <c r="AG150" s="56">
        <v>114789</v>
      </c>
      <c r="AH150" s="56"/>
      <c r="AI150" s="56"/>
    </row>
    <row r="151" spans="1:35" ht="15" x14ac:dyDescent="0.2">
      <c r="A151" s="110" t="s">
        <v>300</v>
      </c>
      <c r="B151" s="33" t="s">
        <v>12632</v>
      </c>
      <c r="C151" s="7" t="s">
        <v>14334</v>
      </c>
      <c r="D151" s="112">
        <v>5</v>
      </c>
      <c r="E151" s="7" t="s">
        <v>116</v>
      </c>
      <c r="F151" s="7"/>
      <c r="G151" s="2" t="s">
        <v>14291</v>
      </c>
      <c r="H151" s="7" t="s">
        <v>93</v>
      </c>
      <c r="I151" s="7" t="s">
        <v>2523</v>
      </c>
      <c r="J151" s="7" t="s">
        <v>55</v>
      </c>
      <c r="K151" s="7" t="s">
        <v>14341</v>
      </c>
      <c r="L151" s="2"/>
      <c r="M151" s="45" t="str">
        <f t="shared" si="78"/>
        <v>@fcc_softball</v>
      </c>
      <c r="N151" s="45" t="str">
        <f t="shared" si="79"/>
        <v>Questionnaire</v>
      </c>
      <c r="O151" s="48" t="s">
        <v>14301</v>
      </c>
      <c r="P151" s="60" t="s">
        <v>312</v>
      </c>
      <c r="Q151" s="48" t="s">
        <v>1768</v>
      </c>
      <c r="R151" s="48" t="s">
        <v>354</v>
      </c>
      <c r="S151" s="5" t="s">
        <v>74</v>
      </c>
      <c r="T151" s="48" t="s">
        <v>75</v>
      </c>
      <c r="U151" s="49" t="s">
        <v>3678</v>
      </c>
      <c r="V151" s="7" t="s">
        <v>214</v>
      </c>
      <c r="W151" s="49" t="s">
        <v>214</v>
      </c>
      <c r="X151" s="49" t="s">
        <v>214</v>
      </c>
      <c r="Y151" s="49" t="s">
        <v>214</v>
      </c>
      <c r="Z151" s="55" t="s">
        <v>214</v>
      </c>
      <c r="AA151" s="48" t="s">
        <v>14302</v>
      </c>
      <c r="AB151" s="84" t="s">
        <v>14301</v>
      </c>
      <c r="AC151" s="53" t="str">
        <f t="shared" si="80"/>
        <v>Link</v>
      </c>
      <c r="AD151" s="42">
        <v>22925</v>
      </c>
      <c r="AE151" s="55"/>
      <c r="AF151" s="55"/>
      <c r="AG151" s="56">
        <v>114789</v>
      </c>
      <c r="AH151" s="56"/>
      <c r="AI151" s="56"/>
    </row>
    <row r="152" spans="1:35" ht="15" x14ac:dyDescent="0.2">
      <c r="A152" s="110" t="s">
        <v>300</v>
      </c>
      <c r="B152" s="33" t="s">
        <v>12632</v>
      </c>
      <c r="C152" s="7" t="s">
        <v>14343</v>
      </c>
      <c r="D152" s="112">
        <v>5</v>
      </c>
      <c r="E152" s="7" t="s">
        <v>116</v>
      </c>
      <c r="F152" s="7"/>
      <c r="G152" s="2" t="s">
        <v>14291</v>
      </c>
      <c r="H152" s="7" t="s">
        <v>2747</v>
      </c>
      <c r="I152" s="7" t="s">
        <v>14351</v>
      </c>
      <c r="J152" s="7" t="s">
        <v>55</v>
      </c>
      <c r="K152" s="7" t="s">
        <v>14352</v>
      </c>
      <c r="L152" s="2"/>
      <c r="M152" s="45" t="str">
        <f t="shared" si="78"/>
        <v>@fcc_softball</v>
      </c>
      <c r="N152" s="45" t="str">
        <f t="shared" si="79"/>
        <v>Questionnaire</v>
      </c>
      <c r="O152" s="48" t="s">
        <v>14301</v>
      </c>
      <c r="P152" s="60" t="s">
        <v>312</v>
      </c>
      <c r="Q152" s="48" t="s">
        <v>1768</v>
      </c>
      <c r="R152" s="48" t="s">
        <v>354</v>
      </c>
      <c r="S152" s="5" t="s">
        <v>74</v>
      </c>
      <c r="T152" s="48" t="s">
        <v>75</v>
      </c>
      <c r="U152" s="49" t="s">
        <v>3678</v>
      </c>
      <c r="V152" s="7" t="s">
        <v>214</v>
      </c>
      <c r="W152" s="49" t="s">
        <v>214</v>
      </c>
      <c r="X152" s="49" t="s">
        <v>214</v>
      </c>
      <c r="Y152" s="49" t="s">
        <v>214</v>
      </c>
      <c r="Z152" s="55" t="s">
        <v>214</v>
      </c>
      <c r="AA152" s="48" t="s">
        <v>14302</v>
      </c>
      <c r="AB152" s="84" t="s">
        <v>14301</v>
      </c>
      <c r="AC152" s="53" t="str">
        <f t="shared" si="80"/>
        <v>Link</v>
      </c>
      <c r="AD152" s="42">
        <v>22925</v>
      </c>
      <c r="AE152" s="55"/>
      <c r="AF152" s="55"/>
      <c r="AG152" s="56">
        <v>114789</v>
      </c>
      <c r="AH152" s="56"/>
      <c r="AI152" s="56"/>
    </row>
    <row r="153" spans="1:35" ht="15" x14ac:dyDescent="0.2">
      <c r="A153" s="110" t="s">
        <v>300</v>
      </c>
      <c r="B153" s="33" t="s">
        <v>12632</v>
      </c>
      <c r="C153" s="7" t="s">
        <v>14354</v>
      </c>
      <c r="D153" s="112">
        <v>5</v>
      </c>
      <c r="E153" s="7"/>
      <c r="F153" s="7"/>
      <c r="G153" s="2" t="s">
        <v>14355</v>
      </c>
      <c r="H153" s="2" t="s">
        <v>14356</v>
      </c>
      <c r="I153" s="2" t="s">
        <v>14357</v>
      </c>
      <c r="J153" s="2" t="s">
        <v>2331</v>
      </c>
      <c r="K153" s="2" t="s">
        <v>14360</v>
      </c>
      <c r="L153" s="2" t="s">
        <v>14361</v>
      </c>
      <c r="M153" s="48"/>
      <c r="N153" s="45" t="str">
        <f t="shared" ref="N153:N156" si="81">HYPERLINK("https://www.fchornets.com/recruits/prospective_athlete","Questionnaire")</f>
        <v>Questionnaire</v>
      </c>
      <c r="O153" s="48" t="s">
        <v>5199</v>
      </c>
      <c r="P153" s="60" t="s">
        <v>312</v>
      </c>
      <c r="Q153" s="48" t="s">
        <v>5199</v>
      </c>
      <c r="R153" s="48" t="s">
        <v>238</v>
      </c>
      <c r="S153" s="49" t="s">
        <v>74</v>
      </c>
      <c r="T153" s="48" t="s">
        <v>75</v>
      </c>
      <c r="U153" s="49" t="s">
        <v>3678</v>
      </c>
      <c r="V153" s="7" t="s">
        <v>214</v>
      </c>
      <c r="W153" s="49" t="s">
        <v>214</v>
      </c>
      <c r="X153" s="49" t="s">
        <v>214</v>
      </c>
      <c r="Y153" s="49" t="s">
        <v>214</v>
      </c>
      <c r="Z153" s="49" t="s">
        <v>214</v>
      </c>
      <c r="AA153" s="48" t="s">
        <v>14364</v>
      </c>
      <c r="AB153" s="84" t="s">
        <v>5199</v>
      </c>
      <c r="AC153" s="53" t="str">
        <f t="shared" ref="AC153:AC156" si="82">HYPERLINK("http://www.fullcoll.edu/academic-programs/degrees-certificates","Link")</f>
        <v>Link</v>
      </c>
      <c r="AD153" s="42">
        <v>24073</v>
      </c>
      <c r="AE153" s="55"/>
      <c r="AF153" s="55"/>
      <c r="AG153" s="56">
        <v>114859</v>
      </c>
      <c r="AH153" s="56"/>
      <c r="AI153" s="56"/>
    </row>
    <row r="154" spans="1:35" ht="15" x14ac:dyDescent="0.2">
      <c r="A154" s="110" t="s">
        <v>300</v>
      </c>
      <c r="B154" s="33" t="s">
        <v>12632</v>
      </c>
      <c r="C154" s="7" t="s">
        <v>14367</v>
      </c>
      <c r="D154" s="112">
        <v>5</v>
      </c>
      <c r="E154" s="7"/>
      <c r="F154" s="7"/>
      <c r="G154" s="2" t="s">
        <v>14355</v>
      </c>
      <c r="H154" s="2" t="s">
        <v>1671</v>
      </c>
      <c r="I154" s="2" t="s">
        <v>13131</v>
      </c>
      <c r="J154" s="2" t="s">
        <v>2331</v>
      </c>
      <c r="K154" s="2" t="s">
        <v>14368</v>
      </c>
      <c r="L154" s="2" t="s">
        <v>14361</v>
      </c>
      <c r="M154" s="48"/>
      <c r="N154" s="45" t="str">
        <f t="shared" si="81"/>
        <v>Questionnaire</v>
      </c>
      <c r="O154" s="48" t="s">
        <v>5199</v>
      </c>
      <c r="P154" s="60" t="s">
        <v>312</v>
      </c>
      <c r="Q154" s="48" t="s">
        <v>5199</v>
      </c>
      <c r="R154" s="48" t="s">
        <v>238</v>
      </c>
      <c r="S154" s="49" t="s">
        <v>74</v>
      </c>
      <c r="T154" s="48" t="s">
        <v>75</v>
      </c>
      <c r="U154" s="49" t="s">
        <v>3678</v>
      </c>
      <c r="V154" s="7" t="s">
        <v>214</v>
      </c>
      <c r="W154" s="49" t="s">
        <v>214</v>
      </c>
      <c r="X154" s="49" t="s">
        <v>214</v>
      </c>
      <c r="Y154" s="49" t="s">
        <v>214</v>
      </c>
      <c r="Z154" s="49" t="s">
        <v>214</v>
      </c>
      <c r="AA154" s="48" t="s">
        <v>14364</v>
      </c>
      <c r="AB154" s="84" t="s">
        <v>5199</v>
      </c>
      <c r="AC154" s="53" t="str">
        <f t="shared" si="82"/>
        <v>Link</v>
      </c>
      <c r="AD154" s="42">
        <v>24073</v>
      </c>
      <c r="AE154" s="55"/>
      <c r="AF154" s="55"/>
      <c r="AG154" s="56">
        <v>114859</v>
      </c>
      <c r="AH154" s="56"/>
      <c r="AI154" s="56"/>
    </row>
    <row r="155" spans="1:35" ht="15" x14ac:dyDescent="0.2">
      <c r="A155" s="110" t="s">
        <v>300</v>
      </c>
      <c r="B155" s="33" t="s">
        <v>12632</v>
      </c>
      <c r="C155" s="7" t="s">
        <v>14373</v>
      </c>
      <c r="D155" s="112">
        <v>5</v>
      </c>
      <c r="E155" s="7"/>
      <c r="F155" s="7"/>
      <c r="G155" s="2" t="s">
        <v>14355</v>
      </c>
      <c r="H155" s="2" t="s">
        <v>1969</v>
      </c>
      <c r="I155" s="2" t="s">
        <v>9051</v>
      </c>
      <c r="J155" s="2" t="s">
        <v>55</v>
      </c>
      <c r="K155" s="2"/>
      <c r="L155" s="2" t="s">
        <v>14361</v>
      </c>
      <c r="M155" s="48"/>
      <c r="N155" s="45" t="str">
        <f t="shared" si="81"/>
        <v>Questionnaire</v>
      </c>
      <c r="O155" s="48" t="s">
        <v>5199</v>
      </c>
      <c r="P155" s="60" t="s">
        <v>312</v>
      </c>
      <c r="Q155" s="48" t="s">
        <v>5199</v>
      </c>
      <c r="R155" s="48" t="s">
        <v>238</v>
      </c>
      <c r="S155" s="49" t="s">
        <v>74</v>
      </c>
      <c r="T155" s="48" t="s">
        <v>75</v>
      </c>
      <c r="U155" s="49" t="s">
        <v>3678</v>
      </c>
      <c r="V155" s="7" t="s">
        <v>214</v>
      </c>
      <c r="W155" s="49" t="s">
        <v>214</v>
      </c>
      <c r="X155" s="49" t="s">
        <v>214</v>
      </c>
      <c r="Y155" s="49" t="s">
        <v>214</v>
      </c>
      <c r="Z155" s="49" t="s">
        <v>214</v>
      </c>
      <c r="AA155" s="48" t="s">
        <v>14364</v>
      </c>
      <c r="AB155" s="84" t="s">
        <v>5199</v>
      </c>
      <c r="AC155" s="53" t="str">
        <f t="shared" si="82"/>
        <v>Link</v>
      </c>
      <c r="AD155" s="42">
        <v>24073</v>
      </c>
      <c r="AE155" s="55"/>
      <c r="AF155" s="55"/>
      <c r="AG155" s="56">
        <v>114859</v>
      </c>
      <c r="AH155" s="56"/>
      <c r="AI155" s="56"/>
    </row>
    <row r="156" spans="1:35" ht="15" x14ac:dyDescent="0.2">
      <c r="A156" s="110" t="s">
        <v>300</v>
      </c>
      <c r="B156" s="33" t="s">
        <v>12632</v>
      </c>
      <c r="C156" s="7" t="s">
        <v>14379</v>
      </c>
      <c r="D156" s="112">
        <v>5</v>
      </c>
      <c r="E156" s="7"/>
      <c r="F156" s="7"/>
      <c r="G156" s="2" t="s">
        <v>14355</v>
      </c>
      <c r="H156" s="2" t="s">
        <v>1390</v>
      </c>
      <c r="I156" s="2" t="s">
        <v>14380</v>
      </c>
      <c r="J156" s="2" t="s">
        <v>55</v>
      </c>
      <c r="K156" s="2"/>
      <c r="L156" s="2" t="s">
        <v>14361</v>
      </c>
      <c r="M156" s="48"/>
      <c r="N156" s="45" t="str">
        <f t="shared" si="81"/>
        <v>Questionnaire</v>
      </c>
      <c r="O156" s="48" t="s">
        <v>5199</v>
      </c>
      <c r="P156" s="60" t="s">
        <v>312</v>
      </c>
      <c r="Q156" s="48" t="s">
        <v>5199</v>
      </c>
      <c r="R156" s="48" t="s">
        <v>238</v>
      </c>
      <c r="S156" s="49" t="s">
        <v>74</v>
      </c>
      <c r="T156" s="48" t="s">
        <v>75</v>
      </c>
      <c r="U156" s="49" t="s">
        <v>3678</v>
      </c>
      <c r="V156" s="7" t="s">
        <v>214</v>
      </c>
      <c r="W156" s="49" t="s">
        <v>214</v>
      </c>
      <c r="X156" s="49" t="s">
        <v>214</v>
      </c>
      <c r="Y156" s="49" t="s">
        <v>214</v>
      </c>
      <c r="Z156" s="49" t="s">
        <v>214</v>
      </c>
      <c r="AA156" s="48" t="s">
        <v>14364</v>
      </c>
      <c r="AB156" s="84" t="s">
        <v>5199</v>
      </c>
      <c r="AC156" s="53" t="str">
        <f t="shared" si="82"/>
        <v>Link</v>
      </c>
      <c r="AD156" s="42">
        <v>24073</v>
      </c>
      <c r="AE156" s="55"/>
      <c r="AF156" s="55"/>
      <c r="AG156" s="56">
        <v>114859</v>
      </c>
      <c r="AH156" s="56"/>
      <c r="AI156" s="56"/>
    </row>
    <row r="157" spans="1:35" ht="15" x14ac:dyDescent="0.2">
      <c r="A157" s="110" t="s">
        <v>300</v>
      </c>
      <c r="B157" s="33" t="s">
        <v>12632</v>
      </c>
      <c r="C157" s="7" t="s">
        <v>14384</v>
      </c>
      <c r="D157" s="112">
        <v>5</v>
      </c>
      <c r="E157" s="7"/>
      <c r="F157" s="7"/>
      <c r="G157" s="2" t="s">
        <v>14385</v>
      </c>
      <c r="H157" s="2" t="s">
        <v>14386</v>
      </c>
      <c r="I157" s="2" t="s">
        <v>14387</v>
      </c>
      <c r="J157" s="2" t="s">
        <v>48</v>
      </c>
      <c r="K157" s="2" t="s">
        <v>14388</v>
      </c>
      <c r="L157" s="2" t="s">
        <v>14389</v>
      </c>
      <c r="M157" s="48"/>
      <c r="N157" s="45" t="str">
        <f t="shared" ref="N157:N160" si="83">HYPERLINK("https://www.gccathletics.com/information/Recruiting_Questionnaire","Questionnaire")</f>
        <v>Questionnaire</v>
      </c>
      <c r="O157" s="48" t="s">
        <v>14390</v>
      </c>
      <c r="P157" s="60" t="s">
        <v>312</v>
      </c>
      <c r="Q157" s="48" t="s">
        <v>13214</v>
      </c>
      <c r="R157" s="48" t="s">
        <v>62</v>
      </c>
      <c r="S157" s="49" t="s">
        <v>74</v>
      </c>
      <c r="T157" s="48" t="s">
        <v>75</v>
      </c>
      <c r="U157" s="49" t="s">
        <v>3678</v>
      </c>
      <c r="V157" s="7" t="s">
        <v>214</v>
      </c>
      <c r="W157" s="49" t="s">
        <v>214</v>
      </c>
      <c r="X157" s="49" t="s">
        <v>214</v>
      </c>
      <c r="Y157" s="49" t="s">
        <v>214</v>
      </c>
      <c r="Z157" s="55" t="s">
        <v>214</v>
      </c>
      <c r="AA157" s="48" t="s">
        <v>14397</v>
      </c>
      <c r="AB157" s="84" t="s">
        <v>14390</v>
      </c>
      <c r="AC157" s="53" t="str">
        <f t="shared" ref="AC157:AC160" si="84">HYPERLINK("https://www.glendale.edu/academics/degree-certificate-programs","Link")</f>
        <v>Link</v>
      </c>
      <c r="AD157" s="42">
        <v>15178</v>
      </c>
      <c r="AE157" s="55"/>
      <c r="AF157" s="55"/>
      <c r="AG157" s="56">
        <v>104708</v>
      </c>
      <c r="AH157" s="56"/>
      <c r="AI157" s="56"/>
    </row>
    <row r="158" spans="1:35" ht="15" x14ac:dyDescent="0.2">
      <c r="A158" s="110" t="s">
        <v>300</v>
      </c>
      <c r="B158" s="33" t="s">
        <v>12632</v>
      </c>
      <c r="C158" s="7" t="s">
        <v>14402</v>
      </c>
      <c r="D158" s="112">
        <v>5</v>
      </c>
      <c r="E158" s="7"/>
      <c r="F158" s="7"/>
      <c r="G158" s="2" t="s">
        <v>14385</v>
      </c>
      <c r="H158" s="2" t="s">
        <v>1875</v>
      </c>
      <c r="I158" s="2" t="s">
        <v>14404</v>
      </c>
      <c r="J158" s="2" t="s">
        <v>55</v>
      </c>
      <c r="K158" s="2"/>
      <c r="L158" s="2" t="s">
        <v>14405</v>
      </c>
      <c r="M158" s="48"/>
      <c r="N158" s="45" t="str">
        <f t="shared" si="83"/>
        <v>Questionnaire</v>
      </c>
      <c r="O158" s="48" t="s">
        <v>14390</v>
      </c>
      <c r="P158" s="60" t="s">
        <v>312</v>
      </c>
      <c r="Q158" s="48" t="s">
        <v>13214</v>
      </c>
      <c r="R158" s="48" t="s">
        <v>62</v>
      </c>
      <c r="S158" s="49" t="s">
        <v>74</v>
      </c>
      <c r="T158" s="48" t="s">
        <v>75</v>
      </c>
      <c r="U158" s="49" t="s">
        <v>3678</v>
      </c>
      <c r="V158" s="7" t="s">
        <v>214</v>
      </c>
      <c r="W158" s="49" t="s">
        <v>214</v>
      </c>
      <c r="X158" s="49" t="s">
        <v>214</v>
      </c>
      <c r="Y158" s="49" t="s">
        <v>214</v>
      </c>
      <c r="Z158" s="55" t="s">
        <v>214</v>
      </c>
      <c r="AA158" s="48" t="s">
        <v>14397</v>
      </c>
      <c r="AB158" s="84" t="s">
        <v>14390</v>
      </c>
      <c r="AC158" s="53" t="str">
        <f t="shared" si="84"/>
        <v>Link</v>
      </c>
      <c r="AD158" s="42">
        <v>15178</v>
      </c>
      <c r="AE158" s="55"/>
      <c r="AF158" s="55"/>
      <c r="AG158" s="56">
        <v>104708</v>
      </c>
      <c r="AH158" s="56"/>
      <c r="AI158" s="56"/>
    </row>
    <row r="159" spans="1:35" ht="15" x14ac:dyDescent="0.2">
      <c r="A159" s="110" t="s">
        <v>300</v>
      </c>
      <c r="B159" s="33" t="s">
        <v>12632</v>
      </c>
      <c r="C159" s="7" t="s">
        <v>14413</v>
      </c>
      <c r="D159" s="112">
        <v>5</v>
      </c>
      <c r="E159" s="7"/>
      <c r="F159" s="7"/>
      <c r="G159" s="2" t="s">
        <v>14385</v>
      </c>
      <c r="H159" s="2" t="s">
        <v>2806</v>
      </c>
      <c r="I159" s="2" t="s">
        <v>12980</v>
      </c>
      <c r="J159" s="2" t="s">
        <v>55</v>
      </c>
      <c r="K159" s="2"/>
      <c r="L159" s="2" t="s">
        <v>14416</v>
      </c>
      <c r="M159" s="48"/>
      <c r="N159" s="45" t="str">
        <f t="shared" si="83"/>
        <v>Questionnaire</v>
      </c>
      <c r="O159" s="48" t="s">
        <v>14390</v>
      </c>
      <c r="P159" s="60" t="s">
        <v>312</v>
      </c>
      <c r="Q159" s="48" t="s">
        <v>13214</v>
      </c>
      <c r="R159" s="48" t="s">
        <v>62</v>
      </c>
      <c r="S159" s="49" t="s">
        <v>74</v>
      </c>
      <c r="T159" s="48" t="s">
        <v>75</v>
      </c>
      <c r="U159" s="49" t="s">
        <v>3678</v>
      </c>
      <c r="V159" s="7" t="s">
        <v>214</v>
      </c>
      <c r="W159" s="49" t="s">
        <v>214</v>
      </c>
      <c r="X159" s="49" t="s">
        <v>214</v>
      </c>
      <c r="Y159" s="49" t="s">
        <v>214</v>
      </c>
      <c r="Z159" s="55" t="s">
        <v>214</v>
      </c>
      <c r="AA159" s="48" t="s">
        <v>14397</v>
      </c>
      <c r="AB159" s="84" t="s">
        <v>14390</v>
      </c>
      <c r="AC159" s="53" t="str">
        <f t="shared" si="84"/>
        <v>Link</v>
      </c>
      <c r="AD159" s="42">
        <v>15178</v>
      </c>
      <c r="AE159" s="55"/>
      <c r="AF159" s="55"/>
      <c r="AG159" s="56">
        <v>104708</v>
      </c>
      <c r="AH159" s="56"/>
      <c r="AI159" s="56"/>
    </row>
    <row r="160" spans="1:35" ht="15" x14ac:dyDescent="0.2">
      <c r="A160" s="110" t="s">
        <v>300</v>
      </c>
      <c r="B160" s="33" t="s">
        <v>12632</v>
      </c>
      <c r="C160" s="7" t="s">
        <v>14417</v>
      </c>
      <c r="D160" s="112">
        <v>5</v>
      </c>
      <c r="E160" s="7"/>
      <c r="F160" s="7"/>
      <c r="G160" s="2" t="s">
        <v>14385</v>
      </c>
      <c r="H160" s="2" t="s">
        <v>1258</v>
      </c>
      <c r="I160" s="2" t="s">
        <v>12980</v>
      </c>
      <c r="J160" s="2" t="s">
        <v>55</v>
      </c>
      <c r="K160" s="2"/>
      <c r="L160" s="2"/>
      <c r="M160" s="48"/>
      <c r="N160" s="45" t="str">
        <f t="shared" si="83"/>
        <v>Questionnaire</v>
      </c>
      <c r="O160" s="48" t="s">
        <v>14390</v>
      </c>
      <c r="P160" s="60" t="s">
        <v>312</v>
      </c>
      <c r="Q160" s="48" t="s">
        <v>13214</v>
      </c>
      <c r="R160" s="48" t="s">
        <v>62</v>
      </c>
      <c r="S160" s="49" t="s">
        <v>74</v>
      </c>
      <c r="T160" s="48" t="s">
        <v>75</v>
      </c>
      <c r="U160" s="49" t="s">
        <v>3678</v>
      </c>
      <c r="V160" s="7" t="s">
        <v>214</v>
      </c>
      <c r="W160" s="49" t="s">
        <v>214</v>
      </c>
      <c r="X160" s="49" t="s">
        <v>214</v>
      </c>
      <c r="Y160" s="49" t="s">
        <v>214</v>
      </c>
      <c r="Z160" s="55" t="s">
        <v>214</v>
      </c>
      <c r="AA160" s="48" t="s">
        <v>14397</v>
      </c>
      <c r="AB160" s="84" t="s">
        <v>14390</v>
      </c>
      <c r="AC160" s="53" t="str">
        <f t="shared" si="84"/>
        <v>Link</v>
      </c>
      <c r="AD160" s="42">
        <v>15178</v>
      </c>
      <c r="AE160" s="55"/>
      <c r="AF160" s="55"/>
      <c r="AG160" s="56">
        <v>104708</v>
      </c>
      <c r="AH160" s="56"/>
      <c r="AI160" s="56"/>
    </row>
    <row r="161" spans="1:37" ht="15" x14ac:dyDescent="0.2">
      <c r="A161" s="64" t="s">
        <v>300</v>
      </c>
      <c r="B161" s="33" t="s">
        <v>12632</v>
      </c>
      <c r="C161" s="7" t="s">
        <v>14421</v>
      </c>
      <c r="D161" s="44">
        <v>5</v>
      </c>
      <c r="E161" s="7" t="s">
        <v>116</v>
      </c>
      <c r="F161" s="7"/>
      <c r="G161" s="2" t="s">
        <v>14422</v>
      </c>
      <c r="H161" s="7" t="s">
        <v>1258</v>
      </c>
      <c r="I161" s="7" t="s">
        <v>14423</v>
      </c>
      <c r="J161" s="7" t="s">
        <v>48</v>
      </c>
      <c r="K161" s="7" t="s">
        <v>14424</v>
      </c>
      <c r="L161" s="7"/>
      <c r="M161" s="48"/>
      <c r="N161" s="45" t="str">
        <f t="shared" ref="N161:N165" si="85">HYPERLINK("http://www.gwcathletics.com/recruits/recruit_info","Questionnaire")</f>
        <v>Questionnaire</v>
      </c>
      <c r="O161" s="48" t="s">
        <v>14431</v>
      </c>
      <c r="P161" s="60" t="s">
        <v>312</v>
      </c>
      <c r="Q161" s="48" t="s">
        <v>14432</v>
      </c>
      <c r="R161" s="48" t="s">
        <v>62</v>
      </c>
      <c r="S161" s="49" t="s">
        <v>74</v>
      </c>
      <c r="T161" s="48" t="s">
        <v>75</v>
      </c>
      <c r="U161" s="49" t="s">
        <v>3678</v>
      </c>
      <c r="V161" s="7" t="s">
        <v>214</v>
      </c>
      <c r="W161" s="49" t="s">
        <v>214</v>
      </c>
      <c r="X161" s="49" t="s">
        <v>214</v>
      </c>
      <c r="Y161" s="49" t="s">
        <v>214</v>
      </c>
      <c r="Z161" s="55" t="s">
        <v>214</v>
      </c>
      <c r="AA161" s="48" t="s">
        <v>14434</v>
      </c>
      <c r="AB161" s="84" t="s">
        <v>14431</v>
      </c>
      <c r="AC161" s="53" t="str">
        <f t="shared" ref="AC161:AC165" si="86">HYPERLINK("http://www.goldenwestcollege.edu/academics/","Link")</f>
        <v>Link</v>
      </c>
      <c r="AD161" s="42">
        <v>11857</v>
      </c>
      <c r="AE161" s="55"/>
      <c r="AF161" s="55"/>
      <c r="AG161" s="56">
        <v>115126</v>
      </c>
      <c r="AH161" s="85"/>
      <c r="AI161" s="85"/>
    </row>
    <row r="162" spans="1:37" ht="15" x14ac:dyDescent="0.2">
      <c r="A162" s="110" t="s">
        <v>300</v>
      </c>
      <c r="B162" s="33" t="s">
        <v>12632</v>
      </c>
      <c r="C162" s="7" t="s">
        <v>14441</v>
      </c>
      <c r="D162" s="112">
        <v>5</v>
      </c>
      <c r="E162" s="7"/>
      <c r="F162" s="7"/>
      <c r="G162" s="2" t="s">
        <v>14422</v>
      </c>
      <c r="H162" s="2" t="s">
        <v>92</v>
      </c>
      <c r="I162" s="2" t="s">
        <v>14442</v>
      </c>
      <c r="J162" s="2" t="s">
        <v>55</v>
      </c>
      <c r="K162" s="2"/>
      <c r="L162" s="2"/>
      <c r="M162" s="48"/>
      <c r="N162" s="45" t="str">
        <f t="shared" si="85"/>
        <v>Questionnaire</v>
      </c>
      <c r="O162" s="48" t="s">
        <v>14431</v>
      </c>
      <c r="P162" s="60" t="s">
        <v>312</v>
      </c>
      <c r="Q162" s="48" t="s">
        <v>14432</v>
      </c>
      <c r="R162" s="48" t="s">
        <v>62</v>
      </c>
      <c r="S162" s="49" t="s">
        <v>74</v>
      </c>
      <c r="T162" s="48" t="s">
        <v>75</v>
      </c>
      <c r="U162" s="49" t="s">
        <v>3678</v>
      </c>
      <c r="V162" s="7" t="s">
        <v>214</v>
      </c>
      <c r="W162" s="49" t="s">
        <v>214</v>
      </c>
      <c r="X162" s="49" t="s">
        <v>214</v>
      </c>
      <c r="Y162" s="49" t="s">
        <v>214</v>
      </c>
      <c r="Z162" s="55" t="s">
        <v>214</v>
      </c>
      <c r="AA162" s="48" t="s">
        <v>14434</v>
      </c>
      <c r="AB162" s="84" t="s">
        <v>14431</v>
      </c>
      <c r="AC162" s="53" t="str">
        <f t="shared" si="86"/>
        <v>Link</v>
      </c>
      <c r="AD162" s="42">
        <v>11857</v>
      </c>
      <c r="AE162" s="55"/>
      <c r="AF162" s="55"/>
      <c r="AG162" s="56">
        <v>115126</v>
      </c>
      <c r="AH162" s="56"/>
      <c r="AI162" s="56"/>
    </row>
    <row r="163" spans="1:37" ht="15" x14ac:dyDescent="0.2">
      <c r="A163" s="110" t="s">
        <v>300</v>
      </c>
      <c r="B163" s="33" t="s">
        <v>12632</v>
      </c>
      <c r="C163" s="7" t="s">
        <v>14448</v>
      </c>
      <c r="D163" s="112">
        <v>5</v>
      </c>
      <c r="E163" s="7"/>
      <c r="F163" s="7"/>
      <c r="G163" s="2" t="s">
        <v>14422</v>
      </c>
      <c r="H163" s="2" t="s">
        <v>2168</v>
      </c>
      <c r="I163" s="2" t="s">
        <v>14449</v>
      </c>
      <c r="J163" s="2" t="s">
        <v>55</v>
      </c>
      <c r="K163" s="2"/>
      <c r="L163" s="2"/>
      <c r="M163" s="48"/>
      <c r="N163" s="45" t="str">
        <f t="shared" si="85"/>
        <v>Questionnaire</v>
      </c>
      <c r="O163" s="48" t="s">
        <v>14431</v>
      </c>
      <c r="P163" s="60" t="s">
        <v>312</v>
      </c>
      <c r="Q163" s="48" t="s">
        <v>14432</v>
      </c>
      <c r="R163" s="48" t="s">
        <v>62</v>
      </c>
      <c r="S163" s="49" t="s">
        <v>74</v>
      </c>
      <c r="T163" s="48" t="s">
        <v>75</v>
      </c>
      <c r="U163" s="49" t="s">
        <v>3678</v>
      </c>
      <c r="V163" s="7" t="s">
        <v>214</v>
      </c>
      <c r="W163" s="49" t="s">
        <v>214</v>
      </c>
      <c r="X163" s="49" t="s">
        <v>214</v>
      </c>
      <c r="Y163" s="49" t="s">
        <v>214</v>
      </c>
      <c r="Z163" s="55" t="s">
        <v>214</v>
      </c>
      <c r="AA163" s="48" t="s">
        <v>14434</v>
      </c>
      <c r="AB163" s="84" t="s">
        <v>14431</v>
      </c>
      <c r="AC163" s="53" t="str">
        <f t="shared" si="86"/>
        <v>Link</v>
      </c>
      <c r="AD163" s="42">
        <v>11857</v>
      </c>
      <c r="AE163" s="55"/>
      <c r="AF163" s="55"/>
      <c r="AG163" s="56">
        <v>115126</v>
      </c>
      <c r="AH163" s="56"/>
      <c r="AI163" s="56"/>
    </row>
    <row r="164" spans="1:37" ht="15" x14ac:dyDescent="0.2">
      <c r="A164" s="110" t="s">
        <v>300</v>
      </c>
      <c r="B164" s="33" t="s">
        <v>12632</v>
      </c>
      <c r="C164" s="7" t="s">
        <v>14459</v>
      </c>
      <c r="D164" s="112">
        <v>5</v>
      </c>
      <c r="E164" s="7"/>
      <c r="F164" s="7"/>
      <c r="G164" s="2" t="s">
        <v>14422</v>
      </c>
      <c r="H164" s="2" t="s">
        <v>1258</v>
      </c>
      <c r="I164" s="2" t="s">
        <v>14460</v>
      </c>
      <c r="J164" s="2" t="s">
        <v>48</v>
      </c>
      <c r="K164" s="2" t="s">
        <v>14424</v>
      </c>
      <c r="L164" s="2"/>
      <c r="M164" s="48"/>
      <c r="N164" s="45" t="str">
        <f t="shared" si="85"/>
        <v>Questionnaire</v>
      </c>
      <c r="O164" s="48" t="s">
        <v>14431</v>
      </c>
      <c r="P164" s="60" t="s">
        <v>312</v>
      </c>
      <c r="Q164" s="48" t="s">
        <v>14432</v>
      </c>
      <c r="R164" s="48" t="s">
        <v>62</v>
      </c>
      <c r="S164" s="49" t="s">
        <v>74</v>
      </c>
      <c r="T164" s="48" t="s">
        <v>75</v>
      </c>
      <c r="U164" s="49" t="s">
        <v>3678</v>
      </c>
      <c r="V164" s="7" t="s">
        <v>214</v>
      </c>
      <c r="W164" s="49" t="s">
        <v>214</v>
      </c>
      <c r="X164" s="49" t="s">
        <v>214</v>
      </c>
      <c r="Y164" s="49" t="s">
        <v>214</v>
      </c>
      <c r="Z164" s="55" t="s">
        <v>214</v>
      </c>
      <c r="AA164" s="48" t="s">
        <v>14434</v>
      </c>
      <c r="AB164" s="84" t="s">
        <v>14431</v>
      </c>
      <c r="AC164" s="53" t="str">
        <f t="shared" si="86"/>
        <v>Link</v>
      </c>
      <c r="AD164" s="42">
        <v>11857</v>
      </c>
      <c r="AE164" s="55"/>
      <c r="AF164" s="55"/>
      <c r="AG164" s="56">
        <v>115126</v>
      </c>
      <c r="AH164" s="56"/>
      <c r="AI164" s="56"/>
    </row>
    <row r="165" spans="1:37" ht="15" x14ac:dyDescent="0.2">
      <c r="A165" s="110" t="s">
        <v>300</v>
      </c>
      <c r="B165" s="33" t="s">
        <v>12632</v>
      </c>
      <c r="C165" s="7" t="s">
        <v>14466</v>
      </c>
      <c r="D165" s="112">
        <v>5</v>
      </c>
      <c r="E165" s="7"/>
      <c r="F165" s="7"/>
      <c r="G165" s="2" t="s">
        <v>14422</v>
      </c>
      <c r="H165" s="2" t="s">
        <v>11103</v>
      </c>
      <c r="I165" s="2" t="s">
        <v>14460</v>
      </c>
      <c r="J165" s="2" t="s">
        <v>139</v>
      </c>
      <c r="K165" s="2"/>
      <c r="L165" s="2"/>
      <c r="M165" s="48"/>
      <c r="N165" s="45" t="str">
        <f t="shared" si="85"/>
        <v>Questionnaire</v>
      </c>
      <c r="O165" s="48" t="s">
        <v>14431</v>
      </c>
      <c r="P165" s="60" t="s">
        <v>312</v>
      </c>
      <c r="Q165" s="48" t="s">
        <v>14432</v>
      </c>
      <c r="R165" s="48" t="s">
        <v>62</v>
      </c>
      <c r="S165" s="49" t="s">
        <v>74</v>
      </c>
      <c r="T165" s="48" t="s">
        <v>75</v>
      </c>
      <c r="U165" s="49" t="s">
        <v>3678</v>
      </c>
      <c r="V165" s="7" t="s">
        <v>214</v>
      </c>
      <c r="W165" s="49" t="s">
        <v>214</v>
      </c>
      <c r="X165" s="49" t="s">
        <v>214</v>
      </c>
      <c r="Y165" s="49" t="s">
        <v>214</v>
      </c>
      <c r="Z165" s="55" t="s">
        <v>214</v>
      </c>
      <c r="AA165" s="48" t="s">
        <v>14434</v>
      </c>
      <c r="AB165" s="84" t="s">
        <v>14431</v>
      </c>
      <c r="AC165" s="53" t="str">
        <f t="shared" si="86"/>
        <v>Link</v>
      </c>
      <c r="AD165" s="42">
        <v>11857</v>
      </c>
      <c r="AE165" s="55"/>
      <c r="AF165" s="55"/>
      <c r="AG165" s="56">
        <v>115126</v>
      </c>
      <c r="AH165" s="56"/>
      <c r="AI165" s="56"/>
    </row>
    <row r="166" spans="1:37" ht="13" x14ac:dyDescent="0.15">
      <c r="A166" s="110" t="s">
        <v>300</v>
      </c>
      <c r="B166" s="2" t="s">
        <v>12632</v>
      </c>
      <c r="C166" s="7" t="s">
        <v>14473</v>
      </c>
      <c r="D166" s="44">
        <v>5</v>
      </c>
      <c r="E166" s="7"/>
      <c r="F166" s="7"/>
      <c r="G166" s="7" t="s">
        <v>14474</v>
      </c>
      <c r="H166" s="7" t="s">
        <v>2005</v>
      </c>
      <c r="I166" s="7" t="s">
        <v>14476</v>
      </c>
      <c r="J166" s="7" t="s">
        <v>55</v>
      </c>
      <c r="K166" s="7"/>
      <c r="L166" s="7"/>
      <c r="M166" s="48"/>
      <c r="N166" s="48"/>
      <c r="O166" s="48" t="s">
        <v>14479</v>
      </c>
      <c r="P166" s="47" t="s">
        <v>312</v>
      </c>
      <c r="Q166" s="48" t="s">
        <v>14480</v>
      </c>
      <c r="R166" s="48" t="s">
        <v>238</v>
      </c>
      <c r="S166" s="5" t="s">
        <v>74</v>
      </c>
      <c r="T166" s="4" t="s">
        <v>75</v>
      </c>
      <c r="U166" s="49" t="s">
        <v>3678</v>
      </c>
      <c r="V166" s="7" t="s">
        <v>214</v>
      </c>
      <c r="W166" s="49" t="s">
        <v>214</v>
      </c>
      <c r="X166" s="49" t="s">
        <v>214</v>
      </c>
      <c r="Y166" s="4" t="s">
        <v>214</v>
      </c>
      <c r="Z166" s="8" t="s">
        <v>214</v>
      </c>
      <c r="AA166" s="48" t="s">
        <v>14481</v>
      </c>
      <c r="AB166" s="76" t="s">
        <v>14479</v>
      </c>
      <c r="AC166" s="67" t="str">
        <f t="shared" ref="AC166:AC170" si="87">HYPERLINK("https://www.grossmont.edu/academics/programs-departments/business-office-technology/degreeInfo.aspx","Link")</f>
        <v>Link</v>
      </c>
      <c r="AD166" s="42">
        <v>18498</v>
      </c>
      <c r="AE166" s="8"/>
      <c r="AF166" s="55"/>
      <c r="AG166" s="56">
        <v>115296</v>
      </c>
      <c r="AH166" s="56"/>
      <c r="AI166" s="56"/>
    </row>
    <row r="167" spans="1:37" ht="15" x14ac:dyDescent="0.2">
      <c r="A167" s="110" t="s">
        <v>300</v>
      </c>
      <c r="B167" s="33" t="s">
        <v>12632</v>
      </c>
      <c r="C167" s="7" t="s">
        <v>14487</v>
      </c>
      <c r="D167" s="112">
        <v>5</v>
      </c>
      <c r="E167" s="7"/>
      <c r="F167" s="7"/>
      <c r="G167" s="2" t="s">
        <v>14474</v>
      </c>
      <c r="H167" s="2" t="s">
        <v>1332</v>
      </c>
      <c r="I167" s="2" t="s">
        <v>14489</v>
      </c>
      <c r="J167" s="2" t="s">
        <v>48</v>
      </c>
      <c r="K167" s="2" t="s">
        <v>14490</v>
      </c>
      <c r="L167" s="2"/>
      <c r="M167" s="48"/>
      <c r="N167" s="45" t="str">
        <f t="shared" ref="N167:N170" si="88">HYPERLINK("https://www.grossmontgriffins.com/information/Recruit_Questionnaire_per_Sport","Questionnaire")</f>
        <v>Questionnaire</v>
      </c>
      <c r="O167" s="48" t="s">
        <v>14479</v>
      </c>
      <c r="P167" s="60" t="s">
        <v>312</v>
      </c>
      <c r="Q167" s="48" t="s">
        <v>14480</v>
      </c>
      <c r="R167" s="48" t="s">
        <v>238</v>
      </c>
      <c r="S167" s="5" t="s">
        <v>74</v>
      </c>
      <c r="T167" s="48" t="s">
        <v>75</v>
      </c>
      <c r="U167" s="49" t="s">
        <v>3678</v>
      </c>
      <c r="V167" s="7" t="s">
        <v>214</v>
      </c>
      <c r="W167" s="49" t="s">
        <v>214</v>
      </c>
      <c r="X167" s="49" t="s">
        <v>214</v>
      </c>
      <c r="Y167" s="49" t="s">
        <v>214</v>
      </c>
      <c r="Z167" s="55" t="s">
        <v>214</v>
      </c>
      <c r="AA167" s="48" t="s">
        <v>14481</v>
      </c>
      <c r="AB167" s="84" t="s">
        <v>14479</v>
      </c>
      <c r="AC167" s="53" t="str">
        <f t="shared" si="87"/>
        <v>Link</v>
      </c>
      <c r="AD167" s="42">
        <v>18498</v>
      </c>
      <c r="AE167" s="55"/>
      <c r="AF167" s="55"/>
      <c r="AG167" s="56">
        <v>115296</v>
      </c>
      <c r="AH167" s="56"/>
      <c r="AI167" s="56"/>
    </row>
    <row r="168" spans="1:37" ht="15" x14ac:dyDescent="0.2">
      <c r="A168" s="110" t="s">
        <v>300</v>
      </c>
      <c r="B168" s="33" t="s">
        <v>12632</v>
      </c>
      <c r="C168" s="7" t="s">
        <v>14495</v>
      </c>
      <c r="D168" s="112">
        <v>5</v>
      </c>
      <c r="E168" s="7"/>
      <c r="F168" s="7"/>
      <c r="G168" s="2" t="s">
        <v>14474</v>
      </c>
      <c r="H168" s="2" t="s">
        <v>1212</v>
      </c>
      <c r="I168" s="2" t="s">
        <v>14496</v>
      </c>
      <c r="J168" s="2" t="s">
        <v>55</v>
      </c>
      <c r="K168" s="2"/>
      <c r="L168" s="2"/>
      <c r="M168" s="48"/>
      <c r="N168" s="45" t="str">
        <f t="shared" si="88"/>
        <v>Questionnaire</v>
      </c>
      <c r="O168" s="48" t="s">
        <v>14479</v>
      </c>
      <c r="P168" s="60" t="s">
        <v>312</v>
      </c>
      <c r="Q168" s="48" t="s">
        <v>14480</v>
      </c>
      <c r="R168" s="48" t="s">
        <v>238</v>
      </c>
      <c r="S168" s="5" t="s">
        <v>74</v>
      </c>
      <c r="T168" s="48" t="s">
        <v>75</v>
      </c>
      <c r="U168" s="49" t="s">
        <v>3678</v>
      </c>
      <c r="V168" s="7" t="s">
        <v>214</v>
      </c>
      <c r="W168" s="49" t="s">
        <v>214</v>
      </c>
      <c r="X168" s="49" t="s">
        <v>214</v>
      </c>
      <c r="Y168" s="49" t="s">
        <v>214</v>
      </c>
      <c r="Z168" s="55" t="s">
        <v>214</v>
      </c>
      <c r="AA168" s="48" t="s">
        <v>14481</v>
      </c>
      <c r="AB168" s="84" t="s">
        <v>14479</v>
      </c>
      <c r="AC168" s="53" t="str">
        <f t="shared" si="87"/>
        <v>Link</v>
      </c>
      <c r="AD168" s="42">
        <v>18498</v>
      </c>
      <c r="AE168" s="55"/>
      <c r="AF168" s="55"/>
      <c r="AG168" s="56">
        <v>115296</v>
      </c>
      <c r="AH168" s="56"/>
      <c r="AI168" s="56"/>
    </row>
    <row r="169" spans="1:37" ht="15" x14ac:dyDescent="0.2">
      <c r="A169" s="110" t="s">
        <v>300</v>
      </c>
      <c r="B169" s="33" t="s">
        <v>12632</v>
      </c>
      <c r="C169" s="7" t="s">
        <v>14504</v>
      </c>
      <c r="D169" s="112">
        <v>5</v>
      </c>
      <c r="E169" s="7"/>
      <c r="F169" s="7"/>
      <c r="G169" s="2" t="s">
        <v>14474</v>
      </c>
      <c r="H169" s="2" t="s">
        <v>363</v>
      </c>
      <c r="I169" s="2" t="s">
        <v>14505</v>
      </c>
      <c r="J169" s="2" t="s">
        <v>55</v>
      </c>
      <c r="K169" s="2"/>
      <c r="L169" s="2"/>
      <c r="M169" s="48"/>
      <c r="N169" s="45" t="str">
        <f t="shared" si="88"/>
        <v>Questionnaire</v>
      </c>
      <c r="O169" s="48" t="s">
        <v>14479</v>
      </c>
      <c r="P169" s="60" t="s">
        <v>312</v>
      </c>
      <c r="Q169" s="48" t="s">
        <v>14480</v>
      </c>
      <c r="R169" s="48" t="s">
        <v>238</v>
      </c>
      <c r="S169" s="5" t="s">
        <v>74</v>
      </c>
      <c r="T169" s="48" t="s">
        <v>75</v>
      </c>
      <c r="U169" s="49" t="s">
        <v>3678</v>
      </c>
      <c r="V169" s="7" t="s">
        <v>214</v>
      </c>
      <c r="W169" s="49" t="s">
        <v>214</v>
      </c>
      <c r="X169" s="49" t="s">
        <v>214</v>
      </c>
      <c r="Y169" s="49" t="s">
        <v>214</v>
      </c>
      <c r="Z169" s="55" t="s">
        <v>214</v>
      </c>
      <c r="AA169" s="48" t="s">
        <v>14481</v>
      </c>
      <c r="AB169" s="84" t="s">
        <v>14479</v>
      </c>
      <c r="AC169" s="53" t="str">
        <f t="shared" si="87"/>
        <v>Link</v>
      </c>
      <c r="AD169" s="42">
        <v>18498</v>
      </c>
      <c r="AE169" s="55"/>
      <c r="AF169" s="55"/>
      <c r="AG169" s="56">
        <v>115296</v>
      </c>
      <c r="AH169" s="56"/>
      <c r="AI169" s="56"/>
    </row>
    <row r="170" spans="1:37" ht="15" x14ac:dyDescent="0.2">
      <c r="A170" s="110" t="s">
        <v>300</v>
      </c>
      <c r="B170" s="33" t="s">
        <v>12632</v>
      </c>
      <c r="C170" s="7" t="s">
        <v>14513</v>
      </c>
      <c r="D170" s="112">
        <v>5</v>
      </c>
      <c r="E170" s="7"/>
      <c r="F170" s="7"/>
      <c r="G170" s="2" t="s">
        <v>14474</v>
      </c>
      <c r="H170" s="2" t="s">
        <v>754</v>
      </c>
      <c r="I170" s="2" t="s">
        <v>14489</v>
      </c>
      <c r="J170" s="2" t="s">
        <v>55</v>
      </c>
      <c r="K170" s="2"/>
      <c r="L170" s="2"/>
      <c r="M170" s="48"/>
      <c r="N170" s="45" t="str">
        <f t="shared" si="88"/>
        <v>Questionnaire</v>
      </c>
      <c r="O170" s="48" t="s">
        <v>14479</v>
      </c>
      <c r="P170" s="60" t="s">
        <v>312</v>
      </c>
      <c r="Q170" s="48" t="s">
        <v>14480</v>
      </c>
      <c r="R170" s="48" t="s">
        <v>238</v>
      </c>
      <c r="S170" s="5" t="s">
        <v>74</v>
      </c>
      <c r="T170" s="48" t="s">
        <v>75</v>
      </c>
      <c r="U170" s="49" t="s">
        <v>3678</v>
      </c>
      <c r="V170" s="7" t="s">
        <v>214</v>
      </c>
      <c r="W170" s="49" t="s">
        <v>214</v>
      </c>
      <c r="X170" s="49" t="s">
        <v>214</v>
      </c>
      <c r="Y170" s="49" t="s">
        <v>214</v>
      </c>
      <c r="Z170" s="55" t="s">
        <v>214</v>
      </c>
      <c r="AA170" s="48" t="s">
        <v>14481</v>
      </c>
      <c r="AB170" s="84" t="s">
        <v>14479</v>
      </c>
      <c r="AC170" s="53" t="str">
        <f t="shared" si="87"/>
        <v>Link</v>
      </c>
      <c r="AD170" s="42">
        <v>18498</v>
      </c>
      <c r="AE170" s="55"/>
      <c r="AF170" s="55"/>
      <c r="AG170" s="56">
        <v>115296</v>
      </c>
      <c r="AH170" s="56"/>
      <c r="AI170" s="56"/>
    </row>
    <row r="171" spans="1:37" ht="15" x14ac:dyDescent="0.2">
      <c r="A171" s="31" t="s">
        <v>300</v>
      </c>
      <c r="B171" s="33" t="s">
        <v>12632</v>
      </c>
      <c r="C171" s="7"/>
      <c r="D171" s="112">
        <v>5</v>
      </c>
      <c r="E171" s="7"/>
      <c r="F171" s="112"/>
      <c r="G171" s="2" t="s">
        <v>14518</v>
      </c>
      <c r="H171" s="2" t="s">
        <v>338</v>
      </c>
      <c r="I171" s="2" t="s">
        <v>287</v>
      </c>
      <c r="J171" s="2" t="s">
        <v>48</v>
      </c>
      <c r="K171" s="2" t="s">
        <v>14519</v>
      </c>
      <c r="L171" s="2" t="s">
        <v>14520</v>
      </c>
      <c r="M171" s="48"/>
      <c r="N171" s="45" t="str">
        <f t="shared" ref="N171:N172" si="89">HYPERLINK("http://www.hartnellpanthers.com/recruits/Athletic_Recruitment_Form","Questionnaire")</f>
        <v>Questionnaire</v>
      </c>
      <c r="O171" s="48" t="s">
        <v>14525</v>
      </c>
      <c r="P171" s="60" t="s">
        <v>312</v>
      </c>
      <c r="Q171" s="48" t="s">
        <v>14527</v>
      </c>
      <c r="R171" s="48" t="s">
        <v>62</v>
      </c>
      <c r="S171" s="49" t="s">
        <v>74</v>
      </c>
      <c r="T171" s="48" t="s">
        <v>75</v>
      </c>
      <c r="U171" s="49" t="s">
        <v>3678</v>
      </c>
      <c r="V171" s="7" t="s">
        <v>214</v>
      </c>
      <c r="W171" s="49" t="s">
        <v>214</v>
      </c>
      <c r="X171" s="49" t="s">
        <v>214</v>
      </c>
      <c r="Y171" s="49" t="s">
        <v>214</v>
      </c>
      <c r="Z171" s="55" t="s">
        <v>214</v>
      </c>
      <c r="AA171" s="48" t="s">
        <v>14529</v>
      </c>
      <c r="AB171" s="84" t="s">
        <v>14525</v>
      </c>
      <c r="AC171" s="53" t="str">
        <f t="shared" ref="AC171:AC172" si="90">HYPERLINK("http://www.hartnell.edu/list-degrees-and-major-requirements","Link")</f>
        <v>Link</v>
      </c>
      <c r="AD171" s="42">
        <v>12328</v>
      </c>
      <c r="AE171" s="55"/>
      <c r="AF171" s="55"/>
      <c r="AG171" s="56">
        <v>115393</v>
      </c>
      <c r="AH171" s="7" t="s">
        <v>2459</v>
      </c>
      <c r="AI171" s="7"/>
      <c r="AJ171" s="7"/>
      <c r="AK171" s="7"/>
    </row>
    <row r="172" spans="1:37" ht="15" x14ac:dyDescent="0.2">
      <c r="A172" s="31" t="s">
        <v>300</v>
      </c>
      <c r="B172" s="33" t="s">
        <v>12632</v>
      </c>
      <c r="C172" s="7"/>
      <c r="D172" s="112">
        <v>5</v>
      </c>
      <c r="E172" s="7"/>
      <c r="F172" s="112"/>
      <c r="G172" s="2" t="s">
        <v>14518</v>
      </c>
      <c r="H172" s="2" t="s">
        <v>14532</v>
      </c>
      <c r="I172" s="2" t="s">
        <v>14533</v>
      </c>
      <c r="J172" s="2" t="s">
        <v>55</v>
      </c>
      <c r="K172" s="2"/>
      <c r="L172" s="2"/>
      <c r="M172" s="48"/>
      <c r="N172" s="45" t="str">
        <f t="shared" si="89"/>
        <v>Questionnaire</v>
      </c>
      <c r="O172" s="48" t="s">
        <v>14525</v>
      </c>
      <c r="P172" s="60" t="s">
        <v>312</v>
      </c>
      <c r="Q172" s="48" t="s">
        <v>14527</v>
      </c>
      <c r="R172" s="48" t="s">
        <v>62</v>
      </c>
      <c r="S172" s="49" t="s">
        <v>74</v>
      </c>
      <c r="T172" s="48" t="s">
        <v>75</v>
      </c>
      <c r="U172" s="49" t="s">
        <v>3678</v>
      </c>
      <c r="V172" s="7" t="s">
        <v>214</v>
      </c>
      <c r="W172" s="49" t="s">
        <v>214</v>
      </c>
      <c r="X172" s="49" t="s">
        <v>214</v>
      </c>
      <c r="Y172" s="49" t="s">
        <v>214</v>
      </c>
      <c r="Z172" s="55" t="s">
        <v>214</v>
      </c>
      <c r="AA172" s="48" t="s">
        <v>14529</v>
      </c>
      <c r="AB172" s="84" t="s">
        <v>14525</v>
      </c>
      <c r="AC172" s="53" t="str">
        <f t="shared" si="90"/>
        <v>Link</v>
      </c>
      <c r="AD172" s="42">
        <v>12328</v>
      </c>
      <c r="AE172" s="55"/>
      <c r="AF172" s="55"/>
      <c r="AG172" s="56">
        <v>115393</v>
      </c>
      <c r="AH172" s="7" t="s">
        <v>2459</v>
      </c>
      <c r="AI172" s="7"/>
      <c r="AJ172" s="7"/>
      <c r="AK172" s="7"/>
    </row>
    <row r="173" spans="1:37" ht="15" x14ac:dyDescent="0.2">
      <c r="A173" s="110" t="s">
        <v>300</v>
      </c>
      <c r="B173" s="33" t="s">
        <v>12632</v>
      </c>
      <c r="C173" s="7" t="s">
        <v>14538</v>
      </c>
      <c r="D173" s="112">
        <v>5</v>
      </c>
      <c r="E173" s="7"/>
      <c r="F173" s="7" t="s">
        <v>126</v>
      </c>
      <c r="G173" s="2" t="s">
        <v>14540</v>
      </c>
      <c r="H173" s="2" t="s">
        <v>14542</v>
      </c>
      <c r="I173" s="2"/>
      <c r="J173" s="2"/>
      <c r="K173" s="2"/>
      <c r="L173" s="2"/>
      <c r="M173" s="48"/>
      <c r="N173" s="45" t="str">
        <f t="shared" ref="N173:N175" si="91">HYPERLINK("http://athletics.imperial.edu/information/Recruit_Form","Questionnaire")</f>
        <v>Questionnaire</v>
      </c>
      <c r="O173" s="48" t="s">
        <v>14547</v>
      </c>
      <c r="P173" s="60" t="s">
        <v>312</v>
      </c>
      <c r="Q173" s="48" t="s">
        <v>14548</v>
      </c>
      <c r="R173" s="48" t="s">
        <v>172</v>
      </c>
      <c r="S173" s="49" t="s">
        <v>74</v>
      </c>
      <c r="T173" s="48" t="s">
        <v>75</v>
      </c>
      <c r="U173" s="49" t="s">
        <v>3678</v>
      </c>
      <c r="V173" s="7" t="s">
        <v>214</v>
      </c>
      <c r="W173" s="49" t="s">
        <v>214</v>
      </c>
      <c r="X173" s="49" t="s">
        <v>214</v>
      </c>
      <c r="Y173" s="49" t="s">
        <v>214</v>
      </c>
      <c r="Z173" s="55" t="s">
        <v>214</v>
      </c>
      <c r="AA173" s="48" t="s">
        <v>14550</v>
      </c>
      <c r="AB173" s="84" t="s">
        <v>14547</v>
      </c>
      <c r="AC173" s="53" t="str">
        <f t="shared" ref="AC173:AC175" si="92">HYPERLINK("https://www.imperial.edu/courses-and-programs/","Link")</f>
        <v>Link</v>
      </c>
      <c r="AD173" s="42">
        <v>7824</v>
      </c>
      <c r="AE173" s="55"/>
      <c r="AF173" s="55"/>
      <c r="AG173" s="56">
        <v>115861</v>
      </c>
      <c r="AH173" s="56"/>
      <c r="AI173" s="56"/>
    </row>
    <row r="174" spans="1:37" ht="15" x14ac:dyDescent="0.2">
      <c r="A174" s="110" t="s">
        <v>300</v>
      </c>
      <c r="B174" s="33" t="s">
        <v>12632</v>
      </c>
      <c r="C174" s="7" t="s">
        <v>14538</v>
      </c>
      <c r="D174" s="112">
        <v>5</v>
      </c>
      <c r="E174" s="7" t="s">
        <v>116</v>
      </c>
      <c r="F174" s="7"/>
      <c r="G174" s="2" t="s">
        <v>14540</v>
      </c>
      <c r="H174" s="2" t="s">
        <v>421</v>
      </c>
      <c r="I174" s="2"/>
      <c r="J174" s="2" t="s">
        <v>48</v>
      </c>
      <c r="K174" s="2"/>
      <c r="L174" s="2"/>
      <c r="M174" s="48"/>
      <c r="N174" s="45" t="str">
        <f t="shared" si="91"/>
        <v>Questionnaire</v>
      </c>
      <c r="O174" s="48" t="s">
        <v>14547</v>
      </c>
      <c r="P174" s="60" t="s">
        <v>312</v>
      </c>
      <c r="Q174" s="48" t="s">
        <v>14548</v>
      </c>
      <c r="R174" s="48" t="s">
        <v>172</v>
      </c>
      <c r="S174" s="49" t="s">
        <v>74</v>
      </c>
      <c r="T174" s="48" t="s">
        <v>75</v>
      </c>
      <c r="U174" s="49" t="s">
        <v>3678</v>
      </c>
      <c r="V174" s="7" t="s">
        <v>214</v>
      </c>
      <c r="W174" s="49" t="s">
        <v>214</v>
      </c>
      <c r="X174" s="49" t="s">
        <v>214</v>
      </c>
      <c r="Y174" s="49" t="s">
        <v>214</v>
      </c>
      <c r="Z174" s="55" t="s">
        <v>214</v>
      </c>
      <c r="AA174" s="48" t="s">
        <v>14550</v>
      </c>
      <c r="AB174" s="84" t="s">
        <v>14547</v>
      </c>
      <c r="AC174" s="53" t="str">
        <f t="shared" si="92"/>
        <v>Link</v>
      </c>
      <c r="AD174" s="42">
        <v>7824</v>
      </c>
      <c r="AE174" s="55"/>
      <c r="AF174" s="55"/>
      <c r="AG174" s="56">
        <v>115861</v>
      </c>
      <c r="AH174" s="56"/>
      <c r="AI174" s="56"/>
    </row>
    <row r="175" spans="1:37" ht="15" x14ac:dyDescent="0.2">
      <c r="A175" s="110" t="s">
        <v>300</v>
      </c>
      <c r="B175" s="33" t="s">
        <v>12632</v>
      </c>
      <c r="C175" s="7" t="s">
        <v>14560</v>
      </c>
      <c r="D175" s="112">
        <v>5</v>
      </c>
      <c r="E175" s="7"/>
      <c r="F175" s="7" t="s">
        <v>126</v>
      </c>
      <c r="G175" s="2" t="s">
        <v>14540</v>
      </c>
      <c r="H175" s="2" t="s">
        <v>14561</v>
      </c>
      <c r="I175" s="2"/>
      <c r="J175" s="2"/>
      <c r="K175" s="2"/>
      <c r="L175" s="2"/>
      <c r="M175" s="48"/>
      <c r="N175" s="45" t="str">
        <f t="shared" si="91"/>
        <v>Questionnaire</v>
      </c>
      <c r="O175" s="48" t="s">
        <v>14547</v>
      </c>
      <c r="P175" s="60" t="s">
        <v>312</v>
      </c>
      <c r="Q175" s="48" t="s">
        <v>14548</v>
      </c>
      <c r="R175" s="48" t="s">
        <v>172</v>
      </c>
      <c r="S175" s="49" t="s">
        <v>74</v>
      </c>
      <c r="T175" s="48" t="s">
        <v>75</v>
      </c>
      <c r="U175" s="49" t="s">
        <v>3678</v>
      </c>
      <c r="V175" s="7" t="s">
        <v>214</v>
      </c>
      <c r="W175" s="49" t="s">
        <v>214</v>
      </c>
      <c r="X175" s="49" t="s">
        <v>214</v>
      </c>
      <c r="Y175" s="49" t="s">
        <v>214</v>
      </c>
      <c r="Z175" s="55" t="s">
        <v>214</v>
      </c>
      <c r="AA175" s="48" t="s">
        <v>14550</v>
      </c>
      <c r="AB175" s="84" t="s">
        <v>14547</v>
      </c>
      <c r="AC175" s="53" t="str">
        <f t="shared" si="92"/>
        <v>Link</v>
      </c>
      <c r="AD175" s="42">
        <v>7824</v>
      </c>
      <c r="AE175" s="55"/>
      <c r="AF175" s="55"/>
      <c r="AG175" s="56">
        <v>115861</v>
      </c>
      <c r="AH175" s="56"/>
      <c r="AI175" s="56"/>
    </row>
    <row r="176" spans="1:37" ht="15" x14ac:dyDescent="0.2">
      <c r="A176" s="110" t="s">
        <v>300</v>
      </c>
      <c r="B176" s="33" t="s">
        <v>12632</v>
      </c>
      <c r="C176" s="7" t="s">
        <v>14569</v>
      </c>
      <c r="D176" s="112">
        <v>5</v>
      </c>
      <c r="E176" s="7"/>
      <c r="F176" s="7"/>
      <c r="G176" s="2" t="s">
        <v>14570</v>
      </c>
      <c r="H176" s="2" t="s">
        <v>1159</v>
      </c>
      <c r="I176" s="2" t="s">
        <v>14571</v>
      </c>
      <c r="J176" s="2" t="s">
        <v>48</v>
      </c>
      <c r="K176" s="2" t="s">
        <v>14572</v>
      </c>
      <c r="L176" s="2" t="s">
        <v>14573</v>
      </c>
      <c r="M176" s="48"/>
      <c r="N176" s="45" t="str">
        <f>HYPERLINK("http://www.lassenathletics.com/recruiting.php","Questionnaire")</f>
        <v>Questionnaire</v>
      </c>
      <c r="O176" s="60" t="s">
        <v>14576</v>
      </c>
      <c r="P176" s="60" t="s">
        <v>312</v>
      </c>
      <c r="Q176" s="48" t="s">
        <v>14578</v>
      </c>
      <c r="R176" s="48" t="s">
        <v>172</v>
      </c>
      <c r="S176" s="49" t="s">
        <v>74</v>
      </c>
      <c r="T176" s="48" t="s">
        <v>75</v>
      </c>
      <c r="U176" s="49" t="s">
        <v>3678</v>
      </c>
      <c r="V176" s="7" t="s">
        <v>214</v>
      </c>
      <c r="W176" s="49" t="s">
        <v>214</v>
      </c>
      <c r="X176" s="49" t="s">
        <v>214</v>
      </c>
      <c r="Y176" s="49" t="s">
        <v>214</v>
      </c>
      <c r="Z176" s="55" t="s">
        <v>214</v>
      </c>
      <c r="AA176" s="48" t="s">
        <v>14582</v>
      </c>
      <c r="AB176" s="90" t="s">
        <v>14576</v>
      </c>
      <c r="AC176" s="53" t="str">
        <f>HYPERLINK("http://www.lassencollege.edu/academics/programs/Pages/default.aspx","Link")</f>
        <v>Link</v>
      </c>
      <c r="AD176" s="42">
        <v>2227</v>
      </c>
      <c r="AE176" s="55"/>
      <c r="AF176" s="55"/>
      <c r="AG176" s="56">
        <v>117274</v>
      </c>
      <c r="AH176" s="56"/>
      <c r="AI176" s="56"/>
    </row>
    <row r="177" spans="1:37" ht="15" x14ac:dyDescent="0.2">
      <c r="A177" s="110" t="s">
        <v>300</v>
      </c>
      <c r="B177" s="33" t="s">
        <v>12632</v>
      </c>
      <c r="C177" s="7" t="s">
        <v>14586</v>
      </c>
      <c r="D177" s="112">
        <v>5</v>
      </c>
      <c r="E177" s="7"/>
      <c r="F177" s="7"/>
      <c r="G177" s="2" t="s">
        <v>14587</v>
      </c>
      <c r="H177" s="2" t="s">
        <v>306</v>
      </c>
      <c r="I177" s="2" t="s">
        <v>729</v>
      </c>
      <c r="J177" s="2" t="s">
        <v>48</v>
      </c>
      <c r="K177" s="2" t="s">
        <v>14589</v>
      </c>
      <c r="L177" s="2" t="s">
        <v>14590</v>
      </c>
      <c r="M177" s="48"/>
      <c r="N177" s="45" t="str">
        <f t="shared" ref="N177:N182" si="93">HYPERLINK("https://www.lbccvikings.com/recruits/index","Questionnaire")</f>
        <v>Questionnaire</v>
      </c>
      <c r="O177" s="48" t="s">
        <v>14592</v>
      </c>
      <c r="P177" s="60" t="s">
        <v>312</v>
      </c>
      <c r="Q177" s="48" t="s">
        <v>5524</v>
      </c>
      <c r="R177" s="48" t="s">
        <v>354</v>
      </c>
      <c r="S177" s="49" t="s">
        <v>74</v>
      </c>
      <c r="T177" s="48" t="s">
        <v>75</v>
      </c>
      <c r="U177" s="49" t="s">
        <v>3678</v>
      </c>
      <c r="V177" s="7" t="s">
        <v>214</v>
      </c>
      <c r="W177" s="49" t="s">
        <v>214</v>
      </c>
      <c r="X177" s="49" t="s">
        <v>214</v>
      </c>
      <c r="Y177" s="49" t="s">
        <v>214</v>
      </c>
      <c r="Z177" s="55" t="s">
        <v>214</v>
      </c>
      <c r="AA177" s="39">
        <v>11635</v>
      </c>
      <c r="AB177" s="84" t="s">
        <v>14592</v>
      </c>
      <c r="AC177" s="53" t="str">
        <f t="shared" ref="AC177:AC182" si="94">HYPERLINK("https://www.lbcc.edu/academics","Link")</f>
        <v>Link</v>
      </c>
      <c r="AD177" s="42">
        <v>24704</v>
      </c>
      <c r="AE177" s="55"/>
      <c r="AF177" s="55"/>
      <c r="AG177" s="56">
        <v>117645</v>
      </c>
      <c r="AH177" s="56"/>
      <c r="AI177" s="56"/>
    </row>
    <row r="178" spans="1:37" ht="15" x14ac:dyDescent="0.2">
      <c r="A178" s="110" t="s">
        <v>300</v>
      </c>
      <c r="B178" s="33" t="s">
        <v>12632</v>
      </c>
      <c r="C178" s="7" t="s">
        <v>14598</v>
      </c>
      <c r="D178" s="112">
        <v>5</v>
      </c>
      <c r="E178" s="7"/>
      <c r="F178" s="7"/>
      <c r="G178" s="2" t="s">
        <v>14587</v>
      </c>
      <c r="H178" s="2" t="s">
        <v>14602</v>
      </c>
      <c r="I178" s="2" t="s">
        <v>14603</v>
      </c>
      <c r="J178" s="2" t="s">
        <v>55</v>
      </c>
      <c r="K178" s="2"/>
      <c r="L178" s="2" t="s">
        <v>14590</v>
      </c>
      <c r="M178" s="48"/>
      <c r="N178" s="45" t="str">
        <f t="shared" si="93"/>
        <v>Questionnaire</v>
      </c>
      <c r="O178" s="48" t="s">
        <v>14592</v>
      </c>
      <c r="P178" s="60" t="s">
        <v>312</v>
      </c>
      <c r="Q178" s="48" t="s">
        <v>5524</v>
      </c>
      <c r="R178" s="48" t="s">
        <v>354</v>
      </c>
      <c r="S178" s="49" t="s">
        <v>74</v>
      </c>
      <c r="T178" s="48" t="s">
        <v>75</v>
      </c>
      <c r="U178" s="49" t="s">
        <v>3678</v>
      </c>
      <c r="V178" s="7" t="s">
        <v>214</v>
      </c>
      <c r="W178" s="49" t="s">
        <v>214</v>
      </c>
      <c r="X178" s="49" t="s">
        <v>214</v>
      </c>
      <c r="Y178" s="49" t="s">
        <v>214</v>
      </c>
      <c r="Z178" s="55" t="s">
        <v>214</v>
      </c>
      <c r="AA178" s="39">
        <v>11635</v>
      </c>
      <c r="AB178" s="84" t="s">
        <v>14592</v>
      </c>
      <c r="AC178" s="53" t="str">
        <f t="shared" si="94"/>
        <v>Link</v>
      </c>
      <c r="AD178" s="42">
        <v>24704</v>
      </c>
      <c r="AE178" s="55"/>
      <c r="AF178" s="55"/>
      <c r="AG178" s="56">
        <v>117645</v>
      </c>
      <c r="AH178" s="56"/>
      <c r="AI178" s="56"/>
    </row>
    <row r="179" spans="1:37" ht="15" x14ac:dyDescent="0.2">
      <c r="A179" s="110" t="s">
        <v>300</v>
      </c>
      <c r="B179" s="33" t="s">
        <v>12632</v>
      </c>
      <c r="C179" s="7" t="s">
        <v>14609</v>
      </c>
      <c r="D179" s="112">
        <v>5</v>
      </c>
      <c r="E179" s="7"/>
      <c r="F179" s="7"/>
      <c r="G179" s="2" t="s">
        <v>14587</v>
      </c>
      <c r="H179" s="2" t="s">
        <v>14611</v>
      </c>
      <c r="I179" s="2" t="s">
        <v>14613</v>
      </c>
      <c r="J179" s="2" t="s">
        <v>55</v>
      </c>
      <c r="K179" s="2"/>
      <c r="L179" s="2"/>
      <c r="M179" s="48"/>
      <c r="N179" s="45" t="str">
        <f t="shared" si="93"/>
        <v>Questionnaire</v>
      </c>
      <c r="O179" s="48" t="s">
        <v>14592</v>
      </c>
      <c r="P179" s="60" t="s">
        <v>312</v>
      </c>
      <c r="Q179" s="48" t="s">
        <v>5524</v>
      </c>
      <c r="R179" s="48" t="s">
        <v>354</v>
      </c>
      <c r="S179" s="49" t="s">
        <v>74</v>
      </c>
      <c r="T179" s="48" t="s">
        <v>75</v>
      </c>
      <c r="U179" s="49" t="s">
        <v>3678</v>
      </c>
      <c r="V179" s="7" t="s">
        <v>214</v>
      </c>
      <c r="W179" s="49" t="s">
        <v>214</v>
      </c>
      <c r="X179" s="49" t="s">
        <v>214</v>
      </c>
      <c r="Y179" s="49" t="s">
        <v>214</v>
      </c>
      <c r="Z179" s="55" t="s">
        <v>214</v>
      </c>
      <c r="AA179" s="39">
        <v>11635</v>
      </c>
      <c r="AB179" s="84" t="s">
        <v>14592</v>
      </c>
      <c r="AC179" s="53" t="str">
        <f t="shared" si="94"/>
        <v>Link</v>
      </c>
      <c r="AD179" s="42">
        <v>24704</v>
      </c>
      <c r="AE179" s="55"/>
      <c r="AF179" s="55"/>
      <c r="AG179" s="56">
        <v>117645</v>
      </c>
      <c r="AH179" s="56"/>
      <c r="AI179" s="56"/>
    </row>
    <row r="180" spans="1:37" ht="15" x14ac:dyDescent="0.2">
      <c r="A180" s="110" t="s">
        <v>300</v>
      </c>
      <c r="B180" s="33" t="s">
        <v>12632</v>
      </c>
      <c r="C180" s="7" t="s">
        <v>14622</v>
      </c>
      <c r="D180" s="112">
        <v>5</v>
      </c>
      <c r="E180" s="7"/>
      <c r="F180" s="7"/>
      <c r="G180" s="2" t="s">
        <v>14587</v>
      </c>
      <c r="H180" s="2" t="s">
        <v>754</v>
      </c>
      <c r="I180" s="2" t="s">
        <v>13159</v>
      </c>
      <c r="J180" s="2" t="s">
        <v>55</v>
      </c>
      <c r="K180" s="2"/>
      <c r="L180" s="2" t="s">
        <v>14590</v>
      </c>
      <c r="M180" s="48"/>
      <c r="N180" s="45" t="str">
        <f t="shared" si="93"/>
        <v>Questionnaire</v>
      </c>
      <c r="O180" s="48" t="s">
        <v>14592</v>
      </c>
      <c r="P180" s="60" t="s">
        <v>312</v>
      </c>
      <c r="Q180" s="48" t="s">
        <v>5524</v>
      </c>
      <c r="R180" s="48" t="s">
        <v>354</v>
      </c>
      <c r="S180" s="49" t="s">
        <v>74</v>
      </c>
      <c r="T180" s="48" t="s">
        <v>75</v>
      </c>
      <c r="U180" s="49" t="s">
        <v>3678</v>
      </c>
      <c r="V180" s="7" t="s">
        <v>214</v>
      </c>
      <c r="W180" s="49" t="s">
        <v>214</v>
      </c>
      <c r="X180" s="49" t="s">
        <v>214</v>
      </c>
      <c r="Y180" s="49" t="s">
        <v>214</v>
      </c>
      <c r="Z180" s="55" t="s">
        <v>214</v>
      </c>
      <c r="AA180" s="39">
        <v>11635</v>
      </c>
      <c r="AB180" s="84" t="s">
        <v>14592</v>
      </c>
      <c r="AC180" s="53" t="str">
        <f t="shared" si="94"/>
        <v>Link</v>
      </c>
      <c r="AD180" s="42">
        <v>24704</v>
      </c>
      <c r="AE180" s="55"/>
      <c r="AF180" s="55"/>
      <c r="AG180" s="56">
        <v>117645</v>
      </c>
      <c r="AH180" s="56"/>
      <c r="AI180" s="56"/>
    </row>
    <row r="181" spans="1:37" ht="15" x14ac:dyDescent="0.2">
      <c r="A181" s="110" t="s">
        <v>300</v>
      </c>
      <c r="B181" s="33" t="s">
        <v>12632</v>
      </c>
      <c r="C181" s="7" t="s">
        <v>14627</v>
      </c>
      <c r="D181" s="112">
        <v>5</v>
      </c>
      <c r="E181" s="7"/>
      <c r="F181" s="7"/>
      <c r="G181" s="2" t="s">
        <v>14587</v>
      </c>
      <c r="H181" s="2" t="s">
        <v>754</v>
      </c>
      <c r="I181" s="2" t="s">
        <v>9115</v>
      </c>
      <c r="J181" s="2" t="s">
        <v>55</v>
      </c>
      <c r="K181" s="2"/>
      <c r="L181" s="2" t="s">
        <v>14590</v>
      </c>
      <c r="M181" s="48"/>
      <c r="N181" s="45" t="str">
        <f t="shared" si="93"/>
        <v>Questionnaire</v>
      </c>
      <c r="O181" s="48" t="s">
        <v>14592</v>
      </c>
      <c r="P181" s="60" t="s">
        <v>312</v>
      </c>
      <c r="Q181" s="48" t="s">
        <v>5524</v>
      </c>
      <c r="R181" s="48" t="s">
        <v>354</v>
      </c>
      <c r="S181" s="49" t="s">
        <v>74</v>
      </c>
      <c r="T181" s="48" t="s">
        <v>75</v>
      </c>
      <c r="U181" s="49" t="s">
        <v>3678</v>
      </c>
      <c r="V181" s="7" t="s">
        <v>214</v>
      </c>
      <c r="W181" s="49" t="s">
        <v>214</v>
      </c>
      <c r="X181" s="49" t="s">
        <v>214</v>
      </c>
      <c r="Y181" s="49" t="s">
        <v>214</v>
      </c>
      <c r="Z181" s="55" t="s">
        <v>214</v>
      </c>
      <c r="AA181" s="39">
        <v>11635</v>
      </c>
      <c r="AB181" s="84" t="s">
        <v>14592</v>
      </c>
      <c r="AC181" s="53" t="str">
        <f t="shared" si="94"/>
        <v>Link</v>
      </c>
      <c r="AD181" s="42">
        <v>24704</v>
      </c>
      <c r="AE181" s="55"/>
      <c r="AF181" s="55"/>
      <c r="AG181" s="56">
        <v>117645</v>
      </c>
      <c r="AH181" s="56"/>
      <c r="AI181" s="56"/>
    </row>
    <row r="182" spans="1:37" ht="15" x14ac:dyDescent="0.2">
      <c r="A182" s="110" t="s">
        <v>300</v>
      </c>
      <c r="B182" s="33" t="s">
        <v>12632</v>
      </c>
      <c r="C182" s="7" t="s">
        <v>14633</v>
      </c>
      <c r="D182" s="112">
        <v>5</v>
      </c>
      <c r="E182" s="7"/>
      <c r="F182" s="7"/>
      <c r="G182" s="2" t="s">
        <v>14587</v>
      </c>
      <c r="H182" s="2" t="s">
        <v>92</v>
      </c>
      <c r="I182" s="2" t="s">
        <v>10770</v>
      </c>
      <c r="J182" s="2" t="s">
        <v>55</v>
      </c>
      <c r="K182" s="2"/>
      <c r="L182" s="2"/>
      <c r="M182" s="48"/>
      <c r="N182" s="45" t="str">
        <f t="shared" si="93"/>
        <v>Questionnaire</v>
      </c>
      <c r="O182" s="48" t="s">
        <v>14592</v>
      </c>
      <c r="P182" s="60" t="s">
        <v>312</v>
      </c>
      <c r="Q182" s="48" t="s">
        <v>5524</v>
      </c>
      <c r="R182" s="48" t="s">
        <v>354</v>
      </c>
      <c r="S182" s="49" t="s">
        <v>74</v>
      </c>
      <c r="T182" s="48" t="s">
        <v>75</v>
      </c>
      <c r="U182" s="49" t="s">
        <v>3678</v>
      </c>
      <c r="V182" s="7" t="s">
        <v>214</v>
      </c>
      <c r="W182" s="49" t="s">
        <v>214</v>
      </c>
      <c r="X182" s="49" t="s">
        <v>214</v>
      </c>
      <c r="Y182" s="49" t="s">
        <v>214</v>
      </c>
      <c r="Z182" s="55" t="s">
        <v>214</v>
      </c>
      <c r="AA182" s="39">
        <v>11635</v>
      </c>
      <c r="AB182" s="84" t="s">
        <v>14592</v>
      </c>
      <c r="AC182" s="53" t="str">
        <f t="shared" si="94"/>
        <v>Link</v>
      </c>
      <c r="AD182" s="42">
        <v>24704</v>
      </c>
      <c r="AE182" s="55"/>
      <c r="AF182" s="55"/>
      <c r="AG182" s="56">
        <v>117645</v>
      </c>
      <c r="AH182" s="56"/>
      <c r="AI182" s="56"/>
    </row>
    <row r="183" spans="1:37" ht="15" x14ac:dyDescent="0.2">
      <c r="A183" s="31" t="s">
        <v>300</v>
      </c>
      <c r="B183" s="33" t="s">
        <v>12632</v>
      </c>
      <c r="C183" s="7"/>
      <c r="D183" s="112">
        <v>5</v>
      </c>
      <c r="E183" s="7"/>
      <c r="F183" s="112"/>
      <c r="G183" s="2" t="s">
        <v>14641</v>
      </c>
      <c r="H183" s="2" t="s">
        <v>14642</v>
      </c>
      <c r="I183" s="2" t="s">
        <v>14643</v>
      </c>
      <c r="J183" s="2" t="s">
        <v>48</v>
      </c>
      <c r="K183" s="2" t="s">
        <v>14644</v>
      </c>
      <c r="L183" s="2" t="s">
        <v>14645</v>
      </c>
      <c r="M183" s="48"/>
      <c r="N183" s="48" t="s">
        <v>22</v>
      </c>
      <c r="O183" s="48" t="s">
        <v>14646</v>
      </c>
      <c r="P183" s="60" t="s">
        <v>312</v>
      </c>
      <c r="Q183" s="48" t="s">
        <v>574</v>
      </c>
      <c r="R183" s="48" t="s">
        <v>288</v>
      </c>
      <c r="S183" s="5" t="s">
        <v>74</v>
      </c>
      <c r="T183" s="48" t="s">
        <v>75</v>
      </c>
      <c r="U183" s="49" t="s">
        <v>3678</v>
      </c>
      <c r="V183" s="7" t="s">
        <v>214</v>
      </c>
      <c r="W183" s="49" t="s">
        <v>214</v>
      </c>
      <c r="X183" s="49" t="s">
        <v>214</v>
      </c>
      <c r="Y183" s="49" t="s">
        <v>214</v>
      </c>
      <c r="Z183" s="55" t="s">
        <v>214</v>
      </c>
      <c r="AA183" s="48" t="s">
        <v>14146</v>
      </c>
      <c r="AB183" s="84" t="s">
        <v>14646</v>
      </c>
      <c r="AC183" s="53" t="str">
        <f>HYPERLINK("http://www.lahc.edu/studentservices/careerguidance/major.html","Link")</f>
        <v>Link</v>
      </c>
      <c r="AD183" s="42">
        <v>9400</v>
      </c>
      <c r="AE183" s="55"/>
      <c r="AF183" s="55"/>
      <c r="AG183" s="56">
        <v>117690</v>
      </c>
      <c r="AH183" s="7" t="s">
        <v>2459</v>
      </c>
      <c r="AI183" s="7"/>
      <c r="AJ183" s="7"/>
      <c r="AK183" s="7"/>
    </row>
    <row r="184" spans="1:37" ht="15" x14ac:dyDescent="0.2">
      <c r="A184" s="110" t="s">
        <v>300</v>
      </c>
      <c r="B184" s="33" t="s">
        <v>12632</v>
      </c>
      <c r="C184" s="7" t="s">
        <v>14653</v>
      </c>
      <c r="D184" s="112">
        <v>5</v>
      </c>
      <c r="E184" s="7"/>
      <c r="F184" s="7"/>
      <c r="G184" s="2" t="s">
        <v>14654</v>
      </c>
      <c r="H184" s="2" t="s">
        <v>1492</v>
      </c>
      <c r="I184" s="2" t="s">
        <v>14656</v>
      </c>
      <c r="J184" s="2" t="s">
        <v>48</v>
      </c>
      <c r="K184" s="2" t="s">
        <v>14658</v>
      </c>
      <c r="L184" s="2" t="s">
        <v>14659</v>
      </c>
      <c r="M184" s="48"/>
      <c r="N184" s="45" t="str">
        <f t="shared" ref="N184:N187" si="95">HYPERLINK("https://www.lamcathletics.com/Recruits/How_to_become_an_Eagle","Questionnaire")</f>
        <v>Questionnaire</v>
      </c>
      <c r="O184" s="48" t="s">
        <v>14667</v>
      </c>
      <c r="P184" s="60" t="s">
        <v>312</v>
      </c>
      <c r="Q184" s="48" t="s">
        <v>574</v>
      </c>
      <c r="R184" s="48" t="s">
        <v>288</v>
      </c>
      <c r="S184" s="49" t="s">
        <v>74</v>
      </c>
      <c r="T184" s="48" t="s">
        <v>75</v>
      </c>
      <c r="U184" s="49" t="s">
        <v>3678</v>
      </c>
      <c r="V184" s="7" t="s">
        <v>214</v>
      </c>
      <c r="W184" s="49" t="s">
        <v>214</v>
      </c>
      <c r="X184" s="49" t="s">
        <v>214</v>
      </c>
      <c r="Y184" s="49" t="s">
        <v>214</v>
      </c>
      <c r="Z184" s="55" t="s">
        <v>214</v>
      </c>
      <c r="AA184" s="48" t="s">
        <v>14146</v>
      </c>
      <c r="AB184" s="84" t="s">
        <v>14667</v>
      </c>
      <c r="AC184" s="53" t="str">
        <f t="shared" ref="AC184:AC187" si="96">HYPERLINK("https://www.lamission.edu/business/degrees.aspx","Link")</f>
        <v>Link</v>
      </c>
      <c r="AD184" s="42">
        <v>10436</v>
      </c>
      <c r="AE184" s="55"/>
      <c r="AF184" s="55"/>
      <c r="AG184" s="56">
        <v>117867</v>
      </c>
      <c r="AH184" s="56"/>
      <c r="AI184" s="56"/>
    </row>
    <row r="185" spans="1:37" ht="15" x14ac:dyDescent="0.2">
      <c r="A185" s="110" t="s">
        <v>300</v>
      </c>
      <c r="B185" s="33" t="s">
        <v>12632</v>
      </c>
      <c r="C185" s="7" t="s">
        <v>14668</v>
      </c>
      <c r="D185" s="112">
        <v>5</v>
      </c>
      <c r="E185" s="7"/>
      <c r="F185" s="7"/>
      <c r="G185" s="2" t="s">
        <v>14654</v>
      </c>
      <c r="H185" s="2" t="s">
        <v>1492</v>
      </c>
      <c r="I185" s="2" t="s">
        <v>14656</v>
      </c>
      <c r="J185" s="2" t="s">
        <v>1048</v>
      </c>
      <c r="K185" s="2" t="s">
        <v>14671</v>
      </c>
      <c r="L185" s="2" t="s">
        <v>14659</v>
      </c>
      <c r="M185" s="48"/>
      <c r="N185" s="45" t="str">
        <f t="shared" si="95"/>
        <v>Questionnaire</v>
      </c>
      <c r="O185" s="48" t="s">
        <v>14667</v>
      </c>
      <c r="P185" s="60" t="s">
        <v>312</v>
      </c>
      <c r="Q185" s="48" t="s">
        <v>574</v>
      </c>
      <c r="R185" s="48" t="s">
        <v>288</v>
      </c>
      <c r="S185" s="49" t="s">
        <v>74</v>
      </c>
      <c r="T185" s="48" t="s">
        <v>75</v>
      </c>
      <c r="U185" s="49" t="s">
        <v>3678</v>
      </c>
      <c r="V185" s="7" t="s">
        <v>214</v>
      </c>
      <c r="W185" s="49" t="s">
        <v>214</v>
      </c>
      <c r="X185" s="49" t="s">
        <v>214</v>
      </c>
      <c r="Y185" s="49" t="s">
        <v>214</v>
      </c>
      <c r="Z185" s="55" t="s">
        <v>214</v>
      </c>
      <c r="AA185" s="48" t="s">
        <v>14146</v>
      </c>
      <c r="AB185" s="84" t="s">
        <v>14667</v>
      </c>
      <c r="AC185" s="53" t="str">
        <f t="shared" si="96"/>
        <v>Link</v>
      </c>
      <c r="AD185" s="42">
        <v>10436</v>
      </c>
      <c r="AE185" s="55"/>
      <c r="AF185" s="55"/>
      <c r="AG185" s="56">
        <v>117867</v>
      </c>
      <c r="AH185" s="56"/>
      <c r="AI185" s="56"/>
    </row>
    <row r="186" spans="1:37" ht="15" x14ac:dyDescent="0.2">
      <c r="A186" s="110" t="s">
        <v>300</v>
      </c>
      <c r="B186" s="33" t="s">
        <v>12632</v>
      </c>
      <c r="C186" s="7" t="s">
        <v>14676</v>
      </c>
      <c r="D186" s="112">
        <v>5</v>
      </c>
      <c r="E186" s="7"/>
      <c r="F186" s="7"/>
      <c r="G186" s="2" t="s">
        <v>14654</v>
      </c>
      <c r="H186" s="2" t="s">
        <v>10525</v>
      </c>
      <c r="I186" s="2" t="s">
        <v>812</v>
      </c>
      <c r="J186" s="2" t="s">
        <v>55</v>
      </c>
      <c r="K186" s="2"/>
      <c r="L186" s="2"/>
      <c r="M186" s="48"/>
      <c r="N186" s="45" t="str">
        <f t="shared" si="95"/>
        <v>Questionnaire</v>
      </c>
      <c r="O186" s="48" t="s">
        <v>14667</v>
      </c>
      <c r="P186" s="60" t="s">
        <v>312</v>
      </c>
      <c r="Q186" s="48" t="s">
        <v>574</v>
      </c>
      <c r="R186" s="48" t="s">
        <v>288</v>
      </c>
      <c r="S186" s="49" t="s">
        <v>74</v>
      </c>
      <c r="T186" s="48" t="s">
        <v>75</v>
      </c>
      <c r="U186" s="49" t="s">
        <v>3678</v>
      </c>
      <c r="V186" s="7" t="s">
        <v>214</v>
      </c>
      <c r="W186" s="49" t="s">
        <v>214</v>
      </c>
      <c r="X186" s="49" t="s">
        <v>214</v>
      </c>
      <c r="Y186" s="49" t="s">
        <v>214</v>
      </c>
      <c r="Z186" s="55" t="s">
        <v>214</v>
      </c>
      <c r="AA186" s="48" t="s">
        <v>14146</v>
      </c>
      <c r="AB186" s="84" t="s">
        <v>14667</v>
      </c>
      <c r="AC186" s="53" t="str">
        <f t="shared" si="96"/>
        <v>Link</v>
      </c>
      <c r="AD186" s="42">
        <v>10436</v>
      </c>
      <c r="AE186" s="55"/>
      <c r="AF186" s="55"/>
      <c r="AG186" s="56">
        <v>117867</v>
      </c>
      <c r="AH186" s="56"/>
      <c r="AI186" s="56"/>
    </row>
    <row r="187" spans="1:37" ht="15" x14ac:dyDescent="0.2">
      <c r="A187" s="110" t="s">
        <v>300</v>
      </c>
      <c r="B187" s="33" t="s">
        <v>12632</v>
      </c>
      <c r="C187" s="7" t="s">
        <v>14683</v>
      </c>
      <c r="D187" s="112">
        <v>5</v>
      </c>
      <c r="E187" s="7"/>
      <c r="F187" s="7"/>
      <c r="G187" s="2" t="s">
        <v>14654</v>
      </c>
      <c r="H187" s="2" t="s">
        <v>14685</v>
      </c>
      <c r="I187" s="2" t="s">
        <v>14656</v>
      </c>
      <c r="J187" s="2" t="s">
        <v>55</v>
      </c>
      <c r="K187" s="2"/>
      <c r="L187" s="2"/>
      <c r="M187" s="48"/>
      <c r="N187" s="45" t="str">
        <f t="shared" si="95"/>
        <v>Questionnaire</v>
      </c>
      <c r="O187" s="48" t="s">
        <v>14667</v>
      </c>
      <c r="P187" s="60" t="s">
        <v>312</v>
      </c>
      <c r="Q187" s="48" t="s">
        <v>574</v>
      </c>
      <c r="R187" s="48" t="s">
        <v>288</v>
      </c>
      <c r="S187" s="49" t="s">
        <v>74</v>
      </c>
      <c r="T187" s="48" t="s">
        <v>75</v>
      </c>
      <c r="U187" s="49" t="s">
        <v>3678</v>
      </c>
      <c r="V187" s="7" t="s">
        <v>214</v>
      </c>
      <c r="W187" s="49" t="s">
        <v>214</v>
      </c>
      <c r="X187" s="49" t="s">
        <v>214</v>
      </c>
      <c r="Y187" s="49" t="s">
        <v>214</v>
      </c>
      <c r="Z187" s="55" t="s">
        <v>214</v>
      </c>
      <c r="AA187" s="48" t="s">
        <v>14146</v>
      </c>
      <c r="AB187" s="84" t="s">
        <v>14667</v>
      </c>
      <c r="AC187" s="53" t="str">
        <f t="shared" si="96"/>
        <v>Link</v>
      </c>
      <c r="AD187" s="42">
        <v>10436</v>
      </c>
      <c r="AE187" s="55"/>
      <c r="AF187" s="55"/>
      <c r="AG187" s="56">
        <v>117867</v>
      </c>
      <c r="AH187" s="56"/>
      <c r="AI187" s="56"/>
    </row>
    <row r="188" spans="1:37" ht="15" x14ac:dyDescent="0.2">
      <c r="A188" s="31" t="s">
        <v>300</v>
      </c>
      <c r="B188" s="33" t="s">
        <v>12632</v>
      </c>
      <c r="C188" s="7"/>
      <c r="D188" s="112">
        <v>5</v>
      </c>
      <c r="E188" s="7"/>
      <c r="F188" s="112"/>
      <c r="G188" s="2" t="s">
        <v>14690</v>
      </c>
      <c r="H188" s="2" t="s">
        <v>9921</v>
      </c>
      <c r="I188" s="2" t="s">
        <v>14691</v>
      </c>
      <c r="J188" s="2" t="s">
        <v>48</v>
      </c>
      <c r="K188" s="2"/>
      <c r="L188" s="2"/>
      <c r="M188" s="48"/>
      <c r="N188" s="45" t="str">
        <f t="shared" ref="N188:N189" si="97">HYPERLINK("http://www.piercecollege.edu/departments/athletics/recruitment.asp","Questionnaire")</f>
        <v>Questionnaire</v>
      </c>
      <c r="O188" s="48" t="s">
        <v>14694</v>
      </c>
      <c r="P188" s="60" t="s">
        <v>312</v>
      </c>
      <c r="Q188" s="48" t="s">
        <v>574</v>
      </c>
      <c r="R188" s="48" t="s">
        <v>288</v>
      </c>
      <c r="S188" s="49" t="s">
        <v>74</v>
      </c>
      <c r="T188" s="48" t="s">
        <v>75</v>
      </c>
      <c r="U188" s="49" t="s">
        <v>3678</v>
      </c>
      <c r="V188" s="7" t="s">
        <v>214</v>
      </c>
      <c r="W188" s="49" t="s">
        <v>214</v>
      </c>
      <c r="X188" s="49" t="s">
        <v>214</v>
      </c>
      <c r="Y188" s="49" t="s">
        <v>214</v>
      </c>
      <c r="Z188" s="55" t="s">
        <v>214</v>
      </c>
      <c r="AA188" s="48" t="s">
        <v>14146</v>
      </c>
      <c r="AB188" s="84" t="s">
        <v>14694</v>
      </c>
      <c r="AC188" s="53" t="str">
        <f t="shared" ref="AC188:AC189" si="98">HYPERLINK("https://www.piercecollege.edu/pierce_classes.asp","Link")</f>
        <v>Link</v>
      </c>
      <c r="AD188" s="42">
        <v>20618</v>
      </c>
      <c r="AE188" s="55"/>
      <c r="AF188" s="55"/>
      <c r="AG188" s="56">
        <v>117706</v>
      </c>
      <c r="AH188" s="7" t="s">
        <v>2459</v>
      </c>
      <c r="AI188" s="7"/>
      <c r="AJ188" s="7"/>
      <c r="AK188" s="7"/>
    </row>
    <row r="189" spans="1:37" ht="15" x14ac:dyDescent="0.2">
      <c r="A189" s="31" t="s">
        <v>300</v>
      </c>
      <c r="B189" s="33" t="s">
        <v>12632</v>
      </c>
      <c r="C189" s="7"/>
      <c r="D189" s="112">
        <v>5</v>
      </c>
      <c r="E189" s="7"/>
      <c r="F189" s="112"/>
      <c r="G189" s="2" t="s">
        <v>14690</v>
      </c>
      <c r="H189" s="2" t="s">
        <v>904</v>
      </c>
      <c r="I189" s="2" t="s">
        <v>3263</v>
      </c>
      <c r="J189" s="2" t="s">
        <v>55</v>
      </c>
      <c r="K189" s="2" t="s">
        <v>14700</v>
      </c>
      <c r="L189" s="2" t="s">
        <v>14701</v>
      </c>
      <c r="M189" s="48"/>
      <c r="N189" s="45" t="str">
        <f t="shared" si="97"/>
        <v>Questionnaire</v>
      </c>
      <c r="O189" s="48" t="s">
        <v>14694</v>
      </c>
      <c r="P189" s="60" t="s">
        <v>312</v>
      </c>
      <c r="Q189" s="48" t="s">
        <v>574</v>
      </c>
      <c r="R189" s="48" t="s">
        <v>288</v>
      </c>
      <c r="S189" s="49" t="s">
        <v>74</v>
      </c>
      <c r="T189" s="48" t="s">
        <v>75</v>
      </c>
      <c r="U189" s="49" t="s">
        <v>3678</v>
      </c>
      <c r="V189" s="7" t="s">
        <v>214</v>
      </c>
      <c r="W189" s="49" t="s">
        <v>214</v>
      </c>
      <c r="X189" s="49" t="s">
        <v>214</v>
      </c>
      <c r="Y189" s="49" t="s">
        <v>214</v>
      </c>
      <c r="Z189" s="55" t="s">
        <v>214</v>
      </c>
      <c r="AA189" s="48" t="s">
        <v>14146</v>
      </c>
      <c r="AB189" s="84" t="s">
        <v>14694</v>
      </c>
      <c r="AC189" s="53" t="str">
        <f t="shared" si="98"/>
        <v>Link</v>
      </c>
      <c r="AD189" s="42">
        <v>20618</v>
      </c>
      <c r="AE189" s="55"/>
      <c r="AF189" s="55"/>
      <c r="AG189" s="56">
        <v>117706</v>
      </c>
      <c r="AH189" s="7" t="s">
        <v>2459</v>
      </c>
      <c r="AI189" s="7"/>
      <c r="AJ189" s="7"/>
      <c r="AK189" s="7"/>
    </row>
    <row r="190" spans="1:37" ht="15" x14ac:dyDescent="0.2">
      <c r="A190" s="110" t="s">
        <v>300</v>
      </c>
      <c r="B190" s="33" t="s">
        <v>12632</v>
      </c>
      <c r="C190" s="7" t="s">
        <v>14707</v>
      </c>
      <c r="D190" s="112">
        <v>5</v>
      </c>
      <c r="E190" s="7"/>
      <c r="F190" s="7"/>
      <c r="G190" s="2" t="s">
        <v>14708</v>
      </c>
      <c r="H190" s="2" t="s">
        <v>439</v>
      </c>
      <c r="I190" s="2" t="s">
        <v>14709</v>
      </c>
      <c r="J190" s="2" t="s">
        <v>48</v>
      </c>
      <c r="K190" s="2" t="s">
        <v>14710</v>
      </c>
      <c r="L190" s="6" t="s">
        <v>14711</v>
      </c>
      <c r="M190" s="48"/>
      <c r="N190" s="45" t="str">
        <f>HYPERLINK("https://www.lavc.edu/athletics/Athletic-Department/form.aspx","Questionnaire")</f>
        <v>Questionnaire</v>
      </c>
      <c r="O190" s="48" t="s">
        <v>14721</v>
      </c>
      <c r="P190" s="60" t="s">
        <v>312</v>
      </c>
      <c r="Q190" s="48" t="s">
        <v>574</v>
      </c>
      <c r="R190" s="48" t="s">
        <v>288</v>
      </c>
      <c r="S190" s="49" t="s">
        <v>74</v>
      </c>
      <c r="T190" s="48" t="s">
        <v>75</v>
      </c>
      <c r="U190" s="49" t="s">
        <v>3678</v>
      </c>
      <c r="V190" s="7" t="s">
        <v>214</v>
      </c>
      <c r="W190" s="49" t="s">
        <v>214</v>
      </c>
      <c r="X190" s="49" t="s">
        <v>214</v>
      </c>
      <c r="Y190" s="49" t="s">
        <v>214</v>
      </c>
      <c r="Z190" s="55" t="s">
        <v>214</v>
      </c>
      <c r="AA190" s="48" t="s">
        <v>14146</v>
      </c>
      <c r="AB190" s="84" t="s">
        <v>14721</v>
      </c>
      <c r="AC190" s="53" t="str">
        <f>HYPERLINK("https://www.lavc.edu/schedule/programs.aspx","Link")</f>
        <v>Link</v>
      </c>
      <c r="AD190" s="42">
        <v>18643</v>
      </c>
      <c r="AE190" s="55"/>
      <c r="AF190" s="55"/>
      <c r="AG190" s="56">
        <v>117733</v>
      </c>
      <c r="AH190" s="56"/>
      <c r="AI190" s="56"/>
    </row>
    <row r="191" spans="1:37" ht="15" x14ac:dyDescent="0.2">
      <c r="A191" s="31" t="s">
        <v>300</v>
      </c>
      <c r="B191" s="33" t="s">
        <v>12632</v>
      </c>
      <c r="C191" s="7"/>
      <c r="D191" s="112">
        <v>5</v>
      </c>
      <c r="E191" s="7"/>
      <c r="F191" s="112"/>
      <c r="G191" s="2" t="s">
        <v>14724</v>
      </c>
      <c r="H191" s="2" t="s">
        <v>4659</v>
      </c>
      <c r="I191" s="2" t="s">
        <v>14726</v>
      </c>
      <c r="J191" s="2" t="s">
        <v>48</v>
      </c>
      <c r="K191" s="2" t="s">
        <v>14729</v>
      </c>
      <c r="L191" s="2" t="s">
        <v>14731</v>
      </c>
      <c r="M191" s="48"/>
      <c r="N191" s="45" t="str">
        <f t="shared" ref="N191:N192" si="99">HYPERLINK("https://www.losmedanos.edu/athletics/firstcontact.aspx","Questionnaire")</f>
        <v>Questionnaire</v>
      </c>
      <c r="O191" s="48" t="s">
        <v>14733</v>
      </c>
      <c r="P191" s="60" t="s">
        <v>312</v>
      </c>
      <c r="Q191" s="48" t="s">
        <v>4890</v>
      </c>
      <c r="R191" s="48" t="s">
        <v>186</v>
      </c>
      <c r="S191" s="49" t="s">
        <v>74</v>
      </c>
      <c r="T191" s="48" t="s">
        <v>75</v>
      </c>
      <c r="U191" s="49" t="s">
        <v>3678</v>
      </c>
      <c r="V191" s="7" t="s">
        <v>214</v>
      </c>
      <c r="W191" s="49" t="s">
        <v>214</v>
      </c>
      <c r="X191" s="49" t="s">
        <v>214</v>
      </c>
      <c r="Y191" s="49" t="s">
        <v>214</v>
      </c>
      <c r="Z191" s="55" t="s">
        <v>214</v>
      </c>
      <c r="AA191" s="48" t="s">
        <v>13965</v>
      </c>
      <c r="AB191" s="84" t="s">
        <v>14733</v>
      </c>
      <c r="AC191" s="53" t="str">
        <f t="shared" ref="AC191:AC192" si="100">HYPERLINK("http://www.losmedanos.edu/degrees/","Link")</f>
        <v>Link</v>
      </c>
      <c r="AD191" s="42">
        <v>8728</v>
      </c>
      <c r="AE191" s="55"/>
      <c r="AF191" s="55"/>
      <c r="AG191" s="56">
        <v>117894</v>
      </c>
      <c r="AH191" s="7" t="s">
        <v>2459</v>
      </c>
      <c r="AI191" s="7"/>
      <c r="AJ191" s="7"/>
      <c r="AK191" s="7"/>
    </row>
    <row r="192" spans="1:37" ht="15" x14ac:dyDescent="0.2">
      <c r="A192" s="31" t="s">
        <v>300</v>
      </c>
      <c r="B192" s="33" t="s">
        <v>12632</v>
      </c>
      <c r="C192" s="7"/>
      <c r="D192" s="112">
        <v>5</v>
      </c>
      <c r="E192" s="7"/>
      <c r="F192" s="112"/>
      <c r="G192" s="2" t="s">
        <v>14724</v>
      </c>
      <c r="H192" s="2" t="s">
        <v>4659</v>
      </c>
      <c r="I192" s="2" t="s">
        <v>14726</v>
      </c>
      <c r="J192" s="2" t="s">
        <v>1048</v>
      </c>
      <c r="K192" s="2" t="s">
        <v>14741</v>
      </c>
      <c r="L192" s="2" t="s">
        <v>14742</v>
      </c>
      <c r="M192" s="48"/>
      <c r="N192" s="45" t="str">
        <f t="shared" si="99"/>
        <v>Questionnaire</v>
      </c>
      <c r="O192" s="48" t="s">
        <v>14733</v>
      </c>
      <c r="P192" s="60" t="s">
        <v>312</v>
      </c>
      <c r="Q192" s="48" t="s">
        <v>4890</v>
      </c>
      <c r="R192" s="48" t="s">
        <v>186</v>
      </c>
      <c r="S192" s="49" t="s">
        <v>74</v>
      </c>
      <c r="T192" s="48" t="s">
        <v>75</v>
      </c>
      <c r="U192" s="49" t="s">
        <v>3678</v>
      </c>
      <c r="V192" s="7" t="s">
        <v>214</v>
      </c>
      <c r="W192" s="49" t="s">
        <v>214</v>
      </c>
      <c r="X192" s="49" t="s">
        <v>214</v>
      </c>
      <c r="Y192" s="49" t="s">
        <v>214</v>
      </c>
      <c r="Z192" s="55" t="s">
        <v>214</v>
      </c>
      <c r="AA192" s="48" t="s">
        <v>13965</v>
      </c>
      <c r="AB192" s="84" t="s">
        <v>14733</v>
      </c>
      <c r="AC192" s="53" t="str">
        <f t="shared" si="100"/>
        <v>Link</v>
      </c>
      <c r="AD192" s="42">
        <v>8728</v>
      </c>
      <c r="AE192" s="55"/>
      <c r="AF192" s="55"/>
      <c r="AG192" s="56">
        <v>117894</v>
      </c>
      <c r="AH192" s="7" t="s">
        <v>2459</v>
      </c>
      <c r="AI192" s="7"/>
      <c r="AJ192" s="7"/>
      <c r="AK192" s="7"/>
    </row>
    <row r="193" spans="1:37" ht="15" x14ac:dyDescent="0.2">
      <c r="A193" s="31" t="s">
        <v>300</v>
      </c>
      <c r="B193" s="33" t="s">
        <v>12632</v>
      </c>
      <c r="C193" s="7"/>
      <c r="D193" s="112">
        <v>5</v>
      </c>
      <c r="E193" s="7"/>
      <c r="F193" s="112"/>
      <c r="G193" s="33" t="s">
        <v>14746</v>
      </c>
      <c r="H193" s="2" t="s">
        <v>1454</v>
      </c>
      <c r="I193" s="2" t="s">
        <v>14749</v>
      </c>
      <c r="J193" s="2" t="s">
        <v>48</v>
      </c>
      <c r="K193" s="130" t="s">
        <v>14752</v>
      </c>
      <c r="L193" s="2" t="s">
        <v>14753</v>
      </c>
      <c r="M193" s="48"/>
      <c r="N193" s="45" t="str">
        <f>HYPERLINK("https://www.mendocino.edu/athletics/prospective-student-athletes","Questionnaire")</f>
        <v>Questionnaire</v>
      </c>
      <c r="O193" s="48" t="s">
        <v>14756</v>
      </c>
      <c r="P193" s="60" t="s">
        <v>312</v>
      </c>
      <c r="Q193" s="48" t="s">
        <v>14757</v>
      </c>
      <c r="R193" s="48" t="s">
        <v>172</v>
      </c>
      <c r="S193" s="49" t="s">
        <v>74</v>
      </c>
      <c r="T193" s="48" t="s">
        <v>75</v>
      </c>
      <c r="U193" s="49" t="s">
        <v>3678</v>
      </c>
      <c r="V193" s="7" t="s">
        <v>214</v>
      </c>
      <c r="W193" s="49" t="s">
        <v>214</v>
      </c>
      <c r="X193" s="49" t="s">
        <v>214</v>
      </c>
      <c r="Y193" s="49" t="s">
        <v>214</v>
      </c>
      <c r="Z193" s="55" t="s">
        <v>214</v>
      </c>
      <c r="AA193" s="48" t="s">
        <v>14761</v>
      </c>
      <c r="AB193" s="84" t="s">
        <v>14756</v>
      </c>
      <c r="AC193" s="53" t="str">
        <f>HYPERLINK("https://www.mendocino.edu/academics/degrees","Link")</f>
        <v>Link</v>
      </c>
      <c r="AD193" s="42">
        <v>4238</v>
      </c>
      <c r="AE193" s="55"/>
      <c r="AF193" s="55"/>
      <c r="AG193" s="56">
        <v>118684</v>
      </c>
      <c r="AH193" s="7" t="s">
        <v>2459</v>
      </c>
      <c r="AI193" s="7"/>
      <c r="AJ193" s="7"/>
      <c r="AK193" s="7"/>
    </row>
    <row r="194" spans="1:37" ht="15" x14ac:dyDescent="0.2">
      <c r="A194" s="110" t="s">
        <v>300</v>
      </c>
      <c r="B194" s="33" t="s">
        <v>12632</v>
      </c>
      <c r="C194" s="7" t="s">
        <v>14762</v>
      </c>
      <c r="D194" s="112">
        <v>5</v>
      </c>
      <c r="E194" s="7"/>
      <c r="F194" s="7"/>
      <c r="G194" s="2" t="s">
        <v>14764</v>
      </c>
      <c r="H194" s="2" t="s">
        <v>8413</v>
      </c>
      <c r="I194" s="2" t="s">
        <v>14765</v>
      </c>
      <c r="J194" s="2" t="s">
        <v>48</v>
      </c>
      <c r="K194" s="2" t="s">
        <v>14766</v>
      </c>
      <c r="L194" s="2" t="s">
        <v>14767</v>
      </c>
      <c r="M194" s="48"/>
      <c r="N194" s="45" t="str">
        <f>HYPERLINK("https://www.mccd.edu/athletics/womens/softball/recruitment.html","Questionnaire")</f>
        <v>Questionnaire</v>
      </c>
      <c r="O194" s="48" t="s">
        <v>14774</v>
      </c>
      <c r="P194" s="60" t="s">
        <v>312</v>
      </c>
      <c r="Q194" s="48" t="s">
        <v>14775</v>
      </c>
      <c r="R194" s="48" t="s">
        <v>238</v>
      </c>
      <c r="S194" s="49" t="s">
        <v>74</v>
      </c>
      <c r="T194" s="48" t="s">
        <v>75</v>
      </c>
      <c r="U194" s="49" t="s">
        <v>3678</v>
      </c>
      <c r="V194" s="7" t="s">
        <v>214</v>
      </c>
      <c r="W194" s="49" t="s">
        <v>214</v>
      </c>
      <c r="X194" s="49" t="s">
        <v>214</v>
      </c>
      <c r="Y194" s="49" t="s">
        <v>214</v>
      </c>
      <c r="Z194" s="55" t="s">
        <v>214</v>
      </c>
      <c r="AA194" s="48" t="s">
        <v>14776</v>
      </c>
      <c r="AB194" s="84" t="s">
        <v>14774</v>
      </c>
      <c r="AC194" s="53" t="str">
        <f>HYPERLINK("http://www.mccd.edu/explore/degrees-certs.html","Link")</f>
        <v>Link</v>
      </c>
      <c r="AD194" s="42">
        <v>10750</v>
      </c>
      <c r="AE194" s="55"/>
      <c r="AF194" s="55"/>
      <c r="AG194" s="56">
        <v>118718</v>
      </c>
      <c r="AH194" s="56"/>
      <c r="AI194" s="56"/>
    </row>
    <row r="195" spans="1:37" ht="15" x14ac:dyDescent="0.2">
      <c r="A195" s="64" t="s">
        <v>300</v>
      </c>
      <c r="B195" s="33" t="s">
        <v>12632</v>
      </c>
      <c r="C195" s="7" t="s">
        <v>14782</v>
      </c>
      <c r="D195" s="44">
        <v>5</v>
      </c>
      <c r="E195" s="7" t="s">
        <v>116</v>
      </c>
      <c r="F195" s="7"/>
      <c r="G195" s="2" t="s">
        <v>14783</v>
      </c>
      <c r="H195" s="7" t="s">
        <v>981</v>
      </c>
      <c r="I195" s="7" t="s">
        <v>54</v>
      </c>
      <c r="J195" s="7" t="s">
        <v>48</v>
      </c>
      <c r="K195" s="7" t="s">
        <v>14784</v>
      </c>
      <c r="L195" s="7" t="s">
        <v>14785</v>
      </c>
      <c r="M195" s="45" t="str">
        <f t="shared" ref="M195:M196" si="101">HYPERLINK("twitter.com/go2missionsb","@go2missionsb")</f>
        <v>@go2missionsb</v>
      </c>
      <c r="N195" s="45" t="str">
        <f t="shared" ref="N195:N196" si="102">HYPERLINK("https://missionsaints.com/sports/sball/Recruiting_Questionnaire","Questionnaire")</f>
        <v>Questionnaire</v>
      </c>
      <c r="O195" s="48" t="s">
        <v>14783</v>
      </c>
      <c r="P195" s="60" t="s">
        <v>312</v>
      </c>
      <c r="Q195" s="48" t="s">
        <v>14787</v>
      </c>
      <c r="R195" s="48" t="s">
        <v>238</v>
      </c>
      <c r="S195" s="49" t="s">
        <v>74</v>
      </c>
      <c r="T195" s="48" t="s">
        <v>75</v>
      </c>
      <c r="U195" s="49" t="s">
        <v>3678</v>
      </c>
      <c r="V195" s="7" t="s">
        <v>214</v>
      </c>
      <c r="W195" s="49" t="s">
        <v>214</v>
      </c>
      <c r="X195" s="49" t="s">
        <v>214</v>
      </c>
      <c r="Y195" s="49" t="s">
        <v>214</v>
      </c>
      <c r="Z195" s="55" t="s">
        <v>214</v>
      </c>
      <c r="AA195" s="48" t="s">
        <v>14788</v>
      </c>
      <c r="AB195" s="84" t="s">
        <v>14783</v>
      </c>
      <c r="AC195" s="53" t="str">
        <f t="shared" ref="AC195:AC196" si="103">HYPERLINK("http://missioncollege.edu/majors/degrees.html","Link")</f>
        <v>Link</v>
      </c>
      <c r="AD195" s="42">
        <v>7868</v>
      </c>
      <c r="AE195" s="55"/>
      <c r="AF195" s="55"/>
      <c r="AG195" s="56">
        <v>118930</v>
      </c>
      <c r="AH195" s="85"/>
      <c r="AI195" s="85"/>
    </row>
    <row r="196" spans="1:37" ht="15" x14ac:dyDescent="0.2">
      <c r="A196" s="110" t="s">
        <v>300</v>
      </c>
      <c r="B196" s="33" t="s">
        <v>12632</v>
      </c>
      <c r="C196" s="7" t="s">
        <v>14797</v>
      </c>
      <c r="D196" s="112">
        <v>5</v>
      </c>
      <c r="E196" s="7"/>
      <c r="F196" s="7"/>
      <c r="G196" s="2" t="s">
        <v>14783</v>
      </c>
      <c r="H196" s="2" t="s">
        <v>421</v>
      </c>
      <c r="I196" s="2"/>
      <c r="J196" s="2" t="s">
        <v>48</v>
      </c>
      <c r="K196" s="2"/>
      <c r="L196" s="2"/>
      <c r="M196" s="45" t="str">
        <f t="shared" si="101"/>
        <v>@go2missionsb</v>
      </c>
      <c r="N196" s="45" t="str">
        <f t="shared" si="102"/>
        <v>Questionnaire</v>
      </c>
      <c r="O196" s="48" t="s">
        <v>14783</v>
      </c>
      <c r="P196" s="60" t="s">
        <v>312</v>
      </c>
      <c r="Q196" s="48" t="s">
        <v>14787</v>
      </c>
      <c r="R196" s="48" t="s">
        <v>238</v>
      </c>
      <c r="S196" s="49" t="s">
        <v>74</v>
      </c>
      <c r="T196" s="48" t="s">
        <v>75</v>
      </c>
      <c r="U196" s="49" t="s">
        <v>3678</v>
      </c>
      <c r="V196" s="7" t="s">
        <v>214</v>
      </c>
      <c r="W196" s="49" t="s">
        <v>214</v>
      </c>
      <c r="X196" s="49" t="s">
        <v>214</v>
      </c>
      <c r="Y196" s="49" t="s">
        <v>214</v>
      </c>
      <c r="Z196" s="55" t="s">
        <v>214</v>
      </c>
      <c r="AA196" s="48" t="s">
        <v>14788</v>
      </c>
      <c r="AB196" s="84" t="s">
        <v>14783</v>
      </c>
      <c r="AC196" s="53" t="str">
        <f t="shared" si="103"/>
        <v>Link</v>
      </c>
      <c r="AD196" s="42">
        <v>7868</v>
      </c>
      <c r="AE196" s="55"/>
      <c r="AF196" s="55"/>
      <c r="AG196" s="56">
        <v>118930</v>
      </c>
      <c r="AH196" s="56"/>
      <c r="AI196" s="56"/>
    </row>
    <row r="197" spans="1:37" ht="15" x14ac:dyDescent="0.2">
      <c r="A197" s="64" t="s">
        <v>300</v>
      </c>
      <c r="B197" s="33" t="s">
        <v>12632</v>
      </c>
      <c r="C197" s="7" t="s">
        <v>14804</v>
      </c>
      <c r="D197" s="44">
        <v>5</v>
      </c>
      <c r="E197" s="7" t="s">
        <v>116</v>
      </c>
      <c r="F197" s="7"/>
      <c r="G197" s="2" t="s">
        <v>14805</v>
      </c>
      <c r="H197" s="7" t="s">
        <v>8221</v>
      </c>
      <c r="I197" s="7" t="s">
        <v>14806</v>
      </c>
      <c r="J197" s="7" t="s">
        <v>55</v>
      </c>
      <c r="K197" s="7"/>
      <c r="L197" s="7"/>
      <c r="M197" s="48"/>
      <c r="N197" s="48" t="s">
        <v>22</v>
      </c>
      <c r="O197" s="48" t="s">
        <v>14807</v>
      </c>
      <c r="P197" s="60" t="s">
        <v>312</v>
      </c>
      <c r="Q197" s="48" t="s">
        <v>14808</v>
      </c>
      <c r="R197" s="48" t="s">
        <v>62</v>
      </c>
      <c r="S197" s="49" t="s">
        <v>74</v>
      </c>
      <c r="T197" s="48" t="s">
        <v>75</v>
      </c>
      <c r="U197" s="49" t="s">
        <v>3678</v>
      </c>
      <c r="V197" s="7" t="s">
        <v>214</v>
      </c>
      <c r="W197" s="49" t="s">
        <v>214</v>
      </c>
      <c r="X197" s="49" t="s">
        <v>214</v>
      </c>
      <c r="Y197" s="49" t="s">
        <v>214</v>
      </c>
      <c r="Z197" s="55" t="s">
        <v>214</v>
      </c>
      <c r="AA197" s="48" t="s">
        <v>14809</v>
      </c>
      <c r="AB197" s="84" t="s">
        <v>14807</v>
      </c>
      <c r="AC197" s="53" t="str">
        <f t="shared" ref="AC197:AC201" si="104">HYPERLINK("https://www.mjc.edu/instruction/degrees.php","Link")</f>
        <v>Link</v>
      </c>
      <c r="AD197" s="42">
        <v>17684</v>
      </c>
      <c r="AE197" s="55"/>
      <c r="AF197" s="55"/>
      <c r="AG197" s="56">
        <v>118976</v>
      </c>
      <c r="AH197" s="85"/>
      <c r="AI197" s="85"/>
    </row>
    <row r="198" spans="1:37" ht="15" x14ac:dyDescent="0.2">
      <c r="A198" s="64" t="s">
        <v>300</v>
      </c>
      <c r="B198" s="33" t="s">
        <v>12632</v>
      </c>
      <c r="C198" s="7" t="s">
        <v>14814</v>
      </c>
      <c r="D198" s="44">
        <v>5</v>
      </c>
      <c r="E198" s="7" t="s">
        <v>116</v>
      </c>
      <c r="F198" s="7"/>
      <c r="G198" s="2" t="s">
        <v>14805</v>
      </c>
      <c r="H198" s="7" t="s">
        <v>442</v>
      </c>
      <c r="I198" s="7" t="s">
        <v>1117</v>
      </c>
      <c r="J198" s="7" t="s">
        <v>55</v>
      </c>
      <c r="K198" s="7"/>
      <c r="L198" s="7"/>
      <c r="M198" s="48"/>
      <c r="N198" s="48" t="s">
        <v>22</v>
      </c>
      <c r="O198" s="48" t="s">
        <v>14807</v>
      </c>
      <c r="P198" s="60" t="s">
        <v>312</v>
      </c>
      <c r="Q198" s="48" t="s">
        <v>14808</v>
      </c>
      <c r="R198" s="48" t="s">
        <v>62</v>
      </c>
      <c r="S198" s="49" t="s">
        <v>74</v>
      </c>
      <c r="T198" s="48" t="s">
        <v>75</v>
      </c>
      <c r="U198" s="49" t="s">
        <v>3678</v>
      </c>
      <c r="V198" s="7" t="s">
        <v>214</v>
      </c>
      <c r="W198" s="49" t="s">
        <v>214</v>
      </c>
      <c r="X198" s="49" t="s">
        <v>214</v>
      </c>
      <c r="Y198" s="49" t="s">
        <v>214</v>
      </c>
      <c r="Z198" s="55" t="s">
        <v>214</v>
      </c>
      <c r="AA198" s="48" t="s">
        <v>14809</v>
      </c>
      <c r="AB198" s="84" t="s">
        <v>14807</v>
      </c>
      <c r="AC198" s="53" t="str">
        <f t="shared" si="104"/>
        <v>Link</v>
      </c>
      <c r="AD198" s="42">
        <v>17684</v>
      </c>
      <c r="AE198" s="55"/>
      <c r="AF198" s="55"/>
      <c r="AG198" s="56">
        <v>118976</v>
      </c>
      <c r="AH198" s="85"/>
      <c r="AI198" s="85"/>
    </row>
    <row r="199" spans="1:37" ht="15" x14ac:dyDescent="0.2">
      <c r="A199" s="110" t="s">
        <v>300</v>
      </c>
      <c r="B199" s="33" t="s">
        <v>12632</v>
      </c>
      <c r="C199" s="7" t="s">
        <v>14823</v>
      </c>
      <c r="D199" s="112">
        <v>5</v>
      </c>
      <c r="E199" s="7"/>
      <c r="F199" s="7"/>
      <c r="G199" s="2" t="s">
        <v>14805</v>
      </c>
      <c r="H199" s="2" t="s">
        <v>2891</v>
      </c>
      <c r="I199" s="2" t="s">
        <v>14825</v>
      </c>
      <c r="J199" s="2" t="s">
        <v>48</v>
      </c>
      <c r="K199" s="95" t="s">
        <v>14826</v>
      </c>
      <c r="L199" s="2" t="s">
        <v>14828</v>
      </c>
      <c r="M199" s="48"/>
      <c r="N199" s="48" t="s">
        <v>22</v>
      </c>
      <c r="O199" s="48" t="s">
        <v>14807</v>
      </c>
      <c r="P199" s="60" t="s">
        <v>312</v>
      </c>
      <c r="Q199" s="48" t="s">
        <v>14808</v>
      </c>
      <c r="R199" s="48" t="s">
        <v>62</v>
      </c>
      <c r="S199" s="49" t="s">
        <v>74</v>
      </c>
      <c r="T199" s="48" t="s">
        <v>75</v>
      </c>
      <c r="U199" s="49" t="s">
        <v>3678</v>
      </c>
      <c r="V199" s="7" t="s">
        <v>214</v>
      </c>
      <c r="W199" s="49" t="s">
        <v>214</v>
      </c>
      <c r="X199" s="49" t="s">
        <v>214</v>
      </c>
      <c r="Y199" s="49" t="s">
        <v>214</v>
      </c>
      <c r="Z199" s="55" t="s">
        <v>214</v>
      </c>
      <c r="AA199" s="48" t="s">
        <v>14809</v>
      </c>
      <c r="AB199" s="84" t="s">
        <v>14807</v>
      </c>
      <c r="AC199" s="53" t="str">
        <f t="shared" si="104"/>
        <v>Link</v>
      </c>
      <c r="AD199" s="42">
        <v>17684</v>
      </c>
      <c r="AE199" s="55"/>
      <c r="AF199" s="55"/>
      <c r="AG199" s="56">
        <v>118976</v>
      </c>
      <c r="AH199" s="56"/>
      <c r="AI199" s="56"/>
    </row>
    <row r="200" spans="1:37" ht="15" x14ac:dyDescent="0.2">
      <c r="A200" s="110" t="s">
        <v>300</v>
      </c>
      <c r="B200" s="33" t="s">
        <v>12632</v>
      </c>
      <c r="C200" s="7" t="s">
        <v>14833</v>
      </c>
      <c r="D200" s="112">
        <v>5</v>
      </c>
      <c r="E200" s="7"/>
      <c r="F200" s="7"/>
      <c r="G200" s="2" t="s">
        <v>14805</v>
      </c>
      <c r="H200" s="2" t="s">
        <v>329</v>
      </c>
      <c r="I200" s="2" t="s">
        <v>8744</v>
      </c>
      <c r="J200" s="2" t="s">
        <v>55</v>
      </c>
      <c r="K200" s="6" t="s">
        <v>14836</v>
      </c>
      <c r="L200" s="2" t="s">
        <v>14837</v>
      </c>
      <c r="M200" s="48"/>
      <c r="N200" s="48" t="s">
        <v>22</v>
      </c>
      <c r="O200" s="48" t="s">
        <v>14807</v>
      </c>
      <c r="P200" s="60" t="s">
        <v>312</v>
      </c>
      <c r="Q200" s="48" t="s">
        <v>14808</v>
      </c>
      <c r="R200" s="48" t="s">
        <v>62</v>
      </c>
      <c r="S200" s="49" t="s">
        <v>74</v>
      </c>
      <c r="T200" s="48" t="s">
        <v>75</v>
      </c>
      <c r="U200" s="49" t="s">
        <v>3678</v>
      </c>
      <c r="V200" s="7" t="s">
        <v>214</v>
      </c>
      <c r="W200" s="49" t="s">
        <v>214</v>
      </c>
      <c r="X200" s="49" t="s">
        <v>214</v>
      </c>
      <c r="Y200" s="49" t="s">
        <v>214</v>
      </c>
      <c r="Z200" s="55" t="s">
        <v>214</v>
      </c>
      <c r="AA200" s="48" t="s">
        <v>14809</v>
      </c>
      <c r="AB200" s="84" t="s">
        <v>14807</v>
      </c>
      <c r="AC200" s="53" t="str">
        <f t="shared" si="104"/>
        <v>Link</v>
      </c>
      <c r="AD200" s="42">
        <v>17684</v>
      </c>
      <c r="AE200" s="55"/>
      <c r="AF200" s="55"/>
      <c r="AG200" s="56">
        <v>118976</v>
      </c>
      <c r="AH200" s="56"/>
      <c r="AI200" s="56"/>
    </row>
    <row r="201" spans="1:37" ht="15" x14ac:dyDescent="0.2">
      <c r="A201" s="110" t="s">
        <v>300</v>
      </c>
      <c r="B201" s="33" t="s">
        <v>12632</v>
      </c>
      <c r="C201" s="7" t="s">
        <v>14841</v>
      </c>
      <c r="D201" s="112">
        <v>5</v>
      </c>
      <c r="E201" s="7"/>
      <c r="F201" s="7"/>
      <c r="G201" s="2" t="s">
        <v>14805</v>
      </c>
      <c r="H201" s="2" t="s">
        <v>3497</v>
      </c>
      <c r="I201" s="2" t="s">
        <v>3974</v>
      </c>
      <c r="J201" s="2" t="s">
        <v>55</v>
      </c>
      <c r="K201" s="2"/>
      <c r="L201" s="2"/>
      <c r="M201" s="48"/>
      <c r="N201" s="48" t="s">
        <v>22</v>
      </c>
      <c r="O201" s="48" t="s">
        <v>14807</v>
      </c>
      <c r="P201" s="60" t="s">
        <v>312</v>
      </c>
      <c r="Q201" s="48" t="s">
        <v>14808</v>
      </c>
      <c r="R201" s="48" t="s">
        <v>62</v>
      </c>
      <c r="S201" s="49" t="s">
        <v>74</v>
      </c>
      <c r="T201" s="48" t="s">
        <v>75</v>
      </c>
      <c r="U201" s="49" t="s">
        <v>3678</v>
      </c>
      <c r="V201" s="7" t="s">
        <v>214</v>
      </c>
      <c r="W201" s="49" t="s">
        <v>214</v>
      </c>
      <c r="X201" s="49" t="s">
        <v>214</v>
      </c>
      <c r="Y201" s="49" t="s">
        <v>214</v>
      </c>
      <c r="Z201" s="55" t="s">
        <v>214</v>
      </c>
      <c r="AA201" s="48" t="s">
        <v>14809</v>
      </c>
      <c r="AB201" s="84" t="s">
        <v>14807</v>
      </c>
      <c r="AC201" s="53" t="str">
        <f t="shared" si="104"/>
        <v>Link</v>
      </c>
      <c r="AD201" s="42">
        <v>17684</v>
      </c>
      <c r="AE201" s="55"/>
      <c r="AF201" s="55"/>
      <c r="AG201" s="56">
        <v>118976</v>
      </c>
      <c r="AH201" s="56"/>
      <c r="AI201" s="56"/>
    </row>
    <row r="202" spans="1:37" ht="15" x14ac:dyDescent="0.2">
      <c r="A202" s="110" t="s">
        <v>300</v>
      </c>
      <c r="B202" s="33" t="s">
        <v>12632</v>
      </c>
      <c r="C202" s="7" t="s">
        <v>14844</v>
      </c>
      <c r="D202" s="112">
        <v>5</v>
      </c>
      <c r="E202" s="7"/>
      <c r="F202" s="7"/>
      <c r="G202" s="33" t="s">
        <v>14845</v>
      </c>
      <c r="H202" s="2" t="s">
        <v>3026</v>
      </c>
      <c r="I202" s="2" t="s">
        <v>7234</v>
      </c>
      <c r="J202" s="33" t="s">
        <v>48</v>
      </c>
      <c r="K202" s="2" t="s">
        <v>14848</v>
      </c>
      <c r="L202" s="2" t="s">
        <v>14850</v>
      </c>
      <c r="M202" s="48"/>
      <c r="N202" s="45" t="str">
        <f>HYPERLINK("https://www.mpc.edu/student-life/athletics/men-s-sports/baseball/recruiting-information/baseball-prospective-student-athlete-information-request-form","Questionnaire")</f>
        <v>Questionnaire</v>
      </c>
      <c r="O202" s="48" t="s">
        <v>14854</v>
      </c>
      <c r="P202" s="60" t="s">
        <v>312</v>
      </c>
      <c r="Q202" s="48" t="s">
        <v>14855</v>
      </c>
      <c r="R202" s="48" t="s">
        <v>468</v>
      </c>
      <c r="S202" s="5" t="s">
        <v>74</v>
      </c>
      <c r="T202" s="48" t="s">
        <v>75</v>
      </c>
      <c r="U202" s="49" t="s">
        <v>3678</v>
      </c>
      <c r="V202" s="7" t="s">
        <v>214</v>
      </c>
      <c r="W202" s="49" t="s">
        <v>214</v>
      </c>
      <c r="X202" s="49" t="s">
        <v>214</v>
      </c>
      <c r="Y202" s="49" t="s">
        <v>214</v>
      </c>
      <c r="Z202" s="55" t="s">
        <v>214</v>
      </c>
      <c r="AA202" s="48" t="s">
        <v>14856</v>
      </c>
      <c r="AB202" s="84" t="s">
        <v>14854</v>
      </c>
      <c r="AC202" s="53" t="str">
        <f>HYPERLINK("https://www.mpc.edu/academics/all-degrees-and-programs","Link")</f>
        <v>Link</v>
      </c>
      <c r="AD202" s="42">
        <v>7815</v>
      </c>
      <c r="AE202" s="55"/>
      <c r="AF202" s="55"/>
      <c r="AG202" s="56">
        <v>119067</v>
      </c>
      <c r="AH202" s="56"/>
      <c r="AI202" s="56"/>
    </row>
    <row r="203" spans="1:37" ht="15" x14ac:dyDescent="0.2">
      <c r="A203" s="31" t="s">
        <v>300</v>
      </c>
      <c r="B203" s="33" t="s">
        <v>12632</v>
      </c>
      <c r="C203" s="7"/>
      <c r="D203" s="112">
        <v>5</v>
      </c>
      <c r="E203" s="7"/>
      <c r="F203" s="112"/>
      <c r="G203" s="33" t="s">
        <v>14860</v>
      </c>
      <c r="H203" s="2" t="s">
        <v>14862</v>
      </c>
      <c r="I203" s="2" t="s">
        <v>11755</v>
      </c>
      <c r="J203" s="2" t="s">
        <v>48</v>
      </c>
      <c r="K203" s="2"/>
      <c r="L203" s="2" t="s">
        <v>14863</v>
      </c>
      <c r="M203" s="45" t="str">
        <f t="shared" ref="M203:M204" si="105">HYPERLINK("twitter.com/mcsoftballl","@mcsoftballl")</f>
        <v>@mcsoftballl</v>
      </c>
      <c r="N203" s="45" t="str">
        <f t="shared" ref="N203:N204" si="106">HYPERLINK("http://moorparkcollegeathletics.com/become-a-raider/","Questionnaire")</f>
        <v>Questionnaire</v>
      </c>
      <c r="O203" s="48" t="s">
        <v>14869</v>
      </c>
      <c r="P203" s="60" t="s">
        <v>312</v>
      </c>
      <c r="Q203" s="48" t="s">
        <v>14869</v>
      </c>
      <c r="R203" s="48" t="s">
        <v>468</v>
      </c>
      <c r="S203" s="49" t="s">
        <v>74</v>
      </c>
      <c r="T203" s="48" t="s">
        <v>75</v>
      </c>
      <c r="U203" s="49" t="s">
        <v>3678</v>
      </c>
      <c r="V203" s="7" t="s">
        <v>214</v>
      </c>
      <c r="W203" s="49" t="s">
        <v>214</v>
      </c>
      <c r="X203" s="49" t="s">
        <v>214</v>
      </c>
      <c r="Y203" s="49" t="s">
        <v>214</v>
      </c>
      <c r="Z203" s="55" t="s">
        <v>214</v>
      </c>
      <c r="AA203" s="48" t="s">
        <v>14871</v>
      </c>
      <c r="AB203" s="84" t="s">
        <v>14869</v>
      </c>
      <c r="AC203" s="53" t="str">
        <f t="shared" ref="AC203:AC204" si="107">HYPERLINK("http://www.moorparkcollege.edu/departments/academic","Link")</f>
        <v>Link</v>
      </c>
      <c r="AD203" s="42">
        <v>14010</v>
      </c>
      <c r="AE203" s="55"/>
      <c r="AF203" s="55"/>
      <c r="AG203" s="56">
        <v>119137</v>
      </c>
      <c r="AH203" s="7" t="s">
        <v>2459</v>
      </c>
      <c r="AI203" s="7"/>
      <c r="AJ203" s="7"/>
      <c r="AK203" s="7"/>
    </row>
    <row r="204" spans="1:37" ht="15" x14ac:dyDescent="0.2">
      <c r="A204" s="31" t="s">
        <v>300</v>
      </c>
      <c r="B204" s="33" t="s">
        <v>12632</v>
      </c>
      <c r="C204" s="7"/>
      <c r="D204" s="112">
        <v>5</v>
      </c>
      <c r="E204" s="7"/>
      <c r="F204" s="112"/>
      <c r="G204" s="33" t="s">
        <v>14860</v>
      </c>
      <c r="H204" s="2" t="s">
        <v>1075</v>
      </c>
      <c r="I204" s="2" t="s">
        <v>11426</v>
      </c>
      <c r="J204" s="2" t="s">
        <v>55</v>
      </c>
      <c r="K204" s="2"/>
      <c r="L204" s="2" t="s">
        <v>14873</v>
      </c>
      <c r="M204" s="45" t="str">
        <f t="shared" si="105"/>
        <v>@mcsoftballl</v>
      </c>
      <c r="N204" s="45" t="str">
        <f t="shared" si="106"/>
        <v>Questionnaire</v>
      </c>
      <c r="O204" s="48" t="s">
        <v>14869</v>
      </c>
      <c r="P204" s="60" t="s">
        <v>312</v>
      </c>
      <c r="Q204" s="48" t="s">
        <v>14869</v>
      </c>
      <c r="R204" s="48" t="s">
        <v>468</v>
      </c>
      <c r="S204" s="49" t="s">
        <v>74</v>
      </c>
      <c r="T204" s="48" t="s">
        <v>75</v>
      </c>
      <c r="U204" s="49" t="s">
        <v>3678</v>
      </c>
      <c r="V204" s="7" t="s">
        <v>214</v>
      </c>
      <c r="W204" s="49" t="s">
        <v>214</v>
      </c>
      <c r="X204" s="49" t="s">
        <v>214</v>
      </c>
      <c r="Y204" s="49" t="s">
        <v>214</v>
      </c>
      <c r="Z204" s="55" t="s">
        <v>214</v>
      </c>
      <c r="AA204" s="48" t="s">
        <v>14871</v>
      </c>
      <c r="AB204" s="84" t="s">
        <v>14869</v>
      </c>
      <c r="AC204" s="53" t="str">
        <f t="shared" si="107"/>
        <v>Link</v>
      </c>
      <c r="AD204" s="42">
        <v>14010</v>
      </c>
      <c r="AE204" s="55"/>
      <c r="AF204" s="55"/>
      <c r="AG204" s="56">
        <v>119137</v>
      </c>
      <c r="AH204" s="7" t="s">
        <v>2459</v>
      </c>
      <c r="AI204" s="7"/>
      <c r="AJ204" s="7"/>
      <c r="AK204" s="7"/>
    </row>
    <row r="205" spans="1:37" ht="15" x14ac:dyDescent="0.2">
      <c r="A205" s="110" t="s">
        <v>300</v>
      </c>
      <c r="B205" s="33" t="s">
        <v>12632</v>
      </c>
      <c r="C205" s="7" t="s">
        <v>14884</v>
      </c>
      <c r="D205" s="112">
        <v>5</v>
      </c>
      <c r="E205" s="7"/>
      <c r="F205" s="7"/>
      <c r="G205" s="33" t="s">
        <v>14885</v>
      </c>
      <c r="H205" s="138" t="s">
        <v>421</v>
      </c>
      <c r="I205" s="2"/>
      <c r="J205" s="33" t="s">
        <v>48</v>
      </c>
      <c r="K205" s="2"/>
      <c r="L205" s="2"/>
      <c r="M205" s="45" t="str">
        <f t="shared" ref="M205:M209" si="108">HYPERLINK("twitter.com/mtsac_softball","@mtsac_softball")</f>
        <v>@mtsac_softball</v>
      </c>
      <c r="N205" s="45" t="str">
        <f t="shared" ref="N205:N209" si="109">HYPERLINK("https://www.mtsacathletics.com/student_athlete_info/Become_A_Mountie","Questionnaire")</f>
        <v>Questionnaire</v>
      </c>
      <c r="O205" s="48" t="s">
        <v>14889</v>
      </c>
      <c r="P205" s="60" t="s">
        <v>312</v>
      </c>
      <c r="Q205" s="48" t="s">
        <v>14890</v>
      </c>
      <c r="R205" s="48" t="s">
        <v>468</v>
      </c>
      <c r="S205" s="49" t="s">
        <v>74</v>
      </c>
      <c r="T205" s="48" t="s">
        <v>75</v>
      </c>
      <c r="U205" s="49" t="s">
        <v>3678</v>
      </c>
      <c r="V205" s="7" t="s">
        <v>214</v>
      </c>
      <c r="W205" s="49" t="s">
        <v>214</v>
      </c>
      <c r="X205" s="49" t="s">
        <v>214</v>
      </c>
      <c r="Y205" s="49" t="s">
        <v>214</v>
      </c>
      <c r="Z205" s="55" t="s">
        <v>214</v>
      </c>
      <c r="AA205" s="48" t="s">
        <v>14893</v>
      </c>
      <c r="AB205" s="84" t="s">
        <v>14889</v>
      </c>
      <c r="AC205" s="53" t="str">
        <f t="shared" ref="AC205:AC209" si="110">HYPERLINK("http://www.mtsac.edu/instruction/degrees/","Link")</f>
        <v>Link</v>
      </c>
      <c r="AD205" s="42">
        <v>29446</v>
      </c>
      <c r="AE205" s="55"/>
      <c r="AF205" s="55"/>
      <c r="AG205" s="56">
        <v>119164</v>
      </c>
      <c r="AH205" s="56"/>
      <c r="AI205" s="56"/>
    </row>
    <row r="206" spans="1:37" ht="15" x14ac:dyDescent="0.2">
      <c r="A206" s="110" t="s">
        <v>300</v>
      </c>
      <c r="B206" s="33" t="s">
        <v>12632</v>
      </c>
      <c r="C206" s="7" t="s">
        <v>14894</v>
      </c>
      <c r="D206" s="112">
        <v>5</v>
      </c>
      <c r="E206" s="7"/>
      <c r="F206" s="7"/>
      <c r="G206" s="33" t="s">
        <v>14885</v>
      </c>
      <c r="H206" s="34" t="s">
        <v>1902</v>
      </c>
      <c r="I206" s="2" t="s">
        <v>14896</v>
      </c>
      <c r="J206" s="33" t="s">
        <v>1423</v>
      </c>
      <c r="K206" s="2" t="s">
        <v>14898</v>
      </c>
      <c r="L206" s="2" t="s">
        <v>14899</v>
      </c>
      <c r="M206" s="45" t="str">
        <f t="shared" si="108"/>
        <v>@mtsac_softball</v>
      </c>
      <c r="N206" s="45" t="str">
        <f t="shared" si="109"/>
        <v>Questionnaire</v>
      </c>
      <c r="O206" s="48" t="s">
        <v>14889</v>
      </c>
      <c r="P206" s="60" t="s">
        <v>312</v>
      </c>
      <c r="Q206" s="48" t="s">
        <v>14890</v>
      </c>
      <c r="R206" s="48" t="s">
        <v>468</v>
      </c>
      <c r="S206" s="49" t="s">
        <v>74</v>
      </c>
      <c r="T206" s="48" t="s">
        <v>75</v>
      </c>
      <c r="U206" s="49" t="s">
        <v>3678</v>
      </c>
      <c r="V206" s="7" t="s">
        <v>214</v>
      </c>
      <c r="W206" s="49" t="s">
        <v>214</v>
      </c>
      <c r="X206" s="49" t="s">
        <v>214</v>
      </c>
      <c r="Y206" s="49" t="s">
        <v>214</v>
      </c>
      <c r="Z206" s="55" t="s">
        <v>214</v>
      </c>
      <c r="AA206" s="48" t="s">
        <v>14893</v>
      </c>
      <c r="AB206" s="84" t="s">
        <v>14889</v>
      </c>
      <c r="AC206" s="53" t="str">
        <f t="shared" si="110"/>
        <v>Link</v>
      </c>
      <c r="AD206" s="42">
        <v>29446</v>
      </c>
      <c r="AE206" s="55"/>
      <c r="AF206" s="55"/>
      <c r="AG206" s="56">
        <v>119164</v>
      </c>
      <c r="AH206" s="56"/>
      <c r="AI206" s="56"/>
    </row>
    <row r="207" spans="1:37" ht="15" x14ac:dyDescent="0.2">
      <c r="A207" s="110" t="s">
        <v>300</v>
      </c>
      <c r="B207" s="33" t="s">
        <v>12632</v>
      </c>
      <c r="C207" s="7" t="s">
        <v>14903</v>
      </c>
      <c r="D207" s="112">
        <v>5</v>
      </c>
      <c r="E207" s="7"/>
      <c r="F207" s="7"/>
      <c r="G207" s="33" t="s">
        <v>14885</v>
      </c>
      <c r="H207" s="138" t="s">
        <v>991</v>
      </c>
      <c r="I207" s="2" t="s">
        <v>14905</v>
      </c>
      <c r="J207" s="2" t="s">
        <v>1558</v>
      </c>
      <c r="K207" s="2" t="s">
        <v>14906</v>
      </c>
      <c r="L207" s="2" t="s">
        <v>14899</v>
      </c>
      <c r="M207" s="45" t="str">
        <f t="shared" si="108"/>
        <v>@mtsac_softball</v>
      </c>
      <c r="N207" s="45" t="str">
        <f t="shared" si="109"/>
        <v>Questionnaire</v>
      </c>
      <c r="O207" s="48" t="s">
        <v>14889</v>
      </c>
      <c r="P207" s="60" t="s">
        <v>312</v>
      </c>
      <c r="Q207" s="48" t="s">
        <v>14890</v>
      </c>
      <c r="R207" s="48" t="s">
        <v>468</v>
      </c>
      <c r="S207" s="49" t="s">
        <v>74</v>
      </c>
      <c r="T207" s="48" t="s">
        <v>75</v>
      </c>
      <c r="U207" s="49" t="s">
        <v>3678</v>
      </c>
      <c r="V207" s="7" t="s">
        <v>214</v>
      </c>
      <c r="W207" s="49" t="s">
        <v>214</v>
      </c>
      <c r="X207" s="49" t="s">
        <v>214</v>
      </c>
      <c r="Y207" s="49" t="s">
        <v>214</v>
      </c>
      <c r="Z207" s="55" t="s">
        <v>214</v>
      </c>
      <c r="AA207" s="48" t="s">
        <v>14893</v>
      </c>
      <c r="AB207" s="84" t="s">
        <v>14889</v>
      </c>
      <c r="AC207" s="53" t="str">
        <f t="shared" si="110"/>
        <v>Link</v>
      </c>
      <c r="AD207" s="42">
        <v>29446</v>
      </c>
      <c r="AE207" s="55"/>
      <c r="AF207" s="55"/>
      <c r="AG207" s="56">
        <v>119164</v>
      </c>
      <c r="AH207" s="56"/>
      <c r="AI207" s="56"/>
    </row>
    <row r="208" spans="1:37" ht="15" x14ac:dyDescent="0.2">
      <c r="A208" s="110" t="s">
        <v>300</v>
      </c>
      <c r="B208" s="33" t="s">
        <v>12632</v>
      </c>
      <c r="C208" s="7" t="s">
        <v>14915</v>
      </c>
      <c r="D208" s="112">
        <v>5</v>
      </c>
      <c r="E208" s="7"/>
      <c r="F208" s="7"/>
      <c r="G208" s="33" t="s">
        <v>14885</v>
      </c>
      <c r="H208" s="34" t="s">
        <v>14916</v>
      </c>
      <c r="I208" s="2" t="s">
        <v>14917</v>
      </c>
      <c r="J208" s="33" t="s">
        <v>55</v>
      </c>
      <c r="K208" s="2"/>
      <c r="L208" s="2" t="s">
        <v>14899</v>
      </c>
      <c r="M208" s="45" t="str">
        <f t="shared" si="108"/>
        <v>@mtsac_softball</v>
      </c>
      <c r="N208" s="45" t="str">
        <f t="shared" si="109"/>
        <v>Questionnaire</v>
      </c>
      <c r="O208" s="48" t="s">
        <v>14889</v>
      </c>
      <c r="P208" s="60" t="s">
        <v>312</v>
      </c>
      <c r="Q208" s="48" t="s">
        <v>14890</v>
      </c>
      <c r="R208" s="48" t="s">
        <v>468</v>
      </c>
      <c r="S208" s="49" t="s">
        <v>74</v>
      </c>
      <c r="T208" s="48" t="s">
        <v>75</v>
      </c>
      <c r="U208" s="49" t="s">
        <v>3678</v>
      </c>
      <c r="V208" s="7" t="s">
        <v>214</v>
      </c>
      <c r="W208" s="49" t="s">
        <v>214</v>
      </c>
      <c r="X208" s="49" t="s">
        <v>214</v>
      </c>
      <c r="Y208" s="49" t="s">
        <v>214</v>
      </c>
      <c r="Z208" s="55" t="s">
        <v>214</v>
      </c>
      <c r="AA208" s="48" t="s">
        <v>14893</v>
      </c>
      <c r="AB208" s="84" t="s">
        <v>14889</v>
      </c>
      <c r="AC208" s="53" t="str">
        <f t="shared" si="110"/>
        <v>Link</v>
      </c>
      <c r="AD208" s="42">
        <v>29446</v>
      </c>
      <c r="AE208" s="55"/>
      <c r="AF208" s="55"/>
      <c r="AG208" s="56">
        <v>119164</v>
      </c>
      <c r="AH208" s="56"/>
      <c r="AI208" s="56"/>
    </row>
    <row r="209" spans="1:35" ht="15" x14ac:dyDescent="0.2">
      <c r="A209" s="110" t="s">
        <v>300</v>
      </c>
      <c r="B209" s="33" t="s">
        <v>12632</v>
      </c>
      <c r="C209" s="7" t="s">
        <v>14920</v>
      </c>
      <c r="D209" s="112">
        <v>5</v>
      </c>
      <c r="E209" s="7"/>
      <c r="F209" s="7"/>
      <c r="G209" s="33" t="s">
        <v>14885</v>
      </c>
      <c r="H209" s="34" t="s">
        <v>1280</v>
      </c>
      <c r="I209" s="2" t="s">
        <v>8951</v>
      </c>
      <c r="J209" s="33" t="s">
        <v>919</v>
      </c>
      <c r="K209" s="2"/>
      <c r="L209" s="2" t="s">
        <v>14899</v>
      </c>
      <c r="M209" s="45" t="str">
        <f t="shared" si="108"/>
        <v>@mtsac_softball</v>
      </c>
      <c r="N209" s="45" t="str">
        <f t="shared" si="109"/>
        <v>Questionnaire</v>
      </c>
      <c r="O209" s="48" t="s">
        <v>14889</v>
      </c>
      <c r="P209" s="60" t="s">
        <v>312</v>
      </c>
      <c r="Q209" s="48" t="s">
        <v>14890</v>
      </c>
      <c r="R209" s="48" t="s">
        <v>468</v>
      </c>
      <c r="S209" s="49" t="s">
        <v>74</v>
      </c>
      <c r="T209" s="48" t="s">
        <v>75</v>
      </c>
      <c r="U209" s="49" t="s">
        <v>3678</v>
      </c>
      <c r="V209" s="7" t="s">
        <v>214</v>
      </c>
      <c r="W209" s="49" t="s">
        <v>214</v>
      </c>
      <c r="X209" s="49" t="s">
        <v>214</v>
      </c>
      <c r="Y209" s="49" t="s">
        <v>214</v>
      </c>
      <c r="Z209" s="55" t="s">
        <v>214</v>
      </c>
      <c r="AA209" s="48" t="s">
        <v>14893</v>
      </c>
      <c r="AB209" s="84" t="s">
        <v>14889</v>
      </c>
      <c r="AC209" s="53" t="str">
        <f t="shared" si="110"/>
        <v>Link</v>
      </c>
      <c r="AD209" s="42">
        <v>29446</v>
      </c>
      <c r="AE209" s="55"/>
      <c r="AF209" s="55"/>
      <c r="AG209" s="56">
        <v>119164</v>
      </c>
      <c r="AH209" s="56"/>
      <c r="AI209" s="56"/>
    </row>
    <row r="210" spans="1:35" ht="15" x14ac:dyDescent="0.2">
      <c r="A210" s="110" t="s">
        <v>300</v>
      </c>
      <c r="B210" s="33" t="s">
        <v>12632</v>
      </c>
      <c r="C210" s="7" t="s">
        <v>14931</v>
      </c>
      <c r="D210" s="112">
        <v>5</v>
      </c>
      <c r="E210" s="7"/>
      <c r="F210" s="7"/>
      <c r="G210" s="33" t="s">
        <v>14932</v>
      </c>
      <c r="H210" s="2" t="s">
        <v>453</v>
      </c>
      <c r="I210" s="2" t="s">
        <v>223</v>
      </c>
      <c r="J210" s="33" t="s">
        <v>48</v>
      </c>
      <c r="K210" s="138" t="s">
        <v>14935</v>
      </c>
      <c r="L210" s="2" t="s">
        <v>14936</v>
      </c>
      <c r="M210" s="48"/>
      <c r="N210" s="45" t="str">
        <f t="shared" ref="N210:N212" si="111">HYPERLINK("https://msjc.formstack.com/forms/eagleathletics","Questionnaire")</f>
        <v>Questionnaire</v>
      </c>
      <c r="O210" s="48" t="s">
        <v>14941</v>
      </c>
      <c r="P210" s="60" t="s">
        <v>312</v>
      </c>
      <c r="Q210" s="48" t="s">
        <v>14942</v>
      </c>
      <c r="R210" s="48" t="s">
        <v>468</v>
      </c>
      <c r="S210" s="49" t="s">
        <v>74</v>
      </c>
      <c r="T210" s="48" t="s">
        <v>75</v>
      </c>
      <c r="U210" s="49" t="s">
        <v>3678</v>
      </c>
      <c r="V210" s="7" t="s">
        <v>214</v>
      </c>
      <c r="W210" s="49" t="s">
        <v>214</v>
      </c>
      <c r="X210" s="49" t="s">
        <v>214</v>
      </c>
      <c r="Y210" s="49" t="s">
        <v>214</v>
      </c>
      <c r="Z210" s="55" t="s">
        <v>214</v>
      </c>
      <c r="AA210" s="48" t="s">
        <v>14946</v>
      </c>
      <c r="AB210" s="84" t="s">
        <v>14941</v>
      </c>
      <c r="AC210" s="53" t="str">
        <f t="shared" ref="AC210:AC212" si="112">HYPERLINK("https://www.msjc.edu/InstructionalPrograms/Pages/Academic-and-Career-Technical-Programs-for-Certificate-Degree-and-Transfer.aspx","Link")</f>
        <v>Link</v>
      </c>
      <c r="AD210" s="42">
        <v>15497</v>
      </c>
      <c r="AE210" s="55"/>
      <c r="AF210" s="55"/>
      <c r="AG210" s="56">
        <v>119216</v>
      </c>
      <c r="AH210" s="56"/>
      <c r="AI210" s="56"/>
    </row>
    <row r="211" spans="1:35" ht="15" x14ac:dyDescent="0.2">
      <c r="A211" s="110" t="s">
        <v>300</v>
      </c>
      <c r="B211" s="33" t="s">
        <v>12632</v>
      </c>
      <c r="C211" s="7" t="s">
        <v>14955</v>
      </c>
      <c r="D211" s="112">
        <v>5</v>
      </c>
      <c r="E211" s="7"/>
      <c r="F211" s="7"/>
      <c r="G211" s="33" t="s">
        <v>14932</v>
      </c>
      <c r="H211" s="2" t="s">
        <v>1875</v>
      </c>
      <c r="I211" s="2" t="s">
        <v>3498</v>
      </c>
      <c r="J211" s="33" t="s">
        <v>55</v>
      </c>
      <c r="K211" s="138" t="s">
        <v>14959</v>
      </c>
      <c r="L211" s="2"/>
      <c r="M211" s="48"/>
      <c r="N211" s="45" t="str">
        <f t="shared" si="111"/>
        <v>Questionnaire</v>
      </c>
      <c r="O211" s="48" t="s">
        <v>14941</v>
      </c>
      <c r="P211" s="60" t="s">
        <v>312</v>
      </c>
      <c r="Q211" s="48" t="s">
        <v>14942</v>
      </c>
      <c r="R211" s="48" t="s">
        <v>468</v>
      </c>
      <c r="S211" s="49" t="s">
        <v>74</v>
      </c>
      <c r="T211" s="48" t="s">
        <v>75</v>
      </c>
      <c r="U211" s="49" t="s">
        <v>3678</v>
      </c>
      <c r="V211" s="7" t="s">
        <v>214</v>
      </c>
      <c r="W211" s="49" t="s">
        <v>214</v>
      </c>
      <c r="X211" s="49" t="s">
        <v>214</v>
      </c>
      <c r="Y211" s="49" t="s">
        <v>214</v>
      </c>
      <c r="Z211" s="55" t="s">
        <v>214</v>
      </c>
      <c r="AA211" s="48" t="s">
        <v>14946</v>
      </c>
      <c r="AB211" s="84" t="s">
        <v>14941</v>
      </c>
      <c r="AC211" s="53" t="str">
        <f t="shared" si="112"/>
        <v>Link</v>
      </c>
      <c r="AD211" s="42">
        <v>15497</v>
      </c>
      <c r="AE211" s="55"/>
      <c r="AF211" s="55"/>
      <c r="AG211" s="56">
        <v>119216</v>
      </c>
      <c r="AH211" s="56"/>
      <c r="AI211" s="56"/>
    </row>
    <row r="212" spans="1:35" ht="15" x14ac:dyDescent="0.2">
      <c r="A212" s="110" t="s">
        <v>300</v>
      </c>
      <c r="B212" s="33" t="s">
        <v>12632</v>
      </c>
      <c r="C212" s="7" t="s">
        <v>14964</v>
      </c>
      <c r="D212" s="112">
        <v>5</v>
      </c>
      <c r="E212" s="7"/>
      <c r="F212" s="7"/>
      <c r="G212" s="33" t="s">
        <v>14932</v>
      </c>
      <c r="H212" s="2" t="s">
        <v>904</v>
      </c>
      <c r="I212" s="2" t="s">
        <v>263</v>
      </c>
      <c r="J212" s="33" t="s">
        <v>55</v>
      </c>
      <c r="K212" s="34" t="s">
        <v>14966</v>
      </c>
      <c r="L212" s="2"/>
      <c r="M212" s="48"/>
      <c r="N212" s="45" t="str">
        <f t="shared" si="111"/>
        <v>Questionnaire</v>
      </c>
      <c r="O212" s="48" t="s">
        <v>14941</v>
      </c>
      <c r="P212" s="60" t="s">
        <v>312</v>
      </c>
      <c r="Q212" s="48" t="s">
        <v>14942</v>
      </c>
      <c r="R212" s="48" t="s">
        <v>468</v>
      </c>
      <c r="S212" s="49" t="s">
        <v>74</v>
      </c>
      <c r="T212" s="48" t="s">
        <v>75</v>
      </c>
      <c r="U212" s="49" t="s">
        <v>3678</v>
      </c>
      <c r="V212" s="7" t="s">
        <v>214</v>
      </c>
      <c r="W212" s="49" t="s">
        <v>214</v>
      </c>
      <c r="X212" s="49" t="s">
        <v>214</v>
      </c>
      <c r="Y212" s="49" t="s">
        <v>214</v>
      </c>
      <c r="Z212" s="55" t="s">
        <v>214</v>
      </c>
      <c r="AA212" s="48" t="s">
        <v>14946</v>
      </c>
      <c r="AB212" s="84" t="s">
        <v>14941</v>
      </c>
      <c r="AC212" s="53" t="str">
        <f t="shared" si="112"/>
        <v>Link</v>
      </c>
      <c r="AD212" s="42">
        <v>15497</v>
      </c>
      <c r="AE212" s="55"/>
      <c r="AF212" s="55"/>
      <c r="AG212" s="56">
        <v>119216</v>
      </c>
      <c r="AH212" s="56"/>
      <c r="AI212" s="56"/>
    </row>
    <row r="213" spans="1:35" ht="15" x14ac:dyDescent="0.2">
      <c r="A213" s="110" t="s">
        <v>300</v>
      </c>
      <c r="B213" s="33" t="s">
        <v>12632</v>
      </c>
      <c r="C213" s="7" t="s">
        <v>14972</v>
      </c>
      <c r="D213" s="112">
        <v>5</v>
      </c>
      <c r="E213" s="7"/>
      <c r="F213" s="7"/>
      <c r="G213" s="2" t="s">
        <v>14973</v>
      </c>
      <c r="H213" s="2" t="s">
        <v>1280</v>
      </c>
      <c r="I213" s="2" t="s">
        <v>14974</v>
      </c>
      <c r="J213" s="33" t="s">
        <v>48</v>
      </c>
      <c r="K213" s="2" t="s">
        <v>14976</v>
      </c>
      <c r="L213" s="2" t="s">
        <v>14979</v>
      </c>
      <c r="M213" s="48"/>
      <c r="N213" s="45" t="str">
        <f>HYPERLINK("https://nvcstorm.com/sports/sball/Recruiting_Form","Questionnaire")</f>
        <v>Questionnaire</v>
      </c>
      <c r="O213" s="48" t="s">
        <v>14986</v>
      </c>
      <c r="P213" s="60" t="s">
        <v>312</v>
      </c>
      <c r="Q213" s="48" t="s">
        <v>14988</v>
      </c>
      <c r="R213" s="48" t="s">
        <v>238</v>
      </c>
      <c r="S213" s="49" t="s">
        <v>74</v>
      </c>
      <c r="T213" s="48" t="s">
        <v>75</v>
      </c>
      <c r="U213" s="49" t="s">
        <v>3678</v>
      </c>
      <c r="V213" s="7" t="s">
        <v>214</v>
      </c>
      <c r="W213" s="49" t="s">
        <v>214</v>
      </c>
      <c r="X213" s="49" t="s">
        <v>214</v>
      </c>
      <c r="Y213" s="49" t="s">
        <v>214</v>
      </c>
      <c r="Z213" s="55" t="s">
        <v>214</v>
      </c>
      <c r="AA213" s="48" t="s">
        <v>14993</v>
      </c>
      <c r="AB213" s="84" t="s">
        <v>14986</v>
      </c>
      <c r="AC213" s="53" t="str">
        <f>HYPERLINK("http://www.napavalley.edu/academics/Instruction/Pages/areasofstudy.aspx","Link")</f>
        <v>Link</v>
      </c>
      <c r="AD213" s="42">
        <v>6148</v>
      </c>
      <c r="AE213" s="55"/>
      <c r="AF213" s="55"/>
      <c r="AG213" s="56">
        <v>119331</v>
      </c>
      <c r="AH213" s="56"/>
      <c r="AI213" s="56"/>
    </row>
    <row r="214" spans="1:35" ht="15" x14ac:dyDescent="0.2">
      <c r="A214" s="110" t="s">
        <v>300</v>
      </c>
      <c r="B214" s="33" t="s">
        <v>12632</v>
      </c>
      <c r="C214" s="7" t="s">
        <v>14999</v>
      </c>
      <c r="D214" s="112">
        <v>5</v>
      </c>
      <c r="E214" s="7"/>
      <c r="F214" s="7"/>
      <c r="G214" s="33" t="s">
        <v>15000</v>
      </c>
      <c r="H214" s="2" t="s">
        <v>3235</v>
      </c>
      <c r="I214" s="2" t="s">
        <v>2428</v>
      </c>
      <c r="J214" s="2" t="s">
        <v>48</v>
      </c>
      <c r="K214" s="2" t="s">
        <v>15001</v>
      </c>
      <c r="L214" s="2" t="s">
        <v>15002</v>
      </c>
      <c r="M214" s="45" t="str">
        <f>HYPERLINK("twitter.com/ohlone_softball","@ohlone_softball")</f>
        <v>@ohlone_softball</v>
      </c>
      <c r="N214" s="48" t="s">
        <v>22</v>
      </c>
      <c r="O214" s="48" t="s">
        <v>15007</v>
      </c>
      <c r="P214" s="60" t="s">
        <v>312</v>
      </c>
      <c r="Q214" s="48" t="s">
        <v>15009</v>
      </c>
      <c r="R214" s="48" t="s">
        <v>62</v>
      </c>
      <c r="S214" s="49" t="s">
        <v>74</v>
      </c>
      <c r="T214" s="48" t="s">
        <v>75</v>
      </c>
      <c r="U214" s="49" t="s">
        <v>3678</v>
      </c>
      <c r="V214" s="7" t="s">
        <v>214</v>
      </c>
      <c r="W214" s="49" t="s">
        <v>214</v>
      </c>
      <c r="X214" s="49" t="s">
        <v>214</v>
      </c>
      <c r="Y214" s="49" t="s">
        <v>214</v>
      </c>
      <c r="Z214" s="55" t="s">
        <v>214</v>
      </c>
      <c r="AA214" s="48" t="s">
        <v>15013</v>
      </c>
      <c r="AB214" s="84" t="s">
        <v>15007</v>
      </c>
      <c r="AC214" s="53" t="str">
        <f>HYPERLINK("http://www.ohlone.edu/core/academicprograms.html","Link")</f>
        <v>Link</v>
      </c>
      <c r="AD214" s="42">
        <v>9814</v>
      </c>
      <c r="AE214" s="55"/>
      <c r="AF214" s="55"/>
      <c r="AG214" s="56">
        <v>120290</v>
      </c>
      <c r="AH214" s="56"/>
      <c r="AI214" s="56"/>
    </row>
    <row r="215" spans="1:35" ht="15" x14ac:dyDescent="0.2">
      <c r="A215" s="110" t="s">
        <v>300</v>
      </c>
      <c r="B215" s="33" t="s">
        <v>12632</v>
      </c>
      <c r="C215" s="7" t="s">
        <v>15014</v>
      </c>
      <c r="D215" s="112">
        <v>5</v>
      </c>
      <c r="E215" s="7"/>
      <c r="F215" s="7"/>
      <c r="G215" s="33" t="s">
        <v>15015</v>
      </c>
      <c r="H215" s="2" t="s">
        <v>9572</v>
      </c>
      <c r="I215" s="2" t="s">
        <v>15017</v>
      </c>
      <c r="J215" s="33" t="s">
        <v>48</v>
      </c>
      <c r="K215" s="2" t="s">
        <v>15019</v>
      </c>
      <c r="L215" s="2" t="s">
        <v>15020</v>
      </c>
      <c r="M215" s="45" t="str">
        <f t="shared" ref="M215:M216" si="113">HYPERLINK("twitter.com/occfastpitch","@occfastpitch")</f>
        <v>@occfastpitch</v>
      </c>
      <c r="N215" s="45" t="str">
        <f t="shared" ref="N215:N216" si="114">HYPERLINK("http://www.occpirateathletics.com/recruits/Prospective_Student-Athlete_Form","Questionnaire")</f>
        <v>Questionnaire</v>
      </c>
      <c r="O215" s="48" t="s">
        <v>15024</v>
      </c>
      <c r="P215" s="60" t="s">
        <v>312</v>
      </c>
      <c r="Q215" s="48" t="s">
        <v>15025</v>
      </c>
      <c r="R215" s="48" t="s">
        <v>238</v>
      </c>
      <c r="S215" s="49" t="s">
        <v>74</v>
      </c>
      <c r="T215" s="48" t="s">
        <v>75</v>
      </c>
      <c r="U215" s="49" t="s">
        <v>3678</v>
      </c>
      <c r="V215" s="7" t="s">
        <v>214</v>
      </c>
      <c r="W215" s="49" t="s">
        <v>214</v>
      </c>
      <c r="X215" s="49" t="s">
        <v>214</v>
      </c>
      <c r="Y215" s="49" t="s">
        <v>214</v>
      </c>
      <c r="Z215" s="55" t="s">
        <v>214</v>
      </c>
      <c r="AA215" s="48" t="s">
        <v>15026</v>
      </c>
      <c r="AB215" s="84" t="s">
        <v>15024</v>
      </c>
      <c r="AC215" s="53" t="str">
        <f t="shared" ref="AC215:AC216" si="115">HYPERLINK("http://www.orangecoastcollege.edu/academics/Pages/Our-Programs.aspx","Link")</f>
        <v>Link</v>
      </c>
      <c r="AD215" s="42">
        <v>21731</v>
      </c>
      <c r="AE215" s="55"/>
      <c r="AF215" s="55"/>
      <c r="AG215" s="56">
        <v>120342</v>
      </c>
      <c r="AH215" s="56"/>
      <c r="AI215" s="56"/>
    </row>
    <row r="216" spans="1:35" ht="15" x14ac:dyDescent="0.2">
      <c r="A216" s="110" t="s">
        <v>300</v>
      </c>
      <c r="B216" s="33" t="s">
        <v>12632</v>
      </c>
      <c r="C216" s="7" t="s">
        <v>15031</v>
      </c>
      <c r="D216" s="112">
        <v>5</v>
      </c>
      <c r="E216" s="7"/>
      <c r="F216" s="7"/>
      <c r="G216" s="33" t="s">
        <v>15015</v>
      </c>
      <c r="H216" s="2" t="s">
        <v>513</v>
      </c>
      <c r="I216" s="2" t="s">
        <v>514</v>
      </c>
      <c r="J216" s="33" t="s">
        <v>55</v>
      </c>
      <c r="K216" s="2"/>
      <c r="L216" s="2"/>
      <c r="M216" s="45" t="str">
        <f t="shared" si="113"/>
        <v>@occfastpitch</v>
      </c>
      <c r="N216" s="45" t="str">
        <f t="shared" si="114"/>
        <v>Questionnaire</v>
      </c>
      <c r="O216" s="48" t="s">
        <v>15024</v>
      </c>
      <c r="P216" s="60" t="s">
        <v>312</v>
      </c>
      <c r="Q216" s="48" t="s">
        <v>15025</v>
      </c>
      <c r="R216" s="48" t="s">
        <v>238</v>
      </c>
      <c r="S216" s="49" t="s">
        <v>74</v>
      </c>
      <c r="T216" s="48" t="s">
        <v>75</v>
      </c>
      <c r="U216" s="49" t="s">
        <v>3678</v>
      </c>
      <c r="V216" s="7" t="s">
        <v>214</v>
      </c>
      <c r="W216" s="49" t="s">
        <v>214</v>
      </c>
      <c r="X216" s="49" t="s">
        <v>214</v>
      </c>
      <c r="Y216" s="49" t="s">
        <v>214</v>
      </c>
      <c r="Z216" s="55" t="s">
        <v>214</v>
      </c>
      <c r="AA216" s="48" t="s">
        <v>15026</v>
      </c>
      <c r="AB216" s="84" t="s">
        <v>15024</v>
      </c>
      <c r="AC216" s="53" t="str">
        <f t="shared" si="115"/>
        <v>Link</v>
      </c>
      <c r="AD216" s="42">
        <v>21731</v>
      </c>
      <c r="AE216" s="55"/>
      <c r="AF216" s="55"/>
      <c r="AG216" s="56">
        <v>120342</v>
      </c>
      <c r="AH216" s="56"/>
      <c r="AI216" s="56"/>
    </row>
    <row r="217" spans="1:35" ht="15" x14ac:dyDescent="0.2">
      <c r="A217" s="110" t="s">
        <v>300</v>
      </c>
      <c r="B217" s="33" t="s">
        <v>12632</v>
      </c>
      <c r="C217" s="7" t="s">
        <v>15042</v>
      </c>
      <c r="D217" s="112">
        <v>5</v>
      </c>
      <c r="E217" s="7"/>
      <c r="F217" s="7"/>
      <c r="G217" s="36" t="s">
        <v>15043</v>
      </c>
      <c r="H217" s="33" t="s">
        <v>338</v>
      </c>
      <c r="I217" s="2" t="s">
        <v>15044</v>
      </c>
      <c r="J217" s="33" t="s">
        <v>48</v>
      </c>
      <c r="K217" s="2" t="s">
        <v>15046</v>
      </c>
      <c r="L217" s="2" t="s">
        <v>15047</v>
      </c>
      <c r="M217" s="45" t="str">
        <f>HYPERLINK("twitter.com/coachelawlz","@coachelawlz")</f>
        <v>@coachelawlz</v>
      </c>
      <c r="N217" s="45" t="str">
        <f>HYPERLINK("https://www.oxnardcollege.edu/departments/student-services/athletics/recruiting%20-questionnaire","Questionnaire")</f>
        <v>Questionnaire</v>
      </c>
      <c r="O217" s="60" t="s">
        <v>15048</v>
      </c>
      <c r="P217" s="60" t="s">
        <v>312</v>
      </c>
      <c r="Q217" s="48" t="s">
        <v>15048</v>
      </c>
      <c r="R217" s="48" t="s">
        <v>62</v>
      </c>
      <c r="S217" s="49" t="s">
        <v>74</v>
      </c>
      <c r="T217" s="48" t="s">
        <v>75</v>
      </c>
      <c r="U217" s="49" t="s">
        <v>3678</v>
      </c>
      <c r="V217" s="7" t="s">
        <v>214</v>
      </c>
      <c r="W217" s="49" t="s">
        <v>214</v>
      </c>
      <c r="X217" s="49" t="s">
        <v>214</v>
      </c>
      <c r="Y217" s="49" t="s">
        <v>214</v>
      </c>
      <c r="Z217" s="55" t="s">
        <v>214</v>
      </c>
      <c r="AA217" s="48" t="s">
        <v>14871</v>
      </c>
      <c r="AB217" s="90" t="s">
        <v>15048</v>
      </c>
      <c r="AC217" s="53" t="str">
        <f>HYPERLINK("http://www.oxnardcollege.edu/departments/academic","Link")</f>
        <v>Link</v>
      </c>
      <c r="AD217" s="42">
        <v>7115</v>
      </c>
      <c r="AE217" s="55"/>
      <c r="AF217" s="55"/>
      <c r="AG217" s="56">
        <v>120421</v>
      </c>
      <c r="AH217" s="56"/>
      <c r="AI217" s="56"/>
    </row>
    <row r="218" spans="1:35" ht="15" x14ac:dyDescent="0.2">
      <c r="A218" s="110" t="s">
        <v>300</v>
      </c>
      <c r="B218" s="33" t="s">
        <v>12632</v>
      </c>
      <c r="C218" s="7" t="s">
        <v>15052</v>
      </c>
      <c r="D218" s="112">
        <v>5</v>
      </c>
      <c r="E218" s="7"/>
      <c r="F218" s="7"/>
      <c r="G218" s="2" t="s">
        <v>15053</v>
      </c>
      <c r="H218" s="2" t="s">
        <v>4428</v>
      </c>
      <c r="I218" s="2" t="s">
        <v>15054</v>
      </c>
      <c r="J218" s="2" t="s">
        <v>48</v>
      </c>
      <c r="K218" s="34" t="s">
        <v>15055</v>
      </c>
      <c r="L218" s="2" t="s">
        <v>15056</v>
      </c>
      <c r="M218" s="48"/>
      <c r="N218" s="45" t="str">
        <f t="shared" ref="N218:N221" si="116">HYPERLINK("https://palomar.prestosports.com/information/join-the-palomar-team","Questionnaire")</f>
        <v>Questionnaire</v>
      </c>
      <c r="O218" s="48" t="s">
        <v>15061</v>
      </c>
      <c r="P218" s="60" t="s">
        <v>312</v>
      </c>
      <c r="Q218" s="48" t="s">
        <v>1450</v>
      </c>
      <c r="R218" s="48" t="s">
        <v>238</v>
      </c>
      <c r="S218" s="49" t="s">
        <v>74</v>
      </c>
      <c r="T218" s="48" t="s">
        <v>75</v>
      </c>
      <c r="U218" s="49" t="s">
        <v>3678</v>
      </c>
      <c r="V218" s="7" t="s">
        <v>214</v>
      </c>
      <c r="W218" s="49" t="s">
        <v>214</v>
      </c>
      <c r="X218" s="49" t="s">
        <v>214</v>
      </c>
      <c r="Y218" s="49" t="s">
        <v>214</v>
      </c>
      <c r="Z218" s="49" t="s">
        <v>214</v>
      </c>
      <c r="AA218" s="48" t="s">
        <v>15062</v>
      </c>
      <c r="AB218" s="84" t="s">
        <v>15061</v>
      </c>
      <c r="AC218" s="53" t="str">
        <f t="shared" ref="AC218:AC221" si="117">HYPERLINK("https://www2.palomar.edu/pages/counseling/planning-your-pathway/majors/","Link")</f>
        <v>Link</v>
      </c>
      <c r="AD218" s="42">
        <v>23923</v>
      </c>
      <c r="AE218" s="55"/>
      <c r="AF218" s="55"/>
      <c r="AG218" s="56">
        <v>120971</v>
      </c>
      <c r="AH218" s="56"/>
      <c r="AI218" s="56"/>
    </row>
    <row r="219" spans="1:35" ht="15" x14ac:dyDescent="0.2">
      <c r="A219" s="110" t="s">
        <v>300</v>
      </c>
      <c r="B219" s="33" t="s">
        <v>12632</v>
      </c>
      <c r="C219" s="7" t="s">
        <v>15069</v>
      </c>
      <c r="D219" s="112">
        <v>5</v>
      </c>
      <c r="E219" s="7"/>
      <c r="F219" s="7"/>
      <c r="G219" s="2" t="s">
        <v>15053</v>
      </c>
      <c r="H219" s="2" t="s">
        <v>904</v>
      </c>
      <c r="I219" s="2" t="s">
        <v>15072</v>
      </c>
      <c r="J219" s="2" t="s">
        <v>55</v>
      </c>
      <c r="K219" s="2" t="s">
        <v>15073</v>
      </c>
      <c r="L219" s="2" t="s">
        <v>15074</v>
      </c>
      <c r="M219" s="48"/>
      <c r="N219" s="45" t="str">
        <f t="shared" si="116"/>
        <v>Questionnaire</v>
      </c>
      <c r="O219" s="48" t="s">
        <v>15061</v>
      </c>
      <c r="P219" s="60" t="s">
        <v>312</v>
      </c>
      <c r="Q219" s="48" t="s">
        <v>1450</v>
      </c>
      <c r="R219" s="48" t="s">
        <v>238</v>
      </c>
      <c r="S219" s="49" t="s">
        <v>74</v>
      </c>
      <c r="T219" s="48" t="s">
        <v>75</v>
      </c>
      <c r="U219" s="49" t="s">
        <v>3678</v>
      </c>
      <c r="V219" s="7" t="s">
        <v>214</v>
      </c>
      <c r="W219" s="49" t="s">
        <v>214</v>
      </c>
      <c r="X219" s="49" t="s">
        <v>214</v>
      </c>
      <c r="Y219" s="49" t="s">
        <v>214</v>
      </c>
      <c r="Z219" s="49" t="s">
        <v>214</v>
      </c>
      <c r="AA219" s="48" t="s">
        <v>15062</v>
      </c>
      <c r="AB219" s="84" t="s">
        <v>15061</v>
      </c>
      <c r="AC219" s="53" t="str">
        <f t="shared" si="117"/>
        <v>Link</v>
      </c>
      <c r="AD219" s="42">
        <v>23923</v>
      </c>
      <c r="AE219" s="55"/>
      <c r="AF219" s="55"/>
      <c r="AG219" s="56">
        <v>120971</v>
      </c>
      <c r="AH219" s="56"/>
      <c r="AI219" s="56"/>
    </row>
    <row r="220" spans="1:35" ht="15" x14ac:dyDescent="0.2">
      <c r="A220" s="110" t="s">
        <v>300</v>
      </c>
      <c r="B220" s="33" t="s">
        <v>12632</v>
      </c>
      <c r="C220" s="7" t="s">
        <v>15079</v>
      </c>
      <c r="D220" s="112">
        <v>5</v>
      </c>
      <c r="E220" s="7"/>
      <c r="F220" s="7"/>
      <c r="G220" s="2" t="s">
        <v>15053</v>
      </c>
      <c r="H220" s="33" t="s">
        <v>750</v>
      </c>
      <c r="I220" s="2" t="s">
        <v>15080</v>
      </c>
      <c r="J220" s="33" t="s">
        <v>55</v>
      </c>
      <c r="K220" s="2"/>
      <c r="L220" s="2"/>
      <c r="M220" s="48"/>
      <c r="N220" s="45" t="str">
        <f t="shared" si="116"/>
        <v>Questionnaire</v>
      </c>
      <c r="O220" s="48" t="s">
        <v>15061</v>
      </c>
      <c r="P220" s="60" t="s">
        <v>312</v>
      </c>
      <c r="Q220" s="48" t="s">
        <v>1450</v>
      </c>
      <c r="R220" s="48" t="s">
        <v>238</v>
      </c>
      <c r="S220" s="49" t="s">
        <v>74</v>
      </c>
      <c r="T220" s="48" t="s">
        <v>75</v>
      </c>
      <c r="U220" s="49" t="s">
        <v>3678</v>
      </c>
      <c r="V220" s="7" t="s">
        <v>214</v>
      </c>
      <c r="W220" s="49" t="s">
        <v>214</v>
      </c>
      <c r="X220" s="49" t="s">
        <v>214</v>
      </c>
      <c r="Y220" s="49" t="s">
        <v>214</v>
      </c>
      <c r="Z220" s="49" t="s">
        <v>214</v>
      </c>
      <c r="AA220" s="48" t="s">
        <v>15062</v>
      </c>
      <c r="AB220" s="84" t="s">
        <v>15061</v>
      </c>
      <c r="AC220" s="53" t="str">
        <f t="shared" si="117"/>
        <v>Link</v>
      </c>
      <c r="AD220" s="42">
        <v>23923</v>
      </c>
      <c r="AE220" s="55"/>
      <c r="AF220" s="55"/>
      <c r="AG220" s="56">
        <v>120971</v>
      </c>
      <c r="AH220" s="56"/>
      <c r="AI220" s="56"/>
    </row>
    <row r="221" spans="1:35" ht="15" x14ac:dyDescent="0.2">
      <c r="A221" s="110" t="s">
        <v>300</v>
      </c>
      <c r="B221" s="33" t="s">
        <v>12632</v>
      </c>
      <c r="C221" s="7" t="s">
        <v>15088</v>
      </c>
      <c r="D221" s="112">
        <v>5</v>
      </c>
      <c r="E221" s="7"/>
      <c r="F221" s="7"/>
      <c r="G221" s="2" t="s">
        <v>15053</v>
      </c>
      <c r="H221" s="2" t="s">
        <v>15089</v>
      </c>
      <c r="I221" s="2" t="s">
        <v>6640</v>
      </c>
      <c r="J221" s="2" t="s">
        <v>55</v>
      </c>
      <c r="K221" s="2"/>
      <c r="L221" s="2"/>
      <c r="M221" s="48"/>
      <c r="N221" s="45" t="str">
        <f t="shared" si="116"/>
        <v>Questionnaire</v>
      </c>
      <c r="O221" s="48" t="s">
        <v>15061</v>
      </c>
      <c r="P221" s="60" t="s">
        <v>312</v>
      </c>
      <c r="Q221" s="48" t="s">
        <v>1450</v>
      </c>
      <c r="R221" s="48" t="s">
        <v>238</v>
      </c>
      <c r="S221" s="49" t="s">
        <v>74</v>
      </c>
      <c r="T221" s="48" t="s">
        <v>75</v>
      </c>
      <c r="U221" s="49" t="s">
        <v>3678</v>
      </c>
      <c r="V221" s="7" t="s">
        <v>214</v>
      </c>
      <c r="W221" s="49" t="s">
        <v>214</v>
      </c>
      <c r="X221" s="49" t="s">
        <v>214</v>
      </c>
      <c r="Y221" s="49" t="s">
        <v>214</v>
      </c>
      <c r="Z221" s="49" t="s">
        <v>214</v>
      </c>
      <c r="AA221" s="48" t="s">
        <v>15062</v>
      </c>
      <c r="AB221" s="84" t="s">
        <v>15061</v>
      </c>
      <c r="AC221" s="53" t="str">
        <f t="shared" si="117"/>
        <v>Link</v>
      </c>
      <c r="AD221" s="42">
        <v>23923</v>
      </c>
      <c r="AE221" s="55"/>
      <c r="AF221" s="55"/>
      <c r="AG221" s="56">
        <v>120971</v>
      </c>
      <c r="AH221" s="56"/>
      <c r="AI221" s="56"/>
    </row>
    <row r="222" spans="1:35" ht="15" x14ac:dyDescent="0.2">
      <c r="A222" s="64" t="s">
        <v>300</v>
      </c>
      <c r="B222" s="33" t="s">
        <v>12632</v>
      </c>
      <c r="C222" s="7" t="s">
        <v>15094</v>
      </c>
      <c r="D222" s="44">
        <v>5</v>
      </c>
      <c r="E222" s="7" t="s">
        <v>116</v>
      </c>
      <c r="F222" s="7"/>
      <c r="G222" s="2" t="s">
        <v>15095</v>
      </c>
      <c r="H222" s="7" t="s">
        <v>15096</v>
      </c>
      <c r="I222" s="7" t="s">
        <v>3020</v>
      </c>
      <c r="J222" s="7" t="s">
        <v>55</v>
      </c>
      <c r="K222" s="7"/>
      <c r="L222" s="7"/>
      <c r="M222" s="48"/>
      <c r="N222" s="45" t="str">
        <f t="shared" ref="N222:N228" si="118">HYPERLINK("https://pcclancers.com/sports/bsb/Recruit_Form","Questionnaire")</f>
        <v>Questionnaire</v>
      </c>
      <c r="O222" s="48" t="s">
        <v>15104</v>
      </c>
      <c r="P222" s="60" t="s">
        <v>312</v>
      </c>
      <c r="Q222" s="48" t="s">
        <v>15107</v>
      </c>
      <c r="R222" s="48" t="s">
        <v>238</v>
      </c>
      <c r="S222" s="5" t="s">
        <v>74</v>
      </c>
      <c r="T222" s="48" t="s">
        <v>75</v>
      </c>
      <c r="U222" s="49" t="s">
        <v>3678</v>
      </c>
      <c r="V222" s="7" t="s">
        <v>214</v>
      </c>
      <c r="W222" s="49" t="s">
        <v>214</v>
      </c>
      <c r="X222" s="49" t="s">
        <v>214</v>
      </c>
      <c r="Y222" s="49" t="s">
        <v>214</v>
      </c>
      <c r="Z222" s="55" t="s">
        <v>214</v>
      </c>
      <c r="AA222" s="48" t="s">
        <v>15108</v>
      </c>
      <c r="AB222" s="84" t="s">
        <v>15104</v>
      </c>
      <c r="AC222" s="53" t="str">
        <f t="shared" ref="AC222:AC228" si="119">HYPERLINK("https://pasadena.edu/academics/degrees-and-certificates/transfer-degrees/","Link")</f>
        <v>Link</v>
      </c>
      <c r="AD222" s="42">
        <v>27165</v>
      </c>
      <c r="AE222" s="55"/>
      <c r="AF222" s="55"/>
      <c r="AG222" s="56">
        <v>121044</v>
      </c>
      <c r="AH222" s="85"/>
      <c r="AI222" s="85"/>
    </row>
    <row r="223" spans="1:35" ht="15" x14ac:dyDescent="0.2">
      <c r="A223" s="64" t="s">
        <v>300</v>
      </c>
      <c r="B223" s="33" t="s">
        <v>12632</v>
      </c>
      <c r="C223" s="7" t="s">
        <v>15112</v>
      </c>
      <c r="D223" s="44">
        <v>5</v>
      </c>
      <c r="E223" s="7" t="s">
        <v>116</v>
      </c>
      <c r="F223" s="7"/>
      <c r="G223" s="2" t="s">
        <v>15095</v>
      </c>
      <c r="H223" s="7" t="s">
        <v>3019</v>
      </c>
      <c r="I223" s="7" t="s">
        <v>15113</v>
      </c>
      <c r="J223" s="7" t="s">
        <v>55</v>
      </c>
      <c r="K223" s="7"/>
      <c r="L223" s="7"/>
      <c r="M223" s="48"/>
      <c r="N223" s="45" t="str">
        <f t="shared" si="118"/>
        <v>Questionnaire</v>
      </c>
      <c r="O223" s="48" t="s">
        <v>15104</v>
      </c>
      <c r="P223" s="60" t="s">
        <v>312</v>
      </c>
      <c r="Q223" s="48" t="s">
        <v>15107</v>
      </c>
      <c r="R223" s="48" t="s">
        <v>238</v>
      </c>
      <c r="S223" s="5" t="s">
        <v>74</v>
      </c>
      <c r="T223" s="48" t="s">
        <v>75</v>
      </c>
      <c r="U223" s="49" t="s">
        <v>3678</v>
      </c>
      <c r="V223" s="7" t="s">
        <v>214</v>
      </c>
      <c r="W223" s="49" t="s">
        <v>214</v>
      </c>
      <c r="X223" s="49" t="s">
        <v>214</v>
      </c>
      <c r="Y223" s="49" t="s">
        <v>214</v>
      </c>
      <c r="Z223" s="55" t="s">
        <v>214</v>
      </c>
      <c r="AA223" s="48" t="s">
        <v>15108</v>
      </c>
      <c r="AB223" s="84" t="s">
        <v>15104</v>
      </c>
      <c r="AC223" s="53" t="str">
        <f t="shared" si="119"/>
        <v>Link</v>
      </c>
      <c r="AD223" s="42">
        <v>27165</v>
      </c>
      <c r="AE223" s="55"/>
      <c r="AF223" s="55"/>
      <c r="AG223" s="56">
        <v>121044</v>
      </c>
      <c r="AH223" s="85"/>
      <c r="AI223" s="85"/>
    </row>
    <row r="224" spans="1:35" ht="15" x14ac:dyDescent="0.2">
      <c r="A224" s="110" t="s">
        <v>300</v>
      </c>
      <c r="B224" s="33" t="s">
        <v>12632</v>
      </c>
      <c r="C224" s="7" t="s">
        <v>15126</v>
      </c>
      <c r="D224" s="112">
        <v>5</v>
      </c>
      <c r="E224" s="7"/>
      <c r="F224" s="7"/>
      <c r="G224" s="2" t="s">
        <v>15095</v>
      </c>
      <c r="H224" s="138" t="s">
        <v>427</v>
      </c>
      <c r="I224" s="2" t="s">
        <v>15128</v>
      </c>
      <c r="J224" s="2" t="s">
        <v>48</v>
      </c>
      <c r="K224" s="138" t="s">
        <v>15130</v>
      </c>
      <c r="L224" s="2" t="s">
        <v>15131</v>
      </c>
      <c r="M224" s="48"/>
      <c r="N224" s="45" t="str">
        <f t="shared" si="118"/>
        <v>Questionnaire</v>
      </c>
      <c r="O224" s="48" t="s">
        <v>15104</v>
      </c>
      <c r="P224" s="60" t="s">
        <v>312</v>
      </c>
      <c r="Q224" s="48" t="s">
        <v>15107</v>
      </c>
      <c r="R224" s="48" t="s">
        <v>238</v>
      </c>
      <c r="S224" s="5" t="s">
        <v>74</v>
      </c>
      <c r="T224" s="48" t="s">
        <v>75</v>
      </c>
      <c r="U224" s="49" t="s">
        <v>3678</v>
      </c>
      <c r="V224" s="7" t="s">
        <v>214</v>
      </c>
      <c r="W224" s="49" t="s">
        <v>214</v>
      </c>
      <c r="X224" s="49" t="s">
        <v>214</v>
      </c>
      <c r="Y224" s="49" t="s">
        <v>214</v>
      </c>
      <c r="Z224" s="55" t="s">
        <v>214</v>
      </c>
      <c r="AA224" s="48" t="s">
        <v>15108</v>
      </c>
      <c r="AB224" s="84" t="s">
        <v>15104</v>
      </c>
      <c r="AC224" s="53" t="str">
        <f t="shared" si="119"/>
        <v>Link</v>
      </c>
      <c r="AD224" s="42">
        <v>27165</v>
      </c>
      <c r="AE224" s="55"/>
      <c r="AF224" s="55"/>
      <c r="AG224" s="56">
        <v>121044</v>
      </c>
      <c r="AH224" s="56"/>
      <c r="AI224" s="56"/>
    </row>
    <row r="225" spans="1:35" ht="15" x14ac:dyDescent="0.2">
      <c r="A225" s="110" t="s">
        <v>300</v>
      </c>
      <c r="B225" s="33" t="s">
        <v>12632</v>
      </c>
      <c r="C225" s="7" t="s">
        <v>15132</v>
      </c>
      <c r="D225" s="112">
        <v>5</v>
      </c>
      <c r="E225" s="7"/>
      <c r="F225" s="7"/>
      <c r="G225" s="2" t="s">
        <v>15095</v>
      </c>
      <c r="H225" s="2" t="s">
        <v>1258</v>
      </c>
      <c r="I225" s="2" t="s">
        <v>2428</v>
      </c>
      <c r="J225" s="33" t="s">
        <v>55</v>
      </c>
      <c r="K225" s="2"/>
      <c r="L225" s="2"/>
      <c r="M225" s="48"/>
      <c r="N225" s="45" t="str">
        <f t="shared" si="118"/>
        <v>Questionnaire</v>
      </c>
      <c r="O225" s="48" t="s">
        <v>15104</v>
      </c>
      <c r="P225" s="60" t="s">
        <v>312</v>
      </c>
      <c r="Q225" s="48" t="s">
        <v>15107</v>
      </c>
      <c r="R225" s="48" t="s">
        <v>238</v>
      </c>
      <c r="S225" s="5" t="s">
        <v>74</v>
      </c>
      <c r="T225" s="48" t="s">
        <v>75</v>
      </c>
      <c r="U225" s="49" t="s">
        <v>3678</v>
      </c>
      <c r="V225" s="7" t="s">
        <v>214</v>
      </c>
      <c r="W225" s="49" t="s">
        <v>214</v>
      </c>
      <c r="X225" s="49" t="s">
        <v>214</v>
      </c>
      <c r="Y225" s="49" t="s">
        <v>214</v>
      </c>
      <c r="Z225" s="55" t="s">
        <v>214</v>
      </c>
      <c r="AA225" s="48" t="s">
        <v>15108</v>
      </c>
      <c r="AB225" s="84" t="s">
        <v>15104</v>
      </c>
      <c r="AC225" s="53" t="str">
        <f t="shared" si="119"/>
        <v>Link</v>
      </c>
      <c r="AD225" s="42">
        <v>27165</v>
      </c>
      <c r="AE225" s="55"/>
      <c r="AF225" s="55"/>
      <c r="AG225" s="56">
        <v>121044</v>
      </c>
      <c r="AH225" s="56"/>
      <c r="AI225" s="56"/>
    </row>
    <row r="226" spans="1:35" ht="15" x14ac:dyDescent="0.2">
      <c r="A226" s="110" t="s">
        <v>300</v>
      </c>
      <c r="B226" s="33" t="s">
        <v>12632</v>
      </c>
      <c r="C226" s="7" t="s">
        <v>15140</v>
      </c>
      <c r="D226" s="112">
        <v>5</v>
      </c>
      <c r="E226" s="7"/>
      <c r="F226" s="7"/>
      <c r="G226" s="2" t="s">
        <v>15095</v>
      </c>
      <c r="H226" s="2" t="s">
        <v>5713</v>
      </c>
      <c r="I226" s="2" t="s">
        <v>13249</v>
      </c>
      <c r="J226" s="33" t="s">
        <v>55</v>
      </c>
      <c r="K226" s="2"/>
      <c r="L226" s="2"/>
      <c r="M226" s="48"/>
      <c r="N226" s="45" t="str">
        <f t="shared" si="118"/>
        <v>Questionnaire</v>
      </c>
      <c r="O226" s="48" t="s">
        <v>15104</v>
      </c>
      <c r="P226" s="60" t="s">
        <v>312</v>
      </c>
      <c r="Q226" s="48" t="s">
        <v>15107</v>
      </c>
      <c r="R226" s="48" t="s">
        <v>238</v>
      </c>
      <c r="S226" s="5" t="s">
        <v>74</v>
      </c>
      <c r="T226" s="48" t="s">
        <v>75</v>
      </c>
      <c r="U226" s="49" t="s">
        <v>3678</v>
      </c>
      <c r="V226" s="7" t="s">
        <v>214</v>
      </c>
      <c r="W226" s="49" t="s">
        <v>214</v>
      </c>
      <c r="X226" s="49" t="s">
        <v>214</v>
      </c>
      <c r="Y226" s="49" t="s">
        <v>214</v>
      </c>
      <c r="Z226" s="55" t="s">
        <v>214</v>
      </c>
      <c r="AA226" s="48" t="s">
        <v>15108</v>
      </c>
      <c r="AB226" s="84" t="s">
        <v>15104</v>
      </c>
      <c r="AC226" s="53" t="str">
        <f t="shared" si="119"/>
        <v>Link</v>
      </c>
      <c r="AD226" s="42">
        <v>27165</v>
      </c>
      <c r="AE226" s="55"/>
      <c r="AF226" s="55"/>
      <c r="AG226" s="56">
        <v>121044</v>
      </c>
      <c r="AH226" s="56"/>
      <c r="AI226" s="56"/>
    </row>
    <row r="227" spans="1:35" ht="15" x14ac:dyDescent="0.2">
      <c r="A227" s="110" t="s">
        <v>300</v>
      </c>
      <c r="B227" s="33" t="s">
        <v>12632</v>
      </c>
      <c r="C227" s="7" t="s">
        <v>15148</v>
      </c>
      <c r="D227" s="112">
        <v>5</v>
      </c>
      <c r="E227" s="7"/>
      <c r="F227" s="7"/>
      <c r="G227" s="2" t="s">
        <v>15095</v>
      </c>
      <c r="H227" s="138" t="s">
        <v>658</v>
      </c>
      <c r="I227" s="2" t="s">
        <v>15151</v>
      </c>
      <c r="J227" s="33" t="s">
        <v>55</v>
      </c>
      <c r="K227" s="2"/>
      <c r="L227" s="2"/>
      <c r="M227" s="48"/>
      <c r="N227" s="45" t="str">
        <f t="shared" si="118"/>
        <v>Questionnaire</v>
      </c>
      <c r="O227" s="48" t="s">
        <v>15104</v>
      </c>
      <c r="P227" s="60" t="s">
        <v>312</v>
      </c>
      <c r="Q227" s="48" t="s">
        <v>15107</v>
      </c>
      <c r="R227" s="48" t="s">
        <v>238</v>
      </c>
      <c r="S227" s="5" t="s">
        <v>74</v>
      </c>
      <c r="T227" s="48" t="s">
        <v>75</v>
      </c>
      <c r="U227" s="49" t="s">
        <v>3678</v>
      </c>
      <c r="V227" s="7" t="s">
        <v>214</v>
      </c>
      <c r="W227" s="49" t="s">
        <v>214</v>
      </c>
      <c r="X227" s="49" t="s">
        <v>214</v>
      </c>
      <c r="Y227" s="49" t="s">
        <v>214</v>
      </c>
      <c r="Z227" s="55" t="s">
        <v>214</v>
      </c>
      <c r="AA227" s="48" t="s">
        <v>15108</v>
      </c>
      <c r="AB227" s="84" t="s">
        <v>15104</v>
      </c>
      <c r="AC227" s="53" t="str">
        <f t="shared" si="119"/>
        <v>Link</v>
      </c>
      <c r="AD227" s="42">
        <v>27165</v>
      </c>
      <c r="AE227" s="55"/>
      <c r="AF227" s="55"/>
      <c r="AG227" s="56">
        <v>121044</v>
      </c>
      <c r="AH227" s="56"/>
      <c r="AI227" s="56"/>
    </row>
    <row r="228" spans="1:35" ht="15" x14ac:dyDescent="0.2">
      <c r="A228" s="110" t="s">
        <v>300</v>
      </c>
      <c r="B228" s="33" t="s">
        <v>12632</v>
      </c>
      <c r="C228" s="7" t="s">
        <v>15159</v>
      </c>
      <c r="D228" s="112">
        <v>5</v>
      </c>
      <c r="E228" s="7"/>
      <c r="F228" s="7"/>
      <c r="G228" s="2" t="s">
        <v>15095</v>
      </c>
      <c r="H228" s="34" t="s">
        <v>2011</v>
      </c>
      <c r="I228" s="2" t="s">
        <v>4428</v>
      </c>
      <c r="J228" s="33" t="s">
        <v>55</v>
      </c>
      <c r="K228" s="2"/>
      <c r="L228" s="2"/>
      <c r="M228" s="48"/>
      <c r="N228" s="45" t="str">
        <f t="shared" si="118"/>
        <v>Questionnaire</v>
      </c>
      <c r="O228" s="48" t="s">
        <v>15104</v>
      </c>
      <c r="P228" s="60" t="s">
        <v>312</v>
      </c>
      <c r="Q228" s="48" t="s">
        <v>15107</v>
      </c>
      <c r="R228" s="48" t="s">
        <v>238</v>
      </c>
      <c r="S228" s="5" t="s">
        <v>74</v>
      </c>
      <c r="T228" s="48" t="s">
        <v>75</v>
      </c>
      <c r="U228" s="49" t="s">
        <v>3678</v>
      </c>
      <c r="V228" s="7" t="s">
        <v>214</v>
      </c>
      <c r="W228" s="49" t="s">
        <v>214</v>
      </c>
      <c r="X228" s="49" t="s">
        <v>214</v>
      </c>
      <c r="Y228" s="49" t="s">
        <v>214</v>
      </c>
      <c r="Z228" s="55" t="s">
        <v>214</v>
      </c>
      <c r="AA228" s="48" t="s">
        <v>15108</v>
      </c>
      <c r="AB228" s="84" t="s">
        <v>15104</v>
      </c>
      <c r="AC228" s="53" t="str">
        <f t="shared" si="119"/>
        <v>Link</v>
      </c>
      <c r="AD228" s="42">
        <v>27165</v>
      </c>
      <c r="AE228" s="55"/>
      <c r="AF228" s="55"/>
      <c r="AG228" s="56">
        <v>121044</v>
      </c>
      <c r="AH228" s="56"/>
      <c r="AI228" s="56"/>
    </row>
    <row r="229" spans="1:35" ht="15" x14ac:dyDescent="0.2">
      <c r="A229" s="110" t="s">
        <v>300</v>
      </c>
      <c r="B229" s="33" t="s">
        <v>12632</v>
      </c>
      <c r="C229" s="7" t="s">
        <v>15168</v>
      </c>
      <c r="D229" s="112">
        <v>5</v>
      </c>
      <c r="E229" s="7"/>
      <c r="F229" s="7"/>
      <c r="G229" s="33" t="s">
        <v>15170</v>
      </c>
      <c r="H229" s="34" t="s">
        <v>15171</v>
      </c>
      <c r="I229" s="2" t="s">
        <v>15172</v>
      </c>
      <c r="J229" s="2" t="s">
        <v>48</v>
      </c>
      <c r="K229" s="2" t="s">
        <v>15173</v>
      </c>
      <c r="L229" s="2" t="s">
        <v>15174</v>
      </c>
      <c r="M229" s="48"/>
      <c r="N229" s="45" t="str">
        <f t="shared" ref="N229:N232" si="120">HYPERLINK("http://portervillepirates.com/recruits/ProspectiveAthletes","Questionnaire")</f>
        <v>Questionnaire</v>
      </c>
      <c r="O229" s="48" t="s">
        <v>15175</v>
      </c>
      <c r="P229" s="60" t="s">
        <v>312</v>
      </c>
      <c r="Q229" s="48" t="s">
        <v>15175</v>
      </c>
      <c r="R229" s="48" t="s">
        <v>186</v>
      </c>
      <c r="S229" s="49" t="s">
        <v>74</v>
      </c>
      <c r="T229" s="48" t="s">
        <v>75</v>
      </c>
      <c r="U229" s="49" t="s">
        <v>3678</v>
      </c>
      <c r="V229" s="7" t="s">
        <v>214</v>
      </c>
      <c r="W229" s="49" t="s">
        <v>214</v>
      </c>
      <c r="X229" s="49" t="s">
        <v>214</v>
      </c>
      <c r="Y229" s="49" t="s">
        <v>214</v>
      </c>
      <c r="Z229" s="55" t="s">
        <v>214</v>
      </c>
      <c r="AA229" s="48" t="s">
        <v>15178</v>
      </c>
      <c r="AB229" s="84" t="s">
        <v>15175</v>
      </c>
      <c r="AC229" s="53" t="str">
        <f t="shared" ref="AC229:AC232" si="121">HYPERLINK("https://www.portervillecollege.edu/academics/programs-certificates-and-degrees","Link")</f>
        <v>Link</v>
      </c>
      <c r="AD229" s="42">
        <v>4259</v>
      </c>
      <c r="AE229" s="55"/>
      <c r="AF229" s="55"/>
      <c r="AG229" s="56">
        <v>121363</v>
      </c>
      <c r="AH229" s="56"/>
      <c r="AI229" s="56"/>
    </row>
    <row r="230" spans="1:35" ht="15" x14ac:dyDescent="0.2">
      <c r="A230" s="110" t="s">
        <v>300</v>
      </c>
      <c r="B230" s="33" t="s">
        <v>12632</v>
      </c>
      <c r="C230" s="7" t="s">
        <v>15179</v>
      </c>
      <c r="D230" s="112">
        <v>5</v>
      </c>
      <c r="E230" s="7"/>
      <c r="F230" s="7"/>
      <c r="G230" s="33" t="s">
        <v>15170</v>
      </c>
      <c r="H230" s="2" t="s">
        <v>15184</v>
      </c>
      <c r="I230" s="2" t="s">
        <v>15185</v>
      </c>
      <c r="J230" s="33" t="s">
        <v>55</v>
      </c>
      <c r="K230" s="2"/>
      <c r="L230" s="2" t="s">
        <v>15174</v>
      </c>
      <c r="M230" s="48"/>
      <c r="N230" s="45" t="str">
        <f t="shared" si="120"/>
        <v>Questionnaire</v>
      </c>
      <c r="O230" s="48" t="s">
        <v>15175</v>
      </c>
      <c r="P230" s="60" t="s">
        <v>312</v>
      </c>
      <c r="Q230" s="48" t="s">
        <v>15175</v>
      </c>
      <c r="R230" s="48" t="s">
        <v>186</v>
      </c>
      <c r="S230" s="49" t="s">
        <v>74</v>
      </c>
      <c r="T230" s="48" t="s">
        <v>75</v>
      </c>
      <c r="U230" s="49" t="s">
        <v>3678</v>
      </c>
      <c r="V230" s="7" t="s">
        <v>214</v>
      </c>
      <c r="W230" s="49" t="s">
        <v>214</v>
      </c>
      <c r="X230" s="49" t="s">
        <v>214</v>
      </c>
      <c r="Y230" s="49" t="s">
        <v>214</v>
      </c>
      <c r="Z230" s="55" t="s">
        <v>214</v>
      </c>
      <c r="AA230" s="48" t="s">
        <v>15178</v>
      </c>
      <c r="AB230" s="84" t="s">
        <v>15175</v>
      </c>
      <c r="AC230" s="53" t="str">
        <f t="shared" si="121"/>
        <v>Link</v>
      </c>
      <c r="AD230" s="42">
        <v>4259</v>
      </c>
      <c r="AE230" s="55"/>
      <c r="AF230" s="55"/>
      <c r="AG230" s="56">
        <v>121363</v>
      </c>
      <c r="AH230" s="56"/>
      <c r="AI230" s="56"/>
    </row>
    <row r="231" spans="1:35" ht="15" x14ac:dyDescent="0.2">
      <c r="A231" s="110" t="s">
        <v>300</v>
      </c>
      <c r="B231" s="33" t="s">
        <v>12632</v>
      </c>
      <c r="C231" s="7" t="s">
        <v>15188</v>
      </c>
      <c r="D231" s="112">
        <v>5</v>
      </c>
      <c r="E231" s="7"/>
      <c r="F231" s="7"/>
      <c r="G231" s="33" t="s">
        <v>15170</v>
      </c>
      <c r="H231" s="34" t="s">
        <v>7816</v>
      </c>
      <c r="I231" s="2" t="s">
        <v>15185</v>
      </c>
      <c r="J231" s="33" t="s">
        <v>55</v>
      </c>
      <c r="K231" s="2"/>
      <c r="L231" s="2" t="s">
        <v>15174</v>
      </c>
      <c r="M231" s="48"/>
      <c r="N231" s="45" t="str">
        <f t="shared" si="120"/>
        <v>Questionnaire</v>
      </c>
      <c r="O231" s="48" t="s">
        <v>15175</v>
      </c>
      <c r="P231" s="60" t="s">
        <v>312</v>
      </c>
      <c r="Q231" s="48" t="s">
        <v>15175</v>
      </c>
      <c r="R231" s="48" t="s">
        <v>186</v>
      </c>
      <c r="S231" s="49" t="s">
        <v>74</v>
      </c>
      <c r="T231" s="48" t="s">
        <v>75</v>
      </c>
      <c r="U231" s="49" t="s">
        <v>3678</v>
      </c>
      <c r="V231" s="7" t="s">
        <v>214</v>
      </c>
      <c r="W231" s="49" t="s">
        <v>214</v>
      </c>
      <c r="X231" s="49" t="s">
        <v>214</v>
      </c>
      <c r="Y231" s="49" t="s">
        <v>214</v>
      </c>
      <c r="Z231" s="55" t="s">
        <v>214</v>
      </c>
      <c r="AA231" s="48" t="s">
        <v>15178</v>
      </c>
      <c r="AB231" s="84" t="s">
        <v>15175</v>
      </c>
      <c r="AC231" s="53" t="str">
        <f t="shared" si="121"/>
        <v>Link</v>
      </c>
      <c r="AD231" s="42">
        <v>4259</v>
      </c>
      <c r="AE231" s="55"/>
      <c r="AF231" s="55"/>
      <c r="AG231" s="56">
        <v>121363</v>
      </c>
      <c r="AH231" s="56"/>
      <c r="AI231" s="56"/>
    </row>
    <row r="232" spans="1:35" ht="15" x14ac:dyDescent="0.2">
      <c r="A232" s="110" t="s">
        <v>300</v>
      </c>
      <c r="B232" s="33" t="s">
        <v>12632</v>
      </c>
      <c r="C232" s="7" t="s">
        <v>15191</v>
      </c>
      <c r="D232" s="112">
        <v>5</v>
      </c>
      <c r="E232" s="7"/>
      <c r="F232" s="7"/>
      <c r="G232" s="33" t="s">
        <v>15170</v>
      </c>
      <c r="H232" s="2" t="s">
        <v>754</v>
      </c>
      <c r="I232" s="2" t="s">
        <v>4717</v>
      </c>
      <c r="J232" s="2" t="s">
        <v>55</v>
      </c>
      <c r="K232" s="2" t="s">
        <v>15192</v>
      </c>
      <c r="L232" s="2" t="s">
        <v>15193</v>
      </c>
      <c r="M232" s="48"/>
      <c r="N232" s="45" t="str">
        <f t="shared" si="120"/>
        <v>Questionnaire</v>
      </c>
      <c r="O232" s="48" t="s">
        <v>15175</v>
      </c>
      <c r="P232" s="60" t="s">
        <v>312</v>
      </c>
      <c r="Q232" s="48" t="s">
        <v>15175</v>
      </c>
      <c r="R232" s="48" t="s">
        <v>186</v>
      </c>
      <c r="S232" s="49" t="s">
        <v>74</v>
      </c>
      <c r="T232" s="48" t="s">
        <v>75</v>
      </c>
      <c r="U232" s="49" t="s">
        <v>3678</v>
      </c>
      <c r="V232" s="7" t="s">
        <v>214</v>
      </c>
      <c r="W232" s="49" t="s">
        <v>214</v>
      </c>
      <c r="X232" s="49" t="s">
        <v>214</v>
      </c>
      <c r="Y232" s="49" t="s">
        <v>214</v>
      </c>
      <c r="Z232" s="55" t="s">
        <v>214</v>
      </c>
      <c r="AA232" s="48" t="s">
        <v>15178</v>
      </c>
      <c r="AB232" s="84" t="s">
        <v>15175</v>
      </c>
      <c r="AC232" s="53" t="str">
        <f t="shared" si="121"/>
        <v>Link</v>
      </c>
      <c r="AD232" s="42">
        <v>4259</v>
      </c>
      <c r="AE232" s="55"/>
      <c r="AF232" s="55"/>
      <c r="AG232" s="56">
        <v>121363</v>
      </c>
      <c r="AH232" s="56"/>
      <c r="AI232" s="56"/>
    </row>
    <row r="233" spans="1:35" ht="15" x14ac:dyDescent="0.2">
      <c r="A233" s="110" t="s">
        <v>300</v>
      </c>
      <c r="B233" s="33" t="s">
        <v>12632</v>
      </c>
      <c r="C233" s="7" t="s">
        <v>15196</v>
      </c>
      <c r="D233" s="112">
        <v>5</v>
      </c>
      <c r="E233" s="7"/>
      <c r="F233" s="7"/>
      <c r="G233" s="33" t="s">
        <v>15197</v>
      </c>
      <c r="H233" s="2" t="s">
        <v>266</v>
      </c>
      <c r="I233" s="2" t="s">
        <v>3206</v>
      </c>
      <c r="J233" s="33" t="s">
        <v>48</v>
      </c>
      <c r="K233" s="2" t="s">
        <v>15201</v>
      </c>
      <c r="L233" s="2" t="s">
        <v>15202</v>
      </c>
      <c r="M233" s="48"/>
      <c r="N233" s="48" t="s">
        <v>22</v>
      </c>
      <c r="O233" s="48" t="s">
        <v>15205</v>
      </c>
      <c r="P233" s="60" t="s">
        <v>312</v>
      </c>
      <c r="Q233" s="48" t="s">
        <v>2068</v>
      </c>
      <c r="R233" s="48" t="s">
        <v>468</v>
      </c>
      <c r="S233" s="49" t="s">
        <v>74</v>
      </c>
      <c r="T233" s="48" t="s">
        <v>75</v>
      </c>
      <c r="U233" s="49" t="s">
        <v>3678</v>
      </c>
      <c r="V233" s="7" t="s">
        <v>214</v>
      </c>
      <c r="W233" s="49" t="s">
        <v>214</v>
      </c>
      <c r="X233" s="49" t="s">
        <v>214</v>
      </c>
      <c r="Y233" s="49" t="s">
        <v>214</v>
      </c>
      <c r="Z233" s="55" t="s">
        <v>214</v>
      </c>
      <c r="AA233" s="48" t="s">
        <v>15206</v>
      </c>
      <c r="AB233" s="84" t="s">
        <v>15205</v>
      </c>
      <c r="AC233" s="53" t="str">
        <f t="shared" ref="AC233:AC234" si="122">HYPERLINK("https://www.redwoods.edu/degrees","Link")</f>
        <v>Link</v>
      </c>
      <c r="AD233" s="42">
        <v>4804</v>
      </c>
      <c r="AE233" s="55"/>
      <c r="AF233" s="55"/>
      <c r="AG233" s="56">
        <v>121707</v>
      </c>
      <c r="AH233" s="56"/>
      <c r="AI233" s="56"/>
    </row>
    <row r="234" spans="1:35" ht="15" x14ac:dyDescent="0.2">
      <c r="A234" s="110" t="s">
        <v>300</v>
      </c>
      <c r="B234" s="33" t="s">
        <v>12632</v>
      </c>
      <c r="C234" s="7" t="s">
        <v>15208</v>
      </c>
      <c r="D234" s="112">
        <v>5</v>
      </c>
      <c r="E234" s="7"/>
      <c r="F234" s="7"/>
      <c r="G234" s="33" t="s">
        <v>15197</v>
      </c>
      <c r="H234" s="2" t="s">
        <v>306</v>
      </c>
      <c r="I234" s="2" t="s">
        <v>15210</v>
      </c>
      <c r="J234" s="2" t="s">
        <v>55</v>
      </c>
      <c r="K234" s="95" t="s">
        <v>15211</v>
      </c>
      <c r="L234" s="2" t="s">
        <v>15202</v>
      </c>
      <c r="M234" s="48"/>
      <c r="N234" s="48" t="s">
        <v>22</v>
      </c>
      <c r="O234" s="48" t="s">
        <v>15205</v>
      </c>
      <c r="P234" s="60" t="s">
        <v>312</v>
      </c>
      <c r="Q234" s="48" t="s">
        <v>2068</v>
      </c>
      <c r="R234" s="48" t="s">
        <v>468</v>
      </c>
      <c r="S234" s="49" t="s">
        <v>74</v>
      </c>
      <c r="T234" s="48" t="s">
        <v>75</v>
      </c>
      <c r="U234" s="49" t="s">
        <v>3678</v>
      </c>
      <c r="V234" s="7" t="s">
        <v>214</v>
      </c>
      <c r="W234" s="49" t="s">
        <v>214</v>
      </c>
      <c r="X234" s="49" t="s">
        <v>214</v>
      </c>
      <c r="Y234" s="49" t="s">
        <v>214</v>
      </c>
      <c r="Z234" s="55" t="s">
        <v>214</v>
      </c>
      <c r="AA234" s="48" t="s">
        <v>15206</v>
      </c>
      <c r="AB234" s="84" t="s">
        <v>15205</v>
      </c>
      <c r="AC234" s="53" t="str">
        <f t="shared" si="122"/>
        <v>Link</v>
      </c>
      <c r="AD234" s="42">
        <v>4804</v>
      </c>
      <c r="AE234" s="55"/>
      <c r="AF234" s="55"/>
      <c r="AG234" s="56">
        <v>121707</v>
      </c>
      <c r="AH234" s="56"/>
      <c r="AI234" s="56"/>
    </row>
    <row r="235" spans="1:35" ht="15" x14ac:dyDescent="0.2">
      <c r="A235" s="110" t="s">
        <v>300</v>
      </c>
      <c r="B235" s="33" t="s">
        <v>12632</v>
      </c>
      <c r="C235" s="7" t="s">
        <v>15213</v>
      </c>
      <c r="D235" s="112">
        <v>5</v>
      </c>
      <c r="E235" s="7"/>
      <c r="F235" s="7"/>
      <c r="G235" s="33" t="s">
        <v>15216</v>
      </c>
      <c r="H235" s="2" t="s">
        <v>1827</v>
      </c>
      <c r="I235" s="2" t="s">
        <v>15217</v>
      </c>
      <c r="J235" s="2" t="s">
        <v>48</v>
      </c>
      <c r="K235" s="2" t="s">
        <v>15219</v>
      </c>
      <c r="L235" s="2" t="s">
        <v>15220</v>
      </c>
      <c r="M235" s="45" t="str">
        <f t="shared" ref="M235:M240" si="123">HYPERLINK("twitter.com/rctigersoftball","@rctigersoftball")</f>
        <v>@rctigersoftball</v>
      </c>
      <c r="N235" s="48" t="s">
        <v>22</v>
      </c>
      <c r="O235" s="48" t="s">
        <v>15221</v>
      </c>
      <c r="P235" s="60" t="s">
        <v>312</v>
      </c>
      <c r="Q235" s="48" t="s">
        <v>15221</v>
      </c>
      <c r="R235" s="48" t="s">
        <v>468</v>
      </c>
      <c r="S235" s="49" t="s">
        <v>74</v>
      </c>
      <c r="T235" s="48" t="s">
        <v>75</v>
      </c>
      <c r="U235" s="49" t="s">
        <v>3678</v>
      </c>
      <c r="V235" s="7" t="s">
        <v>214</v>
      </c>
      <c r="W235" s="49" t="s">
        <v>214</v>
      </c>
      <c r="X235" s="49" t="s">
        <v>214</v>
      </c>
      <c r="Y235" s="49" t="s">
        <v>214</v>
      </c>
      <c r="Z235" s="49" t="s">
        <v>214</v>
      </c>
      <c r="AA235" s="48" t="s">
        <v>15223</v>
      </c>
      <c r="AB235" s="84" t="s">
        <v>15221</v>
      </c>
      <c r="AC235" s="53" t="str">
        <f t="shared" ref="AC235:AC240" si="124">HYPERLINK("http://www.reedleycollege.edu/academics/majors.html","Link")</f>
        <v>Link</v>
      </c>
      <c r="AD235" s="42">
        <v>10052</v>
      </c>
      <c r="AE235" s="55"/>
      <c r="AF235" s="55"/>
      <c r="AG235" s="56">
        <v>117052</v>
      </c>
      <c r="AH235" s="56"/>
      <c r="AI235" s="56"/>
    </row>
    <row r="236" spans="1:35" ht="15" x14ac:dyDescent="0.2">
      <c r="A236" s="110" t="s">
        <v>300</v>
      </c>
      <c r="B236" s="33" t="s">
        <v>12632</v>
      </c>
      <c r="C236" s="7" t="s">
        <v>15226</v>
      </c>
      <c r="D236" s="112">
        <v>5</v>
      </c>
      <c r="E236" s="7"/>
      <c r="F236" s="7"/>
      <c r="G236" s="33" t="s">
        <v>15216</v>
      </c>
      <c r="H236" s="2" t="s">
        <v>369</v>
      </c>
      <c r="I236" s="2" t="s">
        <v>15227</v>
      </c>
      <c r="J236" s="2" t="s">
        <v>919</v>
      </c>
      <c r="K236" s="2"/>
      <c r="L236" s="2"/>
      <c r="M236" s="45" t="str">
        <f t="shared" si="123"/>
        <v>@rctigersoftball</v>
      </c>
      <c r="N236" s="48" t="s">
        <v>22</v>
      </c>
      <c r="O236" s="48" t="s">
        <v>15221</v>
      </c>
      <c r="P236" s="60" t="s">
        <v>312</v>
      </c>
      <c r="Q236" s="48" t="s">
        <v>15221</v>
      </c>
      <c r="R236" s="48" t="s">
        <v>468</v>
      </c>
      <c r="S236" s="49" t="s">
        <v>74</v>
      </c>
      <c r="T236" s="48" t="s">
        <v>75</v>
      </c>
      <c r="U236" s="49" t="s">
        <v>3678</v>
      </c>
      <c r="V236" s="7" t="s">
        <v>214</v>
      </c>
      <c r="W236" s="49" t="s">
        <v>214</v>
      </c>
      <c r="X236" s="49" t="s">
        <v>214</v>
      </c>
      <c r="Y236" s="49" t="s">
        <v>214</v>
      </c>
      <c r="Z236" s="49" t="s">
        <v>214</v>
      </c>
      <c r="AA236" s="48" t="s">
        <v>15223</v>
      </c>
      <c r="AB236" s="84" t="s">
        <v>15221</v>
      </c>
      <c r="AC236" s="53" t="str">
        <f t="shared" si="124"/>
        <v>Link</v>
      </c>
      <c r="AD236" s="42">
        <v>10052</v>
      </c>
      <c r="AE236" s="55"/>
      <c r="AF236" s="55"/>
      <c r="AG236" s="56">
        <v>117052</v>
      </c>
      <c r="AH236" s="56"/>
      <c r="AI236" s="56"/>
    </row>
    <row r="237" spans="1:35" ht="15" x14ac:dyDescent="0.2">
      <c r="A237" s="110" t="s">
        <v>300</v>
      </c>
      <c r="B237" s="33" t="s">
        <v>12632</v>
      </c>
      <c r="C237" s="7" t="s">
        <v>15230</v>
      </c>
      <c r="D237" s="112">
        <v>5</v>
      </c>
      <c r="E237" s="7"/>
      <c r="F237" s="7"/>
      <c r="G237" s="33" t="s">
        <v>15216</v>
      </c>
      <c r="H237" s="2" t="s">
        <v>15231</v>
      </c>
      <c r="I237" s="2" t="s">
        <v>15232</v>
      </c>
      <c r="J237" s="2" t="s">
        <v>55</v>
      </c>
      <c r="K237" s="2"/>
      <c r="L237" s="2"/>
      <c r="M237" s="45" t="str">
        <f t="shared" si="123"/>
        <v>@rctigersoftball</v>
      </c>
      <c r="N237" s="48" t="s">
        <v>22</v>
      </c>
      <c r="O237" s="48" t="s">
        <v>15221</v>
      </c>
      <c r="P237" s="60" t="s">
        <v>312</v>
      </c>
      <c r="Q237" s="48" t="s">
        <v>15221</v>
      </c>
      <c r="R237" s="48" t="s">
        <v>468</v>
      </c>
      <c r="S237" s="49" t="s">
        <v>74</v>
      </c>
      <c r="T237" s="48" t="s">
        <v>75</v>
      </c>
      <c r="U237" s="49" t="s">
        <v>3678</v>
      </c>
      <c r="V237" s="7" t="s">
        <v>214</v>
      </c>
      <c r="W237" s="49" t="s">
        <v>214</v>
      </c>
      <c r="X237" s="49" t="s">
        <v>214</v>
      </c>
      <c r="Y237" s="49" t="s">
        <v>214</v>
      </c>
      <c r="Z237" s="49" t="s">
        <v>214</v>
      </c>
      <c r="AA237" s="48" t="s">
        <v>15223</v>
      </c>
      <c r="AB237" s="84" t="s">
        <v>15221</v>
      </c>
      <c r="AC237" s="53" t="str">
        <f t="shared" si="124"/>
        <v>Link</v>
      </c>
      <c r="AD237" s="42">
        <v>10052</v>
      </c>
      <c r="AE237" s="55"/>
      <c r="AF237" s="55"/>
      <c r="AG237" s="56">
        <v>117052</v>
      </c>
      <c r="AH237" s="56"/>
      <c r="AI237" s="56"/>
    </row>
    <row r="238" spans="1:35" ht="15" x14ac:dyDescent="0.2">
      <c r="A238" s="110" t="s">
        <v>300</v>
      </c>
      <c r="B238" s="33" t="s">
        <v>12632</v>
      </c>
      <c r="C238" s="7" t="s">
        <v>15235</v>
      </c>
      <c r="D238" s="112">
        <v>5</v>
      </c>
      <c r="E238" s="7"/>
      <c r="F238" s="7"/>
      <c r="G238" s="33" t="s">
        <v>15216</v>
      </c>
      <c r="H238" s="2" t="s">
        <v>206</v>
      </c>
      <c r="I238" s="2" t="s">
        <v>852</v>
      </c>
      <c r="J238" s="2" t="s">
        <v>55</v>
      </c>
      <c r="K238" s="2"/>
      <c r="L238" s="2"/>
      <c r="M238" s="45" t="str">
        <f t="shared" si="123"/>
        <v>@rctigersoftball</v>
      </c>
      <c r="N238" s="48" t="s">
        <v>22</v>
      </c>
      <c r="O238" s="48" t="s">
        <v>15221</v>
      </c>
      <c r="P238" s="60" t="s">
        <v>312</v>
      </c>
      <c r="Q238" s="48" t="s">
        <v>15221</v>
      </c>
      <c r="R238" s="48" t="s">
        <v>468</v>
      </c>
      <c r="S238" s="49" t="s">
        <v>74</v>
      </c>
      <c r="T238" s="48" t="s">
        <v>75</v>
      </c>
      <c r="U238" s="49" t="s">
        <v>3678</v>
      </c>
      <c r="V238" s="7" t="s">
        <v>214</v>
      </c>
      <c r="W238" s="49" t="s">
        <v>214</v>
      </c>
      <c r="X238" s="49" t="s">
        <v>214</v>
      </c>
      <c r="Y238" s="49" t="s">
        <v>214</v>
      </c>
      <c r="Z238" s="49" t="s">
        <v>214</v>
      </c>
      <c r="AA238" s="48" t="s">
        <v>15223</v>
      </c>
      <c r="AB238" s="84" t="s">
        <v>15221</v>
      </c>
      <c r="AC238" s="53" t="str">
        <f t="shared" si="124"/>
        <v>Link</v>
      </c>
      <c r="AD238" s="42">
        <v>10052</v>
      </c>
      <c r="AE238" s="55"/>
      <c r="AF238" s="55"/>
      <c r="AG238" s="56">
        <v>117052</v>
      </c>
      <c r="AH238" s="56"/>
      <c r="AI238" s="56"/>
    </row>
    <row r="239" spans="1:35" ht="15" x14ac:dyDescent="0.2">
      <c r="A239" s="110" t="s">
        <v>300</v>
      </c>
      <c r="B239" s="33" t="s">
        <v>12632</v>
      </c>
      <c r="C239" s="7" t="s">
        <v>15242</v>
      </c>
      <c r="D239" s="112">
        <v>5</v>
      </c>
      <c r="E239" s="7"/>
      <c r="F239" s="7"/>
      <c r="G239" s="33" t="s">
        <v>15216</v>
      </c>
      <c r="H239" s="2" t="s">
        <v>15243</v>
      </c>
      <c r="I239" s="2" t="s">
        <v>15244</v>
      </c>
      <c r="J239" s="2" t="s">
        <v>55</v>
      </c>
      <c r="K239" s="2"/>
      <c r="L239" s="2"/>
      <c r="M239" s="45" t="str">
        <f t="shared" si="123"/>
        <v>@rctigersoftball</v>
      </c>
      <c r="N239" s="48" t="s">
        <v>22</v>
      </c>
      <c r="O239" s="48" t="s">
        <v>15221</v>
      </c>
      <c r="P239" s="60" t="s">
        <v>312</v>
      </c>
      <c r="Q239" s="48" t="s">
        <v>15221</v>
      </c>
      <c r="R239" s="48" t="s">
        <v>468</v>
      </c>
      <c r="S239" s="49" t="s">
        <v>74</v>
      </c>
      <c r="T239" s="48" t="s">
        <v>75</v>
      </c>
      <c r="U239" s="49" t="s">
        <v>3678</v>
      </c>
      <c r="V239" s="7" t="s">
        <v>214</v>
      </c>
      <c r="W239" s="49" t="s">
        <v>214</v>
      </c>
      <c r="X239" s="49" t="s">
        <v>214</v>
      </c>
      <c r="Y239" s="49" t="s">
        <v>214</v>
      </c>
      <c r="Z239" s="49" t="s">
        <v>214</v>
      </c>
      <c r="AA239" s="48" t="s">
        <v>15223</v>
      </c>
      <c r="AB239" s="84" t="s">
        <v>15221</v>
      </c>
      <c r="AC239" s="53" t="str">
        <f t="shared" si="124"/>
        <v>Link</v>
      </c>
      <c r="AD239" s="42">
        <v>10052</v>
      </c>
      <c r="AE239" s="55"/>
      <c r="AF239" s="55"/>
      <c r="AG239" s="56">
        <v>117052</v>
      </c>
      <c r="AH239" s="56"/>
      <c r="AI239" s="56"/>
    </row>
    <row r="240" spans="1:35" ht="15" x14ac:dyDescent="0.2">
      <c r="A240" s="110" t="s">
        <v>300</v>
      </c>
      <c r="B240" s="33" t="s">
        <v>12632</v>
      </c>
      <c r="C240" s="7" t="s">
        <v>15249</v>
      </c>
      <c r="D240" s="112">
        <v>5</v>
      </c>
      <c r="E240" s="7"/>
      <c r="F240" s="7"/>
      <c r="G240" s="33" t="s">
        <v>15216</v>
      </c>
      <c r="H240" s="2" t="s">
        <v>9792</v>
      </c>
      <c r="I240" s="2" t="s">
        <v>1357</v>
      </c>
      <c r="J240" s="2" t="s">
        <v>55</v>
      </c>
      <c r="K240" s="2"/>
      <c r="L240" s="2"/>
      <c r="M240" s="45" t="str">
        <f t="shared" si="123"/>
        <v>@rctigersoftball</v>
      </c>
      <c r="N240" s="48" t="s">
        <v>22</v>
      </c>
      <c r="O240" s="48" t="s">
        <v>15221</v>
      </c>
      <c r="P240" s="60" t="s">
        <v>312</v>
      </c>
      <c r="Q240" s="48" t="s">
        <v>15221</v>
      </c>
      <c r="R240" s="48" t="s">
        <v>468</v>
      </c>
      <c r="S240" s="49" t="s">
        <v>74</v>
      </c>
      <c r="T240" s="48" t="s">
        <v>75</v>
      </c>
      <c r="U240" s="49" t="s">
        <v>3678</v>
      </c>
      <c r="V240" s="7" t="s">
        <v>214</v>
      </c>
      <c r="W240" s="49" t="s">
        <v>214</v>
      </c>
      <c r="X240" s="49" t="s">
        <v>214</v>
      </c>
      <c r="Y240" s="49" t="s">
        <v>214</v>
      </c>
      <c r="Z240" s="49" t="s">
        <v>214</v>
      </c>
      <c r="AA240" s="48" t="s">
        <v>15223</v>
      </c>
      <c r="AB240" s="84" t="s">
        <v>15221</v>
      </c>
      <c r="AC240" s="53" t="str">
        <f t="shared" si="124"/>
        <v>Link</v>
      </c>
      <c r="AD240" s="42">
        <v>10052</v>
      </c>
      <c r="AE240" s="55"/>
      <c r="AF240" s="55"/>
      <c r="AG240" s="56">
        <v>117052</v>
      </c>
      <c r="AH240" s="56"/>
      <c r="AI240" s="56"/>
    </row>
    <row r="241" spans="1:35" ht="15" x14ac:dyDescent="0.2">
      <c r="A241" s="64" t="s">
        <v>300</v>
      </c>
      <c r="B241" s="33" t="s">
        <v>12632</v>
      </c>
      <c r="C241" s="7" t="s">
        <v>15251</v>
      </c>
      <c r="D241" s="44">
        <v>5</v>
      </c>
      <c r="E241" s="7" t="s">
        <v>116</v>
      </c>
      <c r="F241" s="7"/>
      <c r="G241" s="33" t="s">
        <v>15252</v>
      </c>
      <c r="H241" s="7" t="s">
        <v>427</v>
      </c>
      <c r="I241" s="7" t="s">
        <v>5350</v>
      </c>
      <c r="J241" s="7" t="s">
        <v>55</v>
      </c>
      <c r="K241" s="7"/>
      <c r="L241" s="7"/>
      <c r="M241" s="45" t="str">
        <f t="shared" ref="M241:M244" si="125">HYPERLINK("twitter.com/roadrunner_sb","@roadrunner_sb")</f>
        <v>@roadrunner_sb</v>
      </c>
      <c r="N241" s="45" t="str">
        <f t="shared" ref="N241:N244" si="126">HYPERLINK("http://athletics.riohondo.edu/recruits/index","Questionnaire")</f>
        <v>Questionnaire</v>
      </c>
      <c r="O241" s="48" t="s">
        <v>15262</v>
      </c>
      <c r="P241" s="60" t="s">
        <v>312</v>
      </c>
      <c r="Q241" s="48" t="s">
        <v>716</v>
      </c>
      <c r="R241" s="48" t="s">
        <v>238</v>
      </c>
      <c r="S241" s="49" t="s">
        <v>74</v>
      </c>
      <c r="T241" s="48" t="s">
        <v>75</v>
      </c>
      <c r="U241" s="49" t="s">
        <v>3678</v>
      </c>
      <c r="V241" s="7" t="s">
        <v>214</v>
      </c>
      <c r="W241" s="49" t="s">
        <v>214</v>
      </c>
      <c r="X241" s="49" t="s">
        <v>214</v>
      </c>
      <c r="Y241" s="49" t="s">
        <v>214</v>
      </c>
      <c r="Z241" s="55" t="s">
        <v>214</v>
      </c>
      <c r="AA241" s="48" t="s">
        <v>15263</v>
      </c>
      <c r="AB241" s="84" t="s">
        <v>15262</v>
      </c>
      <c r="AC241" s="53" t="str">
        <f t="shared" ref="AC241:AC244" si="127">HYPERLINK("http://www.riohondo.edu/academics/degrees-certificates/","Link")</f>
        <v>Link</v>
      </c>
      <c r="AD241" s="42">
        <v>19220</v>
      </c>
      <c r="AE241" s="55"/>
      <c r="AF241" s="55"/>
      <c r="AG241" s="56">
        <v>205203</v>
      </c>
      <c r="AH241" s="85"/>
      <c r="AI241" s="85"/>
    </row>
    <row r="242" spans="1:35" ht="15" x14ac:dyDescent="0.2">
      <c r="A242" s="110" t="s">
        <v>300</v>
      </c>
      <c r="B242" s="33" t="s">
        <v>12632</v>
      </c>
      <c r="C242" s="7" t="s">
        <v>15267</v>
      </c>
      <c r="D242" s="112">
        <v>5</v>
      </c>
      <c r="E242" s="7"/>
      <c r="F242" s="7"/>
      <c r="G242" s="33" t="s">
        <v>15252</v>
      </c>
      <c r="H242" s="34" t="s">
        <v>6162</v>
      </c>
      <c r="I242" s="2" t="s">
        <v>15268</v>
      </c>
      <c r="J242" s="2" t="s">
        <v>48</v>
      </c>
      <c r="K242" s="2" t="s">
        <v>15271</v>
      </c>
      <c r="L242" s="2" t="s">
        <v>15272</v>
      </c>
      <c r="M242" s="45" t="str">
        <f t="shared" si="125"/>
        <v>@roadrunner_sb</v>
      </c>
      <c r="N242" s="45" t="str">
        <f t="shared" si="126"/>
        <v>Questionnaire</v>
      </c>
      <c r="O242" s="48" t="s">
        <v>15262</v>
      </c>
      <c r="P242" s="60" t="s">
        <v>312</v>
      </c>
      <c r="Q242" s="48" t="s">
        <v>716</v>
      </c>
      <c r="R242" s="48" t="s">
        <v>238</v>
      </c>
      <c r="S242" s="49" t="s">
        <v>74</v>
      </c>
      <c r="T242" s="48" t="s">
        <v>75</v>
      </c>
      <c r="U242" s="49" t="s">
        <v>3678</v>
      </c>
      <c r="V242" s="7" t="s">
        <v>214</v>
      </c>
      <c r="W242" s="49" t="s">
        <v>214</v>
      </c>
      <c r="X242" s="49" t="s">
        <v>214</v>
      </c>
      <c r="Y242" s="49" t="s">
        <v>214</v>
      </c>
      <c r="Z242" s="55" t="s">
        <v>214</v>
      </c>
      <c r="AA242" s="48" t="s">
        <v>15263</v>
      </c>
      <c r="AB242" s="84" t="s">
        <v>15262</v>
      </c>
      <c r="AC242" s="53" t="str">
        <f t="shared" si="127"/>
        <v>Link</v>
      </c>
      <c r="AD242" s="42">
        <v>19220</v>
      </c>
      <c r="AE242" s="55"/>
      <c r="AF242" s="55"/>
      <c r="AG242" s="56">
        <v>205203</v>
      </c>
      <c r="AH242" s="56"/>
      <c r="AI242" s="56"/>
    </row>
    <row r="243" spans="1:35" ht="15" x14ac:dyDescent="0.2">
      <c r="A243" s="110" t="s">
        <v>300</v>
      </c>
      <c r="B243" s="33" t="s">
        <v>12632</v>
      </c>
      <c r="C243" s="7" t="s">
        <v>15275</v>
      </c>
      <c r="D243" s="112">
        <v>5</v>
      </c>
      <c r="E243" s="7"/>
      <c r="F243" s="7"/>
      <c r="G243" s="33" t="s">
        <v>15252</v>
      </c>
      <c r="H243" s="138" t="s">
        <v>15276</v>
      </c>
      <c r="I243" s="2" t="s">
        <v>15277</v>
      </c>
      <c r="J243" s="2" t="s">
        <v>55</v>
      </c>
      <c r="K243" s="2" t="s">
        <v>15278</v>
      </c>
      <c r="L243" s="2" t="s">
        <v>15272</v>
      </c>
      <c r="M243" s="45" t="str">
        <f t="shared" si="125"/>
        <v>@roadrunner_sb</v>
      </c>
      <c r="N243" s="45" t="str">
        <f t="shared" si="126"/>
        <v>Questionnaire</v>
      </c>
      <c r="O243" s="48" t="s">
        <v>15262</v>
      </c>
      <c r="P243" s="60" t="s">
        <v>312</v>
      </c>
      <c r="Q243" s="48" t="s">
        <v>716</v>
      </c>
      <c r="R243" s="48" t="s">
        <v>238</v>
      </c>
      <c r="S243" s="49" t="s">
        <v>74</v>
      </c>
      <c r="T243" s="48" t="s">
        <v>75</v>
      </c>
      <c r="U243" s="49" t="s">
        <v>3678</v>
      </c>
      <c r="V243" s="7" t="s">
        <v>214</v>
      </c>
      <c r="W243" s="49" t="s">
        <v>214</v>
      </c>
      <c r="X243" s="49" t="s">
        <v>214</v>
      </c>
      <c r="Y243" s="49" t="s">
        <v>214</v>
      </c>
      <c r="Z243" s="55" t="s">
        <v>214</v>
      </c>
      <c r="AA243" s="48" t="s">
        <v>15263</v>
      </c>
      <c r="AB243" s="84" t="s">
        <v>15262</v>
      </c>
      <c r="AC243" s="53" t="str">
        <f t="shared" si="127"/>
        <v>Link</v>
      </c>
      <c r="AD243" s="42">
        <v>19220</v>
      </c>
      <c r="AE243" s="55"/>
      <c r="AF243" s="55"/>
      <c r="AG243" s="56">
        <v>205203</v>
      </c>
      <c r="AH243" s="56"/>
      <c r="AI243" s="56"/>
    </row>
    <row r="244" spans="1:35" ht="15" x14ac:dyDescent="0.2">
      <c r="A244" s="110" t="s">
        <v>300</v>
      </c>
      <c r="B244" s="33" t="s">
        <v>12632</v>
      </c>
      <c r="C244" s="7" t="s">
        <v>15288</v>
      </c>
      <c r="D244" s="112">
        <v>5</v>
      </c>
      <c r="E244" s="7"/>
      <c r="F244" s="7" t="s">
        <v>126</v>
      </c>
      <c r="G244" s="33" t="s">
        <v>15252</v>
      </c>
      <c r="H244" s="139" t="s">
        <v>15291</v>
      </c>
      <c r="I244" s="2"/>
      <c r="J244" s="2"/>
      <c r="K244" s="2"/>
      <c r="L244" s="2"/>
      <c r="M244" s="45" t="str">
        <f t="shared" si="125"/>
        <v>@roadrunner_sb</v>
      </c>
      <c r="N244" s="45" t="str">
        <f t="shared" si="126"/>
        <v>Questionnaire</v>
      </c>
      <c r="O244" s="48" t="s">
        <v>15262</v>
      </c>
      <c r="P244" s="60" t="s">
        <v>312</v>
      </c>
      <c r="Q244" s="48" t="s">
        <v>716</v>
      </c>
      <c r="R244" s="48" t="s">
        <v>238</v>
      </c>
      <c r="S244" s="49" t="s">
        <v>74</v>
      </c>
      <c r="T244" s="48" t="s">
        <v>75</v>
      </c>
      <c r="U244" s="49" t="s">
        <v>3678</v>
      </c>
      <c r="V244" s="7" t="s">
        <v>214</v>
      </c>
      <c r="W244" s="49" t="s">
        <v>214</v>
      </c>
      <c r="X244" s="49" t="s">
        <v>214</v>
      </c>
      <c r="Y244" s="49" t="s">
        <v>214</v>
      </c>
      <c r="Z244" s="55" t="s">
        <v>214</v>
      </c>
      <c r="AA244" s="48" t="s">
        <v>15263</v>
      </c>
      <c r="AB244" s="84" t="s">
        <v>15262</v>
      </c>
      <c r="AC244" s="53" t="str">
        <f t="shared" si="127"/>
        <v>Link</v>
      </c>
      <c r="AD244" s="42">
        <v>19220</v>
      </c>
      <c r="AE244" s="55"/>
      <c r="AF244" s="55"/>
      <c r="AG244" s="56">
        <v>205203</v>
      </c>
      <c r="AH244" s="56"/>
      <c r="AI244" s="56"/>
    </row>
    <row r="245" spans="1:35" ht="15" x14ac:dyDescent="0.2">
      <c r="A245" s="110" t="s">
        <v>300</v>
      </c>
      <c r="B245" s="33" t="s">
        <v>12632</v>
      </c>
      <c r="C245" s="7" t="s">
        <v>15294</v>
      </c>
      <c r="D245" s="112">
        <v>5</v>
      </c>
      <c r="E245" s="7"/>
      <c r="F245" s="7"/>
      <c r="G245" s="2" t="s">
        <v>15295</v>
      </c>
      <c r="H245" s="34" t="s">
        <v>1280</v>
      </c>
      <c r="I245" s="2" t="s">
        <v>15296</v>
      </c>
      <c r="J245" s="33" t="s">
        <v>48</v>
      </c>
      <c r="K245" s="2" t="s">
        <v>15297</v>
      </c>
      <c r="L245" s="2" t="s">
        <v>15298</v>
      </c>
      <c r="M245" s="48"/>
      <c r="N245" s="45" t="str">
        <f t="shared" ref="N245:N249" si="128">HYPERLINK("http://www.rccathletics.com/recruits/Sport_Interest_Form","Questionnaire")</f>
        <v>Questionnaire</v>
      </c>
      <c r="O245" s="48" t="s">
        <v>15304</v>
      </c>
      <c r="P245" s="60" t="s">
        <v>312</v>
      </c>
      <c r="Q245" s="48" t="s">
        <v>5374</v>
      </c>
      <c r="R245" s="48" t="s">
        <v>354</v>
      </c>
      <c r="S245" s="49" t="s">
        <v>74</v>
      </c>
      <c r="T245" s="48" t="s">
        <v>75</v>
      </c>
      <c r="U245" s="49" t="s">
        <v>3678</v>
      </c>
      <c r="V245" s="7" t="s">
        <v>214</v>
      </c>
      <c r="W245" s="49" t="s">
        <v>214</v>
      </c>
      <c r="X245" s="49" t="s">
        <v>214</v>
      </c>
      <c r="Y245" s="49" t="s">
        <v>214</v>
      </c>
      <c r="Z245" s="55" t="s">
        <v>214</v>
      </c>
      <c r="AA245" s="48" t="s">
        <v>15307</v>
      </c>
      <c r="AB245" s="84" t="s">
        <v>15304</v>
      </c>
      <c r="AC245" s="53" t="str">
        <f t="shared" ref="AC245:AC249" si="129">HYPERLINK("http://www.rcc.edu/departments/Pages/DegreesCertificates.aspx","Link")</f>
        <v>Link</v>
      </c>
      <c r="AD245" s="42">
        <v>19644</v>
      </c>
      <c r="AE245" s="55"/>
      <c r="AF245" s="55"/>
      <c r="AG245" s="56">
        <v>121901</v>
      </c>
      <c r="AH245" s="56"/>
      <c r="AI245" s="56"/>
    </row>
    <row r="246" spans="1:35" ht="15" x14ac:dyDescent="0.2">
      <c r="A246" s="110" t="s">
        <v>300</v>
      </c>
      <c r="B246" s="33" t="s">
        <v>12632</v>
      </c>
      <c r="C246" s="7" t="s">
        <v>15319</v>
      </c>
      <c r="D246" s="112">
        <v>5</v>
      </c>
      <c r="E246" s="7" t="s">
        <v>116</v>
      </c>
      <c r="F246" s="7"/>
      <c r="G246" s="2" t="s">
        <v>15295</v>
      </c>
      <c r="H246" s="7" t="s">
        <v>5470</v>
      </c>
      <c r="I246" s="7" t="s">
        <v>15321</v>
      </c>
      <c r="J246" s="7" t="s">
        <v>55</v>
      </c>
      <c r="K246" s="7"/>
      <c r="L246" s="7"/>
      <c r="M246" s="48"/>
      <c r="N246" s="45" t="str">
        <f t="shared" si="128"/>
        <v>Questionnaire</v>
      </c>
      <c r="O246" s="48" t="s">
        <v>15304</v>
      </c>
      <c r="P246" s="60" t="s">
        <v>312</v>
      </c>
      <c r="Q246" s="48" t="s">
        <v>5374</v>
      </c>
      <c r="R246" s="48" t="s">
        <v>354</v>
      </c>
      <c r="S246" s="49" t="s">
        <v>74</v>
      </c>
      <c r="T246" s="48" t="s">
        <v>75</v>
      </c>
      <c r="U246" s="49" t="s">
        <v>3678</v>
      </c>
      <c r="V246" s="7" t="s">
        <v>214</v>
      </c>
      <c r="W246" s="49" t="s">
        <v>214</v>
      </c>
      <c r="X246" s="49" t="s">
        <v>214</v>
      </c>
      <c r="Y246" s="49" t="s">
        <v>214</v>
      </c>
      <c r="Z246" s="55" t="s">
        <v>214</v>
      </c>
      <c r="AA246" s="48" t="s">
        <v>15307</v>
      </c>
      <c r="AB246" s="84" t="s">
        <v>15304</v>
      </c>
      <c r="AC246" s="53" t="str">
        <f t="shared" si="129"/>
        <v>Link</v>
      </c>
      <c r="AD246" s="42">
        <v>19644</v>
      </c>
      <c r="AE246" s="55"/>
      <c r="AF246" s="55"/>
      <c r="AG246" s="56">
        <v>121901</v>
      </c>
      <c r="AH246" s="56"/>
      <c r="AI246" s="56"/>
    </row>
    <row r="247" spans="1:35" ht="15" x14ac:dyDescent="0.2">
      <c r="A247" s="110" t="s">
        <v>300</v>
      </c>
      <c r="B247" s="33" t="s">
        <v>12632</v>
      </c>
      <c r="C247" s="7" t="s">
        <v>15326</v>
      </c>
      <c r="D247" s="112">
        <v>5</v>
      </c>
      <c r="E247" s="7" t="s">
        <v>116</v>
      </c>
      <c r="F247" s="7"/>
      <c r="G247" s="2" t="s">
        <v>15295</v>
      </c>
      <c r="H247" s="7" t="s">
        <v>15328</v>
      </c>
      <c r="I247" s="7" t="s">
        <v>15329</v>
      </c>
      <c r="J247" s="7" t="s">
        <v>55</v>
      </c>
      <c r="K247" s="7"/>
      <c r="L247" s="7"/>
      <c r="M247" s="48"/>
      <c r="N247" s="45" t="str">
        <f t="shared" si="128"/>
        <v>Questionnaire</v>
      </c>
      <c r="O247" s="48" t="s">
        <v>15304</v>
      </c>
      <c r="P247" s="60" t="s">
        <v>312</v>
      </c>
      <c r="Q247" s="48" t="s">
        <v>5374</v>
      </c>
      <c r="R247" s="48" t="s">
        <v>354</v>
      </c>
      <c r="S247" s="49" t="s">
        <v>74</v>
      </c>
      <c r="T247" s="48" t="s">
        <v>75</v>
      </c>
      <c r="U247" s="49" t="s">
        <v>3678</v>
      </c>
      <c r="V247" s="7" t="s">
        <v>214</v>
      </c>
      <c r="W247" s="49" t="s">
        <v>214</v>
      </c>
      <c r="X247" s="49" t="s">
        <v>214</v>
      </c>
      <c r="Y247" s="49" t="s">
        <v>214</v>
      </c>
      <c r="Z247" s="55" t="s">
        <v>214</v>
      </c>
      <c r="AA247" s="48" t="s">
        <v>15307</v>
      </c>
      <c r="AB247" s="84" t="s">
        <v>15304</v>
      </c>
      <c r="AC247" s="53" t="str">
        <f t="shared" si="129"/>
        <v>Link</v>
      </c>
      <c r="AD247" s="42">
        <v>19644</v>
      </c>
      <c r="AE247" s="55"/>
      <c r="AF247" s="55"/>
      <c r="AG247" s="56">
        <v>121901</v>
      </c>
      <c r="AH247" s="56"/>
      <c r="AI247" s="56"/>
    </row>
    <row r="248" spans="1:35" ht="15" x14ac:dyDescent="0.2">
      <c r="A248" s="110" t="s">
        <v>300</v>
      </c>
      <c r="B248" s="33" t="s">
        <v>12632</v>
      </c>
      <c r="C248" s="7" t="s">
        <v>15340</v>
      </c>
      <c r="D248" s="112">
        <v>5</v>
      </c>
      <c r="E248" s="7" t="s">
        <v>116</v>
      </c>
      <c r="F248" s="7"/>
      <c r="G248" s="2" t="s">
        <v>15295</v>
      </c>
      <c r="H248" s="7" t="s">
        <v>15341</v>
      </c>
      <c r="I248" s="7" t="s">
        <v>14357</v>
      </c>
      <c r="J248" s="7" t="s">
        <v>919</v>
      </c>
      <c r="K248" s="7"/>
      <c r="L248" s="7"/>
      <c r="M248" s="48"/>
      <c r="N248" s="45" t="str">
        <f t="shared" si="128"/>
        <v>Questionnaire</v>
      </c>
      <c r="O248" s="48" t="s">
        <v>15304</v>
      </c>
      <c r="P248" s="60" t="s">
        <v>312</v>
      </c>
      <c r="Q248" s="48" t="s">
        <v>5374</v>
      </c>
      <c r="R248" s="48" t="s">
        <v>354</v>
      </c>
      <c r="S248" s="49" t="s">
        <v>74</v>
      </c>
      <c r="T248" s="48" t="s">
        <v>75</v>
      </c>
      <c r="U248" s="49" t="s">
        <v>3678</v>
      </c>
      <c r="V248" s="7" t="s">
        <v>214</v>
      </c>
      <c r="W248" s="49" t="s">
        <v>214</v>
      </c>
      <c r="X248" s="49" t="s">
        <v>214</v>
      </c>
      <c r="Y248" s="49" t="s">
        <v>214</v>
      </c>
      <c r="Z248" s="55" t="s">
        <v>214</v>
      </c>
      <c r="AA248" s="48" t="s">
        <v>15307</v>
      </c>
      <c r="AB248" s="84" t="s">
        <v>15304</v>
      </c>
      <c r="AC248" s="53" t="str">
        <f t="shared" si="129"/>
        <v>Link</v>
      </c>
      <c r="AD248" s="42">
        <v>19644</v>
      </c>
      <c r="AE248" s="55"/>
      <c r="AF248" s="55"/>
      <c r="AG248" s="56">
        <v>121901</v>
      </c>
      <c r="AH248" s="56"/>
      <c r="AI248" s="56"/>
    </row>
    <row r="249" spans="1:35" ht="15" x14ac:dyDescent="0.2">
      <c r="A249" s="110" t="s">
        <v>300</v>
      </c>
      <c r="B249" s="33" t="s">
        <v>12632</v>
      </c>
      <c r="C249" s="7" t="s">
        <v>15347</v>
      </c>
      <c r="D249" s="112">
        <v>5</v>
      </c>
      <c r="E249" s="7" t="s">
        <v>116</v>
      </c>
      <c r="F249" s="7"/>
      <c r="G249" s="2" t="s">
        <v>15295</v>
      </c>
      <c r="H249" s="7" t="s">
        <v>539</v>
      </c>
      <c r="I249" s="7" t="s">
        <v>15349</v>
      </c>
      <c r="J249" s="7" t="s">
        <v>55</v>
      </c>
      <c r="K249" s="7"/>
      <c r="L249" s="7"/>
      <c r="M249" s="48"/>
      <c r="N249" s="45" t="str">
        <f t="shared" si="128"/>
        <v>Questionnaire</v>
      </c>
      <c r="O249" s="48" t="s">
        <v>15304</v>
      </c>
      <c r="P249" s="60" t="s">
        <v>312</v>
      </c>
      <c r="Q249" s="48" t="s">
        <v>5374</v>
      </c>
      <c r="R249" s="48" t="s">
        <v>354</v>
      </c>
      <c r="S249" s="49" t="s">
        <v>74</v>
      </c>
      <c r="T249" s="48" t="s">
        <v>75</v>
      </c>
      <c r="U249" s="49" t="s">
        <v>3678</v>
      </c>
      <c r="V249" s="7" t="s">
        <v>214</v>
      </c>
      <c r="W249" s="49" t="s">
        <v>214</v>
      </c>
      <c r="X249" s="49" t="s">
        <v>214</v>
      </c>
      <c r="Y249" s="49" t="s">
        <v>214</v>
      </c>
      <c r="Z249" s="55" t="s">
        <v>214</v>
      </c>
      <c r="AA249" s="48" t="s">
        <v>15307</v>
      </c>
      <c r="AB249" s="84" t="s">
        <v>15304</v>
      </c>
      <c r="AC249" s="53" t="str">
        <f t="shared" si="129"/>
        <v>Link</v>
      </c>
      <c r="AD249" s="42">
        <v>19644</v>
      </c>
      <c r="AE249" s="55"/>
      <c r="AF249" s="55"/>
      <c r="AG249" s="56">
        <v>121901</v>
      </c>
      <c r="AH249" s="56"/>
      <c r="AI249" s="56"/>
    </row>
    <row r="250" spans="1:35" ht="15" x14ac:dyDescent="0.2">
      <c r="A250" s="110" t="s">
        <v>300</v>
      </c>
      <c r="B250" s="33" t="s">
        <v>12632</v>
      </c>
      <c r="C250" s="7" t="s">
        <v>15353</v>
      </c>
      <c r="D250" s="112">
        <v>5</v>
      </c>
      <c r="E250" s="7"/>
      <c r="F250" s="7"/>
      <c r="G250" s="33" t="s">
        <v>15355</v>
      </c>
      <c r="H250" s="34" t="s">
        <v>4659</v>
      </c>
      <c r="I250" s="2" t="s">
        <v>15357</v>
      </c>
      <c r="J250" s="2" t="s">
        <v>48</v>
      </c>
      <c r="K250" s="6" t="s">
        <v>15358</v>
      </c>
      <c r="L250" s="2" t="s">
        <v>15359</v>
      </c>
      <c r="M250" s="48"/>
      <c r="N250" s="45" t="str">
        <f t="shared" ref="N250:N257" si="130">HYPERLINK("https://www.sccpanthers.com/prospective_athletes/out_of_area_form","Questionnaire")</f>
        <v>Questionnaire</v>
      </c>
      <c r="O250" s="48" t="s">
        <v>15365</v>
      </c>
      <c r="P250" s="60" t="s">
        <v>312</v>
      </c>
      <c r="Q250" s="48" t="s">
        <v>3424</v>
      </c>
      <c r="R250" s="48" t="s">
        <v>354</v>
      </c>
      <c r="S250" s="49" t="s">
        <v>74</v>
      </c>
      <c r="T250" s="48" t="s">
        <v>75</v>
      </c>
      <c r="U250" s="49" t="s">
        <v>3678</v>
      </c>
      <c r="V250" s="7" t="s">
        <v>214</v>
      </c>
      <c r="W250" s="49" t="s">
        <v>214</v>
      </c>
      <c r="X250" s="49" t="s">
        <v>214</v>
      </c>
      <c r="Y250" s="49" t="s">
        <v>214</v>
      </c>
      <c r="Z250" s="55" t="s">
        <v>214</v>
      </c>
      <c r="AA250" s="48" t="s">
        <v>13977</v>
      </c>
      <c r="AB250" s="84" t="s">
        <v>15365</v>
      </c>
      <c r="AC250" s="53" t="str">
        <f t="shared" ref="AC250:AC257" si="131">HYPERLINK("https://www.scc.losrios.edu/instructionalservices/degrees-certificates-courses-transfer-majors/","Link")</f>
        <v>Link</v>
      </c>
      <c r="AD250" s="42">
        <v>22042</v>
      </c>
      <c r="AE250" s="55"/>
      <c r="AF250" s="55"/>
      <c r="AG250" s="56">
        <v>122180</v>
      </c>
      <c r="AH250" s="56"/>
      <c r="AI250" s="56"/>
    </row>
    <row r="251" spans="1:35" ht="15" x14ac:dyDescent="0.2">
      <c r="A251" s="110" t="s">
        <v>300</v>
      </c>
      <c r="B251" s="33" t="s">
        <v>12632</v>
      </c>
      <c r="C251" s="7" t="s">
        <v>15369</v>
      </c>
      <c r="D251" s="112">
        <v>5</v>
      </c>
      <c r="E251" s="7" t="s">
        <v>116</v>
      </c>
      <c r="F251" s="7"/>
      <c r="G251" s="33" t="s">
        <v>15355</v>
      </c>
      <c r="H251" s="7" t="s">
        <v>2739</v>
      </c>
      <c r="I251" s="7" t="s">
        <v>423</v>
      </c>
      <c r="J251" s="7" t="s">
        <v>55</v>
      </c>
      <c r="K251" s="138"/>
      <c r="L251" s="2"/>
      <c r="M251" s="48"/>
      <c r="N251" s="45" t="str">
        <f t="shared" si="130"/>
        <v>Questionnaire</v>
      </c>
      <c r="O251" s="48" t="s">
        <v>15365</v>
      </c>
      <c r="P251" s="60" t="s">
        <v>312</v>
      </c>
      <c r="Q251" s="48" t="s">
        <v>3424</v>
      </c>
      <c r="R251" s="48" t="s">
        <v>354</v>
      </c>
      <c r="S251" s="49" t="s">
        <v>74</v>
      </c>
      <c r="T251" s="48" t="s">
        <v>75</v>
      </c>
      <c r="U251" s="49" t="s">
        <v>3678</v>
      </c>
      <c r="V251" s="7" t="s">
        <v>214</v>
      </c>
      <c r="W251" s="49" t="s">
        <v>214</v>
      </c>
      <c r="X251" s="49" t="s">
        <v>214</v>
      </c>
      <c r="Y251" s="49" t="s">
        <v>214</v>
      </c>
      <c r="Z251" s="55" t="s">
        <v>214</v>
      </c>
      <c r="AA251" s="48" t="s">
        <v>13977</v>
      </c>
      <c r="AB251" s="84" t="s">
        <v>15365</v>
      </c>
      <c r="AC251" s="53" t="str">
        <f t="shared" si="131"/>
        <v>Link</v>
      </c>
      <c r="AD251" s="42">
        <v>22042</v>
      </c>
      <c r="AE251" s="55"/>
      <c r="AF251" s="55"/>
      <c r="AG251" s="56">
        <v>122180</v>
      </c>
      <c r="AH251" s="56"/>
      <c r="AI251" s="56"/>
    </row>
    <row r="252" spans="1:35" ht="15" x14ac:dyDescent="0.2">
      <c r="A252" s="110" t="s">
        <v>300</v>
      </c>
      <c r="B252" s="33" t="s">
        <v>12632</v>
      </c>
      <c r="C252" s="7" t="s">
        <v>15378</v>
      </c>
      <c r="D252" s="112">
        <v>5</v>
      </c>
      <c r="E252" s="7"/>
      <c r="F252" s="7"/>
      <c r="G252" s="33" t="s">
        <v>15355</v>
      </c>
      <c r="H252" s="2" t="s">
        <v>15379</v>
      </c>
      <c r="I252" s="2" t="s">
        <v>15380</v>
      </c>
      <c r="J252" s="33" t="s">
        <v>15381</v>
      </c>
      <c r="K252" s="2"/>
      <c r="L252" s="2"/>
      <c r="M252" s="48"/>
      <c r="N252" s="45" t="str">
        <f t="shared" si="130"/>
        <v>Questionnaire</v>
      </c>
      <c r="O252" s="48" t="s">
        <v>15365</v>
      </c>
      <c r="P252" s="60" t="s">
        <v>312</v>
      </c>
      <c r="Q252" s="48" t="s">
        <v>3424</v>
      </c>
      <c r="R252" s="48" t="s">
        <v>354</v>
      </c>
      <c r="S252" s="49" t="s">
        <v>74</v>
      </c>
      <c r="T252" s="48" t="s">
        <v>75</v>
      </c>
      <c r="U252" s="49" t="s">
        <v>3678</v>
      </c>
      <c r="V252" s="7" t="s">
        <v>214</v>
      </c>
      <c r="W252" s="49" t="s">
        <v>214</v>
      </c>
      <c r="X252" s="49" t="s">
        <v>214</v>
      </c>
      <c r="Y252" s="49" t="s">
        <v>214</v>
      </c>
      <c r="Z252" s="55" t="s">
        <v>214</v>
      </c>
      <c r="AA252" s="48" t="s">
        <v>13977</v>
      </c>
      <c r="AB252" s="84" t="s">
        <v>15365</v>
      </c>
      <c r="AC252" s="53" t="str">
        <f t="shared" si="131"/>
        <v>Link</v>
      </c>
      <c r="AD252" s="42">
        <v>22042</v>
      </c>
      <c r="AE252" s="55"/>
      <c r="AF252" s="55"/>
      <c r="AG252" s="56">
        <v>122180</v>
      </c>
      <c r="AH252" s="56"/>
      <c r="AI252" s="56"/>
    </row>
    <row r="253" spans="1:35" ht="15" x14ac:dyDescent="0.2">
      <c r="A253" s="110" t="s">
        <v>300</v>
      </c>
      <c r="B253" s="33" t="s">
        <v>12632</v>
      </c>
      <c r="C253" s="7" t="s">
        <v>15383</v>
      </c>
      <c r="D253" s="112">
        <v>5</v>
      </c>
      <c r="E253" s="7" t="s">
        <v>116</v>
      </c>
      <c r="F253" s="7"/>
      <c r="G253" s="33" t="s">
        <v>15355</v>
      </c>
      <c r="H253" s="7" t="s">
        <v>1541</v>
      </c>
      <c r="I253" s="7" t="s">
        <v>15385</v>
      </c>
      <c r="J253" s="7" t="s">
        <v>1558</v>
      </c>
      <c r="K253" s="2"/>
      <c r="L253" s="2"/>
      <c r="M253" s="48"/>
      <c r="N253" s="45" t="str">
        <f t="shared" si="130"/>
        <v>Questionnaire</v>
      </c>
      <c r="O253" s="48" t="s">
        <v>15365</v>
      </c>
      <c r="P253" s="60" t="s">
        <v>312</v>
      </c>
      <c r="Q253" s="48" t="s">
        <v>3424</v>
      </c>
      <c r="R253" s="48" t="s">
        <v>354</v>
      </c>
      <c r="S253" s="49" t="s">
        <v>74</v>
      </c>
      <c r="T253" s="48" t="s">
        <v>75</v>
      </c>
      <c r="U253" s="49" t="s">
        <v>3678</v>
      </c>
      <c r="V253" s="7" t="s">
        <v>214</v>
      </c>
      <c r="W253" s="49" t="s">
        <v>214</v>
      </c>
      <c r="X253" s="49" t="s">
        <v>214</v>
      </c>
      <c r="Y253" s="49" t="s">
        <v>214</v>
      </c>
      <c r="Z253" s="55" t="s">
        <v>214</v>
      </c>
      <c r="AA253" s="48" t="s">
        <v>13977</v>
      </c>
      <c r="AB253" s="84" t="s">
        <v>15365</v>
      </c>
      <c r="AC253" s="53" t="str">
        <f t="shared" si="131"/>
        <v>Link</v>
      </c>
      <c r="AD253" s="42">
        <v>22042</v>
      </c>
      <c r="AE253" s="55"/>
      <c r="AF253" s="55"/>
      <c r="AG253" s="56">
        <v>122180</v>
      </c>
      <c r="AH253" s="56"/>
      <c r="AI253" s="56"/>
    </row>
    <row r="254" spans="1:35" ht="15" x14ac:dyDescent="0.2">
      <c r="A254" s="110" t="s">
        <v>300</v>
      </c>
      <c r="B254" s="33" t="s">
        <v>12632</v>
      </c>
      <c r="C254" s="7" t="s">
        <v>15392</v>
      </c>
      <c r="D254" s="112">
        <v>5</v>
      </c>
      <c r="E254" s="7"/>
      <c r="F254" s="7"/>
      <c r="G254" s="33" t="s">
        <v>15355</v>
      </c>
      <c r="H254" s="34" t="s">
        <v>306</v>
      </c>
      <c r="I254" s="2" t="s">
        <v>15393</v>
      </c>
      <c r="J254" s="2" t="s">
        <v>4562</v>
      </c>
      <c r="K254" s="2"/>
      <c r="L254" s="2"/>
      <c r="M254" s="48"/>
      <c r="N254" s="45" t="str">
        <f t="shared" si="130"/>
        <v>Questionnaire</v>
      </c>
      <c r="O254" s="48" t="s">
        <v>15365</v>
      </c>
      <c r="P254" s="60" t="s">
        <v>312</v>
      </c>
      <c r="Q254" s="48" t="s">
        <v>3424</v>
      </c>
      <c r="R254" s="48" t="s">
        <v>354</v>
      </c>
      <c r="S254" s="49" t="s">
        <v>74</v>
      </c>
      <c r="T254" s="48" t="s">
        <v>75</v>
      </c>
      <c r="U254" s="49" t="s">
        <v>3678</v>
      </c>
      <c r="V254" s="7" t="s">
        <v>214</v>
      </c>
      <c r="W254" s="49" t="s">
        <v>214</v>
      </c>
      <c r="X254" s="49" t="s">
        <v>214</v>
      </c>
      <c r="Y254" s="49" t="s">
        <v>214</v>
      </c>
      <c r="Z254" s="55" t="s">
        <v>214</v>
      </c>
      <c r="AA254" s="48" t="s">
        <v>13977</v>
      </c>
      <c r="AB254" s="84" t="s">
        <v>15365</v>
      </c>
      <c r="AC254" s="53" t="str">
        <f t="shared" si="131"/>
        <v>Link</v>
      </c>
      <c r="AD254" s="42">
        <v>22042</v>
      </c>
      <c r="AE254" s="55"/>
      <c r="AF254" s="55"/>
      <c r="AG254" s="56">
        <v>122180</v>
      </c>
      <c r="AH254" s="56"/>
      <c r="AI254" s="56"/>
    </row>
    <row r="255" spans="1:35" ht="15" x14ac:dyDescent="0.2">
      <c r="A255" s="110" t="s">
        <v>300</v>
      </c>
      <c r="B255" s="33" t="s">
        <v>12632</v>
      </c>
      <c r="C255" s="7" t="s">
        <v>15398</v>
      </c>
      <c r="D255" s="112">
        <v>5</v>
      </c>
      <c r="E255" s="7"/>
      <c r="F255" s="7" t="s">
        <v>126</v>
      </c>
      <c r="G255" s="33" t="s">
        <v>15355</v>
      </c>
      <c r="H255" s="139" t="s">
        <v>15400</v>
      </c>
      <c r="I255" s="2"/>
      <c r="J255" s="33"/>
      <c r="K255" s="2"/>
      <c r="L255" s="2"/>
      <c r="M255" s="48"/>
      <c r="N255" s="45" t="str">
        <f t="shared" si="130"/>
        <v>Questionnaire</v>
      </c>
      <c r="O255" s="48" t="s">
        <v>15365</v>
      </c>
      <c r="P255" s="60" t="s">
        <v>312</v>
      </c>
      <c r="Q255" s="48" t="s">
        <v>3424</v>
      </c>
      <c r="R255" s="48" t="s">
        <v>354</v>
      </c>
      <c r="S255" s="49" t="s">
        <v>74</v>
      </c>
      <c r="T255" s="48" t="s">
        <v>75</v>
      </c>
      <c r="U255" s="49" t="s">
        <v>3678</v>
      </c>
      <c r="V255" s="7" t="s">
        <v>214</v>
      </c>
      <c r="W255" s="49" t="s">
        <v>214</v>
      </c>
      <c r="X255" s="49" t="s">
        <v>214</v>
      </c>
      <c r="Y255" s="49" t="s">
        <v>214</v>
      </c>
      <c r="Z255" s="55" t="s">
        <v>214</v>
      </c>
      <c r="AA255" s="48" t="s">
        <v>13977</v>
      </c>
      <c r="AB255" s="84" t="s">
        <v>15365</v>
      </c>
      <c r="AC255" s="53" t="str">
        <f t="shared" si="131"/>
        <v>Link</v>
      </c>
      <c r="AD255" s="42">
        <v>22042</v>
      </c>
      <c r="AE255" s="55"/>
      <c r="AF255" s="55"/>
      <c r="AG255" s="56">
        <v>122180</v>
      </c>
      <c r="AH255" s="56"/>
      <c r="AI255" s="56"/>
    </row>
    <row r="256" spans="1:35" ht="15" x14ac:dyDescent="0.2">
      <c r="A256" s="110" t="s">
        <v>300</v>
      </c>
      <c r="B256" s="33" t="s">
        <v>12632</v>
      </c>
      <c r="C256" s="7" t="s">
        <v>15403</v>
      </c>
      <c r="D256" s="112">
        <v>5</v>
      </c>
      <c r="E256" s="7"/>
      <c r="F256" s="7"/>
      <c r="G256" s="33" t="s">
        <v>15355</v>
      </c>
      <c r="H256" s="34" t="s">
        <v>15405</v>
      </c>
      <c r="I256" s="2" t="s">
        <v>15407</v>
      </c>
      <c r="J256" s="33" t="s">
        <v>15408</v>
      </c>
      <c r="K256" s="2"/>
      <c r="L256" s="2"/>
      <c r="M256" s="48"/>
      <c r="N256" s="45" t="str">
        <f t="shared" si="130"/>
        <v>Questionnaire</v>
      </c>
      <c r="O256" s="48" t="s">
        <v>15365</v>
      </c>
      <c r="P256" s="60" t="s">
        <v>312</v>
      </c>
      <c r="Q256" s="48" t="s">
        <v>3424</v>
      </c>
      <c r="R256" s="48" t="s">
        <v>354</v>
      </c>
      <c r="S256" s="49" t="s">
        <v>74</v>
      </c>
      <c r="T256" s="48" t="s">
        <v>75</v>
      </c>
      <c r="U256" s="49" t="s">
        <v>3678</v>
      </c>
      <c r="V256" s="7" t="s">
        <v>214</v>
      </c>
      <c r="W256" s="49" t="s">
        <v>214</v>
      </c>
      <c r="X256" s="49" t="s">
        <v>214</v>
      </c>
      <c r="Y256" s="49" t="s">
        <v>214</v>
      </c>
      <c r="Z256" s="55" t="s">
        <v>214</v>
      </c>
      <c r="AA256" s="48" t="s">
        <v>13977</v>
      </c>
      <c r="AB256" s="84" t="s">
        <v>15365</v>
      </c>
      <c r="AC256" s="53" t="str">
        <f t="shared" si="131"/>
        <v>Link</v>
      </c>
      <c r="AD256" s="42">
        <v>22042</v>
      </c>
      <c r="AE256" s="55"/>
      <c r="AF256" s="55"/>
      <c r="AG256" s="56">
        <v>122180</v>
      </c>
      <c r="AH256" s="56"/>
      <c r="AI256" s="56"/>
    </row>
    <row r="257" spans="1:37" ht="15" x14ac:dyDescent="0.2">
      <c r="A257" s="110" t="s">
        <v>300</v>
      </c>
      <c r="B257" s="33" t="s">
        <v>12632</v>
      </c>
      <c r="C257" s="7" t="s">
        <v>15412</v>
      </c>
      <c r="D257" s="112">
        <v>5</v>
      </c>
      <c r="E257" s="7" t="s">
        <v>116</v>
      </c>
      <c r="F257" s="7"/>
      <c r="G257" s="33" t="s">
        <v>15355</v>
      </c>
      <c r="H257" s="7" t="s">
        <v>15413</v>
      </c>
      <c r="I257" s="7" t="s">
        <v>15414</v>
      </c>
      <c r="J257" s="7" t="s">
        <v>919</v>
      </c>
      <c r="K257" s="2"/>
      <c r="L257" s="2"/>
      <c r="M257" s="48"/>
      <c r="N257" s="45" t="str">
        <f t="shared" si="130"/>
        <v>Questionnaire</v>
      </c>
      <c r="O257" s="48" t="s">
        <v>15365</v>
      </c>
      <c r="P257" s="60" t="s">
        <v>312</v>
      </c>
      <c r="Q257" s="48" t="s">
        <v>3424</v>
      </c>
      <c r="R257" s="48" t="s">
        <v>354</v>
      </c>
      <c r="S257" s="49" t="s">
        <v>74</v>
      </c>
      <c r="T257" s="48" t="s">
        <v>75</v>
      </c>
      <c r="U257" s="49" t="s">
        <v>3678</v>
      </c>
      <c r="V257" s="7" t="s">
        <v>214</v>
      </c>
      <c r="W257" s="49" t="s">
        <v>214</v>
      </c>
      <c r="X257" s="49" t="s">
        <v>214</v>
      </c>
      <c r="Y257" s="49" t="s">
        <v>214</v>
      </c>
      <c r="Z257" s="55" t="s">
        <v>214</v>
      </c>
      <c r="AA257" s="48" t="s">
        <v>13977</v>
      </c>
      <c r="AB257" s="84" t="s">
        <v>15365</v>
      </c>
      <c r="AC257" s="53" t="str">
        <f t="shared" si="131"/>
        <v>Link</v>
      </c>
      <c r="AD257" s="42">
        <v>22042</v>
      </c>
      <c r="AE257" s="55"/>
      <c r="AF257" s="55"/>
      <c r="AG257" s="56">
        <v>122180</v>
      </c>
      <c r="AH257" s="56"/>
      <c r="AI257" s="56"/>
    </row>
    <row r="258" spans="1:37" ht="15" x14ac:dyDescent="0.2">
      <c r="A258" s="110" t="s">
        <v>300</v>
      </c>
      <c r="B258" s="33" t="s">
        <v>12632</v>
      </c>
      <c r="C258" s="7" t="s">
        <v>15416</v>
      </c>
      <c r="D258" s="112">
        <v>5</v>
      </c>
      <c r="E258" s="7"/>
      <c r="F258" s="7"/>
      <c r="G258" s="33" t="s">
        <v>15417</v>
      </c>
      <c r="H258" s="138" t="s">
        <v>3444</v>
      </c>
      <c r="I258" s="2" t="s">
        <v>15418</v>
      </c>
      <c r="J258" s="33" t="s">
        <v>48</v>
      </c>
      <c r="K258" s="2" t="s">
        <v>15420</v>
      </c>
      <c r="L258" s="2" t="s">
        <v>15421</v>
      </c>
      <c r="M258" s="48"/>
      <c r="N258" s="45" t="str">
        <f t="shared" ref="N258:N259" si="132">HYPERLINK("https://www.saddleback.edu/recruits","Questionnaire")</f>
        <v>Questionnaire</v>
      </c>
      <c r="O258" s="48" t="s">
        <v>15425</v>
      </c>
      <c r="P258" s="60" t="s">
        <v>312</v>
      </c>
      <c r="Q258" s="48" t="s">
        <v>15426</v>
      </c>
      <c r="R258" s="48" t="s">
        <v>238</v>
      </c>
      <c r="S258" s="49" t="s">
        <v>74</v>
      </c>
      <c r="T258" s="48" t="s">
        <v>75</v>
      </c>
      <c r="U258" s="49" t="s">
        <v>3678</v>
      </c>
      <c r="V258" s="7" t="s">
        <v>214</v>
      </c>
      <c r="W258" s="49" t="s">
        <v>214</v>
      </c>
      <c r="X258" s="49" t="s">
        <v>214</v>
      </c>
      <c r="Y258" s="49" t="s">
        <v>214</v>
      </c>
      <c r="Z258" s="55" t="s">
        <v>214</v>
      </c>
      <c r="AA258" s="48" t="s">
        <v>15427</v>
      </c>
      <c r="AB258" s="84" t="s">
        <v>15425</v>
      </c>
      <c r="AC258" s="53" t="str">
        <f t="shared" ref="AC258:AC259" si="133">HYPERLINK("https://www.saddleback.edu/academics","Link")</f>
        <v>Link</v>
      </c>
      <c r="AD258" s="42">
        <v>19646</v>
      </c>
      <c r="AE258" s="55"/>
      <c r="AF258" s="55"/>
      <c r="AG258" s="56">
        <v>122205</v>
      </c>
      <c r="AH258" s="56"/>
      <c r="AI258" s="56"/>
    </row>
    <row r="259" spans="1:37" ht="15" x14ac:dyDescent="0.2">
      <c r="A259" s="110" t="s">
        <v>300</v>
      </c>
      <c r="B259" s="33" t="s">
        <v>12632</v>
      </c>
      <c r="C259" s="7" t="s">
        <v>15431</v>
      </c>
      <c r="D259" s="112">
        <v>5</v>
      </c>
      <c r="E259" s="7"/>
      <c r="F259" s="7"/>
      <c r="G259" s="33" t="s">
        <v>15417</v>
      </c>
      <c r="H259" s="2" t="s">
        <v>135</v>
      </c>
      <c r="I259" s="2" t="s">
        <v>4982</v>
      </c>
      <c r="J259" s="33" t="s">
        <v>55</v>
      </c>
      <c r="K259" s="2"/>
      <c r="L259" s="2"/>
      <c r="M259" s="48"/>
      <c r="N259" s="45" t="str">
        <f t="shared" si="132"/>
        <v>Questionnaire</v>
      </c>
      <c r="O259" s="48" t="s">
        <v>15425</v>
      </c>
      <c r="P259" s="60" t="s">
        <v>312</v>
      </c>
      <c r="Q259" s="48" t="s">
        <v>15426</v>
      </c>
      <c r="R259" s="48" t="s">
        <v>238</v>
      </c>
      <c r="S259" s="49" t="s">
        <v>74</v>
      </c>
      <c r="T259" s="48" t="s">
        <v>75</v>
      </c>
      <c r="U259" s="49" t="s">
        <v>3678</v>
      </c>
      <c r="V259" s="7" t="s">
        <v>214</v>
      </c>
      <c r="W259" s="49" t="s">
        <v>214</v>
      </c>
      <c r="X259" s="49" t="s">
        <v>214</v>
      </c>
      <c r="Y259" s="49" t="s">
        <v>214</v>
      </c>
      <c r="Z259" s="55" t="s">
        <v>214</v>
      </c>
      <c r="AA259" s="48" t="s">
        <v>15427</v>
      </c>
      <c r="AB259" s="84" t="s">
        <v>15425</v>
      </c>
      <c r="AC259" s="53" t="str">
        <f t="shared" si="133"/>
        <v>Link</v>
      </c>
      <c r="AD259" s="42">
        <v>19646</v>
      </c>
      <c r="AE259" s="55"/>
      <c r="AF259" s="55"/>
      <c r="AG259" s="56">
        <v>122205</v>
      </c>
      <c r="AH259" s="56"/>
      <c r="AI259" s="56"/>
    </row>
    <row r="260" spans="1:37" ht="15" x14ac:dyDescent="0.2">
      <c r="A260" s="110" t="s">
        <v>300</v>
      </c>
      <c r="B260" s="33" t="s">
        <v>12632</v>
      </c>
      <c r="C260" s="7" t="s">
        <v>15440</v>
      </c>
      <c r="D260" s="112">
        <v>5</v>
      </c>
      <c r="E260" s="7"/>
      <c r="F260" s="7"/>
      <c r="G260" s="2" t="s">
        <v>15441</v>
      </c>
      <c r="H260" s="138" t="s">
        <v>6305</v>
      </c>
      <c r="I260" s="2" t="s">
        <v>13887</v>
      </c>
      <c r="J260" s="33" t="s">
        <v>48</v>
      </c>
      <c r="K260" s="34" t="s">
        <v>15442</v>
      </c>
      <c r="L260" s="2" t="s">
        <v>15443</v>
      </c>
      <c r="M260" s="48"/>
      <c r="N260" s="45" t="str">
        <f t="shared" ref="N260:N263" si="134">HYPERLINK("https://sbvcathletics.com/recruits/Become_a_Wolverine","Questionnaire")</f>
        <v>Questionnaire</v>
      </c>
      <c r="O260" s="48" t="s">
        <v>15446</v>
      </c>
      <c r="P260" s="60" t="s">
        <v>312</v>
      </c>
      <c r="Q260" s="48" t="s">
        <v>1398</v>
      </c>
      <c r="R260" s="48" t="s">
        <v>62</v>
      </c>
      <c r="S260" s="49" t="s">
        <v>74</v>
      </c>
      <c r="T260" s="48" t="s">
        <v>75</v>
      </c>
      <c r="U260" s="49" t="s">
        <v>3678</v>
      </c>
      <c r="V260" s="7" t="s">
        <v>214</v>
      </c>
      <c r="W260" s="49" t="s">
        <v>214</v>
      </c>
      <c r="X260" s="49" t="s">
        <v>214</v>
      </c>
      <c r="Y260" s="49" t="s">
        <v>214</v>
      </c>
      <c r="Z260" s="55" t="s">
        <v>214</v>
      </c>
      <c r="AA260" s="48" t="s">
        <v>1401</v>
      </c>
      <c r="AB260" s="84" t="s">
        <v>15446</v>
      </c>
      <c r="AC260" s="53" t="str">
        <f t="shared" ref="AC260:AC263" si="135">HYPERLINK("https://www.valleycollege.edu/academic-career-programs/degrees-certificates/","Link")</f>
        <v>Link</v>
      </c>
      <c r="AD260" s="42">
        <v>12720</v>
      </c>
      <c r="AE260" s="55"/>
      <c r="AF260" s="55"/>
      <c r="AG260" s="56">
        <v>123527</v>
      </c>
      <c r="AH260" s="56"/>
      <c r="AI260" s="56"/>
    </row>
    <row r="261" spans="1:37" ht="15" x14ac:dyDescent="0.2">
      <c r="A261" s="110" t="s">
        <v>300</v>
      </c>
      <c r="B261" s="33" t="s">
        <v>12632</v>
      </c>
      <c r="C261" s="7" t="s">
        <v>15454</v>
      </c>
      <c r="D261" s="112">
        <v>5</v>
      </c>
      <c r="E261" s="7"/>
      <c r="F261" s="7"/>
      <c r="G261" s="2" t="s">
        <v>15441</v>
      </c>
      <c r="H261" s="138" t="s">
        <v>1589</v>
      </c>
      <c r="I261" s="2" t="s">
        <v>3810</v>
      </c>
      <c r="J261" s="33" t="s">
        <v>55</v>
      </c>
      <c r="K261" s="2"/>
      <c r="L261" s="2"/>
      <c r="M261" s="48"/>
      <c r="N261" s="45" t="str">
        <f t="shared" si="134"/>
        <v>Questionnaire</v>
      </c>
      <c r="O261" s="48" t="s">
        <v>15446</v>
      </c>
      <c r="P261" s="60" t="s">
        <v>312</v>
      </c>
      <c r="Q261" s="48" t="s">
        <v>1398</v>
      </c>
      <c r="R261" s="48" t="s">
        <v>62</v>
      </c>
      <c r="S261" s="49" t="s">
        <v>74</v>
      </c>
      <c r="T261" s="48" t="s">
        <v>75</v>
      </c>
      <c r="U261" s="49" t="s">
        <v>3678</v>
      </c>
      <c r="V261" s="7" t="s">
        <v>214</v>
      </c>
      <c r="W261" s="49" t="s">
        <v>214</v>
      </c>
      <c r="X261" s="49" t="s">
        <v>214</v>
      </c>
      <c r="Y261" s="49" t="s">
        <v>214</v>
      </c>
      <c r="Z261" s="55" t="s">
        <v>214</v>
      </c>
      <c r="AA261" s="48" t="s">
        <v>1401</v>
      </c>
      <c r="AB261" s="84" t="s">
        <v>15446</v>
      </c>
      <c r="AC261" s="53" t="str">
        <f t="shared" si="135"/>
        <v>Link</v>
      </c>
      <c r="AD261" s="42">
        <v>12720</v>
      </c>
      <c r="AE261" s="55"/>
      <c r="AF261" s="55"/>
      <c r="AG261" s="56">
        <v>123527</v>
      </c>
      <c r="AH261" s="56"/>
      <c r="AI261" s="56"/>
    </row>
    <row r="262" spans="1:37" ht="15" x14ac:dyDescent="0.2">
      <c r="A262" s="110" t="s">
        <v>300</v>
      </c>
      <c r="B262" s="33" t="s">
        <v>12632</v>
      </c>
      <c r="C262" s="7" t="s">
        <v>15462</v>
      </c>
      <c r="D262" s="112">
        <v>5</v>
      </c>
      <c r="E262" s="7"/>
      <c r="F262" s="7" t="s">
        <v>126</v>
      </c>
      <c r="G262" s="2" t="s">
        <v>15441</v>
      </c>
      <c r="H262" s="147" t="s">
        <v>15463</v>
      </c>
      <c r="I262" s="2"/>
      <c r="J262" s="33"/>
      <c r="K262" s="2"/>
      <c r="L262" s="2"/>
      <c r="M262" s="48"/>
      <c r="N262" s="45" t="str">
        <f t="shared" si="134"/>
        <v>Questionnaire</v>
      </c>
      <c r="O262" s="48" t="s">
        <v>15446</v>
      </c>
      <c r="P262" s="60" t="s">
        <v>312</v>
      </c>
      <c r="Q262" s="48" t="s">
        <v>1398</v>
      </c>
      <c r="R262" s="48" t="s">
        <v>62</v>
      </c>
      <c r="S262" s="49" t="s">
        <v>74</v>
      </c>
      <c r="T262" s="48" t="s">
        <v>75</v>
      </c>
      <c r="U262" s="49" t="s">
        <v>3678</v>
      </c>
      <c r="V262" s="7" t="s">
        <v>214</v>
      </c>
      <c r="W262" s="49" t="s">
        <v>214</v>
      </c>
      <c r="X262" s="49" t="s">
        <v>214</v>
      </c>
      <c r="Y262" s="49" t="s">
        <v>214</v>
      </c>
      <c r="Z262" s="55" t="s">
        <v>214</v>
      </c>
      <c r="AA262" s="48" t="s">
        <v>1401</v>
      </c>
      <c r="AB262" s="84" t="s">
        <v>15446</v>
      </c>
      <c r="AC262" s="53" t="str">
        <f t="shared" si="135"/>
        <v>Link</v>
      </c>
      <c r="AD262" s="42">
        <v>12720</v>
      </c>
      <c r="AE262" s="55"/>
      <c r="AF262" s="55"/>
      <c r="AG262" s="56">
        <v>123527</v>
      </c>
      <c r="AH262" s="56"/>
      <c r="AI262" s="56"/>
    </row>
    <row r="263" spans="1:37" ht="15" x14ac:dyDescent="0.2">
      <c r="A263" s="110" t="s">
        <v>300</v>
      </c>
      <c r="B263" s="33" t="s">
        <v>12632</v>
      </c>
      <c r="C263" s="7" t="s">
        <v>15484</v>
      </c>
      <c r="D263" s="112">
        <v>5</v>
      </c>
      <c r="E263" s="7"/>
      <c r="F263" s="7"/>
      <c r="G263" s="2" t="s">
        <v>15441</v>
      </c>
      <c r="H263" s="138" t="s">
        <v>2844</v>
      </c>
      <c r="I263" s="2" t="s">
        <v>15485</v>
      </c>
      <c r="J263" s="33" t="s">
        <v>55</v>
      </c>
      <c r="K263" s="2"/>
      <c r="L263" s="2"/>
      <c r="M263" s="48"/>
      <c r="N263" s="45" t="str">
        <f t="shared" si="134"/>
        <v>Questionnaire</v>
      </c>
      <c r="O263" s="48" t="s">
        <v>15446</v>
      </c>
      <c r="P263" s="60" t="s">
        <v>312</v>
      </c>
      <c r="Q263" s="48" t="s">
        <v>1398</v>
      </c>
      <c r="R263" s="48" t="s">
        <v>62</v>
      </c>
      <c r="S263" s="49" t="s">
        <v>74</v>
      </c>
      <c r="T263" s="48" t="s">
        <v>75</v>
      </c>
      <c r="U263" s="49" t="s">
        <v>3678</v>
      </c>
      <c r="V263" s="7" t="s">
        <v>214</v>
      </c>
      <c r="W263" s="49" t="s">
        <v>214</v>
      </c>
      <c r="X263" s="49" t="s">
        <v>214</v>
      </c>
      <c r="Y263" s="49" t="s">
        <v>214</v>
      </c>
      <c r="Z263" s="55" t="s">
        <v>214</v>
      </c>
      <c r="AA263" s="48" t="s">
        <v>1401</v>
      </c>
      <c r="AB263" s="84" t="s">
        <v>15446</v>
      </c>
      <c r="AC263" s="53" t="str">
        <f t="shared" si="135"/>
        <v>Link</v>
      </c>
      <c r="AD263" s="42">
        <v>12720</v>
      </c>
      <c r="AE263" s="55"/>
      <c r="AF263" s="55"/>
      <c r="AG263" s="56">
        <v>123527</v>
      </c>
      <c r="AH263" s="56"/>
      <c r="AI263" s="56"/>
    </row>
    <row r="264" spans="1:37" ht="15" x14ac:dyDescent="0.2">
      <c r="A264" s="31" t="s">
        <v>300</v>
      </c>
      <c r="B264" s="33" t="s">
        <v>12632</v>
      </c>
      <c r="C264" s="7"/>
      <c r="D264" s="112">
        <v>5</v>
      </c>
      <c r="E264" s="7"/>
      <c r="F264" s="112"/>
      <c r="G264" s="33" t="s">
        <v>15493</v>
      </c>
      <c r="H264" s="2" t="s">
        <v>15495</v>
      </c>
      <c r="I264" s="2" t="s">
        <v>1124</v>
      </c>
      <c r="J264" s="2" t="s">
        <v>48</v>
      </c>
      <c r="K264" s="2" t="s">
        <v>15496</v>
      </c>
      <c r="L264" s="2" t="s">
        <v>15497</v>
      </c>
      <c r="M264" s="48"/>
      <c r="N264" s="45" t="str">
        <f>HYPERLINK("http://newcity.sdccd.edu/CampusLife/Athletics/ProspectiveStudentAthletes","Questionnaire")</f>
        <v>Questionnaire</v>
      </c>
      <c r="O264" s="48" t="s">
        <v>15499</v>
      </c>
      <c r="P264" s="60" t="s">
        <v>312</v>
      </c>
      <c r="Q264" s="48" t="s">
        <v>1547</v>
      </c>
      <c r="R264" s="48" t="s">
        <v>288</v>
      </c>
      <c r="S264" s="49" t="s">
        <v>74</v>
      </c>
      <c r="T264" s="48" t="s">
        <v>75</v>
      </c>
      <c r="U264" s="49" t="s">
        <v>3678</v>
      </c>
      <c r="V264" s="7" t="s">
        <v>214</v>
      </c>
      <c r="W264" s="49" t="s">
        <v>214</v>
      </c>
      <c r="X264" s="49" t="s">
        <v>214</v>
      </c>
      <c r="Y264" s="49" t="s">
        <v>214</v>
      </c>
      <c r="Z264" s="55" t="s">
        <v>214</v>
      </c>
      <c r="AA264" s="48" t="s">
        <v>15503</v>
      </c>
      <c r="AB264" s="84" t="s">
        <v>15499</v>
      </c>
      <c r="AC264" s="53" t="str">
        <f>HYPERLINK("https://www.sdcity.edu/AcademicPrograms","Link")</f>
        <v>Link</v>
      </c>
      <c r="AD264" s="42">
        <v>16726</v>
      </c>
      <c r="AE264" s="55"/>
      <c r="AF264" s="55"/>
      <c r="AG264" s="56">
        <v>122339</v>
      </c>
      <c r="AH264" s="7" t="s">
        <v>2459</v>
      </c>
      <c r="AI264" s="7"/>
      <c r="AJ264" s="7"/>
      <c r="AK264" s="7"/>
    </row>
    <row r="265" spans="1:37" ht="15" x14ac:dyDescent="0.2">
      <c r="A265" s="110" t="s">
        <v>300</v>
      </c>
      <c r="B265" s="33" t="s">
        <v>12632</v>
      </c>
      <c r="C265" s="7" t="s">
        <v>15507</v>
      </c>
      <c r="D265" s="112">
        <v>5</v>
      </c>
      <c r="E265" s="7"/>
      <c r="F265" s="7"/>
      <c r="G265" s="2" t="s">
        <v>15509</v>
      </c>
      <c r="H265" s="138" t="s">
        <v>5802</v>
      </c>
      <c r="I265" s="2" t="s">
        <v>15512</v>
      </c>
      <c r="J265" s="33" t="s">
        <v>48</v>
      </c>
      <c r="K265" s="34" t="s">
        <v>15515</v>
      </c>
      <c r="L265" s="2" t="s">
        <v>15516</v>
      </c>
      <c r="M265" s="45" t="str">
        <f t="shared" ref="M265:M269" si="136">HYPERLINK("twitter.com/@SDMesa_softball","@SDMesa_softball")</f>
        <v>@SDMesa_softball</v>
      </c>
      <c r="N265" s="45" t="str">
        <f t="shared" ref="N265:N269" si="137">HYPERLINK("https://www.gosdmesa.com/recruits/Baseball_Recruitment_Form","Questionnaire")</f>
        <v>Questionnaire</v>
      </c>
      <c r="O265" s="48" t="s">
        <v>15517</v>
      </c>
      <c r="P265" s="60" t="s">
        <v>312</v>
      </c>
      <c r="Q265" s="48" t="s">
        <v>1547</v>
      </c>
      <c r="R265" s="48" t="s">
        <v>288</v>
      </c>
      <c r="S265" s="49" t="s">
        <v>74</v>
      </c>
      <c r="T265" s="48" t="s">
        <v>75</v>
      </c>
      <c r="U265" s="49" t="s">
        <v>3678</v>
      </c>
      <c r="V265" s="7" t="s">
        <v>214</v>
      </c>
      <c r="W265" s="49" t="s">
        <v>214</v>
      </c>
      <c r="X265" s="49" t="s">
        <v>214</v>
      </c>
      <c r="Y265" s="49" t="s">
        <v>214</v>
      </c>
      <c r="Z265" s="49" t="s">
        <v>214</v>
      </c>
      <c r="AA265" s="48" t="s">
        <v>15523</v>
      </c>
      <c r="AB265" s="84" t="s">
        <v>15517</v>
      </c>
      <c r="AC265" s="53" t="str">
        <f t="shared" ref="AC265:AC269" si="138">HYPERLINK("http://www.sdmesa.edu/academics/academic-programs/","Link")</f>
        <v>Link</v>
      </c>
      <c r="AD265" s="42">
        <v>23560</v>
      </c>
      <c r="AE265" s="55"/>
      <c r="AF265" s="55"/>
      <c r="AG265" s="56">
        <v>122375</v>
      </c>
      <c r="AH265" s="56"/>
      <c r="AI265" s="56"/>
    </row>
    <row r="266" spans="1:37" ht="15" x14ac:dyDescent="0.2">
      <c r="A266" s="110" t="s">
        <v>300</v>
      </c>
      <c r="B266" s="33" t="s">
        <v>12632</v>
      </c>
      <c r="C266" s="7" t="s">
        <v>15524</v>
      </c>
      <c r="D266" s="112">
        <v>5</v>
      </c>
      <c r="E266" s="7"/>
      <c r="F266" s="7"/>
      <c r="G266" s="2" t="s">
        <v>15509</v>
      </c>
      <c r="H266" s="2" t="s">
        <v>349</v>
      </c>
      <c r="I266" s="2" t="s">
        <v>2919</v>
      </c>
      <c r="J266" s="2" t="s">
        <v>919</v>
      </c>
      <c r="K266" s="130" t="s">
        <v>15529</v>
      </c>
      <c r="L266" s="2"/>
      <c r="M266" s="45" t="str">
        <f t="shared" si="136"/>
        <v>@SDMesa_softball</v>
      </c>
      <c r="N266" s="45" t="str">
        <f t="shared" si="137"/>
        <v>Questionnaire</v>
      </c>
      <c r="O266" s="48" t="s">
        <v>15517</v>
      </c>
      <c r="P266" s="60" t="s">
        <v>312</v>
      </c>
      <c r="Q266" s="48" t="s">
        <v>1547</v>
      </c>
      <c r="R266" s="48" t="s">
        <v>288</v>
      </c>
      <c r="S266" s="49" t="s">
        <v>74</v>
      </c>
      <c r="T266" s="48" t="s">
        <v>75</v>
      </c>
      <c r="U266" s="49" t="s">
        <v>3678</v>
      </c>
      <c r="V266" s="7" t="s">
        <v>214</v>
      </c>
      <c r="W266" s="49" t="s">
        <v>214</v>
      </c>
      <c r="X266" s="49" t="s">
        <v>214</v>
      </c>
      <c r="Y266" s="49" t="s">
        <v>214</v>
      </c>
      <c r="Z266" s="49" t="s">
        <v>214</v>
      </c>
      <c r="AA266" s="48" t="s">
        <v>15523</v>
      </c>
      <c r="AB266" s="84" t="s">
        <v>15517</v>
      </c>
      <c r="AC266" s="53" t="str">
        <f t="shared" si="138"/>
        <v>Link</v>
      </c>
      <c r="AD266" s="42">
        <v>23560</v>
      </c>
      <c r="AE266" s="55"/>
      <c r="AF266" s="55"/>
      <c r="AG266" s="56">
        <v>122375</v>
      </c>
      <c r="AH266" s="56"/>
      <c r="AI266" s="56"/>
    </row>
    <row r="267" spans="1:37" ht="15" x14ac:dyDescent="0.2">
      <c r="A267" s="110" t="s">
        <v>300</v>
      </c>
      <c r="B267" s="33" t="s">
        <v>12632</v>
      </c>
      <c r="C267" s="7" t="s">
        <v>15535</v>
      </c>
      <c r="D267" s="112">
        <v>5</v>
      </c>
      <c r="E267" s="7"/>
      <c r="F267" s="7"/>
      <c r="G267" s="2" t="s">
        <v>15509</v>
      </c>
      <c r="H267" s="2" t="s">
        <v>361</v>
      </c>
      <c r="I267" s="2" t="s">
        <v>15540</v>
      </c>
      <c r="J267" s="2" t="s">
        <v>5138</v>
      </c>
      <c r="K267" s="95" t="s">
        <v>15542</v>
      </c>
      <c r="L267" s="2"/>
      <c r="M267" s="45" t="str">
        <f t="shared" si="136"/>
        <v>@SDMesa_softball</v>
      </c>
      <c r="N267" s="45" t="str">
        <f t="shared" si="137"/>
        <v>Questionnaire</v>
      </c>
      <c r="O267" s="48" t="s">
        <v>15517</v>
      </c>
      <c r="P267" s="60" t="s">
        <v>312</v>
      </c>
      <c r="Q267" s="48" t="s">
        <v>1547</v>
      </c>
      <c r="R267" s="48" t="s">
        <v>288</v>
      </c>
      <c r="S267" s="49" t="s">
        <v>74</v>
      </c>
      <c r="T267" s="48" t="s">
        <v>75</v>
      </c>
      <c r="U267" s="49" t="s">
        <v>3678</v>
      </c>
      <c r="V267" s="7" t="s">
        <v>214</v>
      </c>
      <c r="W267" s="49" t="s">
        <v>214</v>
      </c>
      <c r="X267" s="49" t="s">
        <v>214</v>
      </c>
      <c r="Y267" s="49" t="s">
        <v>214</v>
      </c>
      <c r="Z267" s="49" t="s">
        <v>214</v>
      </c>
      <c r="AA267" s="48" t="s">
        <v>15523</v>
      </c>
      <c r="AB267" s="84" t="s">
        <v>15517</v>
      </c>
      <c r="AC267" s="53" t="str">
        <f t="shared" si="138"/>
        <v>Link</v>
      </c>
      <c r="AD267" s="42">
        <v>23560</v>
      </c>
      <c r="AE267" s="55"/>
      <c r="AF267" s="55"/>
      <c r="AG267" s="56">
        <v>122375</v>
      </c>
      <c r="AH267" s="56"/>
      <c r="AI267" s="56"/>
    </row>
    <row r="268" spans="1:37" ht="15" x14ac:dyDescent="0.2">
      <c r="A268" s="110" t="s">
        <v>300</v>
      </c>
      <c r="B268" s="33" t="s">
        <v>12632</v>
      </c>
      <c r="C268" s="7" t="s">
        <v>15549</v>
      </c>
      <c r="D268" s="112">
        <v>5</v>
      </c>
      <c r="E268" s="7"/>
      <c r="F268" s="7"/>
      <c r="G268" s="2" t="s">
        <v>15509</v>
      </c>
      <c r="H268" s="138" t="s">
        <v>1052</v>
      </c>
      <c r="I268" s="2" t="s">
        <v>15550</v>
      </c>
      <c r="J268" s="33" t="s">
        <v>55</v>
      </c>
      <c r="K268" s="34" t="s">
        <v>15552</v>
      </c>
      <c r="L268" s="2"/>
      <c r="M268" s="45" t="str">
        <f t="shared" si="136"/>
        <v>@SDMesa_softball</v>
      </c>
      <c r="N268" s="45" t="str">
        <f t="shared" si="137"/>
        <v>Questionnaire</v>
      </c>
      <c r="O268" s="48" t="s">
        <v>15517</v>
      </c>
      <c r="P268" s="60" t="s">
        <v>312</v>
      </c>
      <c r="Q268" s="48" t="s">
        <v>1547</v>
      </c>
      <c r="R268" s="48" t="s">
        <v>288</v>
      </c>
      <c r="S268" s="49" t="s">
        <v>74</v>
      </c>
      <c r="T268" s="48" t="s">
        <v>75</v>
      </c>
      <c r="U268" s="49" t="s">
        <v>3678</v>
      </c>
      <c r="V268" s="7" t="s">
        <v>214</v>
      </c>
      <c r="W268" s="49" t="s">
        <v>214</v>
      </c>
      <c r="X268" s="49" t="s">
        <v>214</v>
      </c>
      <c r="Y268" s="49" t="s">
        <v>214</v>
      </c>
      <c r="Z268" s="49" t="s">
        <v>214</v>
      </c>
      <c r="AA268" s="48" t="s">
        <v>15523</v>
      </c>
      <c r="AB268" s="84" t="s">
        <v>15517</v>
      </c>
      <c r="AC268" s="53" t="str">
        <f t="shared" si="138"/>
        <v>Link</v>
      </c>
      <c r="AD268" s="42">
        <v>23560</v>
      </c>
      <c r="AE268" s="55"/>
      <c r="AF268" s="55"/>
      <c r="AG268" s="56">
        <v>122375</v>
      </c>
      <c r="AH268" s="56"/>
      <c r="AI268" s="56"/>
    </row>
    <row r="269" spans="1:37" ht="15" x14ac:dyDescent="0.2">
      <c r="A269" s="110" t="s">
        <v>300</v>
      </c>
      <c r="B269" s="33" t="s">
        <v>12632</v>
      </c>
      <c r="C269" s="7" t="s">
        <v>15557</v>
      </c>
      <c r="D269" s="112">
        <v>5</v>
      </c>
      <c r="E269" s="7"/>
      <c r="F269" s="7"/>
      <c r="G269" s="2" t="s">
        <v>15509</v>
      </c>
      <c r="H269" s="138" t="s">
        <v>15560</v>
      </c>
      <c r="I269" s="2" t="s">
        <v>15561</v>
      </c>
      <c r="J269" s="33" t="s">
        <v>55</v>
      </c>
      <c r="K269" s="7"/>
      <c r="L269" s="2"/>
      <c r="M269" s="45" t="str">
        <f t="shared" si="136"/>
        <v>@SDMesa_softball</v>
      </c>
      <c r="N269" s="45" t="str">
        <f t="shared" si="137"/>
        <v>Questionnaire</v>
      </c>
      <c r="O269" s="48" t="s">
        <v>15517</v>
      </c>
      <c r="P269" s="60" t="s">
        <v>312</v>
      </c>
      <c r="Q269" s="48" t="s">
        <v>1547</v>
      </c>
      <c r="R269" s="48" t="s">
        <v>288</v>
      </c>
      <c r="S269" s="49" t="s">
        <v>74</v>
      </c>
      <c r="T269" s="48" t="s">
        <v>75</v>
      </c>
      <c r="U269" s="49" t="s">
        <v>3678</v>
      </c>
      <c r="V269" s="7" t="s">
        <v>214</v>
      </c>
      <c r="W269" s="49" t="s">
        <v>214</v>
      </c>
      <c r="X269" s="49" t="s">
        <v>214</v>
      </c>
      <c r="Y269" s="49" t="s">
        <v>214</v>
      </c>
      <c r="Z269" s="49" t="s">
        <v>214</v>
      </c>
      <c r="AA269" s="48" t="s">
        <v>15523</v>
      </c>
      <c r="AB269" s="84" t="s">
        <v>15517</v>
      </c>
      <c r="AC269" s="53" t="str">
        <f t="shared" si="138"/>
        <v>Link</v>
      </c>
      <c r="AD269" s="42">
        <v>23560</v>
      </c>
      <c r="AE269" s="55"/>
      <c r="AF269" s="55"/>
      <c r="AG269" s="56">
        <v>122375</v>
      </c>
      <c r="AH269" s="56"/>
      <c r="AI269" s="56"/>
    </row>
    <row r="270" spans="1:37" ht="15" x14ac:dyDescent="0.2">
      <c r="A270" s="110" t="s">
        <v>300</v>
      </c>
      <c r="B270" s="33" t="s">
        <v>12632</v>
      </c>
      <c r="C270" s="7" t="s">
        <v>15569</v>
      </c>
      <c r="D270" s="112">
        <v>5</v>
      </c>
      <c r="E270" s="7"/>
      <c r="F270" s="7"/>
      <c r="G270" s="2" t="s">
        <v>15570</v>
      </c>
      <c r="H270" s="2" t="s">
        <v>991</v>
      </c>
      <c r="I270" s="2" t="s">
        <v>4077</v>
      </c>
      <c r="J270" s="2" t="s">
        <v>48</v>
      </c>
      <c r="K270" s="2" t="s">
        <v>15572</v>
      </c>
      <c r="L270" s="2" t="s">
        <v>15573</v>
      </c>
      <c r="M270" s="48"/>
      <c r="N270" s="45" t="str">
        <f t="shared" ref="N270:N272" si="139">HYPERLINK("https://www.deltacollegeathletics.com/become-a-mustang/becomeamustang","Questionnaire")</f>
        <v>Questionnaire</v>
      </c>
      <c r="O270" s="48" t="s">
        <v>15578</v>
      </c>
      <c r="P270" s="60" t="s">
        <v>312</v>
      </c>
      <c r="Q270" s="48" t="s">
        <v>14995</v>
      </c>
      <c r="R270" s="48" t="s">
        <v>354</v>
      </c>
      <c r="S270" s="49" t="s">
        <v>74</v>
      </c>
      <c r="T270" s="48" t="s">
        <v>75</v>
      </c>
      <c r="U270" s="49" t="s">
        <v>3678</v>
      </c>
      <c r="V270" s="7" t="s">
        <v>214</v>
      </c>
      <c r="W270" s="49" t="s">
        <v>214</v>
      </c>
      <c r="X270" s="49" t="s">
        <v>214</v>
      </c>
      <c r="Y270" s="49" t="s">
        <v>214</v>
      </c>
      <c r="Z270" s="55" t="s">
        <v>214</v>
      </c>
      <c r="AA270" s="48" t="s">
        <v>15580</v>
      </c>
      <c r="AB270" s="84" t="s">
        <v>15578</v>
      </c>
      <c r="AC270" s="53" t="str">
        <f t="shared" ref="AC270:AC272" si="140">HYPERLINK("https://www.deltacollege.edu/courses_programs/index.html","Link")</f>
        <v>Link</v>
      </c>
      <c r="AD270" s="42">
        <v>18102</v>
      </c>
      <c r="AE270" s="55"/>
      <c r="AF270" s="55"/>
      <c r="AG270" s="56">
        <v>122658</v>
      </c>
      <c r="AH270" s="56"/>
      <c r="AI270" s="56"/>
    </row>
    <row r="271" spans="1:37" ht="15" x14ac:dyDescent="0.2">
      <c r="A271" s="110" t="s">
        <v>300</v>
      </c>
      <c r="B271" s="33" t="s">
        <v>12632</v>
      </c>
      <c r="C271" s="7" t="s">
        <v>15582</v>
      </c>
      <c r="D271" s="112">
        <v>5</v>
      </c>
      <c r="E271" s="7"/>
      <c r="F271" s="7"/>
      <c r="G271" s="2" t="s">
        <v>15570</v>
      </c>
      <c r="H271" s="2" t="s">
        <v>2790</v>
      </c>
      <c r="I271" s="2" t="s">
        <v>15583</v>
      </c>
      <c r="J271" s="2" t="s">
        <v>55</v>
      </c>
      <c r="K271" s="130" t="s">
        <v>15584</v>
      </c>
      <c r="L271" s="2"/>
      <c r="M271" s="48"/>
      <c r="N271" s="45" t="str">
        <f t="shared" si="139"/>
        <v>Questionnaire</v>
      </c>
      <c r="O271" s="48" t="s">
        <v>15578</v>
      </c>
      <c r="P271" s="60" t="s">
        <v>312</v>
      </c>
      <c r="Q271" s="48" t="s">
        <v>14995</v>
      </c>
      <c r="R271" s="48" t="s">
        <v>354</v>
      </c>
      <c r="S271" s="49" t="s">
        <v>74</v>
      </c>
      <c r="T271" s="48" t="s">
        <v>75</v>
      </c>
      <c r="U271" s="49" t="s">
        <v>3678</v>
      </c>
      <c r="V271" s="7" t="s">
        <v>214</v>
      </c>
      <c r="W271" s="49" t="s">
        <v>214</v>
      </c>
      <c r="X271" s="49" t="s">
        <v>214</v>
      </c>
      <c r="Y271" s="49" t="s">
        <v>214</v>
      </c>
      <c r="Z271" s="55" t="s">
        <v>214</v>
      </c>
      <c r="AA271" s="48" t="s">
        <v>15580</v>
      </c>
      <c r="AB271" s="84" t="s">
        <v>15578</v>
      </c>
      <c r="AC271" s="53" t="str">
        <f t="shared" si="140"/>
        <v>Link</v>
      </c>
      <c r="AD271" s="42">
        <v>18102</v>
      </c>
      <c r="AE271" s="55"/>
      <c r="AF271" s="55"/>
      <c r="AG271" s="56">
        <v>122658</v>
      </c>
      <c r="AH271" s="56"/>
      <c r="AI271" s="56"/>
    </row>
    <row r="272" spans="1:37" ht="15" x14ac:dyDescent="0.2">
      <c r="A272" s="110" t="s">
        <v>300</v>
      </c>
      <c r="B272" s="33" t="s">
        <v>12632</v>
      </c>
      <c r="C272" s="7" t="s">
        <v>15589</v>
      </c>
      <c r="D272" s="112">
        <v>5</v>
      </c>
      <c r="E272" s="7"/>
      <c r="F272" s="7"/>
      <c r="G272" s="2" t="s">
        <v>15570</v>
      </c>
      <c r="H272" s="2" t="s">
        <v>767</v>
      </c>
      <c r="I272" s="2" t="s">
        <v>6439</v>
      </c>
      <c r="J272" s="2" t="s">
        <v>55</v>
      </c>
      <c r="K272" s="130" t="s">
        <v>15590</v>
      </c>
      <c r="L272" s="2"/>
      <c r="M272" s="48"/>
      <c r="N272" s="45" t="str">
        <f t="shared" si="139"/>
        <v>Questionnaire</v>
      </c>
      <c r="O272" s="48" t="s">
        <v>15578</v>
      </c>
      <c r="P272" s="60" t="s">
        <v>312</v>
      </c>
      <c r="Q272" s="48" t="s">
        <v>14995</v>
      </c>
      <c r="R272" s="48" t="s">
        <v>354</v>
      </c>
      <c r="S272" s="49" t="s">
        <v>74</v>
      </c>
      <c r="T272" s="48" t="s">
        <v>75</v>
      </c>
      <c r="U272" s="49" t="s">
        <v>3678</v>
      </c>
      <c r="V272" s="7" t="s">
        <v>214</v>
      </c>
      <c r="W272" s="49" t="s">
        <v>214</v>
      </c>
      <c r="X272" s="49" t="s">
        <v>214</v>
      </c>
      <c r="Y272" s="49" t="s">
        <v>214</v>
      </c>
      <c r="Z272" s="55" t="s">
        <v>214</v>
      </c>
      <c r="AA272" s="48" t="s">
        <v>15580</v>
      </c>
      <c r="AB272" s="84" t="s">
        <v>15578</v>
      </c>
      <c r="AC272" s="53" t="str">
        <f t="shared" si="140"/>
        <v>Link</v>
      </c>
      <c r="AD272" s="42">
        <v>18102</v>
      </c>
      <c r="AE272" s="55"/>
      <c r="AF272" s="55"/>
      <c r="AG272" s="56">
        <v>122658</v>
      </c>
      <c r="AH272" s="56"/>
      <c r="AI272" s="56"/>
    </row>
    <row r="273" spans="1:35" ht="15" x14ac:dyDescent="0.2">
      <c r="A273" s="110" t="s">
        <v>300</v>
      </c>
      <c r="B273" s="33" t="s">
        <v>12632</v>
      </c>
      <c r="C273" s="7" t="s">
        <v>15597</v>
      </c>
      <c r="D273" s="112">
        <v>5</v>
      </c>
      <c r="E273" s="7"/>
      <c r="F273" s="7"/>
      <c r="G273" s="2" t="s">
        <v>15598</v>
      </c>
      <c r="H273" s="2" t="s">
        <v>15599</v>
      </c>
      <c r="I273" s="2" t="s">
        <v>15600</v>
      </c>
      <c r="J273" s="2" t="s">
        <v>48</v>
      </c>
      <c r="K273" s="34" t="s">
        <v>15602</v>
      </c>
      <c r="L273" s="2" t="s">
        <v>15603</v>
      </c>
      <c r="M273" s="48"/>
      <c r="N273" s="48" t="s">
        <v>22</v>
      </c>
      <c r="O273" s="48" t="s">
        <v>15605</v>
      </c>
      <c r="P273" s="60" t="s">
        <v>312</v>
      </c>
      <c r="Q273" s="48" t="s">
        <v>9806</v>
      </c>
      <c r="R273" s="48" t="s">
        <v>288</v>
      </c>
      <c r="S273" s="49" t="s">
        <v>74</v>
      </c>
      <c r="T273" s="48" t="s">
        <v>75</v>
      </c>
      <c r="U273" s="49" t="s">
        <v>3678</v>
      </c>
      <c r="V273" s="7" t="s">
        <v>214</v>
      </c>
      <c r="W273" s="49" t="s">
        <v>214</v>
      </c>
      <c r="X273" s="49" t="s">
        <v>214</v>
      </c>
      <c r="Y273" s="49" t="s">
        <v>214</v>
      </c>
      <c r="Z273" s="49" t="s">
        <v>214</v>
      </c>
      <c r="AA273" s="48" t="s">
        <v>15606</v>
      </c>
      <c r="AB273" s="84" t="s">
        <v>15605</v>
      </c>
      <c r="AC273" s="53" t="str">
        <f t="shared" ref="AC273:AC276" si="141">HYPERLINK("http://www.sjcc.edu/academics/academic-calendar/major-sheets-for-all-degrees-and-certificates","Link")</f>
        <v>Link</v>
      </c>
      <c r="AD273" s="42">
        <v>8121</v>
      </c>
      <c r="AE273" s="55"/>
      <c r="AF273" s="55"/>
      <c r="AG273" s="56">
        <v>122746</v>
      </c>
      <c r="AH273" s="56"/>
      <c r="AI273" s="56"/>
    </row>
    <row r="274" spans="1:35" ht="15" x14ac:dyDescent="0.2">
      <c r="A274" s="110" t="s">
        <v>300</v>
      </c>
      <c r="B274" s="33" t="s">
        <v>12632</v>
      </c>
      <c r="C274" s="7" t="s">
        <v>15616</v>
      </c>
      <c r="D274" s="112">
        <v>5</v>
      </c>
      <c r="E274" s="7" t="s">
        <v>116</v>
      </c>
      <c r="F274" s="7"/>
      <c r="G274" s="2" t="s">
        <v>15598</v>
      </c>
      <c r="H274" s="2" t="s">
        <v>15617</v>
      </c>
      <c r="I274" s="2" t="s">
        <v>812</v>
      </c>
      <c r="J274" s="2" t="s">
        <v>55</v>
      </c>
      <c r="K274" s="138"/>
      <c r="L274" s="2"/>
      <c r="M274" s="48"/>
      <c r="N274" s="48" t="s">
        <v>22</v>
      </c>
      <c r="O274" s="48" t="s">
        <v>15605</v>
      </c>
      <c r="P274" s="60" t="s">
        <v>312</v>
      </c>
      <c r="Q274" s="48" t="s">
        <v>9806</v>
      </c>
      <c r="R274" s="48" t="s">
        <v>288</v>
      </c>
      <c r="S274" s="49" t="s">
        <v>74</v>
      </c>
      <c r="T274" s="48" t="s">
        <v>75</v>
      </c>
      <c r="U274" s="49" t="s">
        <v>3678</v>
      </c>
      <c r="V274" s="7" t="s">
        <v>214</v>
      </c>
      <c r="W274" s="49" t="s">
        <v>214</v>
      </c>
      <c r="X274" s="49" t="s">
        <v>214</v>
      </c>
      <c r="Y274" s="49" t="s">
        <v>214</v>
      </c>
      <c r="Z274" s="49" t="s">
        <v>214</v>
      </c>
      <c r="AA274" s="48" t="s">
        <v>15606</v>
      </c>
      <c r="AB274" s="84" t="s">
        <v>15605</v>
      </c>
      <c r="AC274" s="53" t="str">
        <f t="shared" si="141"/>
        <v>Link</v>
      </c>
      <c r="AD274" s="42">
        <v>8121</v>
      </c>
      <c r="AE274" s="55"/>
      <c r="AF274" s="55"/>
      <c r="AG274" s="56">
        <v>122746</v>
      </c>
      <c r="AH274" s="56"/>
      <c r="AI274" s="56"/>
    </row>
    <row r="275" spans="1:35" ht="15" x14ac:dyDescent="0.2">
      <c r="A275" s="110" t="s">
        <v>300</v>
      </c>
      <c r="B275" s="33" t="s">
        <v>12632</v>
      </c>
      <c r="C275" s="7" t="s">
        <v>15625</v>
      </c>
      <c r="D275" s="112">
        <v>5</v>
      </c>
      <c r="E275" s="7" t="s">
        <v>116</v>
      </c>
      <c r="F275" s="7"/>
      <c r="G275" s="2" t="s">
        <v>15598</v>
      </c>
      <c r="H275" s="2" t="s">
        <v>2780</v>
      </c>
      <c r="I275" s="2" t="s">
        <v>15626</v>
      </c>
      <c r="J275" s="2" t="s">
        <v>55</v>
      </c>
      <c r="K275" s="138"/>
      <c r="L275" s="2"/>
      <c r="M275" s="48"/>
      <c r="N275" s="48" t="s">
        <v>22</v>
      </c>
      <c r="O275" s="48" t="s">
        <v>15605</v>
      </c>
      <c r="P275" s="60" t="s">
        <v>312</v>
      </c>
      <c r="Q275" s="48" t="s">
        <v>9806</v>
      </c>
      <c r="R275" s="48" t="s">
        <v>288</v>
      </c>
      <c r="S275" s="49" t="s">
        <v>74</v>
      </c>
      <c r="T275" s="48" t="s">
        <v>75</v>
      </c>
      <c r="U275" s="49" t="s">
        <v>3678</v>
      </c>
      <c r="V275" s="7" t="s">
        <v>214</v>
      </c>
      <c r="W275" s="49" t="s">
        <v>214</v>
      </c>
      <c r="X275" s="49" t="s">
        <v>214</v>
      </c>
      <c r="Y275" s="49" t="s">
        <v>214</v>
      </c>
      <c r="Z275" s="49" t="s">
        <v>214</v>
      </c>
      <c r="AA275" s="48" t="s">
        <v>15606</v>
      </c>
      <c r="AB275" s="84" t="s">
        <v>15605</v>
      </c>
      <c r="AC275" s="53" t="str">
        <f t="shared" si="141"/>
        <v>Link</v>
      </c>
      <c r="AD275" s="42">
        <v>8121</v>
      </c>
      <c r="AE275" s="55"/>
      <c r="AF275" s="55"/>
      <c r="AG275" s="56">
        <v>122746</v>
      </c>
      <c r="AH275" s="56"/>
      <c r="AI275" s="56"/>
    </row>
    <row r="276" spans="1:35" ht="15" x14ac:dyDescent="0.2">
      <c r="A276" s="110" t="s">
        <v>300</v>
      </c>
      <c r="B276" s="33" t="s">
        <v>12632</v>
      </c>
      <c r="C276" s="7" t="s">
        <v>15629</v>
      </c>
      <c r="D276" s="112">
        <v>5</v>
      </c>
      <c r="E276" s="7" t="s">
        <v>116</v>
      </c>
      <c r="F276" s="7"/>
      <c r="G276" s="2" t="s">
        <v>15598</v>
      </c>
      <c r="H276" s="2" t="s">
        <v>2028</v>
      </c>
      <c r="I276" s="2" t="s">
        <v>15329</v>
      </c>
      <c r="J276" s="2" t="s">
        <v>55</v>
      </c>
      <c r="K276" s="138"/>
      <c r="L276" s="2"/>
      <c r="M276" s="48"/>
      <c r="N276" s="48" t="s">
        <v>22</v>
      </c>
      <c r="O276" s="48" t="s">
        <v>15605</v>
      </c>
      <c r="P276" s="60" t="s">
        <v>312</v>
      </c>
      <c r="Q276" s="48" t="s">
        <v>9806</v>
      </c>
      <c r="R276" s="48" t="s">
        <v>288</v>
      </c>
      <c r="S276" s="49" t="s">
        <v>74</v>
      </c>
      <c r="T276" s="48" t="s">
        <v>75</v>
      </c>
      <c r="U276" s="49" t="s">
        <v>3678</v>
      </c>
      <c r="V276" s="7" t="s">
        <v>214</v>
      </c>
      <c r="W276" s="49" t="s">
        <v>214</v>
      </c>
      <c r="X276" s="49" t="s">
        <v>214</v>
      </c>
      <c r="Y276" s="49" t="s">
        <v>214</v>
      </c>
      <c r="Z276" s="49" t="s">
        <v>214</v>
      </c>
      <c r="AA276" s="48" t="s">
        <v>15606</v>
      </c>
      <c r="AB276" s="84" t="s">
        <v>15605</v>
      </c>
      <c r="AC276" s="53" t="str">
        <f t="shared" si="141"/>
        <v>Link</v>
      </c>
      <c r="AD276" s="42">
        <v>8121</v>
      </c>
      <c r="AE276" s="55"/>
      <c r="AF276" s="55"/>
      <c r="AG276" s="56">
        <v>122746</v>
      </c>
      <c r="AH276" s="56"/>
      <c r="AI276" s="56"/>
    </row>
    <row r="277" spans="1:35" ht="15" x14ac:dyDescent="0.2">
      <c r="A277" s="110" t="s">
        <v>300</v>
      </c>
      <c r="B277" s="33" t="s">
        <v>12632</v>
      </c>
      <c r="C277" s="7" t="s">
        <v>15634</v>
      </c>
      <c r="D277" s="112">
        <v>5</v>
      </c>
      <c r="E277" s="7"/>
      <c r="F277" s="7"/>
      <c r="G277" s="33" t="s">
        <v>15637</v>
      </c>
      <c r="H277" s="2" t="s">
        <v>1052</v>
      </c>
      <c r="I277" s="2" t="s">
        <v>15639</v>
      </c>
      <c r="J277" s="33" t="s">
        <v>48</v>
      </c>
      <c r="K277" s="138" t="s">
        <v>15641</v>
      </c>
      <c r="L277" s="2" t="s">
        <v>15642</v>
      </c>
      <c r="M277" s="48"/>
      <c r="N277" s="45" t="str">
        <f>HYPERLINK("https://collegeofsanmateo.edu/athletics/sports.php","Questionnaire")</f>
        <v>Questionnaire</v>
      </c>
      <c r="O277" s="48" t="s">
        <v>15643</v>
      </c>
      <c r="P277" s="60" t="s">
        <v>312</v>
      </c>
      <c r="Q277" s="48" t="s">
        <v>15643</v>
      </c>
      <c r="R277" s="48" t="s">
        <v>238</v>
      </c>
      <c r="S277" s="49" t="s">
        <v>74</v>
      </c>
      <c r="T277" s="48" t="s">
        <v>75</v>
      </c>
      <c r="U277" s="49" t="s">
        <v>3678</v>
      </c>
      <c r="V277" s="7" t="s">
        <v>214</v>
      </c>
      <c r="W277" s="49" t="s">
        <v>214</v>
      </c>
      <c r="X277" s="49" t="s">
        <v>214</v>
      </c>
      <c r="Y277" s="49" t="s">
        <v>214</v>
      </c>
      <c r="Z277" s="55" t="s">
        <v>214</v>
      </c>
      <c r="AA277" s="48" t="s">
        <v>15647</v>
      </c>
      <c r="AB277" s="84" t="s">
        <v>15643</v>
      </c>
      <c r="AC277" s="53" t="str">
        <f>HYPERLINK("http://collegeofsanmateo.edu/degrees/","Link")</f>
        <v>Link</v>
      </c>
      <c r="AD277" s="42">
        <v>9048</v>
      </c>
      <c r="AE277" s="55"/>
      <c r="AF277" s="55"/>
      <c r="AG277" s="56">
        <v>122791</v>
      </c>
      <c r="AH277" s="56"/>
      <c r="AI277" s="56"/>
    </row>
    <row r="278" spans="1:35" ht="15" x14ac:dyDescent="0.2">
      <c r="A278" s="64" t="s">
        <v>300</v>
      </c>
      <c r="B278" s="33" t="s">
        <v>12632</v>
      </c>
      <c r="C278" s="7" t="s">
        <v>15648</v>
      </c>
      <c r="D278" s="44">
        <v>5</v>
      </c>
      <c r="E278" s="7" t="s">
        <v>116</v>
      </c>
      <c r="F278" s="7"/>
      <c r="G278" s="33" t="s">
        <v>15649</v>
      </c>
      <c r="H278" s="7" t="s">
        <v>4193</v>
      </c>
      <c r="I278" s="7" t="s">
        <v>15650</v>
      </c>
      <c r="J278" s="7" t="s">
        <v>55</v>
      </c>
      <c r="K278" s="7"/>
      <c r="L278" s="7"/>
      <c r="M278" s="48"/>
      <c r="N278" s="45" t="str">
        <f t="shared" ref="N278:N282" si="142">HYPERLINK("https://www.sacdons.com/recruits/prospectivestudent","Questionnaire")</f>
        <v>Questionnaire</v>
      </c>
      <c r="O278" s="48" t="s">
        <v>15657</v>
      </c>
      <c r="P278" s="60" t="s">
        <v>312</v>
      </c>
      <c r="Q278" s="48" t="s">
        <v>15657</v>
      </c>
      <c r="R278" s="48" t="s">
        <v>354</v>
      </c>
      <c r="S278" s="49" t="s">
        <v>74</v>
      </c>
      <c r="T278" s="48" t="s">
        <v>75</v>
      </c>
      <c r="U278" s="49" t="s">
        <v>3678</v>
      </c>
      <c r="V278" s="7" t="s">
        <v>214</v>
      </c>
      <c r="W278" s="49" t="s">
        <v>214</v>
      </c>
      <c r="X278" s="49" t="s">
        <v>214</v>
      </c>
      <c r="Y278" s="49" t="s">
        <v>214</v>
      </c>
      <c r="Z278" s="55" t="s">
        <v>214</v>
      </c>
      <c r="AA278" s="48" t="s">
        <v>15660</v>
      </c>
      <c r="AB278" s="84" t="s">
        <v>15657</v>
      </c>
      <c r="AC278" s="53" t="str">
        <f t="shared" ref="AC278:AC282" si="143">HYPERLINK("https://www.sac.edu/ContinuingEducation/StudentServices/Pages/SACProgramsandCertificates.aspx","Link")</f>
        <v>Link</v>
      </c>
      <c r="AD278" s="42">
        <v>28260</v>
      </c>
      <c r="AE278" s="55"/>
      <c r="AF278" s="55"/>
      <c r="AG278" s="56">
        <v>121619</v>
      </c>
      <c r="AH278" s="85"/>
      <c r="AI278" s="85"/>
    </row>
    <row r="279" spans="1:35" ht="15" x14ac:dyDescent="0.2">
      <c r="A279" s="64" t="s">
        <v>300</v>
      </c>
      <c r="B279" s="33" t="s">
        <v>12632</v>
      </c>
      <c r="C279" s="7" t="s">
        <v>15670</v>
      </c>
      <c r="D279" s="44">
        <v>5</v>
      </c>
      <c r="E279" s="7" t="s">
        <v>116</v>
      </c>
      <c r="F279" s="7"/>
      <c r="G279" s="33" t="s">
        <v>15649</v>
      </c>
      <c r="H279" s="7" t="s">
        <v>15672</v>
      </c>
      <c r="I279" s="7" t="s">
        <v>15673</v>
      </c>
      <c r="J279" s="7" t="s">
        <v>55</v>
      </c>
      <c r="K279" s="7"/>
      <c r="L279" s="7"/>
      <c r="M279" s="48"/>
      <c r="N279" s="45" t="str">
        <f t="shared" si="142"/>
        <v>Questionnaire</v>
      </c>
      <c r="O279" s="48" t="s">
        <v>15657</v>
      </c>
      <c r="P279" s="60" t="s">
        <v>312</v>
      </c>
      <c r="Q279" s="48" t="s">
        <v>15657</v>
      </c>
      <c r="R279" s="48" t="s">
        <v>354</v>
      </c>
      <c r="S279" s="49" t="s">
        <v>74</v>
      </c>
      <c r="T279" s="48" t="s">
        <v>75</v>
      </c>
      <c r="U279" s="49" t="s">
        <v>3678</v>
      </c>
      <c r="V279" s="7" t="s">
        <v>214</v>
      </c>
      <c r="W279" s="49" t="s">
        <v>214</v>
      </c>
      <c r="X279" s="49" t="s">
        <v>214</v>
      </c>
      <c r="Y279" s="49" t="s">
        <v>214</v>
      </c>
      <c r="Z279" s="55" t="s">
        <v>214</v>
      </c>
      <c r="AA279" s="48" t="s">
        <v>15660</v>
      </c>
      <c r="AB279" s="84" t="s">
        <v>15657</v>
      </c>
      <c r="AC279" s="53" t="str">
        <f t="shared" si="143"/>
        <v>Link</v>
      </c>
      <c r="AD279" s="42">
        <v>28260</v>
      </c>
      <c r="AE279" s="55"/>
      <c r="AF279" s="55"/>
      <c r="AG279" s="56">
        <v>121619</v>
      </c>
      <c r="AH279" s="85"/>
      <c r="AI279" s="85"/>
    </row>
    <row r="280" spans="1:35" ht="15" x14ac:dyDescent="0.2">
      <c r="A280" s="64" t="s">
        <v>300</v>
      </c>
      <c r="B280" s="33" t="s">
        <v>12632</v>
      </c>
      <c r="C280" s="7" t="s">
        <v>15677</v>
      </c>
      <c r="D280" s="44">
        <v>5</v>
      </c>
      <c r="E280" s="7" t="s">
        <v>116</v>
      </c>
      <c r="F280" s="7"/>
      <c r="G280" s="33" t="s">
        <v>15649</v>
      </c>
      <c r="H280" s="7" t="s">
        <v>501</v>
      </c>
      <c r="I280" s="7" t="s">
        <v>13587</v>
      </c>
      <c r="J280" s="7" t="s">
        <v>55</v>
      </c>
      <c r="K280" s="7"/>
      <c r="L280" s="7"/>
      <c r="M280" s="48"/>
      <c r="N280" s="45" t="str">
        <f t="shared" si="142"/>
        <v>Questionnaire</v>
      </c>
      <c r="O280" s="48" t="s">
        <v>15657</v>
      </c>
      <c r="P280" s="60" t="s">
        <v>312</v>
      </c>
      <c r="Q280" s="48" t="s">
        <v>15657</v>
      </c>
      <c r="R280" s="48" t="s">
        <v>354</v>
      </c>
      <c r="S280" s="49" t="s">
        <v>74</v>
      </c>
      <c r="T280" s="48" t="s">
        <v>75</v>
      </c>
      <c r="U280" s="49" t="s">
        <v>3678</v>
      </c>
      <c r="V280" s="7" t="s">
        <v>214</v>
      </c>
      <c r="W280" s="49" t="s">
        <v>214</v>
      </c>
      <c r="X280" s="49" t="s">
        <v>214</v>
      </c>
      <c r="Y280" s="49" t="s">
        <v>214</v>
      </c>
      <c r="Z280" s="55" t="s">
        <v>214</v>
      </c>
      <c r="AA280" s="48" t="s">
        <v>15660</v>
      </c>
      <c r="AB280" s="84" t="s">
        <v>15657</v>
      </c>
      <c r="AC280" s="53" t="str">
        <f t="shared" si="143"/>
        <v>Link</v>
      </c>
      <c r="AD280" s="42">
        <v>28260</v>
      </c>
      <c r="AE280" s="55"/>
      <c r="AF280" s="55"/>
      <c r="AG280" s="56">
        <v>121619</v>
      </c>
      <c r="AH280" s="85"/>
      <c r="AI280" s="85"/>
    </row>
    <row r="281" spans="1:35" ht="15" x14ac:dyDescent="0.2">
      <c r="A281" s="110" t="s">
        <v>300</v>
      </c>
      <c r="B281" s="33" t="s">
        <v>12632</v>
      </c>
      <c r="C281" s="7" t="s">
        <v>15682</v>
      </c>
      <c r="D281" s="112">
        <v>5</v>
      </c>
      <c r="E281" s="7"/>
      <c r="F281" s="7"/>
      <c r="G281" s="33" t="s">
        <v>15649</v>
      </c>
      <c r="H281" s="2" t="s">
        <v>750</v>
      </c>
      <c r="I281" s="2" t="s">
        <v>5273</v>
      </c>
      <c r="J281" s="2" t="s">
        <v>48</v>
      </c>
      <c r="K281" s="6" t="s">
        <v>15684</v>
      </c>
      <c r="L281" s="2" t="s">
        <v>15685</v>
      </c>
      <c r="M281" s="48"/>
      <c r="N281" s="45" t="str">
        <f t="shared" si="142"/>
        <v>Questionnaire</v>
      </c>
      <c r="O281" s="48" t="s">
        <v>15657</v>
      </c>
      <c r="P281" s="60" t="s">
        <v>312</v>
      </c>
      <c r="Q281" s="48" t="s">
        <v>15657</v>
      </c>
      <c r="R281" s="48" t="s">
        <v>354</v>
      </c>
      <c r="S281" s="49" t="s">
        <v>74</v>
      </c>
      <c r="T281" s="48" t="s">
        <v>75</v>
      </c>
      <c r="U281" s="49" t="s">
        <v>3678</v>
      </c>
      <c r="V281" s="7" t="s">
        <v>214</v>
      </c>
      <c r="W281" s="49" t="s">
        <v>214</v>
      </c>
      <c r="X281" s="49" t="s">
        <v>214</v>
      </c>
      <c r="Y281" s="49" t="s">
        <v>214</v>
      </c>
      <c r="Z281" s="55" t="s">
        <v>214</v>
      </c>
      <c r="AA281" s="48" t="s">
        <v>15660</v>
      </c>
      <c r="AB281" s="84" t="s">
        <v>15657</v>
      </c>
      <c r="AC281" s="53" t="str">
        <f t="shared" si="143"/>
        <v>Link</v>
      </c>
      <c r="AD281" s="42">
        <v>28260</v>
      </c>
      <c r="AE281" s="55"/>
      <c r="AF281" s="55"/>
      <c r="AG281" s="56">
        <v>121619</v>
      </c>
      <c r="AH281" s="56"/>
      <c r="AI281" s="56"/>
    </row>
    <row r="282" spans="1:35" ht="15" x14ac:dyDescent="0.2">
      <c r="A282" s="110" t="s">
        <v>300</v>
      </c>
      <c r="B282" s="33" t="s">
        <v>12632</v>
      </c>
      <c r="C282" s="7" t="s">
        <v>15688</v>
      </c>
      <c r="D282" s="112">
        <v>5</v>
      </c>
      <c r="E282" s="7"/>
      <c r="F282" s="7"/>
      <c r="G282" s="33" t="s">
        <v>15649</v>
      </c>
      <c r="H282" s="2" t="s">
        <v>2402</v>
      </c>
      <c r="I282" s="2" t="s">
        <v>15689</v>
      </c>
      <c r="J282" s="2" t="s">
        <v>55</v>
      </c>
      <c r="K282" s="2"/>
      <c r="L282" s="2"/>
      <c r="M282" s="48"/>
      <c r="N282" s="45" t="str">
        <f t="shared" si="142"/>
        <v>Questionnaire</v>
      </c>
      <c r="O282" s="48" t="s">
        <v>15657</v>
      </c>
      <c r="P282" s="60" t="s">
        <v>312</v>
      </c>
      <c r="Q282" s="48" t="s">
        <v>15657</v>
      </c>
      <c r="R282" s="48" t="s">
        <v>354</v>
      </c>
      <c r="S282" s="49" t="s">
        <v>74</v>
      </c>
      <c r="T282" s="48" t="s">
        <v>75</v>
      </c>
      <c r="U282" s="49" t="s">
        <v>3678</v>
      </c>
      <c r="V282" s="7" t="s">
        <v>214</v>
      </c>
      <c r="W282" s="49" t="s">
        <v>214</v>
      </c>
      <c r="X282" s="49" t="s">
        <v>214</v>
      </c>
      <c r="Y282" s="49" t="s">
        <v>214</v>
      </c>
      <c r="Z282" s="55" t="s">
        <v>214</v>
      </c>
      <c r="AA282" s="48" t="s">
        <v>15660</v>
      </c>
      <c r="AB282" s="84" t="s">
        <v>15657</v>
      </c>
      <c r="AC282" s="53" t="str">
        <f t="shared" si="143"/>
        <v>Link</v>
      </c>
      <c r="AD282" s="42">
        <v>28260</v>
      </c>
      <c r="AE282" s="55"/>
      <c r="AF282" s="55"/>
      <c r="AG282" s="56">
        <v>121619</v>
      </c>
      <c r="AH282" s="56"/>
      <c r="AI282" s="56"/>
    </row>
    <row r="283" spans="1:35" ht="15" x14ac:dyDescent="0.2">
      <c r="A283" s="64" t="s">
        <v>300</v>
      </c>
      <c r="B283" s="33" t="s">
        <v>12632</v>
      </c>
      <c r="C283" s="7" t="s">
        <v>15695</v>
      </c>
      <c r="D283" s="44">
        <v>5</v>
      </c>
      <c r="E283" s="7" t="s">
        <v>116</v>
      </c>
      <c r="F283" s="7"/>
      <c r="G283" s="2" t="s">
        <v>15696</v>
      </c>
      <c r="H283" s="7" t="s">
        <v>15697</v>
      </c>
      <c r="I283" s="7" t="s">
        <v>578</v>
      </c>
      <c r="J283" s="7" t="s">
        <v>139</v>
      </c>
      <c r="K283" s="7"/>
      <c r="L283" s="7" t="s">
        <v>15698</v>
      </c>
      <c r="M283" s="48"/>
      <c r="N283" s="45" t="str">
        <f t="shared" ref="N283:N286" si="144">HYPERLINK("https://www.sbcc.edu/athletics/recruit/","Questionnaire")</f>
        <v>Questionnaire</v>
      </c>
      <c r="O283" s="48" t="s">
        <v>15701</v>
      </c>
      <c r="P283" s="60" t="s">
        <v>312</v>
      </c>
      <c r="Q283" s="48" t="s">
        <v>5421</v>
      </c>
      <c r="R283" s="48" t="s">
        <v>238</v>
      </c>
      <c r="S283" s="49" t="s">
        <v>74</v>
      </c>
      <c r="T283" s="48" t="s">
        <v>75</v>
      </c>
      <c r="U283" s="49" t="s">
        <v>3678</v>
      </c>
      <c r="V283" s="7" t="s">
        <v>214</v>
      </c>
      <c r="W283" s="49" t="s">
        <v>214</v>
      </c>
      <c r="X283" s="49" t="s">
        <v>214</v>
      </c>
      <c r="Y283" s="49" t="s">
        <v>214</v>
      </c>
      <c r="Z283" s="55" t="s">
        <v>214</v>
      </c>
      <c r="AA283" s="48" t="s">
        <v>15703</v>
      </c>
      <c r="AB283" s="84" t="s">
        <v>15701</v>
      </c>
      <c r="AC283" s="53" t="str">
        <f t="shared" ref="AC283:AC286" si="145">HYPERLINK("http://www.sbcc.edu/prospective/degrees.php","Link")</f>
        <v>Link</v>
      </c>
      <c r="AD283" s="42">
        <v>16642</v>
      </c>
      <c r="AE283" s="55"/>
      <c r="AF283" s="55"/>
      <c r="AG283" s="56">
        <v>122889</v>
      </c>
      <c r="AH283" s="85"/>
      <c r="AI283" s="85"/>
    </row>
    <row r="284" spans="1:35" ht="15" x14ac:dyDescent="0.2">
      <c r="A284" s="110" t="s">
        <v>300</v>
      </c>
      <c r="B284" s="33" t="s">
        <v>12632</v>
      </c>
      <c r="C284" s="7" t="s">
        <v>15704</v>
      </c>
      <c r="D284" s="112">
        <v>5</v>
      </c>
      <c r="E284" s="7"/>
      <c r="F284" s="7"/>
      <c r="G284" s="2" t="s">
        <v>15696</v>
      </c>
      <c r="H284" s="2" t="s">
        <v>1100</v>
      </c>
      <c r="I284" s="2" t="s">
        <v>15705</v>
      </c>
      <c r="J284" s="2" t="s">
        <v>48</v>
      </c>
      <c r="K284" s="2" t="s">
        <v>15706</v>
      </c>
      <c r="L284" s="2" t="s">
        <v>15707</v>
      </c>
      <c r="M284" s="48"/>
      <c r="N284" s="45" t="str">
        <f t="shared" si="144"/>
        <v>Questionnaire</v>
      </c>
      <c r="O284" s="48" t="s">
        <v>15701</v>
      </c>
      <c r="P284" s="60" t="s">
        <v>312</v>
      </c>
      <c r="Q284" s="48" t="s">
        <v>5421</v>
      </c>
      <c r="R284" s="48" t="s">
        <v>238</v>
      </c>
      <c r="S284" s="49" t="s">
        <v>74</v>
      </c>
      <c r="T284" s="48" t="s">
        <v>75</v>
      </c>
      <c r="U284" s="49" t="s">
        <v>3678</v>
      </c>
      <c r="V284" s="7" t="s">
        <v>214</v>
      </c>
      <c r="W284" s="49" t="s">
        <v>214</v>
      </c>
      <c r="X284" s="49" t="s">
        <v>214</v>
      </c>
      <c r="Y284" s="49" t="s">
        <v>214</v>
      </c>
      <c r="Z284" s="55" t="s">
        <v>214</v>
      </c>
      <c r="AA284" s="48" t="s">
        <v>15703</v>
      </c>
      <c r="AB284" s="84" t="s">
        <v>15701</v>
      </c>
      <c r="AC284" s="53" t="str">
        <f t="shared" si="145"/>
        <v>Link</v>
      </c>
      <c r="AD284" s="42">
        <v>16642</v>
      </c>
      <c r="AE284" s="55"/>
      <c r="AF284" s="55"/>
      <c r="AG284" s="56">
        <v>122889</v>
      </c>
      <c r="AH284" s="56"/>
      <c r="AI284" s="56"/>
    </row>
    <row r="285" spans="1:35" ht="15" x14ac:dyDescent="0.2">
      <c r="A285" s="110" t="s">
        <v>300</v>
      </c>
      <c r="B285" s="33" t="s">
        <v>12632</v>
      </c>
      <c r="C285" s="7" t="s">
        <v>15711</v>
      </c>
      <c r="D285" s="112">
        <v>5</v>
      </c>
      <c r="E285" s="7"/>
      <c r="F285" s="7"/>
      <c r="G285" s="2" t="s">
        <v>15696</v>
      </c>
      <c r="H285" s="34" t="s">
        <v>15713</v>
      </c>
      <c r="I285" s="2" t="s">
        <v>4280</v>
      </c>
      <c r="J285" s="33" t="s">
        <v>55</v>
      </c>
      <c r="K285" s="138"/>
      <c r="L285" s="2" t="s">
        <v>15715</v>
      </c>
      <c r="M285" s="48"/>
      <c r="N285" s="45" t="str">
        <f t="shared" si="144"/>
        <v>Questionnaire</v>
      </c>
      <c r="O285" s="48" t="s">
        <v>15701</v>
      </c>
      <c r="P285" s="60" t="s">
        <v>312</v>
      </c>
      <c r="Q285" s="48" t="s">
        <v>5421</v>
      </c>
      <c r="R285" s="48" t="s">
        <v>238</v>
      </c>
      <c r="S285" s="49" t="s">
        <v>74</v>
      </c>
      <c r="T285" s="48" t="s">
        <v>75</v>
      </c>
      <c r="U285" s="49" t="s">
        <v>3678</v>
      </c>
      <c r="V285" s="7" t="s">
        <v>214</v>
      </c>
      <c r="W285" s="49" t="s">
        <v>214</v>
      </c>
      <c r="X285" s="49" t="s">
        <v>214</v>
      </c>
      <c r="Y285" s="49" t="s">
        <v>214</v>
      </c>
      <c r="Z285" s="55" t="s">
        <v>214</v>
      </c>
      <c r="AA285" s="48" t="s">
        <v>15703</v>
      </c>
      <c r="AB285" s="84" t="s">
        <v>15701</v>
      </c>
      <c r="AC285" s="53" t="str">
        <f t="shared" si="145"/>
        <v>Link</v>
      </c>
      <c r="AD285" s="42">
        <v>16642</v>
      </c>
      <c r="AE285" s="55"/>
      <c r="AF285" s="55"/>
      <c r="AG285" s="56">
        <v>122889</v>
      </c>
      <c r="AH285" s="56"/>
      <c r="AI285" s="56"/>
    </row>
    <row r="286" spans="1:35" ht="15" x14ac:dyDescent="0.2">
      <c r="A286" s="110" t="s">
        <v>300</v>
      </c>
      <c r="B286" s="33" t="s">
        <v>12632</v>
      </c>
      <c r="C286" s="7" t="s">
        <v>15721</v>
      </c>
      <c r="D286" s="112">
        <v>5</v>
      </c>
      <c r="E286" s="7"/>
      <c r="F286" s="7"/>
      <c r="G286" s="2" t="s">
        <v>15696</v>
      </c>
      <c r="H286" s="138" t="s">
        <v>390</v>
      </c>
      <c r="I286" s="2" t="s">
        <v>15722</v>
      </c>
      <c r="J286" s="33" t="s">
        <v>55</v>
      </c>
      <c r="K286" s="138"/>
      <c r="L286" s="2" t="s">
        <v>15715</v>
      </c>
      <c r="M286" s="48"/>
      <c r="N286" s="45" t="str">
        <f t="shared" si="144"/>
        <v>Questionnaire</v>
      </c>
      <c r="O286" s="48" t="s">
        <v>15701</v>
      </c>
      <c r="P286" s="60" t="s">
        <v>312</v>
      </c>
      <c r="Q286" s="48" t="s">
        <v>5421</v>
      </c>
      <c r="R286" s="48" t="s">
        <v>238</v>
      </c>
      <c r="S286" s="49" t="s">
        <v>74</v>
      </c>
      <c r="T286" s="48" t="s">
        <v>75</v>
      </c>
      <c r="U286" s="49" t="s">
        <v>3678</v>
      </c>
      <c r="V286" s="7" t="s">
        <v>214</v>
      </c>
      <c r="W286" s="49" t="s">
        <v>214</v>
      </c>
      <c r="X286" s="49" t="s">
        <v>214</v>
      </c>
      <c r="Y286" s="49" t="s">
        <v>214</v>
      </c>
      <c r="Z286" s="55" t="s">
        <v>214</v>
      </c>
      <c r="AA286" s="48" t="s">
        <v>15703</v>
      </c>
      <c r="AB286" s="84" t="s">
        <v>15701</v>
      </c>
      <c r="AC286" s="53" t="str">
        <f t="shared" si="145"/>
        <v>Link</v>
      </c>
      <c r="AD286" s="42">
        <v>16642</v>
      </c>
      <c r="AE286" s="55"/>
      <c r="AF286" s="55"/>
      <c r="AG286" s="56">
        <v>122889</v>
      </c>
      <c r="AH286" s="56"/>
      <c r="AI286" s="56"/>
    </row>
    <row r="287" spans="1:35" ht="15" x14ac:dyDescent="0.2">
      <c r="A287" s="110" t="s">
        <v>300</v>
      </c>
      <c r="B287" s="33" t="s">
        <v>12632</v>
      </c>
      <c r="C287" s="7" t="s">
        <v>15728</v>
      </c>
      <c r="D287" s="112">
        <v>5</v>
      </c>
      <c r="E287" s="7"/>
      <c r="F287" s="7"/>
      <c r="G287" s="2" t="s">
        <v>15729</v>
      </c>
      <c r="H287" s="2" t="s">
        <v>1137</v>
      </c>
      <c r="I287" s="2" t="s">
        <v>15730</v>
      </c>
      <c r="J287" s="2" t="s">
        <v>48</v>
      </c>
      <c r="K287" s="2" t="s">
        <v>15731</v>
      </c>
      <c r="L287" s="2"/>
      <c r="M287" s="48"/>
      <c r="N287" s="45" t="str">
        <f>HYPERLINK("https://www.smccorsairs.com/recruits","Questionnaire")</f>
        <v>Questionnaire</v>
      </c>
      <c r="O287" s="48" t="s">
        <v>15733</v>
      </c>
      <c r="P287" s="60" t="s">
        <v>312</v>
      </c>
      <c r="Q287" s="48" t="s">
        <v>15733</v>
      </c>
      <c r="R287" s="48" t="s">
        <v>238</v>
      </c>
      <c r="S287" s="49" t="s">
        <v>74</v>
      </c>
      <c r="T287" s="48" t="s">
        <v>75</v>
      </c>
      <c r="U287" s="49" t="s">
        <v>3678</v>
      </c>
      <c r="V287" s="7" t="s">
        <v>214</v>
      </c>
      <c r="W287" s="49" t="s">
        <v>214</v>
      </c>
      <c r="X287" s="49" t="s">
        <v>214</v>
      </c>
      <c r="Y287" s="49" t="s">
        <v>214</v>
      </c>
      <c r="Z287" s="55" t="s">
        <v>214</v>
      </c>
      <c r="AA287" s="48" t="s">
        <v>15736</v>
      </c>
      <c r="AB287" s="84" t="s">
        <v>15733</v>
      </c>
      <c r="AC287" s="53" t="str">
        <f>HYPERLINK("http://www.smc.edu/StudentServices/TransferServices/AreasofStudy/Pages/default.aspx","Link")</f>
        <v>Link</v>
      </c>
      <c r="AD287" s="42">
        <v>30828</v>
      </c>
      <c r="AE287" s="55"/>
      <c r="AF287" s="55"/>
      <c r="AG287" s="56">
        <v>122977</v>
      </c>
      <c r="AH287" s="56"/>
      <c r="AI287" s="56"/>
    </row>
    <row r="288" spans="1:35" ht="15" x14ac:dyDescent="0.2">
      <c r="A288" s="110" t="s">
        <v>300</v>
      </c>
      <c r="B288" s="33" t="s">
        <v>12632</v>
      </c>
      <c r="C288" s="7" t="s">
        <v>15741</v>
      </c>
      <c r="D288" s="112">
        <v>5</v>
      </c>
      <c r="E288" s="7"/>
      <c r="F288" s="7"/>
      <c r="G288" s="2" t="s">
        <v>15742</v>
      </c>
      <c r="H288" s="2" t="s">
        <v>421</v>
      </c>
      <c r="I288" s="2"/>
      <c r="J288" s="2" t="s">
        <v>48</v>
      </c>
      <c r="K288" s="138"/>
      <c r="L288" s="2"/>
      <c r="M288" s="45" t="str">
        <f t="shared" ref="M288:M291" si="146">HYPERLINK("twitter.com/srjcsoftball","@srjcsoftball")</f>
        <v>@srjcsoftball</v>
      </c>
      <c r="N288" s="45" t="str">
        <f t="shared" ref="N288:N291" si="147">HYPERLINK("http://www.srjcathletics.com/prospective_athletes/first_contact_form","Questionnaire")</f>
        <v>Questionnaire</v>
      </c>
      <c r="O288" s="48" t="s">
        <v>15746</v>
      </c>
      <c r="P288" s="60" t="s">
        <v>312</v>
      </c>
      <c r="Q288" s="48" t="s">
        <v>15747</v>
      </c>
      <c r="R288" s="48" t="s">
        <v>62</v>
      </c>
      <c r="S288" s="49" t="s">
        <v>74</v>
      </c>
      <c r="T288" s="48" t="s">
        <v>75</v>
      </c>
      <c r="U288" s="49" t="s">
        <v>3678</v>
      </c>
      <c r="V288" s="7" t="s">
        <v>214</v>
      </c>
      <c r="W288" s="49" t="s">
        <v>214</v>
      </c>
      <c r="X288" s="49" t="s">
        <v>214</v>
      </c>
      <c r="Y288" s="49" t="s">
        <v>214</v>
      </c>
      <c r="Z288" s="55" t="s">
        <v>214</v>
      </c>
      <c r="AA288" s="48" t="s">
        <v>15748</v>
      </c>
      <c r="AB288" s="84" t="s">
        <v>15746</v>
      </c>
      <c r="AC288" s="53" t="str">
        <f t="shared" ref="AC288:AC291" si="148">HYPERLINK("https://portal.santarosa.edu/SRweb/sr_ProgramsOfStudy.aspx?ProgramType=2","Link")</f>
        <v>Link</v>
      </c>
      <c r="AD288" s="42">
        <v>21217</v>
      </c>
      <c r="AE288" s="55"/>
      <c r="AF288" s="55"/>
      <c r="AG288" s="56">
        <v>123013</v>
      </c>
      <c r="AH288" s="56"/>
      <c r="AI288" s="56"/>
    </row>
    <row r="289" spans="1:35" ht="15" x14ac:dyDescent="0.2">
      <c r="A289" s="110" t="s">
        <v>300</v>
      </c>
      <c r="B289" s="33" t="s">
        <v>12632</v>
      </c>
      <c r="C289" s="7" t="s">
        <v>15750</v>
      </c>
      <c r="D289" s="112">
        <v>5</v>
      </c>
      <c r="E289" s="7"/>
      <c r="F289" s="7"/>
      <c r="G289" s="2" t="s">
        <v>15742</v>
      </c>
      <c r="H289" s="2" t="s">
        <v>4428</v>
      </c>
      <c r="I289" s="2" t="s">
        <v>1448</v>
      </c>
      <c r="J289" s="2" t="s">
        <v>1423</v>
      </c>
      <c r="K289" s="2" t="s">
        <v>15753</v>
      </c>
      <c r="L289" s="2" t="s">
        <v>15754</v>
      </c>
      <c r="M289" s="45" t="str">
        <f t="shared" si="146"/>
        <v>@srjcsoftball</v>
      </c>
      <c r="N289" s="45" t="str">
        <f t="shared" si="147"/>
        <v>Questionnaire</v>
      </c>
      <c r="O289" s="48" t="s">
        <v>15746</v>
      </c>
      <c r="P289" s="60" t="s">
        <v>312</v>
      </c>
      <c r="Q289" s="48" t="s">
        <v>15747</v>
      </c>
      <c r="R289" s="48" t="s">
        <v>62</v>
      </c>
      <c r="S289" s="49" t="s">
        <v>74</v>
      </c>
      <c r="T289" s="48" t="s">
        <v>75</v>
      </c>
      <c r="U289" s="49" t="s">
        <v>3678</v>
      </c>
      <c r="V289" s="7" t="s">
        <v>214</v>
      </c>
      <c r="W289" s="49" t="s">
        <v>214</v>
      </c>
      <c r="X289" s="49" t="s">
        <v>214</v>
      </c>
      <c r="Y289" s="49" t="s">
        <v>214</v>
      </c>
      <c r="Z289" s="55" t="s">
        <v>214</v>
      </c>
      <c r="AA289" s="48" t="s">
        <v>15748</v>
      </c>
      <c r="AB289" s="84" t="s">
        <v>15746</v>
      </c>
      <c r="AC289" s="53" t="str">
        <f t="shared" si="148"/>
        <v>Link</v>
      </c>
      <c r="AD289" s="42">
        <v>21217</v>
      </c>
      <c r="AE289" s="55"/>
      <c r="AF289" s="55"/>
      <c r="AG289" s="56">
        <v>123013</v>
      </c>
      <c r="AH289" s="56"/>
      <c r="AI289" s="56"/>
    </row>
    <row r="290" spans="1:35" ht="15" x14ac:dyDescent="0.2">
      <c r="A290" s="110" t="s">
        <v>300</v>
      </c>
      <c r="B290" s="33" t="s">
        <v>12632</v>
      </c>
      <c r="C290" s="7" t="s">
        <v>15762</v>
      </c>
      <c r="D290" s="112">
        <v>5</v>
      </c>
      <c r="E290" s="7"/>
      <c r="F290" s="7"/>
      <c r="G290" s="2" t="s">
        <v>15742</v>
      </c>
      <c r="H290" s="2" t="s">
        <v>15763</v>
      </c>
      <c r="I290" s="2" t="s">
        <v>15764</v>
      </c>
      <c r="J290" s="2" t="s">
        <v>55</v>
      </c>
      <c r="K290" s="2"/>
      <c r="L290" s="2"/>
      <c r="M290" s="45" t="str">
        <f t="shared" si="146"/>
        <v>@srjcsoftball</v>
      </c>
      <c r="N290" s="45" t="str">
        <f t="shared" si="147"/>
        <v>Questionnaire</v>
      </c>
      <c r="O290" s="48" t="s">
        <v>15746</v>
      </c>
      <c r="P290" s="60" t="s">
        <v>312</v>
      </c>
      <c r="Q290" s="48" t="s">
        <v>15747</v>
      </c>
      <c r="R290" s="48" t="s">
        <v>62</v>
      </c>
      <c r="S290" s="49" t="s">
        <v>74</v>
      </c>
      <c r="T290" s="48" t="s">
        <v>75</v>
      </c>
      <c r="U290" s="49" t="s">
        <v>3678</v>
      </c>
      <c r="V290" s="7" t="s">
        <v>214</v>
      </c>
      <c r="W290" s="49" t="s">
        <v>214</v>
      </c>
      <c r="X290" s="49" t="s">
        <v>214</v>
      </c>
      <c r="Y290" s="49" t="s">
        <v>214</v>
      </c>
      <c r="Z290" s="55" t="s">
        <v>214</v>
      </c>
      <c r="AA290" s="48" t="s">
        <v>15748</v>
      </c>
      <c r="AB290" s="84" t="s">
        <v>15746</v>
      </c>
      <c r="AC290" s="53" t="str">
        <f t="shared" si="148"/>
        <v>Link</v>
      </c>
      <c r="AD290" s="42">
        <v>21217</v>
      </c>
      <c r="AE290" s="55"/>
      <c r="AF290" s="55"/>
      <c r="AG290" s="56">
        <v>123013</v>
      </c>
      <c r="AH290" s="56"/>
      <c r="AI290" s="56"/>
    </row>
    <row r="291" spans="1:35" ht="15" x14ac:dyDescent="0.2">
      <c r="A291" s="110" t="s">
        <v>300</v>
      </c>
      <c r="B291" s="33" t="s">
        <v>12632</v>
      </c>
      <c r="C291" s="7" t="s">
        <v>15768</v>
      </c>
      <c r="D291" s="112">
        <v>5</v>
      </c>
      <c r="E291" s="7"/>
      <c r="F291" s="7"/>
      <c r="G291" s="2" t="s">
        <v>15742</v>
      </c>
      <c r="H291" s="2" t="s">
        <v>981</v>
      </c>
      <c r="I291" s="2" t="s">
        <v>15769</v>
      </c>
      <c r="J291" s="2" t="s">
        <v>55</v>
      </c>
      <c r="K291" s="2"/>
      <c r="L291" s="2"/>
      <c r="M291" s="45" t="str">
        <f t="shared" si="146"/>
        <v>@srjcsoftball</v>
      </c>
      <c r="N291" s="45" t="str">
        <f t="shared" si="147"/>
        <v>Questionnaire</v>
      </c>
      <c r="O291" s="48" t="s">
        <v>15746</v>
      </c>
      <c r="P291" s="60" t="s">
        <v>312</v>
      </c>
      <c r="Q291" s="48" t="s">
        <v>15747</v>
      </c>
      <c r="R291" s="48" t="s">
        <v>62</v>
      </c>
      <c r="S291" s="49" t="s">
        <v>74</v>
      </c>
      <c r="T291" s="48" t="s">
        <v>75</v>
      </c>
      <c r="U291" s="49" t="s">
        <v>3678</v>
      </c>
      <c r="V291" s="7" t="s">
        <v>214</v>
      </c>
      <c r="W291" s="49" t="s">
        <v>214</v>
      </c>
      <c r="X291" s="49" t="s">
        <v>214</v>
      </c>
      <c r="Y291" s="49" t="s">
        <v>214</v>
      </c>
      <c r="Z291" s="55" t="s">
        <v>214</v>
      </c>
      <c r="AA291" s="48" t="s">
        <v>15748</v>
      </c>
      <c r="AB291" s="84" t="s">
        <v>15746</v>
      </c>
      <c r="AC291" s="53" t="str">
        <f t="shared" si="148"/>
        <v>Link</v>
      </c>
      <c r="AD291" s="42">
        <v>21217</v>
      </c>
      <c r="AE291" s="55"/>
      <c r="AF291" s="55"/>
      <c r="AG291" s="56">
        <v>123013</v>
      </c>
      <c r="AH291" s="56"/>
      <c r="AI291" s="56"/>
    </row>
    <row r="292" spans="1:35" ht="15" x14ac:dyDescent="0.2">
      <c r="A292" s="110" t="s">
        <v>300</v>
      </c>
      <c r="B292" s="33" t="s">
        <v>12632</v>
      </c>
      <c r="C292" s="7" t="s">
        <v>15773</v>
      </c>
      <c r="D292" s="112">
        <v>5</v>
      </c>
      <c r="E292" s="7"/>
      <c r="F292" s="7"/>
      <c r="G292" s="2" t="s">
        <v>15774</v>
      </c>
      <c r="H292" s="2" t="s">
        <v>15775</v>
      </c>
      <c r="I292" s="2" t="s">
        <v>15776</v>
      </c>
      <c r="J292" s="2" t="s">
        <v>48</v>
      </c>
      <c r="K292" s="2" t="s">
        <v>15777</v>
      </c>
      <c r="L292" s="2" t="s">
        <v>15778</v>
      </c>
      <c r="M292" s="45" t="str">
        <f t="shared" ref="M292:M295" si="149">HYPERLINK("twitter.com/scc_softball","@scc_softball")</f>
        <v>@scc_softball</v>
      </c>
      <c r="N292" s="45" t="str">
        <f t="shared" ref="N292:N295" si="150">HYPERLINK("https://sccollege.edu/Departments/Athletics/ProspectiveAthlete/Pages/ProsSA_Form.aspx","Questionnaire")</f>
        <v>Questionnaire</v>
      </c>
      <c r="O292" s="48" t="s">
        <v>15783</v>
      </c>
      <c r="P292" s="60" t="s">
        <v>312</v>
      </c>
      <c r="Q292" s="48" t="s">
        <v>407</v>
      </c>
      <c r="R292" s="48" t="s">
        <v>238</v>
      </c>
      <c r="S292" s="49" t="s">
        <v>74</v>
      </c>
      <c r="T292" s="48" t="s">
        <v>75</v>
      </c>
      <c r="U292" s="49" t="s">
        <v>3678</v>
      </c>
      <c r="V292" s="7" t="s">
        <v>214</v>
      </c>
      <c r="W292" s="49" t="s">
        <v>214</v>
      </c>
      <c r="X292" s="49" t="s">
        <v>214</v>
      </c>
      <c r="Y292" s="49" t="s">
        <v>214</v>
      </c>
      <c r="Z292" s="55" t="s">
        <v>214</v>
      </c>
      <c r="AA292" s="48" t="s">
        <v>15784</v>
      </c>
      <c r="AB292" s="84" t="s">
        <v>15783</v>
      </c>
      <c r="AC292" s="53" t="str">
        <f t="shared" ref="AC292:AC295" si="151">HYPERLINK("https://www.sccollege.edu/Departments/AcademicSenate/CICouncil/Documents/Degrees%20and%20Certificates/Degrees%20and%20Certificates.pdf","Link")</f>
        <v>Link</v>
      </c>
      <c r="AD292" s="42">
        <v>12065</v>
      </c>
      <c r="AE292" s="55"/>
      <c r="AF292" s="55"/>
      <c r="AG292" s="56">
        <v>399212</v>
      </c>
      <c r="AH292" s="56"/>
      <c r="AI292" s="56"/>
    </row>
    <row r="293" spans="1:35" ht="15" x14ac:dyDescent="0.2">
      <c r="A293" s="110" t="s">
        <v>300</v>
      </c>
      <c r="B293" s="33" t="s">
        <v>12632</v>
      </c>
      <c r="C293" s="7" t="s">
        <v>15789</v>
      </c>
      <c r="D293" s="112">
        <v>5</v>
      </c>
      <c r="E293" s="7"/>
      <c r="F293" s="7"/>
      <c r="G293" s="2" t="s">
        <v>15774</v>
      </c>
      <c r="H293" s="2" t="s">
        <v>222</v>
      </c>
      <c r="I293" s="2" t="s">
        <v>15791</v>
      </c>
      <c r="J293" s="2" t="s">
        <v>55</v>
      </c>
      <c r="K293" s="2"/>
      <c r="L293" s="2"/>
      <c r="M293" s="45" t="str">
        <f t="shared" si="149"/>
        <v>@scc_softball</v>
      </c>
      <c r="N293" s="45" t="str">
        <f t="shared" si="150"/>
        <v>Questionnaire</v>
      </c>
      <c r="O293" s="48" t="s">
        <v>15783</v>
      </c>
      <c r="P293" s="60" t="s">
        <v>312</v>
      </c>
      <c r="Q293" s="48" t="s">
        <v>407</v>
      </c>
      <c r="R293" s="48" t="s">
        <v>238</v>
      </c>
      <c r="S293" s="49" t="s">
        <v>74</v>
      </c>
      <c r="T293" s="48" t="s">
        <v>75</v>
      </c>
      <c r="U293" s="49" t="s">
        <v>3678</v>
      </c>
      <c r="V293" s="7" t="s">
        <v>214</v>
      </c>
      <c r="W293" s="49" t="s">
        <v>214</v>
      </c>
      <c r="X293" s="49" t="s">
        <v>214</v>
      </c>
      <c r="Y293" s="49" t="s">
        <v>214</v>
      </c>
      <c r="Z293" s="55" t="s">
        <v>214</v>
      </c>
      <c r="AA293" s="48" t="s">
        <v>15784</v>
      </c>
      <c r="AB293" s="84" t="s">
        <v>15783</v>
      </c>
      <c r="AC293" s="53" t="str">
        <f t="shared" si="151"/>
        <v>Link</v>
      </c>
      <c r="AD293" s="42">
        <v>12065</v>
      </c>
      <c r="AE293" s="55"/>
      <c r="AF293" s="55"/>
      <c r="AG293" s="56">
        <v>399212</v>
      </c>
      <c r="AH293" s="56"/>
      <c r="AI293" s="56"/>
    </row>
    <row r="294" spans="1:35" ht="15" x14ac:dyDescent="0.2">
      <c r="A294" s="110" t="s">
        <v>300</v>
      </c>
      <c r="B294" s="33" t="s">
        <v>12632</v>
      </c>
      <c r="C294" s="7" t="s">
        <v>15795</v>
      </c>
      <c r="D294" s="112">
        <v>5</v>
      </c>
      <c r="E294" s="7"/>
      <c r="F294" s="7"/>
      <c r="G294" s="2" t="s">
        <v>15774</v>
      </c>
      <c r="H294" s="2" t="s">
        <v>15796</v>
      </c>
      <c r="I294" s="2" t="s">
        <v>15797</v>
      </c>
      <c r="J294" s="33" t="s">
        <v>55</v>
      </c>
      <c r="K294" s="2"/>
      <c r="L294" s="2"/>
      <c r="M294" s="45" t="str">
        <f t="shared" si="149"/>
        <v>@scc_softball</v>
      </c>
      <c r="N294" s="45" t="str">
        <f t="shared" si="150"/>
        <v>Questionnaire</v>
      </c>
      <c r="O294" s="48" t="s">
        <v>15783</v>
      </c>
      <c r="P294" s="60" t="s">
        <v>312</v>
      </c>
      <c r="Q294" s="48" t="s">
        <v>407</v>
      </c>
      <c r="R294" s="48" t="s">
        <v>238</v>
      </c>
      <c r="S294" s="49" t="s">
        <v>74</v>
      </c>
      <c r="T294" s="48" t="s">
        <v>75</v>
      </c>
      <c r="U294" s="49" t="s">
        <v>3678</v>
      </c>
      <c r="V294" s="7" t="s">
        <v>214</v>
      </c>
      <c r="W294" s="49" t="s">
        <v>214</v>
      </c>
      <c r="X294" s="49" t="s">
        <v>214</v>
      </c>
      <c r="Y294" s="49" t="s">
        <v>214</v>
      </c>
      <c r="Z294" s="55" t="s">
        <v>214</v>
      </c>
      <c r="AA294" s="48" t="s">
        <v>15784</v>
      </c>
      <c r="AB294" s="84" t="s">
        <v>15783</v>
      </c>
      <c r="AC294" s="53" t="str">
        <f t="shared" si="151"/>
        <v>Link</v>
      </c>
      <c r="AD294" s="42">
        <v>12065</v>
      </c>
      <c r="AE294" s="55"/>
      <c r="AF294" s="55"/>
      <c r="AG294" s="56">
        <v>399212</v>
      </c>
      <c r="AH294" s="56"/>
      <c r="AI294" s="56"/>
    </row>
    <row r="295" spans="1:35" ht="15" x14ac:dyDescent="0.2">
      <c r="A295" s="110" t="s">
        <v>300</v>
      </c>
      <c r="B295" s="33" t="s">
        <v>12632</v>
      </c>
      <c r="C295" s="7" t="s">
        <v>15806</v>
      </c>
      <c r="D295" s="112">
        <v>5</v>
      </c>
      <c r="E295" s="7"/>
      <c r="F295" s="7"/>
      <c r="G295" s="2" t="s">
        <v>15774</v>
      </c>
      <c r="H295" s="2" t="s">
        <v>15807</v>
      </c>
      <c r="I295" s="2" t="s">
        <v>2420</v>
      </c>
      <c r="J295" s="33" t="s">
        <v>55</v>
      </c>
      <c r="K295" s="2"/>
      <c r="L295" s="2"/>
      <c r="M295" s="45" t="str">
        <f t="shared" si="149"/>
        <v>@scc_softball</v>
      </c>
      <c r="N295" s="45" t="str">
        <f t="shared" si="150"/>
        <v>Questionnaire</v>
      </c>
      <c r="O295" s="48" t="s">
        <v>15783</v>
      </c>
      <c r="P295" s="60" t="s">
        <v>312</v>
      </c>
      <c r="Q295" s="48" t="s">
        <v>407</v>
      </c>
      <c r="R295" s="48" t="s">
        <v>238</v>
      </c>
      <c r="S295" s="49" t="s">
        <v>74</v>
      </c>
      <c r="T295" s="48" t="s">
        <v>75</v>
      </c>
      <c r="U295" s="49" t="s">
        <v>3678</v>
      </c>
      <c r="V295" s="7" t="s">
        <v>214</v>
      </c>
      <c r="W295" s="49" t="s">
        <v>214</v>
      </c>
      <c r="X295" s="49" t="s">
        <v>214</v>
      </c>
      <c r="Y295" s="49" t="s">
        <v>214</v>
      </c>
      <c r="Z295" s="55" t="s">
        <v>214</v>
      </c>
      <c r="AA295" s="48" t="s">
        <v>15784</v>
      </c>
      <c r="AB295" s="84" t="s">
        <v>15783</v>
      </c>
      <c r="AC295" s="53" t="str">
        <f t="shared" si="151"/>
        <v>Link</v>
      </c>
      <c r="AD295" s="42">
        <v>12065</v>
      </c>
      <c r="AE295" s="55"/>
      <c r="AF295" s="55"/>
      <c r="AG295" s="56">
        <v>399212</v>
      </c>
      <c r="AH295" s="56"/>
      <c r="AI295" s="56"/>
    </row>
    <row r="296" spans="1:35" ht="13" x14ac:dyDescent="0.15">
      <c r="A296" s="110" t="s">
        <v>300</v>
      </c>
      <c r="B296" s="2" t="s">
        <v>12632</v>
      </c>
      <c r="C296" s="7" t="s">
        <v>15813</v>
      </c>
      <c r="D296" s="44">
        <v>5</v>
      </c>
      <c r="E296" s="7"/>
      <c r="F296" s="7"/>
      <c r="G296" s="7" t="s">
        <v>15814</v>
      </c>
      <c r="H296" s="7" t="s">
        <v>1159</v>
      </c>
      <c r="I296" s="7" t="s">
        <v>15816</v>
      </c>
      <c r="J296" s="7" t="s">
        <v>55</v>
      </c>
      <c r="K296" s="7" t="s">
        <v>15817</v>
      </c>
      <c r="L296" s="7" t="s">
        <v>15818</v>
      </c>
      <c r="M296" s="48"/>
      <c r="N296" s="48"/>
      <c r="O296" s="48" t="s">
        <v>15820</v>
      </c>
      <c r="P296" s="47" t="s">
        <v>312</v>
      </c>
      <c r="Q296" s="48" t="s">
        <v>15823</v>
      </c>
      <c r="R296" s="48" t="s">
        <v>238</v>
      </c>
      <c r="S296" s="49" t="s">
        <v>74</v>
      </c>
      <c r="T296" s="49" t="s">
        <v>75</v>
      </c>
      <c r="U296" s="49" t="s">
        <v>3678</v>
      </c>
      <c r="V296" s="7" t="s">
        <v>214</v>
      </c>
      <c r="W296" s="49" t="s">
        <v>214</v>
      </c>
      <c r="X296" s="49" t="s">
        <v>214</v>
      </c>
      <c r="Y296" s="49" t="s">
        <v>214</v>
      </c>
      <c r="Z296" s="55" t="s">
        <v>214</v>
      </c>
      <c r="AA296" s="48" t="s">
        <v>15825</v>
      </c>
      <c r="AB296" s="62" t="s">
        <v>15820</v>
      </c>
      <c r="AC296" s="53" t="str">
        <f t="shared" ref="AC296:AC300" si="152">HYPERLINK("http://www.cos.edu/StudentServices/Counseling/Pages/COS-Majors-Graduation.aspx","Link")</f>
        <v>Link</v>
      </c>
      <c r="AD296" s="54">
        <v>11959</v>
      </c>
      <c r="AE296" s="55"/>
      <c r="AF296" s="55"/>
      <c r="AG296" s="56">
        <v>123217</v>
      </c>
      <c r="AH296" s="56"/>
      <c r="AI296" s="56"/>
    </row>
    <row r="297" spans="1:35" ht="13" x14ac:dyDescent="0.15">
      <c r="A297" s="110" t="s">
        <v>300</v>
      </c>
      <c r="B297" s="2" t="s">
        <v>12632</v>
      </c>
      <c r="C297" s="7" t="s">
        <v>15827</v>
      </c>
      <c r="D297" s="44">
        <v>5</v>
      </c>
      <c r="E297" s="7"/>
      <c r="F297" s="7"/>
      <c r="G297" s="7" t="s">
        <v>15814</v>
      </c>
      <c r="H297" s="7" t="s">
        <v>1280</v>
      </c>
      <c r="I297" s="7" t="s">
        <v>15829</v>
      </c>
      <c r="J297" s="7" t="s">
        <v>55</v>
      </c>
      <c r="K297" s="7" t="s">
        <v>15832</v>
      </c>
      <c r="L297" s="7" t="s">
        <v>15833</v>
      </c>
      <c r="M297" s="48"/>
      <c r="N297" s="48"/>
      <c r="O297" s="48" t="s">
        <v>15820</v>
      </c>
      <c r="P297" s="47" t="s">
        <v>312</v>
      </c>
      <c r="Q297" s="48" t="s">
        <v>15823</v>
      </c>
      <c r="R297" s="48" t="s">
        <v>238</v>
      </c>
      <c r="S297" s="49" t="s">
        <v>74</v>
      </c>
      <c r="T297" s="49" t="s">
        <v>75</v>
      </c>
      <c r="U297" s="49" t="s">
        <v>3678</v>
      </c>
      <c r="V297" s="7" t="s">
        <v>214</v>
      </c>
      <c r="W297" s="49" t="s">
        <v>214</v>
      </c>
      <c r="X297" s="49" t="s">
        <v>214</v>
      </c>
      <c r="Y297" s="49" t="s">
        <v>214</v>
      </c>
      <c r="Z297" s="55" t="s">
        <v>214</v>
      </c>
      <c r="AA297" s="48" t="s">
        <v>15825</v>
      </c>
      <c r="AB297" s="62" t="s">
        <v>15820</v>
      </c>
      <c r="AC297" s="53" t="str">
        <f t="shared" si="152"/>
        <v>Link</v>
      </c>
      <c r="AD297" s="54">
        <v>11959</v>
      </c>
      <c r="AE297" s="55"/>
      <c r="AF297" s="55"/>
      <c r="AG297" s="56">
        <v>123217</v>
      </c>
      <c r="AH297" s="56"/>
      <c r="AI297" s="56"/>
    </row>
    <row r="298" spans="1:35" ht="13" x14ac:dyDescent="0.15">
      <c r="A298" s="64" t="s">
        <v>300</v>
      </c>
      <c r="B298" s="2" t="s">
        <v>12632</v>
      </c>
      <c r="C298" s="7" t="s">
        <v>15838</v>
      </c>
      <c r="D298" s="44">
        <v>5</v>
      </c>
      <c r="E298" s="7" t="s">
        <v>116</v>
      </c>
      <c r="F298" s="7"/>
      <c r="G298" s="7" t="s">
        <v>15814</v>
      </c>
      <c r="H298" s="7" t="s">
        <v>15840</v>
      </c>
      <c r="I298" s="7" t="s">
        <v>8926</v>
      </c>
      <c r="J298" s="7" t="s">
        <v>55</v>
      </c>
      <c r="K298" s="7"/>
      <c r="L298" s="7"/>
      <c r="M298" s="48"/>
      <c r="N298" s="48"/>
      <c r="O298" s="48" t="s">
        <v>15820</v>
      </c>
      <c r="P298" s="47" t="s">
        <v>312</v>
      </c>
      <c r="Q298" s="48" t="s">
        <v>15823</v>
      </c>
      <c r="R298" s="48" t="s">
        <v>238</v>
      </c>
      <c r="S298" s="49" t="s">
        <v>74</v>
      </c>
      <c r="T298" s="49" t="s">
        <v>75</v>
      </c>
      <c r="U298" s="49" t="s">
        <v>3678</v>
      </c>
      <c r="V298" s="7" t="s">
        <v>214</v>
      </c>
      <c r="W298" s="49" t="s">
        <v>214</v>
      </c>
      <c r="X298" s="49" t="s">
        <v>214</v>
      </c>
      <c r="Y298" s="49" t="s">
        <v>214</v>
      </c>
      <c r="Z298" s="55" t="s">
        <v>214</v>
      </c>
      <c r="AA298" s="48" t="s">
        <v>15825</v>
      </c>
      <c r="AB298" s="62" t="s">
        <v>15820</v>
      </c>
      <c r="AC298" s="53" t="str">
        <f t="shared" si="152"/>
        <v>Link</v>
      </c>
      <c r="AD298" s="54">
        <v>11959</v>
      </c>
      <c r="AE298" s="55"/>
      <c r="AF298" s="55"/>
      <c r="AG298" s="56">
        <v>123217</v>
      </c>
      <c r="AH298" s="85"/>
      <c r="AI298" s="85"/>
    </row>
    <row r="299" spans="1:35" ht="13" x14ac:dyDescent="0.15">
      <c r="A299" s="64" t="s">
        <v>300</v>
      </c>
      <c r="B299" s="2" t="s">
        <v>12632</v>
      </c>
      <c r="C299" s="7" t="s">
        <v>15843</v>
      </c>
      <c r="D299" s="44">
        <v>5</v>
      </c>
      <c r="E299" s="7" t="s">
        <v>116</v>
      </c>
      <c r="F299" s="7"/>
      <c r="G299" s="7" t="s">
        <v>15814</v>
      </c>
      <c r="H299" s="7" t="s">
        <v>1159</v>
      </c>
      <c r="I299" s="7" t="s">
        <v>15816</v>
      </c>
      <c r="J299" s="7" t="s">
        <v>55</v>
      </c>
      <c r="K299" s="7" t="s">
        <v>15817</v>
      </c>
      <c r="L299" s="7" t="s">
        <v>15818</v>
      </c>
      <c r="M299" s="48"/>
      <c r="N299" s="48"/>
      <c r="O299" s="48" t="s">
        <v>15820</v>
      </c>
      <c r="P299" s="47" t="s">
        <v>312</v>
      </c>
      <c r="Q299" s="48" t="s">
        <v>15823</v>
      </c>
      <c r="R299" s="48" t="s">
        <v>238</v>
      </c>
      <c r="S299" s="49" t="s">
        <v>74</v>
      </c>
      <c r="T299" s="49" t="s">
        <v>75</v>
      </c>
      <c r="U299" s="49" t="s">
        <v>3678</v>
      </c>
      <c r="V299" s="7" t="s">
        <v>214</v>
      </c>
      <c r="W299" s="49" t="s">
        <v>214</v>
      </c>
      <c r="X299" s="49" t="s">
        <v>214</v>
      </c>
      <c r="Y299" s="49" t="s">
        <v>214</v>
      </c>
      <c r="Z299" s="55" t="s">
        <v>214</v>
      </c>
      <c r="AA299" s="48" t="s">
        <v>15825</v>
      </c>
      <c r="AB299" s="62" t="s">
        <v>15820</v>
      </c>
      <c r="AC299" s="53" t="str">
        <f t="shared" si="152"/>
        <v>Link</v>
      </c>
      <c r="AD299" s="54">
        <v>11959</v>
      </c>
      <c r="AE299" s="55"/>
      <c r="AF299" s="55"/>
      <c r="AG299" s="56">
        <v>123217</v>
      </c>
      <c r="AH299" s="85"/>
      <c r="AI299" s="85"/>
    </row>
    <row r="300" spans="1:35" ht="15" x14ac:dyDescent="0.2">
      <c r="A300" s="110" t="s">
        <v>300</v>
      </c>
      <c r="B300" s="33" t="s">
        <v>12632</v>
      </c>
      <c r="C300" s="7" t="s">
        <v>15852</v>
      </c>
      <c r="D300" s="112">
        <v>5</v>
      </c>
      <c r="E300" s="7"/>
      <c r="F300" s="7"/>
      <c r="G300" s="33" t="s">
        <v>15814</v>
      </c>
      <c r="H300" s="2" t="s">
        <v>1412</v>
      </c>
      <c r="I300" s="2" t="s">
        <v>15855</v>
      </c>
      <c r="J300" s="33" t="s">
        <v>48</v>
      </c>
      <c r="K300" s="7" t="s">
        <v>15856</v>
      </c>
      <c r="L300" s="7" t="s">
        <v>15818</v>
      </c>
      <c r="M300" s="45" t="str">
        <f>HYPERLINK("twitter.com/siskiyousftball","@siskiyousftball")</f>
        <v>@siskiyousftball</v>
      </c>
      <c r="N300" s="45" t="str">
        <f>HYPERLINK("http://cosgiants.com/recruits/Prospective_Student_Athletic","Questionnaire")</f>
        <v>Questionnaire</v>
      </c>
      <c r="O300" s="48" t="s">
        <v>15820</v>
      </c>
      <c r="P300" s="60" t="s">
        <v>312</v>
      </c>
      <c r="Q300" s="48" t="s">
        <v>15823</v>
      </c>
      <c r="R300" s="48" t="s">
        <v>238</v>
      </c>
      <c r="S300" s="49" t="s">
        <v>74</v>
      </c>
      <c r="T300" s="48" t="s">
        <v>75</v>
      </c>
      <c r="U300" s="49" t="s">
        <v>3678</v>
      </c>
      <c r="V300" s="7" t="s">
        <v>214</v>
      </c>
      <c r="W300" s="49" t="s">
        <v>214</v>
      </c>
      <c r="X300" s="49" t="s">
        <v>214</v>
      </c>
      <c r="Y300" s="49" t="s">
        <v>214</v>
      </c>
      <c r="Z300" s="55" t="s">
        <v>214</v>
      </c>
      <c r="AA300" s="48" t="s">
        <v>15825</v>
      </c>
      <c r="AB300" s="84" t="s">
        <v>15820</v>
      </c>
      <c r="AC300" s="53" t="str">
        <f t="shared" si="152"/>
        <v>Link</v>
      </c>
      <c r="AD300" s="42">
        <v>11959</v>
      </c>
      <c r="AE300" s="55"/>
      <c r="AF300" s="55"/>
      <c r="AG300" s="56">
        <v>123217</v>
      </c>
      <c r="AH300" s="56"/>
      <c r="AI300" s="56"/>
    </row>
    <row r="301" spans="1:35" ht="15" x14ac:dyDescent="0.2">
      <c r="A301" s="110" t="s">
        <v>300</v>
      </c>
      <c r="B301" s="33" t="s">
        <v>12632</v>
      </c>
      <c r="C301" s="7" t="s">
        <v>15861</v>
      </c>
      <c r="D301" s="112">
        <v>5</v>
      </c>
      <c r="E301" s="7"/>
      <c r="F301" s="7"/>
      <c r="G301" s="33" t="s">
        <v>15862</v>
      </c>
      <c r="H301" s="2" t="s">
        <v>206</v>
      </c>
      <c r="I301" s="2" t="s">
        <v>15863</v>
      </c>
      <c r="J301" s="2" t="s">
        <v>48</v>
      </c>
      <c r="K301" s="2" t="s">
        <v>15865</v>
      </c>
      <c r="L301" s="2" t="s">
        <v>15866</v>
      </c>
      <c r="M301" s="48"/>
      <c r="N301" s="45" t="str">
        <f t="shared" ref="N301:N302" si="153">HYPERLINK("http://www.shastacollege.edu/Academic%20Affairs/SPECS/Athletics/Pages/10708.aspx","Questionnaire")</f>
        <v>Questionnaire</v>
      </c>
      <c r="O301" s="48" t="s">
        <v>15870</v>
      </c>
      <c r="P301" s="60" t="s">
        <v>312</v>
      </c>
      <c r="Q301" s="48" t="s">
        <v>15858</v>
      </c>
      <c r="R301" s="48" t="s">
        <v>238</v>
      </c>
      <c r="S301" s="5" t="s">
        <v>74</v>
      </c>
      <c r="T301" s="48" t="s">
        <v>75</v>
      </c>
      <c r="U301" s="49" t="s">
        <v>3678</v>
      </c>
      <c r="V301" s="7" t="s">
        <v>214</v>
      </c>
      <c r="W301" s="49" t="s">
        <v>214</v>
      </c>
      <c r="X301" s="49" t="s">
        <v>214</v>
      </c>
      <c r="Y301" s="49" t="s">
        <v>214</v>
      </c>
      <c r="Z301" s="55" t="s">
        <v>214</v>
      </c>
      <c r="AA301" s="48" t="s">
        <v>15874</v>
      </c>
      <c r="AB301" s="84" t="s">
        <v>15870</v>
      </c>
      <c r="AC301" s="53" t="str">
        <f t="shared" ref="AC301:AC302" si="154">HYPERLINK("http://www.shastacollege.edu/Academic%20Affairs/Lists/Degrees_and_Certificates/DegreesCertificates.aspx","Link")</f>
        <v>Link</v>
      </c>
      <c r="AD301" s="42">
        <v>9289</v>
      </c>
      <c r="AE301" s="55"/>
      <c r="AF301" s="55"/>
      <c r="AG301" s="56">
        <v>123299</v>
      </c>
      <c r="AH301" s="56"/>
      <c r="AI301" s="56"/>
    </row>
    <row r="302" spans="1:35" ht="15" x14ac:dyDescent="0.2">
      <c r="A302" s="110" t="s">
        <v>300</v>
      </c>
      <c r="B302" s="33" t="s">
        <v>12632</v>
      </c>
      <c r="C302" s="7" t="s">
        <v>15877</v>
      </c>
      <c r="D302" s="112">
        <v>5</v>
      </c>
      <c r="E302" s="7"/>
      <c r="F302" s="7"/>
      <c r="G302" s="33" t="s">
        <v>15862</v>
      </c>
      <c r="H302" s="2" t="s">
        <v>6294</v>
      </c>
      <c r="I302" s="2" t="s">
        <v>15878</v>
      </c>
      <c r="J302" s="2" t="s">
        <v>55</v>
      </c>
      <c r="K302" s="2"/>
      <c r="L302" s="2"/>
      <c r="M302" s="48"/>
      <c r="N302" s="45" t="str">
        <f t="shared" si="153"/>
        <v>Questionnaire</v>
      </c>
      <c r="O302" s="48" t="s">
        <v>15870</v>
      </c>
      <c r="P302" s="60" t="s">
        <v>312</v>
      </c>
      <c r="Q302" s="48" t="s">
        <v>15858</v>
      </c>
      <c r="R302" s="48" t="s">
        <v>238</v>
      </c>
      <c r="S302" s="5" t="s">
        <v>74</v>
      </c>
      <c r="T302" s="48" t="s">
        <v>75</v>
      </c>
      <c r="U302" s="49" t="s">
        <v>3678</v>
      </c>
      <c r="V302" s="7" t="s">
        <v>214</v>
      </c>
      <c r="W302" s="49" t="s">
        <v>214</v>
      </c>
      <c r="X302" s="49" t="s">
        <v>214</v>
      </c>
      <c r="Y302" s="49" t="s">
        <v>214</v>
      </c>
      <c r="Z302" s="55" t="s">
        <v>214</v>
      </c>
      <c r="AA302" s="48" t="s">
        <v>15874</v>
      </c>
      <c r="AB302" s="84" t="s">
        <v>15870</v>
      </c>
      <c r="AC302" s="53" t="str">
        <f t="shared" si="154"/>
        <v>Link</v>
      </c>
      <c r="AD302" s="42">
        <v>9289</v>
      </c>
      <c r="AE302" s="55"/>
      <c r="AF302" s="55"/>
      <c r="AG302" s="56">
        <v>123299</v>
      </c>
      <c r="AH302" s="56"/>
      <c r="AI302" s="56"/>
    </row>
    <row r="303" spans="1:35" ht="15" x14ac:dyDescent="0.2">
      <c r="A303" s="110" t="s">
        <v>300</v>
      </c>
      <c r="B303" s="33" t="s">
        <v>12632</v>
      </c>
      <c r="C303" s="7" t="s">
        <v>15881</v>
      </c>
      <c r="D303" s="112">
        <v>5</v>
      </c>
      <c r="E303" s="7"/>
      <c r="F303" s="7"/>
      <c r="G303" s="2" t="s">
        <v>15882</v>
      </c>
      <c r="H303" s="34" t="s">
        <v>15883</v>
      </c>
      <c r="I303" s="2" t="s">
        <v>15884</v>
      </c>
      <c r="J303" s="33" t="s">
        <v>48</v>
      </c>
      <c r="K303" s="138" t="s">
        <v>15885</v>
      </c>
      <c r="L303" s="2" t="s">
        <v>15886</v>
      </c>
      <c r="M303" s="48"/>
      <c r="N303" s="45" t="str">
        <f t="shared" ref="N303:N307" si="155">HYPERLINK("http://athletics.sierracollege.edu/become-a-wolverine","Questionnaire")</f>
        <v>Questionnaire</v>
      </c>
      <c r="O303" s="48" t="s">
        <v>5161</v>
      </c>
      <c r="P303" s="60" t="s">
        <v>312</v>
      </c>
      <c r="Q303" s="48" t="s">
        <v>15887</v>
      </c>
      <c r="R303" s="48" t="s">
        <v>186</v>
      </c>
      <c r="S303" s="5" t="s">
        <v>74</v>
      </c>
      <c r="T303" s="48" t="s">
        <v>75</v>
      </c>
      <c r="U303" s="49" t="s">
        <v>3678</v>
      </c>
      <c r="V303" s="7" t="s">
        <v>214</v>
      </c>
      <c r="W303" s="49" t="s">
        <v>214</v>
      </c>
      <c r="X303" s="49" t="s">
        <v>214</v>
      </c>
      <c r="Y303" s="49" t="s">
        <v>214</v>
      </c>
      <c r="Z303" s="55" t="s">
        <v>214</v>
      </c>
      <c r="AA303" s="48" t="s">
        <v>15891</v>
      </c>
      <c r="AB303" s="84" t="s">
        <v>5161</v>
      </c>
      <c r="AC303" s="53" t="str">
        <f t="shared" ref="AC303:AC307" si="156">HYPERLINK("https://www.sierracollege.edu/academics/catalog/programs-of-study.php","Link")</f>
        <v>Link</v>
      </c>
      <c r="AD303" s="42">
        <v>17833</v>
      </c>
      <c r="AE303" s="55"/>
      <c r="AF303" s="55"/>
      <c r="AG303" s="56">
        <v>123341</v>
      </c>
      <c r="AH303" s="56"/>
      <c r="AI303" s="56"/>
    </row>
    <row r="304" spans="1:35" ht="15" x14ac:dyDescent="0.2">
      <c r="A304" s="110" t="s">
        <v>300</v>
      </c>
      <c r="B304" s="33" t="s">
        <v>12632</v>
      </c>
      <c r="C304" s="7" t="s">
        <v>15893</v>
      </c>
      <c r="D304" s="112">
        <v>5</v>
      </c>
      <c r="E304" s="7"/>
      <c r="F304" s="7"/>
      <c r="G304" s="2" t="s">
        <v>15882</v>
      </c>
      <c r="H304" s="34" t="s">
        <v>2541</v>
      </c>
      <c r="I304" s="2" t="s">
        <v>15894</v>
      </c>
      <c r="J304" s="33" t="s">
        <v>55</v>
      </c>
      <c r="K304" s="2" t="s">
        <v>15895</v>
      </c>
      <c r="L304" s="2" t="s">
        <v>15896</v>
      </c>
      <c r="M304" s="48"/>
      <c r="N304" s="45" t="str">
        <f t="shared" si="155"/>
        <v>Questionnaire</v>
      </c>
      <c r="O304" s="48" t="s">
        <v>5161</v>
      </c>
      <c r="P304" s="60" t="s">
        <v>312</v>
      </c>
      <c r="Q304" s="48" t="s">
        <v>15887</v>
      </c>
      <c r="R304" s="48" t="s">
        <v>186</v>
      </c>
      <c r="S304" s="5" t="s">
        <v>74</v>
      </c>
      <c r="T304" s="48" t="s">
        <v>75</v>
      </c>
      <c r="U304" s="49" t="s">
        <v>3678</v>
      </c>
      <c r="V304" s="7" t="s">
        <v>214</v>
      </c>
      <c r="W304" s="49" t="s">
        <v>214</v>
      </c>
      <c r="X304" s="49" t="s">
        <v>214</v>
      </c>
      <c r="Y304" s="49" t="s">
        <v>214</v>
      </c>
      <c r="Z304" s="55" t="s">
        <v>214</v>
      </c>
      <c r="AA304" s="48" t="s">
        <v>15891</v>
      </c>
      <c r="AB304" s="84" t="s">
        <v>5161</v>
      </c>
      <c r="AC304" s="53" t="str">
        <f t="shared" si="156"/>
        <v>Link</v>
      </c>
      <c r="AD304" s="42">
        <v>17833</v>
      </c>
      <c r="AE304" s="55"/>
      <c r="AF304" s="55"/>
      <c r="AG304" s="56">
        <v>123341</v>
      </c>
      <c r="AH304" s="56"/>
      <c r="AI304" s="56"/>
    </row>
    <row r="305" spans="1:35" ht="15" x14ac:dyDescent="0.2">
      <c r="A305" s="110" t="s">
        <v>300</v>
      </c>
      <c r="B305" s="33" t="s">
        <v>12632</v>
      </c>
      <c r="C305" s="7" t="s">
        <v>15904</v>
      </c>
      <c r="D305" s="112">
        <v>5</v>
      </c>
      <c r="E305" s="7"/>
      <c r="F305" s="7"/>
      <c r="G305" s="2" t="s">
        <v>15882</v>
      </c>
      <c r="H305" s="34" t="s">
        <v>6721</v>
      </c>
      <c r="I305" s="2" t="s">
        <v>15905</v>
      </c>
      <c r="J305" s="33" t="s">
        <v>55</v>
      </c>
      <c r="K305" s="2"/>
      <c r="L305" s="2"/>
      <c r="M305" s="48"/>
      <c r="N305" s="45" t="str">
        <f t="shared" si="155"/>
        <v>Questionnaire</v>
      </c>
      <c r="O305" s="48" t="s">
        <v>5161</v>
      </c>
      <c r="P305" s="60" t="s">
        <v>312</v>
      </c>
      <c r="Q305" s="48" t="s">
        <v>15887</v>
      </c>
      <c r="R305" s="48" t="s">
        <v>186</v>
      </c>
      <c r="S305" s="5" t="s">
        <v>74</v>
      </c>
      <c r="T305" s="48" t="s">
        <v>75</v>
      </c>
      <c r="U305" s="49" t="s">
        <v>3678</v>
      </c>
      <c r="V305" s="7" t="s">
        <v>214</v>
      </c>
      <c r="W305" s="49" t="s">
        <v>214</v>
      </c>
      <c r="X305" s="49" t="s">
        <v>214</v>
      </c>
      <c r="Y305" s="49" t="s">
        <v>214</v>
      </c>
      <c r="Z305" s="55" t="s">
        <v>214</v>
      </c>
      <c r="AA305" s="48" t="s">
        <v>15891</v>
      </c>
      <c r="AB305" s="84" t="s">
        <v>5161</v>
      </c>
      <c r="AC305" s="53" t="str">
        <f t="shared" si="156"/>
        <v>Link</v>
      </c>
      <c r="AD305" s="42">
        <v>17833</v>
      </c>
      <c r="AE305" s="55"/>
      <c r="AF305" s="55"/>
      <c r="AG305" s="56">
        <v>123341</v>
      </c>
      <c r="AH305" s="56"/>
      <c r="AI305" s="56"/>
    </row>
    <row r="306" spans="1:35" ht="15" x14ac:dyDescent="0.2">
      <c r="A306" s="110" t="s">
        <v>300</v>
      </c>
      <c r="B306" s="33" t="s">
        <v>12632</v>
      </c>
      <c r="C306" s="7" t="s">
        <v>15908</v>
      </c>
      <c r="D306" s="112">
        <v>5</v>
      </c>
      <c r="E306" s="7"/>
      <c r="F306" s="7"/>
      <c r="G306" s="2" t="s">
        <v>15882</v>
      </c>
      <c r="H306" s="138" t="s">
        <v>7816</v>
      </c>
      <c r="I306" s="2" t="s">
        <v>695</v>
      </c>
      <c r="J306" s="33" t="s">
        <v>55</v>
      </c>
      <c r="K306" s="2"/>
      <c r="L306" s="2"/>
      <c r="M306" s="48"/>
      <c r="N306" s="45" t="str">
        <f t="shared" si="155"/>
        <v>Questionnaire</v>
      </c>
      <c r="O306" s="48" t="s">
        <v>5161</v>
      </c>
      <c r="P306" s="60" t="s">
        <v>312</v>
      </c>
      <c r="Q306" s="48" t="s">
        <v>15887</v>
      </c>
      <c r="R306" s="48" t="s">
        <v>186</v>
      </c>
      <c r="S306" s="5" t="s">
        <v>74</v>
      </c>
      <c r="T306" s="48" t="s">
        <v>75</v>
      </c>
      <c r="U306" s="49" t="s">
        <v>3678</v>
      </c>
      <c r="V306" s="7" t="s">
        <v>214</v>
      </c>
      <c r="W306" s="49" t="s">
        <v>214</v>
      </c>
      <c r="X306" s="49" t="s">
        <v>214</v>
      </c>
      <c r="Y306" s="49" t="s">
        <v>214</v>
      </c>
      <c r="Z306" s="55" t="s">
        <v>214</v>
      </c>
      <c r="AA306" s="48" t="s">
        <v>15891</v>
      </c>
      <c r="AB306" s="84" t="s">
        <v>5161</v>
      </c>
      <c r="AC306" s="53" t="str">
        <f t="shared" si="156"/>
        <v>Link</v>
      </c>
      <c r="AD306" s="42">
        <v>17833</v>
      </c>
      <c r="AE306" s="55"/>
      <c r="AF306" s="55"/>
      <c r="AG306" s="56">
        <v>123341</v>
      </c>
      <c r="AH306" s="56"/>
      <c r="AI306" s="56"/>
    </row>
    <row r="307" spans="1:35" ht="15" x14ac:dyDescent="0.2">
      <c r="A307" s="110" t="s">
        <v>300</v>
      </c>
      <c r="B307" s="33" t="s">
        <v>12632</v>
      </c>
      <c r="C307" s="7" t="s">
        <v>15910</v>
      </c>
      <c r="D307" s="112">
        <v>5</v>
      </c>
      <c r="E307" s="7"/>
      <c r="F307" s="7"/>
      <c r="G307" s="2" t="s">
        <v>15882</v>
      </c>
      <c r="H307" s="138" t="s">
        <v>1258</v>
      </c>
      <c r="I307" s="2" t="s">
        <v>15912</v>
      </c>
      <c r="J307" s="33" t="s">
        <v>55</v>
      </c>
      <c r="K307" s="2"/>
      <c r="L307" s="2"/>
      <c r="M307" s="48"/>
      <c r="N307" s="45" t="str">
        <f t="shared" si="155"/>
        <v>Questionnaire</v>
      </c>
      <c r="O307" s="48" t="s">
        <v>5161</v>
      </c>
      <c r="P307" s="60" t="s">
        <v>312</v>
      </c>
      <c r="Q307" s="48" t="s">
        <v>15887</v>
      </c>
      <c r="R307" s="48" t="s">
        <v>186</v>
      </c>
      <c r="S307" s="5" t="s">
        <v>74</v>
      </c>
      <c r="T307" s="48" t="s">
        <v>75</v>
      </c>
      <c r="U307" s="49" t="s">
        <v>3678</v>
      </c>
      <c r="V307" s="7" t="s">
        <v>214</v>
      </c>
      <c r="W307" s="49" t="s">
        <v>214</v>
      </c>
      <c r="X307" s="49" t="s">
        <v>214</v>
      </c>
      <c r="Y307" s="49" t="s">
        <v>214</v>
      </c>
      <c r="Z307" s="55" t="s">
        <v>214</v>
      </c>
      <c r="AA307" s="48" t="s">
        <v>15891</v>
      </c>
      <c r="AB307" s="84" t="s">
        <v>5161</v>
      </c>
      <c r="AC307" s="53" t="str">
        <f t="shared" si="156"/>
        <v>Link</v>
      </c>
      <c r="AD307" s="42">
        <v>17833</v>
      </c>
      <c r="AE307" s="55"/>
      <c r="AF307" s="55"/>
      <c r="AG307" s="56">
        <v>123341</v>
      </c>
      <c r="AH307" s="56"/>
      <c r="AI307" s="56"/>
    </row>
    <row r="308" spans="1:35" ht="15" x14ac:dyDescent="0.2">
      <c r="A308" s="110" t="s">
        <v>300</v>
      </c>
      <c r="B308" s="33" t="s">
        <v>12632</v>
      </c>
      <c r="C308" s="7" t="s">
        <v>15916</v>
      </c>
      <c r="D308" s="112">
        <v>5</v>
      </c>
      <c r="E308" s="7"/>
      <c r="F308" s="7"/>
      <c r="G308" s="33" t="s">
        <v>15917</v>
      </c>
      <c r="H308" s="2" t="s">
        <v>2658</v>
      </c>
      <c r="I308" s="2" t="s">
        <v>6218</v>
      </c>
      <c r="J308" s="33" t="s">
        <v>48</v>
      </c>
      <c r="K308" s="2" t="s">
        <v>15918</v>
      </c>
      <c r="L308" s="2" t="s">
        <v>15919</v>
      </c>
      <c r="M308" s="45" t="str">
        <f t="shared" ref="M308:M309" si="157">HYPERLINK("twitter.com/siskiyousftball","@siskiyousftball")</f>
        <v>@siskiyousftball</v>
      </c>
      <c r="N308" s="48" t="s">
        <v>22</v>
      </c>
      <c r="O308" s="60" t="s">
        <v>15928</v>
      </c>
      <c r="P308" s="60" t="s">
        <v>312</v>
      </c>
      <c r="Q308" s="48" t="s">
        <v>15929</v>
      </c>
      <c r="R308" s="60" t="s">
        <v>205</v>
      </c>
      <c r="S308" s="49" t="s">
        <v>74</v>
      </c>
      <c r="T308" s="48" t="s">
        <v>75</v>
      </c>
      <c r="U308" s="49" t="s">
        <v>3678</v>
      </c>
      <c r="V308" s="7" t="s">
        <v>214</v>
      </c>
      <c r="W308" s="49" t="s">
        <v>214</v>
      </c>
      <c r="X308" s="49" t="s">
        <v>214</v>
      </c>
      <c r="Y308" s="49" t="s">
        <v>214</v>
      </c>
      <c r="Z308" s="49" t="s">
        <v>214</v>
      </c>
      <c r="AA308" s="48" t="s">
        <v>15930</v>
      </c>
      <c r="AB308" s="90" t="s">
        <v>15928</v>
      </c>
      <c r="AC308" s="53" t="str">
        <f t="shared" ref="AC308:AC309" si="158">HYPERLINK("http://www.siskiyous.edu/counseling/majors.htm","Link")</f>
        <v>Link</v>
      </c>
      <c r="AD308" s="42">
        <v>2316</v>
      </c>
      <c r="AE308" s="55"/>
      <c r="AF308" s="55"/>
      <c r="AG308" s="56">
        <v>123484</v>
      </c>
      <c r="AH308" s="56"/>
      <c r="AI308" s="56"/>
    </row>
    <row r="309" spans="1:35" ht="15" x14ac:dyDescent="0.2">
      <c r="A309" s="110" t="s">
        <v>300</v>
      </c>
      <c r="B309" s="33" t="s">
        <v>12632</v>
      </c>
      <c r="C309" s="7" t="s">
        <v>15934</v>
      </c>
      <c r="D309" s="112">
        <v>5</v>
      </c>
      <c r="E309" s="7"/>
      <c r="F309" s="7"/>
      <c r="G309" s="33" t="s">
        <v>15917</v>
      </c>
      <c r="H309" s="2" t="s">
        <v>3293</v>
      </c>
      <c r="I309" s="2" t="s">
        <v>15936</v>
      </c>
      <c r="J309" s="33" t="s">
        <v>55</v>
      </c>
      <c r="K309" s="2"/>
      <c r="L309" s="2"/>
      <c r="M309" s="45" t="str">
        <f t="shared" si="157"/>
        <v>@siskiyousftball</v>
      </c>
      <c r="N309" s="48" t="s">
        <v>22</v>
      </c>
      <c r="O309" s="60" t="s">
        <v>15928</v>
      </c>
      <c r="P309" s="60" t="s">
        <v>312</v>
      </c>
      <c r="Q309" s="48" t="s">
        <v>15929</v>
      </c>
      <c r="R309" s="60" t="s">
        <v>205</v>
      </c>
      <c r="S309" s="49" t="s">
        <v>74</v>
      </c>
      <c r="T309" s="48" t="s">
        <v>75</v>
      </c>
      <c r="U309" s="49" t="s">
        <v>3678</v>
      </c>
      <c r="V309" s="7" t="s">
        <v>214</v>
      </c>
      <c r="W309" s="49" t="s">
        <v>214</v>
      </c>
      <c r="X309" s="49" t="s">
        <v>214</v>
      </c>
      <c r="Y309" s="49" t="s">
        <v>214</v>
      </c>
      <c r="Z309" s="49" t="s">
        <v>214</v>
      </c>
      <c r="AA309" s="48" t="s">
        <v>15930</v>
      </c>
      <c r="AB309" s="90" t="s">
        <v>15928</v>
      </c>
      <c r="AC309" s="53" t="str">
        <f t="shared" si="158"/>
        <v>Link</v>
      </c>
      <c r="AD309" s="42">
        <v>2316</v>
      </c>
      <c r="AE309" s="55"/>
      <c r="AF309" s="55"/>
      <c r="AG309" s="56">
        <v>123484</v>
      </c>
      <c r="AH309" s="56"/>
      <c r="AI309" s="56"/>
    </row>
    <row r="310" spans="1:35" ht="15" x14ac:dyDescent="0.2">
      <c r="A310" s="110" t="s">
        <v>300</v>
      </c>
      <c r="B310" s="33" t="s">
        <v>12632</v>
      </c>
      <c r="C310" s="7" t="s">
        <v>15938</v>
      </c>
      <c r="D310" s="112">
        <v>5</v>
      </c>
      <c r="E310" s="7"/>
      <c r="F310" s="7"/>
      <c r="G310" s="2" t="s">
        <v>15939</v>
      </c>
      <c r="H310" s="2" t="s">
        <v>1148</v>
      </c>
      <c r="I310" s="2" t="s">
        <v>1530</v>
      </c>
      <c r="J310" s="33" t="s">
        <v>48</v>
      </c>
      <c r="K310" s="2" t="s">
        <v>15943</v>
      </c>
      <c r="L310" s="2" t="s">
        <v>15945</v>
      </c>
      <c r="M310" s="45" t="str">
        <f t="shared" ref="M310:M314" si="159">HYPERLINK("twitter.com/Solano_Softball","@Solano_Softball")</f>
        <v>@Solano_Softball</v>
      </c>
      <c r="N310" s="45" t="str">
        <f t="shared" ref="N310:N314" si="160">HYPERLINK("https://www.solanoathletics.com/recruits/index","Questionnaire")</f>
        <v>Questionnaire</v>
      </c>
      <c r="O310" s="48" t="s">
        <v>15950</v>
      </c>
      <c r="P310" s="60" t="s">
        <v>312</v>
      </c>
      <c r="Q310" s="48" t="s">
        <v>204</v>
      </c>
      <c r="R310" s="48" t="s">
        <v>238</v>
      </c>
      <c r="S310" s="49" t="s">
        <v>74</v>
      </c>
      <c r="T310" s="48" t="s">
        <v>75</v>
      </c>
      <c r="U310" s="49" t="s">
        <v>3678</v>
      </c>
      <c r="V310" s="7" t="s">
        <v>214</v>
      </c>
      <c r="W310" s="49" t="s">
        <v>214</v>
      </c>
      <c r="X310" s="49" t="s">
        <v>214</v>
      </c>
      <c r="Y310" s="49" t="s">
        <v>214</v>
      </c>
      <c r="Z310" s="55" t="s">
        <v>214</v>
      </c>
      <c r="AA310" s="48" t="s">
        <v>15958</v>
      </c>
      <c r="AB310" s="62" t="s">
        <v>15950</v>
      </c>
      <c r="AC310" s="53" t="str">
        <f t="shared" ref="AC310:AC314" si="161">HYPERLINK("http://www.solano.edu/degrees/","Link")</f>
        <v>Link</v>
      </c>
      <c r="AD310" s="54">
        <v>9736</v>
      </c>
      <c r="AE310" s="55"/>
      <c r="AF310" s="55"/>
      <c r="AG310" s="56">
        <v>123563</v>
      </c>
      <c r="AH310" s="56"/>
      <c r="AI310" s="56"/>
    </row>
    <row r="311" spans="1:35" ht="15" x14ac:dyDescent="0.2">
      <c r="A311" s="110" t="s">
        <v>300</v>
      </c>
      <c r="B311" s="33" t="s">
        <v>12632</v>
      </c>
      <c r="C311" s="7" t="s">
        <v>15960</v>
      </c>
      <c r="D311" s="112">
        <v>5</v>
      </c>
      <c r="E311" s="7"/>
      <c r="F311" s="7"/>
      <c r="G311" s="2" t="s">
        <v>15939</v>
      </c>
      <c r="H311" s="2" t="s">
        <v>14327</v>
      </c>
      <c r="I311" s="2" t="s">
        <v>15962</v>
      </c>
      <c r="J311" s="2" t="s">
        <v>55</v>
      </c>
      <c r="K311" s="130" t="s">
        <v>15963</v>
      </c>
      <c r="L311" s="2"/>
      <c r="M311" s="45" t="str">
        <f t="shared" si="159"/>
        <v>@Solano_Softball</v>
      </c>
      <c r="N311" s="45" t="str">
        <f t="shared" si="160"/>
        <v>Questionnaire</v>
      </c>
      <c r="O311" s="48" t="s">
        <v>15950</v>
      </c>
      <c r="P311" s="60" t="s">
        <v>312</v>
      </c>
      <c r="Q311" s="48" t="s">
        <v>204</v>
      </c>
      <c r="R311" s="48" t="s">
        <v>238</v>
      </c>
      <c r="S311" s="49" t="s">
        <v>74</v>
      </c>
      <c r="T311" s="48" t="s">
        <v>75</v>
      </c>
      <c r="U311" s="49" t="s">
        <v>3678</v>
      </c>
      <c r="V311" s="7" t="s">
        <v>214</v>
      </c>
      <c r="W311" s="49" t="s">
        <v>214</v>
      </c>
      <c r="X311" s="49" t="s">
        <v>214</v>
      </c>
      <c r="Y311" s="49" t="s">
        <v>214</v>
      </c>
      <c r="Z311" s="55" t="s">
        <v>214</v>
      </c>
      <c r="AA311" s="48" t="s">
        <v>15958</v>
      </c>
      <c r="AB311" s="62" t="s">
        <v>15950</v>
      </c>
      <c r="AC311" s="53" t="str">
        <f t="shared" si="161"/>
        <v>Link</v>
      </c>
      <c r="AD311" s="54">
        <v>9736</v>
      </c>
      <c r="AE311" s="55"/>
      <c r="AF311" s="55"/>
      <c r="AG311" s="56">
        <v>123563</v>
      </c>
      <c r="AH311" s="56"/>
      <c r="AI311" s="56"/>
    </row>
    <row r="312" spans="1:35" ht="15" x14ac:dyDescent="0.2">
      <c r="A312" s="110" t="s">
        <v>300</v>
      </c>
      <c r="B312" s="33" t="s">
        <v>12632</v>
      </c>
      <c r="C312" s="7" t="s">
        <v>15973</v>
      </c>
      <c r="D312" s="112">
        <v>5</v>
      </c>
      <c r="E312" s="7"/>
      <c r="F312" s="7"/>
      <c r="G312" s="2" t="s">
        <v>15939</v>
      </c>
      <c r="H312" s="33" t="s">
        <v>15974</v>
      </c>
      <c r="I312" s="2" t="s">
        <v>11685</v>
      </c>
      <c r="J312" s="33" t="s">
        <v>55</v>
      </c>
      <c r="K312" s="2"/>
      <c r="L312" s="2"/>
      <c r="M312" s="45" t="str">
        <f t="shared" si="159"/>
        <v>@Solano_Softball</v>
      </c>
      <c r="N312" s="45" t="str">
        <f t="shared" si="160"/>
        <v>Questionnaire</v>
      </c>
      <c r="O312" s="48" t="s">
        <v>15950</v>
      </c>
      <c r="P312" s="60" t="s">
        <v>312</v>
      </c>
      <c r="Q312" s="48" t="s">
        <v>204</v>
      </c>
      <c r="R312" s="48" t="s">
        <v>238</v>
      </c>
      <c r="S312" s="49" t="s">
        <v>74</v>
      </c>
      <c r="T312" s="48" t="s">
        <v>75</v>
      </c>
      <c r="U312" s="49" t="s">
        <v>3678</v>
      </c>
      <c r="V312" s="7" t="s">
        <v>214</v>
      </c>
      <c r="W312" s="49" t="s">
        <v>214</v>
      </c>
      <c r="X312" s="49" t="s">
        <v>214</v>
      </c>
      <c r="Y312" s="49" t="s">
        <v>214</v>
      </c>
      <c r="Z312" s="55" t="s">
        <v>214</v>
      </c>
      <c r="AA312" s="48" t="s">
        <v>15958</v>
      </c>
      <c r="AB312" s="62" t="s">
        <v>15950</v>
      </c>
      <c r="AC312" s="53" t="str">
        <f t="shared" si="161"/>
        <v>Link</v>
      </c>
      <c r="AD312" s="54">
        <v>9736</v>
      </c>
      <c r="AE312" s="55"/>
      <c r="AF312" s="55"/>
      <c r="AG312" s="56">
        <v>123563</v>
      </c>
      <c r="AH312" s="56"/>
      <c r="AI312" s="56"/>
    </row>
    <row r="313" spans="1:35" ht="15" x14ac:dyDescent="0.2">
      <c r="A313" s="110" t="s">
        <v>300</v>
      </c>
      <c r="B313" s="33" t="s">
        <v>12632</v>
      </c>
      <c r="C313" s="7" t="s">
        <v>15979</v>
      </c>
      <c r="D313" s="112">
        <v>5</v>
      </c>
      <c r="E313" s="7"/>
      <c r="F313" s="7"/>
      <c r="G313" s="2" t="s">
        <v>15939</v>
      </c>
      <c r="H313" s="2" t="s">
        <v>8725</v>
      </c>
      <c r="I313" s="2" t="s">
        <v>15984</v>
      </c>
      <c r="J313" s="2" t="s">
        <v>55</v>
      </c>
      <c r="K313" s="2"/>
      <c r="L313" s="2"/>
      <c r="M313" s="45" t="str">
        <f t="shared" si="159"/>
        <v>@Solano_Softball</v>
      </c>
      <c r="N313" s="45" t="str">
        <f t="shared" si="160"/>
        <v>Questionnaire</v>
      </c>
      <c r="O313" s="48" t="s">
        <v>15950</v>
      </c>
      <c r="P313" s="60" t="s">
        <v>312</v>
      </c>
      <c r="Q313" s="48" t="s">
        <v>204</v>
      </c>
      <c r="R313" s="48" t="s">
        <v>238</v>
      </c>
      <c r="S313" s="49" t="s">
        <v>74</v>
      </c>
      <c r="T313" s="48" t="s">
        <v>75</v>
      </c>
      <c r="U313" s="49" t="s">
        <v>3678</v>
      </c>
      <c r="V313" s="7" t="s">
        <v>214</v>
      </c>
      <c r="W313" s="49" t="s">
        <v>214</v>
      </c>
      <c r="X313" s="49" t="s">
        <v>214</v>
      </c>
      <c r="Y313" s="49" t="s">
        <v>214</v>
      </c>
      <c r="Z313" s="55" t="s">
        <v>214</v>
      </c>
      <c r="AA313" s="48" t="s">
        <v>15958</v>
      </c>
      <c r="AB313" s="62" t="s">
        <v>15950</v>
      </c>
      <c r="AC313" s="53" t="str">
        <f t="shared" si="161"/>
        <v>Link</v>
      </c>
      <c r="AD313" s="54">
        <v>9736</v>
      </c>
      <c r="AE313" s="55"/>
      <c r="AF313" s="55"/>
      <c r="AG313" s="56">
        <v>123563</v>
      </c>
      <c r="AH313" s="56"/>
      <c r="AI313" s="56"/>
    </row>
    <row r="314" spans="1:35" ht="15" x14ac:dyDescent="0.2">
      <c r="A314" s="110" t="s">
        <v>300</v>
      </c>
      <c r="B314" s="33" t="s">
        <v>12632</v>
      </c>
      <c r="C314" s="7" t="s">
        <v>15988</v>
      </c>
      <c r="D314" s="112">
        <v>5</v>
      </c>
      <c r="E314" s="7"/>
      <c r="F314" s="7"/>
      <c r="G314" s="2" t="s">
        <v>15939</v>
      </c>
      <c r="H314" s="2" t="s">
        <v>421</v>
      </c>
      <c r="I314" s="2"/>
      <c r="J314" s="33" t="s">
        <v>55</v>
      </c>
      <c r="K314" s="2"/>
      <c r="L314" s="2"/>
      <c r="M314" s="45" t="str">
        <f t="shared" si="159"/>
        <v>@Solano_Softball</v>
      </c>
      <c r="N314" s="45" t="str">
        <f t="shared" si="160"/>
        <v>Questionnaire</v>
      </c>
      <c r="O314" s="48" t="s">
        <v>15950</v>
      </c>
      <c r="P314" s="60" t="s">
        <v>312</v>
      </c>
      <c r="Q314" s="48" t="s">
        <v>204</v>
      </c>
      <c r="R314" s="48" t="s">
        <v>238</v>
      </c>
      <c r="S314" s="49" t="s">
        <v>74</v>
      </c>
      <c r="T314" s="48" t="s">
        <v>75</v>
      </c>
      <c r="U314" s="49" t="s">
        <v>3678</v>
      </c>
      <c r="V314" s="7" t="s">
        <v>214</v>
      </c>
      <c r="W314" s="49" t="s">
        <v>214</v>
      </c>
      <c r="X314" s="49" t="s">
        <v>214</v>
      </c>
      <c r="Y314" s="49" t="s">
        <v>214</v>
      </c>
      <c r="Z314" s="55" t="s">
        <v>214</v>
      </c>
      <c r="AA314" s="48" t="s">
        <v>15958</v>
      </c>
      <c r="AB314" s="62" t="s">
        <v>15950</v>
      </c>
      <c r="AC314" s="53" t="str">
        <f t="shared" si="161"/>
        <v>Link</v>
      </c>
      <c r="AD314" s="54">
        <v>9736</v>
      </c>
      <c r="AE314" s="55"/>
      <c r="AF314" s="55"/>
      <c r="AG314" s="56">
        <v>123563</v>
      </c>
      <c r="AH314" s="56"/>
      <c r="AI314" s="56"/>
    </row>
    <row r="315" spans="1:35" ht="15" x14ac:dyDescent="0.2">
      <c r="A315" s="64" t="s">
        <v>300</v>
      </c>
      <c r="B315" s="33" t="s">
        <v>12632</v>
      </c>
      <c r="C315" s="7" t="s">
        <v>15991</v>
      </c>
      <c r="D315" s="44">
        <v>5</v>
      </c>
      <c r="E315" s="7" t="s">
        <v>116</v>
      </c>
      <c r="F315" s="7"/>
      <c r="G315" s="33" t="s">
        <v>15992</v>
      </c>
      <c r="H315" s="7" t="s">
        <v>15993</v>
      </c>
      <c r="I315" s="7" t="s">
        <v>15994</v>
      </c>
      <c r="J315" s="7" t="s">
        <v>55</v>
      </c>
      <c r="K315" s="7"/>
      <c r="L315" s="7"/>
      <c r="M315" s="45" t="str">
        <f t="shared" ref="M315:M319" si="162">HYPERLINK("twitter.com/swcsoftball","@swcsoftball")</f>
        <v>@swcsoftball</v>
      </c>
      <c r="N315" s="45" t="str">
        <f t="shared" ref="N315:N319" si="163">HYPERLINK("https://www.southwesternjaguars.com/recruits/index","Questionnaire")</f>
        <v>Questionnaire</v>
      </c>
      <c r="O315" s="48" t="s">
        <v>16001</v>
      </c>
      <c r="P315" s="60" t="s">
        <v>312</v>
      </c>
      <c r="Q315" s="48" t="s">
        <v>16002</v>
      </c>
      <c r="R315" s="48" t="s">
        <v>62</v>
      </c>
      <c r="S315" s="49" t="s">
        <v>74</v>
      </c>
      <c r="T315" s="48" t="s">
        <v>75</v>
      </c>
      <c r="U315" s="49" t="s">
        <v>3678</v>
      </c>
      <c r="V315" s="7" t="s">
        <v>214</v>
      </c>
      <c r="W315" s="49" t="s">
        <v>214</v>
      </c>
      <c r="X315" s="49" t="s">
        <v>214</v>
      </c>
      <c r="Y315" s="49" t="s">
        <v>214</v>
      </c>
      <c r="Z315" s="55" t="s">
        <v>214</v>
      </c>
      <c r="AA315" s="48" t="s">
        <v>16004</v>
      </c>
      <c r="AB315" s="84" t="s">
        <v>16001</v>
      </c>
      <c r="AC315" s="53" t="str">
        <f t="shared" ref="AC315:AC319" si="164">HYPERLINK("http://www.swccd.edu/index.aspx?page=2080","Link")</f>
        <v>Link</v>
      </c>
      <c r="AD315" s="42">
        <v>2467</v>
      </c>
      <c r="AE315" s="55"/>
      <c r="AF315" s="55"/>
      <c r="AG315" s="56">
        <v>123800</v>
      </c>
      <c r="AH315" s="85"/>
      <c r="AI315" s="85"/>
    </row>
    <row r="316" spans="1:35" ht="15" x14ac:dyDescent="0.2">
      <c r="A316" s="64" t="s">
        <v>300</v>
      </c>
      <c r="B316" s="33" t="s">
        <v>12632</v>
      </c>
      <c r="C316" s="7" t="s">
        <v>16010</v>
      </c>
      <c r="D316" s="44">
        <v>5</v>
      </c>
      <c r="E316" s="7" t="s">
        <v>116</v>
      </c>
      <c r="F316" s="7"/>
      <c r="G316" s="33" t="s">
        <v>15992</v>
      </c>
      <c r="H316" s="7" t="s">
        <v>16012</v>
      </c>
      <c r="I316" s="7" t="s">
        <v>2574</v>
      </c>
      <c r="J316" s="7" t="s">
        <v>55</v>
      </c>
      <c r="K316" s="7"/>
      <c r="L316" s="7"/>
      <c r="M316" s="45" t="str">
        <f t="shared" si="162"/>
        <v>@swcsoftball</v>
      </c>
      <c r="N316" s="45" t="str">
        <f t="shared" si="163"/>
        <v>Questionnaire</v>
      </c>
      <c r="O316" s="48" t="s">
        <v>16001</v>
      </c>
      <c r="P316" s="60" t="s">
        <v>312</v>
      </c>
      <c r="Q316" s="48" t="s">
        <v>16002</v>
      </c>
      <c r="R316" s="48" t="s">
        <v>62</v>
      </c>
      <c r="S316" s="49" t="s">
        <v>74</v>
      </c>
      <c r="T316" s="48" t="s">
        <v>75</v>
      </c>
      <c r="U316" s="49" t="s">
        <v>3678</v>
      </c>
      <c r="V316" s="7" t="s">
        <v>214</v>
      </c>
      <c r="W316" s="49" t="s">
        <v>214</v>
      </c>
      <c r="X316" s="49" t="s">
        <v>214</v>
      </c>
      <c r="Y316" s="49" t="s">
        <v>214</v>
      </c>
      <c r="Z316" s="55" t="s">
        <v>214</v>
      </c>
      <c r="AA316" s="48" t="s">
        <v>16004</v>
      </c>
      <c r="AB316" s="84" t="s">
        <v>16001</v>
      </c>
      <c r="AC316" s="53" t="str">
        <f t="shared" si="164"/>
        <v>Link</v>
      </c>
      <c r="AD316" s="42">
        <v>2467</v>
      </c>
      <c r="AE316" s="55"/>
      <c r="AF316" s="55"/>
      <c r="AG316" s="56">
        <v>123800</v>
      </c>
      <c r="AH316" s="85"/>
      <c r="AI316" s="85"/>
    </row>
    <row r="317" spans="1:35" ht="15" x14ac:dyDescent="0.2">
      <c r="A317" s="64" t="s">
        <v>300</v>
      </c>
      <c r="B317" s="33" t="s">
        <v>12632</v>
      </c>
      <c r="C317" s="7" t="s">
        <v>16020</v>
      </c>
      <c r="D317" s="44">
        <v>5</v>
      </c>
      <c r="E317" s="7" t="s">
        <v>116</v>
      </c>
      <c r="F317" s="7"/>
      <c r="G317" s="33" t="s">
        <v>15992</v>
      </c>
      <c r="H317" s="7" t="s">
        <v>2556</v>
      </c>
      <c r="I317" s="7" t="s">
        <v>16021</v>
      </c>
      <c r="J317" s="7" t="s">
        <v>55</v>
      </c>
      <c r="K317" s="7"/>
      <c r="L317" s="7"/>
      <c r="M317" s="45" t="str">
        <f t="shared" si="162"/>
        <v>@swcsoftball</v>
      </c>
      <c r="N317" s="45" t="str">
        <f t="shared" si="163"/>
        <v>Questionnaire</v>
      </c>
      <c r="O317" s="48" t="s">
        <v>16001</v>
      </c>
      <c r="P317" s="60" t="s">
        <v>312</v>
      </c>
      <c r="Q317" s="48" t="s">
        <v>16002</v>
      </c>
      <c r="R317" s="48" t="s">
        <v>62</v>
      </c>
      <c r="S317" s="49" t="s">
        <v>74</v>
      </c>
      <c r="T317" s="48" t="s">
        <v>75</v>
      </c>
      <c r="U317" s="49" t="s">
        <v>3678</v>
      </c>
      <c r="V317" s="7" t="s">
        <v>214</v>
      </c>
      <c r="W317" s="49" t="s">
        <v>214</v>
      </c>
      <c r="X317" s="49" t="s">
        <v>214</v>
      </c>
      <c r="Y317" s="49" t="s">
        <v>214</v>
      </c>
      <c r="Z317" s="55" t="s">
        <v>214</v>
      </c>
      <c r="AA317" s="48" t="s">
        <v>16004</v>
      </c>
      <c r="AB317" s="84" t="s">
        <v>16001</v>
      </c>
      <c r="AC317" s="53" t="str">
        <f t="shared" si="164"/>
        <v>Link</v>
      </c>
      <c r="AD317" s="42">
        <v>2467</v>
      </c>
      <c r="AE317" s="55"/>
      <c r="AF317" s="55"/>
      <c r="AG317" s="56">
        <v>123800</v>
      </c>
      <c r="AH317" s="85"/>
      <c r="AI317" s="85"/>
    </row>
    <row r="318" spans="1:35" ht="15" x14ac:dyDescent="0.2">
      <c r="A318" s="110" t="s">
        <v>300</v>
      </c>
      <c r="B318" s="33" t="s">
        <v>12632</v>
      </c>
      <c r="C318" s="7" t="s">
        <v>16024</v>
      </c>
      <c r="D318" s="112">
        <v>5</v>
      </c>
      <c r="E318" s="7"/>
      <c r="F318" s="7"/>
      <c r="G318" s="33" t="s">
        <v>15992</v>
      </c>
      <c r="H318" s="2" t="s">
        <v>16026</v>
      </c>
      <c r="I318" s="2" t="s">
        <v>16027</v>
      </c>
      <c r="J318" s="33" t="s">
        <v>48</v>
      </c>
      <c r="K318" s="2" t="s">
        <v>16028</v>
      </c>
      <c r="L318" s="2" t="s">
        <v>16030</v>
      </c>
      <c r="M318" s="45" t="str">
        <f t="shared" si="162"/>
        <v>@swcsoftball</v>
      </c>
      <c r="N318" s="45" t="str">
        <f t="shared" si="163"/>
        <v>Questionnaire</v>
      </c>
      <c r="O318" s="48" t="s">
        <v>16001</v>
      </c>
      <c r="P318" s="60" t="s">
        <v>312</v>
      </c>
      <c r="Q318" s="48" t="s">
        <v>16002</v>
      </c>
      <c r="R318" s="48" t="s">
        <v>62</v>
      </c>
      <c r="S318" s="49" t="s">
        <v>74</v>
      </c>
      <c r="T318" s="48" t="s">
        <v>75</v>
      </c>
      <c r="U318" s="49" t="s">
        <v>3678</v>
      </c>
      <c r="V318" s="7" t="s">
        <v>214</v>
      </c>
      <c r="W318" s="49" t="s">
        <v>214</v>
      </c>
      <c r="X318" s="49" t="s">
        <v>214</v>
      </c>
      <c r="Y318" s="49" t="s">
        <v>214</v>
      </c>
      <c r="Z318" s="55" t="s">
        <v>214</v>
      </c>
      <c r="AA318" s="48" t="s">
        <v>16004</v>
      </c>
      <c r="AB318" s="84" t="s">
        <v>16001</v>
      </c>
      <c r="AC318" s="53" t="str">
        <f t="shared" si="164"/>
        <v>Link</v>
      </c>
      <c r="AD318" s="42">
        <v>2467</v>
      </c>
      <c r="AE318" s="55"/>
      <c r="AF318" s="55"/>
      <c r="AG318" s="56">
        <v>123800</v>
      </c>
      <c r="AH318" s="56"/>
      <c r="AI318" s="56"/>
    </row>
    <row r="319" spans="1:35" ht="15" x14ac:dyDescent="0.2">
      <c r="A319" s="110" t="s">
        <v>300</v>
      </c>
      <c r="B319" s="33" t="s">
        <v>12632</v>
      </c>
      <c r="C319" s="7" t="s">
        <v>16035</v>
      </c>
      <c r="D319" s="112">
        <v>5</v>
      </c>
      <c r="E319" s="7"/>
      <c r="F319" s="7" t="s">
        <v>126</v>
      </c>
      <c r="G319" s="33" t="s">
        <v>15992</v>
      </c>
      <c r="H319" s="2" t="s">
        <v>16037</v>
      </c>
      <c r="I319" s="2"/>
      <c r="J319" s="2"/>
      <c r="K319" s="2"/>
      <c r="L319" s="2"/>
      <c r="M319" s="45" t="str">
        <f t="shared" si="162"/>
        <v>@swcsoftball</v>
      </c>
      <c r="N319" s="45" t="str">
        <f t="shared" si="163"/>
        <v>Questionnaire</v>
      </c>
      <c r="O319" s="48" t="s">
        <v>16001</v>
      </c>
      <c r="P319" s="60" t="s">
        <v>312</v>
      </c>
      <c r="Q319" s="48" t="s">
        <v>16002</v>
      </c>
      <c r="R319" s="48" t="s">
        <v>62</v>
      </c>
      <c r="S319" s="49" t="s">
        <v>74</v>
      </c>
      <c r="T319" s="48" t="s">
        <v>75</v>
      </c>
      <c r="U319" s="49" t="s">
        <v>3678</v>
      </c>
      <c r="V319" s="7" t="s">
        <v>214</v>
      </c>
      <c r="W319" s="49" t="s">
        <v>214</v>
      </c>
      <c r="X319" s="49" t="s">
        <v>214</v>
      </c>
      <c r="Y319" s="49" t="s">
        <v>214</v>
      </c>
      <c r="Z319" s="55" t="s">
        <v>214</v>
      </c>
      <c r="AA319" s="48" t="s">
        <v>16004</v>
      </c>
      <c r="AB319" s="84" t="s">
        <v>16001</v>
      </c>
      <c r="AC319" s="53" t="str">
        <f t="shared" si="164"/>
        <v>Link</v>
      </c>
      <c r="AD319" s="42">
        <v>2467</v>
      </c>
      <c r="AE319" s="55"/>
      <c r="AF319" s="55"/>
      <c r="AG319" s="56">
        <v>123800</v>
      </c>
      <c r="AH319" s="56"/>
      <c r="AI319" s="56"/>
    </row>
    <row r="320" spans="1:35" ht="15" x14ac:dyDescent="0.2">
      <c r="A320" s="110" t="s">
        <v>300</v>
      </c>
      <c r="B320" s="33" t="s">
        <v>12632</v>
      </c>
      <c r="C320" s="7" t="s">
        <v>16041</v>
      </c>
      <c r="D320" s="112">
        <v>5</v>
      </c>
      <c r="E320" s="7"/>
      <c r="F320" s="7"/>
      <c r="G320" s="33" t="s">
        <v>16042</v>
      </c>
      <c r="H320" s="2" t="s">
        <v>10305</v>
      </c>
      <c r="I320" s="2" t="s">
        <v>16044</v>
      </c>
      <c r="J320" s="2" t="s">
        <v>48</v>
      </c>
      <c r="K320" s="2" t="s">
        <v>16045</v>
      </c>
      <c r="L320" s="2" t="s">
        <v>16046</v>
      </c>
      <c r="M320" s="45" t="str">
        <f t="shared" ref="M320:M321" si="165">HYPERLINK("twitter.com/taftcollegesb","@taftcollegesb")</f>
        <v>@taftcollegesb</v>
      </c>
      <c r="N320" s="45" t="str">
        <f t="shared" ref="N320:N321" si="166">HYPERLINK("http://athletics.taftcollege.edu/sports/sball/Player_Questionnaire","Questionnaire")</f>
        <v>Questionnaire</v>
      </c>
      <c r="O320" s="48" t="s">
        <v>16052</v>
      </c>
      <c r="P320" s="60" t="s">
        <v>312</v>
      </c>
      <c r="Q320" s="48" t="s">
        <v>16053</v>
      </c>
      <c r="R320" s="60" t="s">
        <v>205</v>
      </c>
      <c r="S320" s="49" t="s">
        <v>74</v>
      </c>
      <c r="T320" s="48" t="s">
        <v>75</v>
      </c>
      <c r="U320" s="49" t="s">
        <v>3678</v>
      </c>
      <c r="V320" s="7" t="s">
        <v>214</v>
      </c>
      <c r="W320" s="49" t="s">
        <v>214</v>
      </c>
      <c r="X320" s="49" t="s">
        <v>214</v>
      </c>
      <c r="Y320" s="49" t="s">
        <v>214</v>
      </c>
      <c r="Z320" s="55" t="s">
        <v>214</v>
      </c>
      <c r="AA320" s="48" t="s">
        <v>16058</v>
      </c>
      <c r="AB320" s="84" t="s">
        <v>16052</v>
      </c>
      <c r="AC320" s="53" t="str">
        <f t="shared" ref="AC320:AC321" si="167">HYPERLINK("https://www.taftcollege.edu/academics/","Link")</f>
        <v>Link</v>
      </c>
      <c r="AD320" s="42">
        <v>6025</v>
      </c>
      <c r="AE320" s="55"/>
      <c r="AF320" s="55"/>
      <c r="AG320" s="56">
        <v>124113</v>
      </c>
      <c r="AH320" s="56"/>
      <c r="AI320" s="56"/>
    </row>
    <row r="321" spans="1:35" ht="15" x14ac:dyDescent="0.2">
      <c r="A321" s="110" t="s">
        <v>300</v>
      </c>
      <c r="B321" s="33" t="s">
        <v>12632</v>
      </c>
      <c r="C321" s="7" t="s">
        <v>16062</v>
      </c>
      <c r="D321" s="112">
        <v>5</v>
      </c>
      <c r="E321" s="7"/>
      <c r="F321" s="7"/>
      <c r="G321" s="33" t="s">
        <v>16042</v>
      </c>
      <c r="H321" s="2" t="s">
        <v>1137</v>
      </c>
      <c r="I321" s="2" t="s">
        <v>16063</v>
      </c>
      <c r="J321" s="2" t="s">
        <v>55</v>
      </c>
      <c r="K321" s="2"/>
      <c r="L321" s="2" t="s">
        <v>16064</v>
      </c>
      <c r="M321" s="45" t="str">
        <f t="shared" si="165"/>
        <v>@taftcollegesb</v>
      </c>
      <c r="N321" s="45" t="str">
        <f t="shared" si="166"/>
        <v>Questionnaire</v>
      </c>
      <c r="O321" s="48" t="s">
        <v>16052</v>
      </c>
      <c r="P321" s="60" t="s">
        <v>312</v>
      </c>
      <c r="Q321" s="48" t="s">
        <v>16053</v>
      </c>
      <c r="R321" s="60" t="s">
        <v>205</v>
      </c>
      <c r="S321" s="49" t="s">
        <v>74</v>
      </c>
      <c r="T321" s="48" t="s">
        <v>75</v>
      </c>
      <c r="U321" s="49" t="s">
        <v>3678</v>
      </c>
      <c r="V321" s="7" t="s">
        <v>214</v>
      </c>
      <c r="W321" s="49" t="s">
        <v>214</v>
      </c>
      <c r="X321" s="49" t="s">
        <v>214</v>
      </c>
      <c r="Y321" s="49" t="s">
        <v>214</v>
      </c>
      <c r="Z321" s="55" t="s">
        <v>214</v>
      </c>
      <c r="AA321" s="48" t="s">
        <v>16058</v>
      </c>
      <c r="AB321" s="84" t="s">
        <v>16052</v>
      </c>
      <c r="AC321" s="53" t="str">
        <f t="shared" si="167"/>
        <v>Link</v>
      </c>
      <c r="AD321" s="42">
        <v>6025</v>
      </c>
      <c r="AE321" s="55"/>
      <c r="AF321" s="55"/>
      <c r="AG321" s="56">
        <v>124113</v>
      </c>
      <c r="AH321" s="56"/>
      <c r="AI321" s="56"/>
    </row>
    <row r="322" spans="1:35" ht="15" x14ac:dyDescent="0.2">
      <c r="A322" s="110" t="s">
        <v>300</v>
      </c>
      <c r="B322" s="33" t="s">
        <v>12632</v>
      </c>
      <c r="C322" s="7" t="s">
        <v>16072</v>
      </c>
      <c r="D322" s="112">
        <v>5</v>
      </c>
      <c r="E322" s="7"/>
      <c r="F322" s="7"/>
      <c r="G322" s="2" t="s">
        <v>16074</v>
      </c>
      <c r="H322" s="2" t="s">
        <v>16075</v>
      </c>
      <c r="I322" s="2" t="s">
        <v>1631</v>
      </c>
      <c r="J322" s="2" t="s">
        <v>48</v>
      </c>
      <c r="K322" s="2" t="s">
        <v>16077</v>
      </c>
      <c r="L322" s="2" t="s">
        <v>16078</v>
      </c>
      <c r="M322" s="45" t="str">
        <f t="shared" ref="M322:M323" si="168">HYPERLINK("twitter.com/vcpiratesb","@vcpiratesb")</f>
        <v>@vcpiratesb</v>
      </c>
      <c r="N322" s="45" t="str">
        <f t="shared" ref="N322:N323" si="169">HYPERLINK("http://www.vcweplayhard.com/recruits/recruit_questionnaire","Questionnaire")</f>
        <v>Questionnaire</v>
      </c>
      <c r="O322" s="48" t="s">
        <v>16082</v>
      </c>
      <c r="P322" s="60" t="s">
        <v>312</v>
      </c>
      <c r="Q322" s="48" t="s">
        <v>15231</v>
      </c>
      <c r="R322" s="48" t="s">
        <v>238</v>
      </c>
      <c r="S322" s="49" t="s">
        <v>74</v>
      </c>
      <c r="T322" s="48" t="s">
        <v>75</v>
      </c>
      <c r="U322" s="49" t="s">
        <v>3678</v>
      </c>
      <c r="V322" s="7" t="s">
        <v>214</v>
      </c>
      <c r="W322" s="49" t="s">
        <v>214</v>
      </c>
      <c r="X322" s="49" t="s">
        <v>214</v>
      </c>
      <c r="Y322" s="49" t="s">
        <v>214</v>
      </c>
      <c r="Z322" s="55" t="s">
        <v>214</v>
      </c>
      <c r="AA322" s="48" t="s">
        <v>14871</v>
      </c>
      <c r="AB322" s="84" t="s">
        <v>16082</v>
      </c>
      <c r="AC322" s="53" t="str">
        <f t="shared" ref="AC322:AC323" si="170">HYPERLINK("http://www.venturacollege.edu/departments/academic","Link")</f>
        <v>Link</v>
      </c>
      <c r="AD322" s="42">
        <v>12851</v>
      </c>
      <c r="AE322" s="55"/>
      <c r="AF322" s="55"/>
      <c r="AG322" s="56">
        <v>125028</v>
      </c>
      <c r="AH322" s="56"/>
      <c r="AI322" s="56"/>
    </row>
    <row r="323" spans="1:35" ht="15" x14ac:dyDescent="0.2">
      <c r="A323" s="110" t="s">
        <v>300</v>
      </c>
      <c r="B323" s="33" t="s">
        <v>12632</v>
      </c>
      <c r="C323" s="7" t="s">
        <v>16084</v>
      </c>
      <c r="D323" s="112">
        <v>5</v>
      </c>
      <c r="E323" s="7"/>
      <c r="F323" s="7"/>
      <c r="G323" s="2" t="s">
        <v>16074</v>
      </c>
      <c r="H323" s="2" t="s">
        <v>16086</v>
      </c>
      <c r="I323" s="2" t="s">
        <v>1287</v>
      </c>
      <c r="J323" s="2" t="s">
        <v>55</v>
      </c>
      <c r="K323" s="2" t="s">
        <v>16088</v>
      </c>
      <c r="L323" s="2" t="s">
        <v>16078</v>
      </c>
      <c r="M323" s="45" t="str">
        <f t="shared" si="168"/>
        <v>@vcpiratesb</v>
      </c>
      <c r="N323" s="45" t="str">
        <f t="shared" si="169"/>
        <v>Questionnaire</v>
      </c>
      <c r="O323" s="48" t="s">
        <v>16082</v>
      </c>
      <c r="P323" s="60" t="s">
        <v>312</v>
      </c>
      <c r="Q323" s="48" t="s">
        <v>15231</v>
      </c>
      <c r="R323" s="48" t="s">
        <v>238</v>
      </c>
      <c r="S323" s="49" t="s">
        <v>74</v>
      </c>
      <c r="T323" s="48" t="s">
        <v>75</v>
      </c>
      <c r="U323" s="49" t="s">
        <v>3678</v>
      </c>
      <c r="V323" s="7" t="s">
        <v>214</v>
      </c>
      <c r="W323" s="49" t="s">
        <v>214</v>
      </c>
      <c r="X323" s="49" t="s">
        <v>214</v>
      </c>
      <c r="Y323" s="49" t="s">
        <v>214</v>
      </c>
      <c r="Z323" s="55" t="s">
        <v>214</v>
      </c>
      <c r="AA323" s="48" t="s">
        <v>14871</v>
      </c>
      <c r="AB323" s="84" t="s">
        <v>16082</v>
      </c>
      <c r="AC323" s="53" t="str">
        <f t="shared" si="170"/>
        <v>Link</v>
      </c>
      <c r="AD323" s="42">
        <v>12851</v>
      </c>
      <c r="AE323" s="55"/>
      <c r="AF323" s="55"/>
      <c r="AG323" s="56">
        <v>125028</v>
      </c>
      <c r="AH323" s="56"/>
      <c r="AI323" s="56"/>
    </row>
    <row r="324" spans="1:35" ht="15" x14ac:dyDescent="0.2">
      <c r="A324" s="110" t="s">
        <v>300</v>
      </c>
      <c r="B324" s="33" t="s">
        <v>12632</v>
      </c>
      <c r="C324" s="7" t="s">
        <v>16093</v>
      </c>
      <c r="D324" s="112">
        <v>5</v>
      </c>
      <c r="E324" s="7"/>
      <c r="F324" s="7"/>
      <c r="G324" s="33" t="s">
        <v>16094</v>
      </c>
      <c r="H324" s="2" t="s">
        <v>4233</v>
      </c>
      <c r="I324" s="2" t="s">
        <v>4003</v>
      </c>
      <c r="J324" s="2" t="s">
        <v>48</v>
      </c>
      <c r="K324" s="130" t="s">
        <v>16095</v>
      </c>
      <c r="L324" s="2" t="s">
        <v>16096</v>
      </c>
      <c r="M324" s="48"/>
      <c r="N324" s="45" t="str">
        <f t="shared" ref="N324:N326" si="171">HYPERLINK("https://athletics.vvc.edu/information/Prospective_Athletes_Form","Questionnaire")</f>
        <v>Questionnaire</v>
      </c>
      <c r="O324" s="48" t="s">
        <v>16100</v>
      </c>
      <c r="P324" s="60" t="s">
        <v>312</v>
      </c>
      <c r="Q324" s="48" t="s">
        <v>16101</v>
      </c>
      <c r="R324" s="48" t="s">
        <v>238</v>
      </c>
      <c r="S324" s="49" t="s">
        <v>74</v>
      </c>
      <c r="T324" s="48" t="s">
        <v>75</v>
      </c>
      <c r="U324" s="49" t="s">
        <v>3678</v>
      </c>
      <c r="V324" s="7" t="s">
        <v>214</v>
      </c>
      <c r="W324" s="49" t="s">
        <v>214</v>
      </c>
      <c r="X324" s="49" t="s">
        <v>214</v>
      </c>
      <c r="Y324" s="49" t="s">
        <v>214</v>
      </c>
      <c r="Z324" s="55" t="s">
        <v>214</v>
      </c>
      <c r="AA324" s="48" t="s">
        <v>16104</v>
      </c>
      <c r="AB324" s="84" t="s">
        <v>16100</v>
      </c>
      <c r="AC324" s="53" t="str">
        <f t="shared" ref="AC324:AC326" si="172">HYPERLINK("http://www.vvc.edu/schedule/degrees-and-certificates.shtml","Link")</f>
        <v>Link</v>
      </c>
      <c r="AD324" s="42">
        <v>11789</v>
      </c>
      <c r="AE324" s="55"/>
      <c r="AF324" s="55"/>
      <c r="AG324" s="56">
        <v>125091</v>
      </c>
      <c r="AH324" s="56"/>
      <c r="AI324" s="56"/>
    </row>
    <row r="325" spans="1:35" ht="15" x14ac:dyDescent="0.2">
      <c r="A325" s="110" t="s">
        <v>300</v>
      </c>
      <c r="B325" s="33" t="s">
        <v>12632</v>
      </c>
      <c r="C325" s="7" t="s">
        <v>16108</v>
      </c>
      <c r="D325" s="112">
        <v>5</v>
      </c>
      <c r="E325" s="7"/>
      <c r="F325" s="7"/>
      <c r="G325" s="33" t="s">
        <v>16094</v>
      </c>
      <c r="H325" s="2" t="s">
        <v>4233</v>
      </c>
      <c r="I325" s="2" t="s">
        <v>4003</v>
      </c>
      <c r="J325" s="2" t="s">
        <v>1048</v>
      </c>
      <c r="K325" s="2" t="s">
        <v>16110</v>
      </c>
      <c r="L325" s="2" t="s">
        <v>16096</v>
      </c>
      <c r="M325" s="48"/>
      <c r="N325" s="45" t="str">
        <f t="shared" si="171"/>
        <v>Questionnaire</v>
      </c>
      <c r="O325" s="48" t="s">
        <v>16100</v>
      </c>
      <c r="P325" s="60" t="s">
        <v>312</v>
      </c>
      <c r="Q325" s="48" t="s">
        <v>16101</v>
      </c>
      <c r="R325" s="48" t="s">
        <v>238</v>
      </c>
      <c r="S325" s="49" t="s">
        <v>74</v>
      </c>
      <c r="T325" s="48" t="s">
        <v>75</v>
      </c>
      <c r="U325" s="49" t="s">
        <v>3678</v>
      </c>
      <c r="V325" s="7" t="s">
        <v>214</v>
      </c>
      <c r="W325" s="49" t="s">
        <v>214</v>
      </c>
      <c r="X325" s="49" t="s">
        <v>214</v>
      </c>
      <c r="Y325" s="49" t="s">
        <v>214</v>
      </c>
      <c r="Z325" s="55" t="s">
        <v>214</v>
      </c>
      <c r="AA325" s="48" t="s">
        <v>16104</v>
      </c>
      <c r="AB325" s="84" t="s">
        <v>16100</v>
      </c>
      <c r="AC325" s="53" t="str">
        <f t="shared" si="172"/>
        <v>Link</v>
      </c>
      <c r="AD325" s="42">
        <v>11789</v>
      </c>
      <c r="AE325" s="55"/>
      <c r="AF325" s="55"/>
      <c r="AG325" s="56">
        <v>125091</v>
      </c>
      <c r="AH325" s="56"/>
      <c r="AI325" s="56"/>
    </row>
    <row r="326" spans="1:35" ht="15" x14ac:dyDescent="0.2">
      <c r="A326" s="110" t="s">
        <v>300</v>
      </c>
      <c r="B326" s="33" t="s">
        <v>12632</v>
      </c>
      <c r="C326" s="7" t="s">
        <v>16113</v>
      </c>
      <c r="D326" s="112">
        <v>5</v>
      </c>
      <c r="E326" s="7"/>
      <c r="F326" s="7"/>
      <c r="G326" s="33" t="s">
        <v>16094</v>
      </c>
      <c r="H326" s="2" t="s">
        <v>16114</v>
      </c>
      <c r="I326" s="2" t="s">
        <v>1906</v>
      </c>
      <c r="J326" s="2" t="s">
        <v>55</v>
      </c>
      <c r="K326" s="2" t="s">
        <v>16115</v>
      </c>
      <c r="L326" s="2" t="s">
        <v>16116</v>
      </c>
      <c r="M326" s="48"/>
      <c r="N326" s="45" t="str">
        <f t="shared" si="171"/>
        <v>Questionnaire</v>
      </c>
      <c r="O326" s="48" t="s">
        <v>16100</v>
      </c>
      <c r="P326" s="60" t="s">
        <v>312</v>
      </c>
      <c r="Q326" s="48" t="s">
        <v>16101</v>
      </c>
      <c r="R326" s="48" t="s">
        <v>238</v>
      </c>
      <c r="S326" s="49" t="s">
        <v>74</v>
      </c>
      <c r="T326" s="48" t="s">
        <v>75</v>
      </c>
      <c r="U326" s="49" t="s">
        <v>3678</v>
      </c>
      <c r="V326" s="7" t="s">
        <v>214</v>
      </c>
      <c r="W326" s="49" t="s">
        <v>214</v>
      </c>
      <c r="X326" s="49" t="s">
        <v>214</v>
      </c>
      <c r="Y326" s="49" t="s">
        <v>214</v>
      </c>
      <c r="Z326" s="55" t="s">
        <v>214</v>
      </c>
      <c r="AA326" s="48" t="s">
        <v>16104</v>
      </c>
      <c r="AB326" s="84" t="s">
        <v>16100</v>
      </c>
      <c r="AC326" s="53" t="str">
        <f t="shared" si="172"/>
        <v>Link</v>
      </c>
      <c r="AD326" s="42">
        <v>11789</v>
      </c>
      <c r="AE326" s="55"/>
      <c r="AF326" s="55"/>
      <c r="AG326" s="56">
        <v>125091</v>
      </c>
      <c r="AH326" s="56"/>
      <c r="AI326" s="56"/>
    </row>
    <row r="327" spans="1:35" ht="15" x14ac:dyDescent="0.2">
      <c r="A327" s="110" t="s">
        <v>300</v>
      </c>
      <c r="B327" s="33" t="s">
        <v>12632</v>
      </c>
      <c r="C327" s="7" t="s">
        <v>16120</v>
      </c>
      <c r="D327" s="112">
        <v>5</v>
      </c>
      <c r="E327" s="7"/>
      <c r="F327" s="7"/>
      <c r="G327" s="33" t="s">
        <v>16121</v>
      </c>
      <c r="H327" s="138" t="s">
        <v>6577</v>
      </c>
      <c r="I327" s="2" t="s">
        <v>16122</v>
      </c>
      <c r="J327" s="33" t="s">
        <v>48</v>
      </c>
      <c r="K327" s="138" t="s">
        <v>16123</v>
      </c>
      <c r="L327" s="2" t="s">
        <v>16124</v>
      </c>
      <c r="M327" s="48"/>
      <c r="N327" s="45" t="str">
        <f t="shared" ref="N327:N328" si="173">HYPERLINK("http://www.westhillsfalcons.com/information/RecruitMe","Questionnaire")</f>
        <v>Questionnaire</v>
      </c>
      <c r="O327" s="48" t="s">
        <v>16125</v>
      </c>
      <c r="P327" s="60" t="s">
        <v>312</v>
      </c>
      <c r="Q327" s="48" t="s">
        <v>16127</v>
      </c>
      <c r="R327" s="48" t="s">
        <v>172</v>
      </c>
      <c r="S327" s="49" t="s">
        <v>74</v>
      </c>
      <c r="T327" s="48" t="s">
        <v>75</v>
      </c>
      <c r="U327" s="49" t="s">
        <v>3678</v>
      </c>
      <c r="V327" s="7" t="s">
        <v>214</v>
      </c>
      <c r="W327" s="49" t="s">
        <v>214</v>
      </c>
      <c r="X327" s="49" t="s">
        <v>214</v>
      </c>
      <c r="Y327" s="49" t="s">
        <v>214</v>
      </c>
      <c r="Z327" s="55" t="s">
        <v>214</v>
      </c>
      <c r="AA327" s="48" t="s">
        <v>16130</v>
      </c>
      <c r="AB327" s="84" t="s">
        <v>16125</v>
      </c>
      <c r="AC327" s="53" t="str">
        <f t="shared" ref="AC327:AC328" si="174">HYPERLINK("http://www.westhillscollege.com/coalinga/degrees-and-certificates/","Link")</f>
        <v>Link</v>
      </c>
      <c r="AD327" s="42">
        <v>3584</v>
      </c>
      <c r="AE327" s="55"/>
      <c r="AF327" s="55"/>
      <c r="AG327" s="56">
        <v>125462</v>
      </c>
      <c r="AH327" s="56"/>
      <c r="AI327" s="56"/>
    </row>
    <row r="328" spans="1:35" ht="15" x14ac:dyDescent="0.2">
      <c r="A328" s="110" t="s">
        <v>300</v>
      </c>
      <c r="B328" s="33" t="s">
        <v>12632</v>
      </c>
      <c r="C328" s="7" t="s">
        <v>16133</v>
      </c>
      <c r="D328" s="112">
        <v>5</v>
      </c>
      <c r="E328" s="7"/>
      <c r="F328" s="7"/>
      <c r="G328" s="33" t="s">
        <v>16121</v>
      </c>
      <c r="H328" s="138" t="s">
        <v>15243</v>
      </c>
      <c r="I328" s="2" t="s">
        <v>15244</v>
      </c>
      <c r="J328" s="33" t="s">
        <v>55</v>
      </c>
      <c r="K328" s="2" t="s">
        <v>16136</v>
      </c>
      <c r="L328" s="2" t="s">
        <v>16124</v>
      </c>
      <c r="M328" s="48"/>
      <c r="N328" s="45" t="str">
        <f t="shared" si="173"/>
        <v>Questionnaire</v>
      </c>
      <c r="O328" s="48" t="s">
        <v>16125</v>
      </c>
      <c r="P328" s="60" t="s">
        <v>312</v>
      </c>
      <c r="Q328" s="48" t="s">
        <v>16127</v>
      </c>
      <c r="R328" s="48" t="s">
        <v>172</v>
      </c>
      <c r="S328" s="49" t="s">
        <v>74</v>
      </c>
      <c r="T328" s="48" t="s">
        <v>75</v>
      </c>
      <c r="U328" s="49" t="s">
        <v>3678</v>
      </c>
      <c r="V328" s="7" t="s">
        <v>214</v>
      </c>
      <c r="W328" s="49" t="s">
        <v>214</v>
      </c>
      <c r="X328" s="49" t="s">
        <v>214</v>
      </c>
      <c r="Y328" s="49" t="s">
        <v>214</v>
      </c>
      <c r="Z328" s="55" t="s">
        <v>214</v>
      </c>
      <c r="AA328" s="48" t="s">
        <v>16130</v>
      </c>
      <c r="AB328" s="84" t="s">
        <v>16125</v>
      </c>
      <c r="AC328" s="53" t="str">
        <f t="shared" si="174"/>
        <v>Link</v>
      </c>
      <c r="AD328" s="42">
        <v>3584</v>
      </c>
      <c r="AE328" s="55"/>
      <c r="AF328" s="55"/>
      <c r="AG328" s="56">
        <v>125462</v>
      </c>
      <c r="AH328" s="56"/>
      <c r="AI328" s="56"/>
    </row>
    <row r="329" spans="1:35" ht="15" x14ac:dyDescent="0.2">
      <c r="A329" s="64" t="s">
        <v>300</v>
      </c>
      <c r="B329" s="33" t="s">
        <v>12632</v>
      </c>
      <c r="C329" s="7" t="s">
        <v>16141</v>
      </c>
      <c r="D329" s="44">
        <v>5</v>
      </c>
      <c r="E329" s="7" t="s">
        <v>116</v>
      </c>
      <c r="F329" s="7"/>
      <c r="G329" s="33" t="s">
        <v>16143</v>
      </c>
      <c r="H329" s="7" t="s">
        <v>16144</v>
      </c>
      <c r="I329" s="7" t="s">
        <v>263</v>
      </c>
      <c r="J329" s="7" t="s">
        <v>55</v>
      </c>
      <c r="K329" s="7"/>
      <c r="L329" s="7"/>
      <c r="M329" s="45" t="str">
        <f t="shared" ref="M329:M332" si="175">HYPERLINK("twitter.com/westlasoftball","@westlasoftball")</f>
        <v>@westlasoftball</v>
      </c>
      <c r="N329" s="45" t="str">
        <f t="shared" ref="N329:N332" si="176">HYPERLINK("https://www.westlacollegeathletics.com/information/sa_interest","Questionnaire")</f>
        <v>Questionnaire</v>
      </c>
      <c r="O329" s="48" t="s">
        <v>16149</v>
      </c>
      <c r="P329" s="60" t="s">
        <v>312</v>
      </c>
      <c r="Q329" s="48" t="s">
        <v>16150</v>
      </c>
      <c r="R329" s="48" t="s">
        <v>468</v>
      </c>
      <c r="S329" s="49" t="s">
        <v>74</v>
      </c>
      <c r="T329" s="48" t="s">
        <v>75</v>
      </c>
      <c r="U329" s="49" t="s">
        <v>3678</v>
      </c>
      <c r="V329" s="7" t="s">
        <v>214</v>
      </c>
      <c r="W329" s="49" t="s">
        <v>214</v>
      </c>
      <c r="X329" s="49" t="s">
        <v>214</v>
      </c>
      <c r="Y329" s="49" t="s">
        <v>214</v>
      </c>
      <c r="Z329" s="55" t="s">
        <v>214</v>
      </c>
      <c r="AA329" s="48" t="s">
        <v>14146</v>
      </c>
      <c r="AB329" s="84" t="s">
        <v>16149</v>
      </c>
      <c r="AC329" s="53" t="str">
        <f t="shared" ref="AC329:AC332" si="177">HYPERLINK("http://www.wlac.edu/Academic/areas-of-study.aspx","Link")</f>
        <v>Link</v>
      </c>
      <c r="AD329" s="42">
        <v>12422</v>
      </c>
      <c r="AE329" s="55"/>
      <c r="AF329" s="55"/>
      <c r="AG329" s="56">
        <v>125471</v>
      </c>
      <c r="AH329" s="85"/>
      <c r="AI329" s="85"/>
    </row>
    <row r="330" spans="1:35" ht="15" x14ac:dyDescent="0.2">
      <c r="A330" s="110" t="s">
        <v>300</v>
      </c>
      <c r="B330" s="33" t="s">
        <v>12632</v>
      </c>
      <c r="C330" s="7" t="s">
        <v>16156</v>
      </c>
      <c r="D330" s="112">
        <v>5</v>
      </c>
      <c r="E330" s="7"/>
      <c r="F330" s="7" t="s">
        <v>126</v>
      </c>
      <c r="G330" s="33" t="s">
        <v>16143</v>
      </c>
      <c r="H330" s="2" t="s">
        <v>16157</v>
      </c>
      <c r="I330" s="2"/>
      <c r="J330" s="2"/>
      <c r="K330" s="2"/>
      <c r="L330" s="2"/>
      <c r="M330" s="45" t="str">
        <f t="shared" si="175"/>
        <v>@westlasoftball</v>
      </c>
      <c r="N330" s="45" t="str">
        <f t="shared" si="176"/>
        <v>Questionnaire</v>
      </c>
      <c r="O330" s="48" t="s">
        <v>16149</v>
      </c>
      <c r="P330" s="60" t="s">
        <v>312</v>
      </c>
      <c r="Q330" s="48" t="s">
        <v>16150</v>
      </c>
      <c r="R330" s="48" t="s">
        <v>468</v>
      </c>
      <c r="S330" s="49" t="s">
        <v>74</v>
      </c>
      <c r="T330" s="48" t="s">
        <v>75</v>
      </c>
      <c r="U330" s="49" t="s">
        <v>3678</v>
      </c>
      <c r="V330" s="7" t="s">
        <v>214</v>
      </c>
      <c r="W330" s="49" t="s">
        <v>214</v>
      </c>
      <c r="X330" s="49" t="s">
        <v>214</v>
      </c>
      <c r="Y330" s="49" t="s">
        <v>214</v>
      </c>
      <c r="Z330" s="55" t="s">
        <v>214</v>
      </c>
      <c r="AA330" s="48" t="s">
        <v>14146</v>
      </c>
      <c r="AB330" s="84" t="s">
        <v>16149</v>
      </c>
      <c r="AC330" s="53" t="str">
        <f t="shared" si="177"/>
        <v>Link</v>
      </c>
      <c r="AD330" s="42">
        <v>12422</v>
      </c>
      <c r="AE330" s="55"/>
      <c r="AF330" s="55"/>
      <c r="AG330" s="56">
        <v>125471</v>
      </c>
      <c r="AH330" s="56"/>
      <c r="AI330" s="56"/>
    </row>
    <row r="331" spans="1:35" ht="15" x14ac:dyDescent="0.2">
      <c r="A331" s="110" t="s">
        <v>300</v>
      </c>
      <c r="B331" s="33" t="s">
        <v>12632</v>
      </c>
      <c r="C331" s="7" t="s">
        <v>16156</v>
      </c>
      <c r="D331" s="112">
        <v>5</v>
      </c>
      <c r="E331" s="7" t="s">
        <v>116</v>
      </c>
      <c r="F331" s="7"/>
      <c r="G331" s="33" t="s">
        <v>16143</v>
      </c>
      <c r="H331" s="2" t="s">
        <v>421</v>
      </c>
      <c r="I331" s="2"/>
      <c r="J331" s="2" t="s">
        <v>48</v>
      </c>
      <c r="K331" s="2"/>
      <c r="L331" s="2"/>
      <c r="M331" s="45" t="str">
        <f t="shared" si="175"/>
        <v>@westlasoftball</v>
      </c>
      <c r="N331" s="45" t="str">
        <f t="shared" si="176"/>
        <v>Questionnaire</v>
      </c>
      <c r="O331" s="48" t="s">
        <v>16149</v>
      </c>
      <c r="P331" s="60" t="s">
        <v>312</v>
      </c>
      <c r="Q331" s="48" t="s">
        <v>16150</v>
      </c>
      <c r="R331" s="48" t="s">
        <v>468</v>
      </c>
      <c r="S331" s="49" t="s">
        <v>74</v>
      </c>
      <c r="T331" s="48" t="s">
        <v>75</v>
      </c>
      <c r="U331" s="49" t="s">
        <v>3678</v>
      </c>
      <c r="V331" s="7" t="s">
        <v>214</v>
      </c>
      <c r="W331" s="49" t="s">
        <v>214</v>
      </c>
      <c r="X331" s="49" t="s">
        <v>214</v>
      </c>
      <c r="Y331" s="49" t="s">
        <v>214</v>
      </c>
      <c r="Z331" s="55" t="s">
        <v>214</v>
      </c>
      <c r="AA331" s="48" t="s">
        <v>14146</v>
      </c>
      <c r="AB331" s="84" t="s">
        <v>16149</v>
      </c>
      <c r="AC331" s="53" t="str">
        <f t="shared" si="177"/>
        <v>Link</v>
      </c>
      <c r="AD331" s="42">
        <v>12422</v>
      </c>
      <c r="AE331" s="55"/>
      <c r="AF331" s="55"/>
      <c r="AG331" s="56">
        <v>125471</v>
      </c>
      <c r="AH331" s="56"/>
      <c r="AI331" s="56"/>
    </row>
    <row r="332" spans="1:35" ht="15" x14ac:dyDescent="0.2">
      <c r="A332" s="110" t="s">
        <v>300</v>
      </c>
      <c r="B332" s="33" t="s">
        <v>12632</v>
      </c>
      <c r="C332" s="7" t="s">
        <v>16167</v>
      </c>
      <c r="D332" s="112">
        <v>5</v>
      </c>
      <c r="E332" s="7" t="s">
        <v>116</v>
      </c>
      <c r="F332" s="7"/>
      <c r="G332" s="33" t="s">
        <v>16143</v>
      </c>
      <c r="H332" s="7" t="s">
        <v>16169</v>
      </c>
      <c r="I332" s="7" t="s">
        <v>695</v>
      </c>
      <c r="J332" s="7" t="s">
        <v>48</v>
      </c>
      <c r="K332" s="7" t="s">
        <v>16170</v>
      </c>
      <c r="L332" s="7" t="s">
        <v>16171</v>
      </c>
      <c r="M332" s="45" t="str">
        <f t="shared" si="175"/>
        <v>@westlasoftball</v>
      </c>
      <c r="N332" s="45" t="str">
        <f t="shared" si="176"/>
        <v>Questionnaire</v>
      </c>
      <c r="O332" s="48" t="s">
        <v>16149</v>
      </c>
      <c r="P332" s="60" t="s">
        <v>312</v>
      </c>
      <c r="Q332" s="48" t="s">
        <v>16150</v>
      </c>
      <c r="R332" s="48" t="s">
        <v>468</v>
      </c>
      <c r="S332" s="49" t="s">
        <v>74</v>
      </c>
      <c r="T332" s="48" t="s">
        <v>75</v>
      </c>
      <c r="U332" s="49" t="s">
        <v>3678</v>
      </c>
      <c r="V332" s="7" t="s">
        <v>214</v>
      </c>
      <c r="W332" s="49" t="s">
        <v>214</v>
      </c>
      <c r="X332" s="49" t="s">
        <v>214</v>
      </c>
      <c r="Y332" s="49" t="s">
        <v>214</v>
      </c>
      <c r="Z332" s="55" t="s">
        <v>214</v>
      </c>
      <c r="AA332" s="48" t="s">
        <v>14146</v>
      </c>
      <c r="AB332" s="84" t="s">
        <v>16149</v>
      </c>
      <c r="AC332" s="53" t="str">
        <f t="shared" si="177"/>
        <v>Link</v>
      </c>
      <c r="AD332" s="42">
        <v>12422</v>
      </c>
      <c r="AE332" s="55"/>
      <c r="AF332" s="55"/>
      <c r="AG332" s="56">
        <v>125471</v>
      </c>
      <c r="AH332" s="56"/>
      <c r="AI332" s="56"/>
    </row>
    <row r="333" spans="1:35" ht="15" x14ac:dyDescent="0.2">
      <c r="A333" s="64" t="s">
        <v>300</v>
      </c>
      <c r="B333" s="33" t="s">
        <v>12632</v>
      </c>
      <c r="C333" s="7" t="s">
        <v>16177</v>
      </c>
      <c r="D333" s="44">
        <v>5</v>
      </c>
      <c r="E333" s="7" t="s">
        <v>116</v>
      </c>
      <c r="F333" s="7"/>
      <c r="G333" s="2" t="s">
        <v>16178</v>
      </c>
      <c r="H333" s="7" t="s">
        <v>1239</v>
      </c>
      <c r="I333" s="7" t="s">
        <v>1631</v>
      </c>
      <c r="J333" s="7" t="s">
        <v>55</v>
      </c>
      <c r="K333" s="7"/>
      <c r="L333" s="7"/>
      <c r="M333" s="48"/>
      <c r="N333" s="45" t="str">
        <f t="shared" ref="N333:N337" si="178">HYPERLINK("http://athletics.westvalley.edu/recruiting/Prospect_Form","Questionnaire")</f>
        <v>Questionnaire</v>
      </c>
      <c r="O333" s="48" t="s">
        <v>16185</v>
      </c>
      <c r="P333" s="60" t="s">
        <v>312</v>
      </c>
      <c r="Q333" s="48" t="s">
        <v>16186</v>
      </c>
      <c r="R333" s="48" t="s">
        <v>468</v>
      </c>
      <c r="S333" s="49" t="s">
        <v>74</v>
      </c>
      <c r="T333" s="48" t="s">
        <v>75</v>
      </c>
      <c r="U333" s="49" t="s">
        <v>3678</v>
      </c>
      <c r="V333" s="7" t="s">
        <v>214</v>
      </c>
      <c r="W333" s="49" t="s">
        <v>214</v>
      </c>
      <c r="X333" s="49" t="s">
        <v>214</v>
      </c>
      <c r="Y333" s="49" t="s">
        <v>214</v>
      </c>
      <c r="Z333" s="55" t="s">
        <v>214</v>
      </c>
      <c r="AA333" s="48" t="s">
        <v>16188</v>
      </c>
      <c r="AB333" s="84" t="s">
        <v>16185</v>
      </c>
      <c r="AC333" s="53" t="str">
        <f t="shared" ref="AC333:AC337" si="179">HYPERLINK("http://westvalley.edu/classes/programs/","Link")</f>
        <v>Link</v>
      </c>
      <c r="AD333" s="42">
        <v>8263</v>
      </c>
      <c r="AE333" s="55"/>
      <c r="AF333" s="55"/>
      <c r="AG333" s="56">
        <v>125499</v>
      </c>
      <c r="AH333" s="85"/>
      <c r="AI333" s="85"/>
    </row>
    <row r="334" spans="1:35" ht="15" x14ac:dyDescent="0.2">
      <c r="A334" s="64" t="s">
        <v>300</v>
      </c>
      <c r="B334" s="33" t="s">
        <v>12632</v>
      </c>
      <c r="C334" s="7" t="s">
        <v>16192</v>
      </c>
      <c r="D334" s="44">
        <v>5</v>
      </c>
      <c r="E334" s="7" t="s">
        <v>116</v>
      </c>
      <c r="F334" s="7"/>
      <c r="G334" s="2" t="s">
        <v>16178</v>
      </c>
      <c r="H334" s="7" t="s">
        <v>4123</v>
      </c>
      <c r="I334" s="7" t="s">
        <v>16195</v>
      </c>
      <c r="J334" s="7" t="s">
        <v>55</v>
      </c>
      <c r="K334" s="7"/>
      <c r="L334" s="7"/>
      <c r="M334" s="48"/>
      <c r="N334" s="45" t="str">
        <f t="shared" si="178"/>
        <v>Questionnaire</v>
      </c>
      <c r="O334" s="48" t="s">
        <v>16185</v>
      </c>
      <c r="P334" s="60" t="s">
        <v>312</v>
      </c>
      <c r="Q334" s="48" t="s">
        <v>16186</v>
      </c>
      <c r="R334" s="48" t="s">
        <v>468</v>
      </c>
      <c r="S334" s="49" t="s">
        <v>74</v>
      </c>
      <c r="T334" s="48" t="s">
        <v>75</v>
      </c>
      <c r="U334" s="49" t="s">
        <v>3678</v>
      </c>
      <c r="V334" s="7" t="s">
        <v>214</v>
      </c>
      <c r="W334" s="49" t="s">
        <v>214</v>
      </c>
      <c r="X334" s="49" t="s">
        <v>214</v>
      </c>
      <c r="Y334" s="49" t="s">
        <v>214</v>
      </c>
      <c r="Z334" s="55" t="s">
        <v>214</v>
      </c>
      <c r="AA334" s="48" t="s">
        <v>16188</v>
      </c>
      <c r="AB334" s="84" t="s">
        <v>16185</v>
      </c>
      <c r="AC334" s="53" t="str">
        <f t="shared" si="179"/>
        <v>Link</v>
      </c>
      <c r="AD334" s="42">
        <v>8263</v>
      </c>
      <c r="AE334" s="55"/>
      <c r="AF334" s="55"/>
      <c r="AG334" s="56">
        <v>125499</v>
      </c>
      <c r="AH334" s="85"/>
      <c r="AI334" s="85"/>
    </row>
    <row r="335" spans="1:35" ht="15" x14ac:dyDescent="0.2">
      <c r="A335" s="110" t="s">
        <v>300</v>
      </c>
      <c r="B335" s="33" t="s">
        <v>12632</v>
      </c>
      <c r="C335" s="7" t="s">
        <v>16201</v>
      </c>
      <c r="D335" s="112">
        <v>5</v>
      </c>
      <c r="E335" s="7"/>
      <c r="F335" s="7"/>
      <c r="G335" s="2" t="s">
        <v>16178</v>
      </c>
      <c r="H335" s="2" t="s">
        <v>16203</v>
      </c>
      <c r="I335" s="2" t="s">
        <v>16204</v>
      </c>
      <c r="J335" s="2" t="s">
        <v>48</v>
      </c>
      <c r="K335" s="2" t="s">
        <v>16206</v>
      </c>
      <c r="L335" s="2" t="s">
        <v>16207</v>
      </c>
      <c r="M335" s="48"/>
      <c r="N335" s="45" t="str">
        <f t="shared" si="178"/>
        <v>Questionnaire</v>
      </c>
      <c r="O335" s="48" t="s">
        <v>16185</v>
      </c>
      <c r="P335" s="60" t="s">
        <v>312</v>
      </c>
      <c r="Q335" s="48" t="s">
        <v>16186</v>
      </c>
      <c r="R335" s="48" t="s">
        <v>468</v>
      </c>
      <c r="S335" s="49" t="s">
        <v>74</v>
      </c>
      <c r="T335" s="48" t="s">
        <v>75</v>
      </c>
      <c r="U335" s="49" t="s">
        <v>3678</v>
      </c>
      <c r="V335" s="7" t="s">
        <v>214</v>
      </c>
      <c r="W335" s="49" t="s">
        <v>214</v>
      </c>
      <c r="X335" s="49" t="s">
        <v>214</v>
      </c>
      <c r="Y335" s="49" t="s">
        <v>214</v>
      </c>
      <c r="Z335" s="55" t="s">
        <v>214</v>
      </c>
      <c r="AA335" s="48" t="s">
        <v>16188</v>
      </c>
      <c r="AB335" s="84" t="s">
        <v>16185</v>
      </c>
      <c r="AC335" s="53" t="str">
        <f t="shared" si="179"/>
        <v>Link</v>
      </c>
      <c r="AD335" s="42">
        <v>8263</v>
      </c>
      <c r="AE335" s="55"/>
      <c r="AF335" s="55"/>
      <c r="AG335" s="56">
        <v>125499</v>
      </c>
      <c r="AH335" s="56"/>
      <c r="AI335" s="56"/>
    </row>
    <row r="336" spans="1:35" ht="15" x14ac:dyDescent="0.2">
      <c r="A336" s="110" t="s">
        <v>300</v>
      </c>
      <c r="B336" s="33" t="s">
        <v>12632</v>
      </c>
      <c r="C336" s="7" t="s">
        <v>16212</v>
      </c>
      <c r="D336" s="112">
        <v>5</v>
      </c>
      <c r="E336" s="7"/>
      <c r="F336" s="7" t="s">
        <v>126</v>
      </c>
      <c r="G336" s="2" t="s">
        <v>16178</v>
      </c>
      <c r="H336" s="2" t="s">
        <v>16213</v>
      </c>
      <c r="I336" s="2"/>
      <c r="J336" s="2"/>
      <c r="K336" s="2"/>
      <c r="L336" s="2"/>
      <c r="M336" s="48"/>
      <c r="N336" s="45" t="str">
        <f t="shared" si="178"/>
        <v>Questionnaire</v>
      </c>
      <c r="O336" s="48" t="s">
        <v>16185</v>
      </c>
      <c r="P336" s="60" t="s">
        <v>312</v>
      </c>
      <c r="Q336" s="48" t="s">
        <v>16186</v>
      </c>
      <c r="R336" s="48" t="s">
        <v>468</v>
      </c>
      <c r="S336" s="49" t="s">
        <v>74</v>
      </c>
      <c r="T336" s="48" t="s">
        <v>75</v>
      </c>
      <c r="U336" s="49" t="s">
        <v>3678</v>
      </c>
      <c r="V336" s="7" t="s">
        <v>214</v>
      </c>
      <c r="W336" s="49" t="s">
        <v>214</v>
      </c>
      <c r="X336" s="49" t="s">
        <v>214</v>
      </c>
      <c r="Y336" s="49" t="s">
        <v>214</v>
      </c>
      <c r="Z336" s="55" t="s">
        <v>214</v>
      </c>
      <c r="AA336" s="48" t="s">
        <v>16188</v>
      </c>
      <c r="AB336" s="84" t="s">
        <v>16185</v>
      </c>
      <c r="AC336" s="53" t="str">
        <f t="shared" si="179"/>
        <v>Link</v>
      </c>
      <c r="AD336" s="42">
        <v>8263</v>
      </c>
      <c r="AE336" s="55"/>
      <c r="AF336" s="55"/>
      <c r="AG336" s="56">
        <v>125499</v>
      </c>
      <c r="AH336" s="56"/>
      <c r="AI336" s="56"/>
    </row>
    <row r="337" spans="1:37" ht="15" x14ac:dyDescent="0.2">
      <c r="A337" s="110" t="s">
        <v>300</v>
      </c>
      <c r="B337" s="33" t="s">
        <v>12632</v>
      </c>
      <c r="C337" s="7" t="s">
        <v>16215</v>
      </c>
      <c r="D337" s="112">
        <v>5</v>
      </c>
      <c r="E337" s="7"/>
      <c r="F337" s="7"/>
      <c r="G337" s="2" t="s">
        <v>16178</v>
      </c>
      <c r="H337" s="33" t="s">
        <v>16217</v>
      </c>
      <c r="I337" s="2" t="s">
        <v>16218</v>
      </c>
      <c r="J337" s="33" t="s">
        <v>55</v>
      </c>
      <c r="K337" s="33"/>
      <c r="L337" s="2"/>
      <c r="M337" s="48"/>
      <c r="N337" s="45" t="str">
        <f t="shared" si="178"/>
        <v>Questionnaire</v>
      </c>
      <c r="O337" s="48" t="s">
        <v>16185</v>
      </c>
      <c r="P337" s="60" t="s">
        <v>312</v>
      </c>
      <c r="Q337" s="48" t="s">
        <v>16186</v>
      </c>
      <c r="R337" s="48" t="s">
        <v>468</v>
      </c>
      <c r="S337" s="49" t="s">
        <v>74</v>
      </c>
      <c r="T337" s="48" t="s">
        <v>75</v>
      </c>
      <c r="U337" s="49" t="s">
        <v>3678</v>
      </c>
      <c r="V337" s="7" t="s">
        <v>214</v>
      </c>
      <c r="W337" s="49" t="s">
        <v>214</v>
      </c>
      <c r="X337" s="49" t="s">
        <v>214</v>
      </c>
      <c r="Y337" s="49" t="s">
        <v>214</v>
      </c>
      <c r="Z337" s="55" t="s">
        <v>214</v>
      </c>
      <c r="AA337" s="48" t="s">
        <v>16188</v>
      </c>
      <c r="AB337" s="84" t="s">
        <v>16185</v>
      </c>
      <c r="AC337" s="53" t="str">
        <f t="shared" si="179"/>
        <v>Link</v>
      </c>
      <c r="AD337" s="42">
        <v>8263</v>
      </c>
      <c r="AE337" s="55"/>
      <c r="AF337" s="55"/>
      <c r="AG337" s="56">
        <v>125499</v>
      </c>
      <c r="AH337" s="56"/>
      <c r="AI337" s="56"/>
    </row>
    <row r="338" spans="1:37" ht="15" x14ac:dyDescent="0.2">
      <c r="A338" s="31" t="s">
        <v>300</v>
      </c>
      <c r="B338" s="33" t="s">
        <v>12632</v>
      </c>
      <c r="C338" s="7"/>
      <c r="D338" s="112">
        <v>5</v>
      </c>
      <c r="E338" s="7"/>
      <c r="F338" s="112"/>
      <c r="G338" s="33" t="s">
        <v>16225</v>
      </c>
      <c r="H338" s="7" t="s">
        <v>981</v>
      </c>
      <c r="I338" s="7" t="s">
        <v>16227</v>
      </c>
      <c r="J338" s="7" t="s">
        <v>48</v>
      </c>
      <c r="K338" s="130" t="s">
        <v>16230</v>
      </c>
      <c r="L338" s="2" t="s">
        <v>16232</v>
      </c>
      <c r="M338" s="48"/>
      <c r="N338" s="48" t="s">
        <v>22</v>
      </c>
      <c r="O338" s="48" t="s">
        <v>16234</v>
      </c>
      <c r="P338" s="60" t="s">
        <v>312</v>
      </c>
      <c r="Q338" s="48" t="s">
        <v>16235</v>
      </c>
      <c r="R338" s="48" t="s">
        <v>172</v>
      </c>
      <c r="S338" s="49" t="s">
        <v>74</v>
      </c>
      <c r="T338" s="48" t="s">
        <v>75</v>
      </c>
      <c r="U338" s="49" t="s">
        <v>3678</v>
      </c>
      <c r="V338" s="7" t="s">
        <v>214</v>
      </c>
      <c r="W338" s="49" t="s">
        <v>214</v>
      </c>
      <c r="X338" s="49" t="s">
        <v>214</v>
      </c>
      <c r="Y338" s="49" t="s">
        <v>214</v>
      </c>
      <c r="Z338" s="55" t="s">
        <v>214</v>
      </c>
      <c r="AA338" s="48" t="s">
        <v>16236</v>
      </c>
      <c r="AB338" s="84" t="s">
        <v>16234</v>
      </c>
      <c r="AC338" s="53" t="str">
        <f t="shared" ref="AC338:AC339" si="180">HYPERLINK("https://yc.yccd.edu/academics/programs-study/","Link")</f>
        <v>Link</v>
      </c>
      <c r="AD338" s="42">
        <v>6370</v>
      </c>
      <c r="AE338" s="55"/>
      <c r="AF338" s="55"/>
      <c r="AG338" s="56">
        <v>126119</v>
      </c>
      <c r="AH338" s="7" t="s">
        <v>2459</v>
      </c>
      <c r="AI338" s="7"/>
      <c r="AJ338" s="7"/>
      <c r="AK338" s="7"/>
    </row>
    <row r="339" spans="1:37" ht="15" x14ac:dyDescent="0.2">
      <c r="A339" s="31" t="s">
        <v>300</v>
      </c>
      <c r="B339" s="33" t="s">
        <v>12632</v>
      </c>
      <c r="C339" s="7"/>
      <c r="D339" s="112">
        <v>5</v>
      </c>
      <c r="E339" s="7"/>
      <c r="F339" s="112"/>
      <c r="G339" s="33" t="s">
        <v>16225</v>
      </c>
      <c r="H339" s="7" t="s">
        <v>981</v>
      </c>
      <c r="I339" s="7" t="s">
        <v>16227</v>
      </c>
      <c r="J339" s="2" t="s">
        <v>1048</v>
      </c>
      <c r="K339" s="7" t="s">
        <v>16243</v>
      </c>
      <c r="L339" s="2" t="s">
        <v>16232</v>
      </c>
      <c r="M339" s="48"/>
      <c r="N339" s="48" t="s">
        <v>22</v>
      </c>
      <c r="O339" s="48" t="s">
        <v>16234</v>
      </c>
      <c r="P339" s="60" t="s">
        <v>312</v>
      </c>
      <c r="Q339" s="48" t="s">
        <v>16235</v>
      </c>
      <c r="R339" s="48" t="s">
        <v>172</v>
      </c>
      <c r="S339" s="49" t="s">
        <v>74</v>
      </c>
      <c r="T339" s="48" t="s">
        <v>75</v>
      </c>
      <c r="U339" s="49" t="s">
        <v>3678</v>
      </c>
      <c r="V339" s="7" t="s">
        <v>214</v>
      </c>
      <c r="W339" s="49" t="s">
        <v>214</v>
      </c>
      <c r="X339" s="49" t="s">
        <v>214</v>
      </c>
      <c r="Y339" s="49" t="s">
        <v>214</v>
      </c>
      <c r="Z339" s="55" t="s">
        <v>214</v>
      </c>
      <c r="AA339" s="48" t="s">
        <v>16236</v>
      </c>
      <c r="AB339" s="84" t="s">
        <v>16234</v>
      </c>
      <c r="AC339" s="53" t="str">
        <f t="shared" si="180"/>
        <v>Link</v>
      </c>
      <c r="AD339" s="42">
        <v>6370</v>
      </c>
      <c r="AE339" s="55"/>
      <c r="AF339" s="55"/>
      <c r="AG339" s="56">
        <v>126119</v>
      </c>
      <c r="AH339" s="7" t="s">
        <v>2459</v>
      </c>
      <c r="AI339" s="7"/>
      <c r="AJ339" s="7"/>
      <c r="AK339" s="7"/>
    </row>
    <row r="340" spans="1:37" ht="15" x14ac:dyDescent="0.2">
      <c r="A340" s="110" t="s">
        <v>2072</v>
      </c>
      <c r="B340" s="33" t="s">
        <v>12632</v>
      </c>
      <c r="C340" s="7" t="s">
        <v>16249</v>
      </c>
      <c r="D340" s="112">
        <v>5</v>
      </c>
      <c r="E340" s="7"/>
      <c r="F340" s="7"/>
      <c r="G340" s="35" t="s">
        <v>16250</v>
      </c>
      <c r="H340" s="2" t="s">
        <v>1726</v>
      </c>
      <c r="I340" s="2" t="s">
        <v>1955</v>
      </c>
      <c r="J340" s="2" t="s">
        <v>48</v>
      </c>
      <c r="K340" s="2" t="s">
        <v>16251</v>
      </c>
      <c r="L340" s="2" t="s">
        <v>16252</v>
      </c>
      <c r="M340" s="48"/>
      <c r="N340" s="45" t="str">
        <f t="shared" ref="N340:N341" si="181">HYPERLINK("https://cncc.formstack.com/forms/questionnaire","Questionnaire")</f>
        <v>Questionnaire</v>
      </c>
      <c r="O340" s="108" t="s">
        <v>16255</v>
      </c>
      <c r="P340" s="60" t="s">
        <v>2088</v>
      </c>
      <c r="Q340" s="48" t="s">
        <v>6721</v>
      </c>
      <c r="R340" s="60" t="s">
        <v>205</v>
      </c>
      <c r="S340" s="49" t="s">
        <v>74</v>
      </c>
      <c r="T340" s="48" t="s">
        <v>75</v>
      </c>
      <c r="U340" s="49" t="s">
        <v>3678</v>
      </c>
      <c r="V340" s="7" t="s">
        <v>214</v>
      </c>
      <c r="W340" s="49" t="s">
        <v>214</v>
      </c>
      <c r="X340" s="49" t="s">
        <v>214</v>
      </c>
      <c r="Y340" s="49" t="s">
        <v>214</v>
      </c>
      <c r="Z340" s="55" t="s">
        <v>214</v>
      </c>
      <c r="AA340" s="48" t="s">
        <v>16258</v>
      </c>
      <c r="AB340" s="52" t="s">
        <v>16255</v>
      </c>
      <c r="AC340" s="53" t="str">
        <f t="shared" ref="AC340:AC341" si="182">HYPERLINK("https://www.cncc.edu/academics/degrees-programs/","Link")</f>
        <v>Link</v>
      </c>
      <c r="AD340" s="42">
        <v>1098</v>
      </c>
      <c r="AE340" s="55"/>
      <c r="AF340" s="55"/>
      <c r="AG340" s="56">
        <v>126748</v>
      </c>
      <c r="AH340" s="56"/>
      <c r="AI340" s="56"/>
    </row>
    <row r="341" spans="1:37" ht="15" x14ac:dyDescent="0.2">
      <c r="A341" s="110" t="s">
        <v>2072</v>
      </c>
      <c r="B341" s="33" t="s">
        <v>12632</v>
      </c>
      <c r="C341" s="7" t="s">
        <v>16261</v>
      </c>
      <c r="D341" s="112">
        <v>5</v>
      </c>
      <c r="E341" s="7"/>
      <c r="F341" s="7"/>
      <c r="G341" s="35" t="s">
        <v>16250</v>
      </c>
      <c r="H341" s="2" t="s">
        <v>10136</v>
      </c>
      <c r="I341" s="2" t="s">
        <v>16264</v>
      </c>
      <c r="J341" s="2" t="s">
        <v>55</v>
      </c>
      <c r="K341" s="130" t="s">
        <v>16265</v>
      </c>
      <c r="L341" s="2"/>
      <c r="M341" s="48"/>
      <c r="N341" s="45" t="str">
        <f t="shared" si="181"/>
        <v>Questionnaire</v>
      </c>
      <c r="O341" s="108" t="s">
        <v>16255</v>
      </c>
      <c r="P341" s="60" t="s">
        <v>2088</v>
      </c>
      <c r="Q341" s="48" t="s">
        <v>6721</v>
      </c>
      <c r="R341" s="60" t="s">
        <v>205</v>
      </c>
      <c r="S341" s="49" t="s">
        <v>74</v>
      </c>
      <c r="T341" s="48" t="s">
        <v>75</v>
      </c>
      <c r="U341" s="49" t="s">
        <v>3678</v>
      </c>
      <c r="V341" s="7" t="s">
        <v>214</v>
      </c>
      <c r="W341" s="49" t="s">
        <v>214</v>
      </c>
      <c r="X341" s="49" t="s">
        <v>214</v>
      </c>
      <c r="Y341" s="49" t="s">
        <v>214</v>
      </c>
      <c r="Z341" s="55" t="s">
        <v>214</v>
      </c>
      <c r="AA341" s="48" t="s">
        <v>16258</v>
      </c>
      <c r="AB341" s="52" t="s">
        <v>16255</v>
      </c>
      <c r="AC341" s="53" t="str">
        <f t="shared" si="182"/>
        <v>Link</v>
      </c>
      <c r="AD341" s="42">
        <v>1098</v>
      </c>
      <c r="AE341" s="55"/>
      <c r="AF341" s="55"/>
      <c r="AG341" s="56">
        <v>126748</v>
      </c>
      <c r="AH341" s="56"/>
      <c r="AI341" s="56"/>
    </row>
    <row r="342" spans="1:37" ht="15" x14ac:dyDescent="0.2">
      <c r="A342" s="110" t="s">
        <v>2072</v>
      </c>
      <c r="B342" s="33" t="s">
        <v>12632</v>
      </c>
      <c r="C342" s="7" t="s">
        <v>16266</v>
      </c>
      <c r="D342" s="112">
        <v>5</v>
      </c>
      <c r="E342" s="7"/>
      <c r="F342" s="7"/>
      <c r="G342" s="2" t="s">
        <v>16267</v>
      </c>
      <c r="H342" s="138" t="s">
        <v>435</v>
      </c>
      <c r="I342" s="2" t="s">
        <v>12969</v>
      </c>
      <c r="J342" s="33" t="s">
        <v>48</v>
      </c>
      <c r="K342" s="2" t="s">
        <v>16269</v>
      </c>
      <c r="L342" s="2" t="s">
        <v>16270</v>
      </c>
      <c r="M342" s="45" t="str">
        <f t="shared" ref="M342:M343" si="183">HYPERLINK("twitter.com/lamarccsoftball","@lamarccsoftball")</f>
        <v>@lamarccsoftball</v>
      </c>
      <c r="N342" s="45" t="str">
        <f t="shared" ref="N342:N343" si="184">HYPERLINK("https://www.golopes.com/sports/sball/Recruits","Questionnaire")</f>
        <v>Questionnaire</v>
      </c>
      <c r="O342" s="108" t="s">
        <v>16272</v>
      </c>
      <c r="P342" s="60" t="s">
        <v>2088</v>
      </c>
      <c r="Q342" s="48" t="s">
        <v>12881</v>
      </c>
      <c r="R342" s="60" t="s">
        <v>205</v>
      </c>
      <c r="S342" s="49" t="s">
        <v>74</v>
      </c>
      <c r="T342" s="48" t="s">
        <v>75</v>
      </c>
      <c r="U342" s="49" t="s">
        <v>3678</v>
      </c>
      <c r="V342" s="7" t="s">
        <v>214</v>
      </c>
      <c r="W342" s="49" t="s">
        <v>214</v>
      </c>
      <c r="X342" s="49" t="s">
        <v>214</v>
      </c>
      <c r="Y342" s="49" t="s">
        <v>214</v>
      </c>
      <c r="Z342" s="55" t="s">
        <v>214</v>
      </c>
      <c r="AA342" s="48" t="s">
        <v>16273</v>
      </c>
      <c r="AB342" s="52" t="s">
        <v>16272</v>
      </c>
      <c r="AC342" s="53" t="str">
        <f t="shared" ref="AC342:AC343" si="185">HYPERLINK("https://lamarcc.edu/academics/degrees-programs/","Link")</f>
        <v>Link</v>
      </c>
      <c r="AD342" s="42">
        <v>791</v>
      </c>
      <c r="AE342" s="55"/>
      <c r="AF342" s="55"/>
      <c r="AG342" s="56">
        <v>127389</v>
      </c>
      <c r="AH342" s="56"/>
      <c r="AI342" s="56"/>
    </row>
    <row r="343" spans="1:37" ht="15" x14ac:dyDescent="0.2">
      <c r="A343" s="110" t="s">
        <v>2072</v>
      </c>
      <c r="B343" s="33" t="s">
        <v>12632</v>
      </c>
      <c r="C343" s="7" t="s">
        <v>16279</v>
      </c>
      <c r="D343" s="112">
        <v>5</v>
      </c>
      <c r="E343" s="7"/>
      <c r="F343" s="7"/>
      <c r="G343" s="2" t="s">
        <v>16267</v>
      </c>
      <c r="H343" s="2" t="s">
        <v>206</v>
      </c>
      <c r="I343" s="2" t="s">
        <v>16280</v>
      </c>
      <c r="J343" s="2" t="s">
        <v>55</v>
      </c>
      <c r="K343" s="7" t="s">
        <v>16281</v>
      </c>
      <c r="L343" s="7" t="s">
        <v>16282</v>
      </c>
      <c r="M343" s="45" t="str">
        <f t="shared" si="183"/>
        <v>@lamarccsoftball</v>
      </c>
      <c r="N343" s="45" t="str">
        <f t="shared" si="184"/>
        <v>Questionnaire</v>
      </c>
      <c r="O343" s="108" t="s">
        <v>16272</v>
      </c>
      <c r="P343" s="60" t="s">
        <v>2088</v>
      </c>
      <c r="Q343" s="48" t="s">
        <v>12881</v>
      </c>
      <c r="R343" s="60" t="s">
        <v>205</v>
      </c>
      <c r="S343" s="49" t="s">
        <v>74</v>
      </c>
      <c r="T343" s="48" t="s">
        <v>75</v>
      </c>
      <c r="U343" s="49" t="s">
        <v>3678</v>
      </c>
      <c r="V343" s="7" t="s">
        <v>214</v>
      </c>
      <c r="W343" s="49" t="s">
        <v>214</v>
      </c>
      <c r="X343" s="49" t="s">
        <v>214</v>
      </c>
      <c r="Y343" s="49" t="s">
        <v>214</v>
      </c>
      <c r="Z343" s="55" t="s">
        <v>214</v>
      </c>
      <c r="AA343" s="48" t="s">
        <v>16273</v>
      </c>
      <c r="AB343" s="52" t="s">
        <v>16272</v>
      </c>
      <c r="AC343" s="53" t="str">
        <f t="shared" si="185"/>
        <v>Link</v>
      </c>
      <c r="AD343" s="42">
        <v>791</v>
      </c>
      <c r="AE343" s="55"/>
      <c r="AF343" s="55"/>
      <c r="AG343" s="56">
        <v>127389</v>
      </c>
      <c r="AH343" s="56"/>
      <c r="AI343" s="56"/>
    </row>
    <row r="344" spans="1:37" ht="15" x14ac:dyDescent="0.2">
      <c r="A344" s="110" t="s">
        <v>2072</v>
      </c>
      <c r="B344" s="33" t="s">
        <v>12632</v>
      </c>
      <c r="C344" s="7" t="s">
        <v>16283</v>
      </c>
      <c r="D344" s="112">
        <v>5</v>
      </c>
      <c r="E344" s="7"/>
      <c r="F344" s="7"/>
      <c r="G344" s="2" t="s">
        <v>16284</v>
      </c>
      <c r="H344" s="34" t="s">
        <v>930</v>
      </c>
      <c r="I344" s="2" t="s">
        <v>13931</v>
      </c>
      <c r="J344" s="2" t="s">
        <v>48</v>
      </c>
      <c r="K344" s="2" t="s">
        <v>16286</v>
      </c>
      <c r="L344" s="2" t="s">
        <v>16287</v>
      </c>
      <c r="M344" s="48"/>
      <c r="N344" s="45" t="str">
        <f t="shared" ref="N344:N345" si="186">HYPERLINK("http://www.gonjc.com/information/Recruitment_Forms","Questionnaire")</f>
        <v>Questionnaire</v>
      </c>
      <c r="O344" s="48" t="s">
        <v>16288</v>
      </c>
      <c r="P344" s="145" t="s">
        <v>2088</v>
      </c>
      <c r="Q344" s="48" t="s">
        <v>14394</v>
      </c>
      <c r="R344" s="48" t="s">
        <v>172</v>
      </c>
      <c r="S344" s="49" t="s">
        <v>74</v>
      </c>
      <c r="T344" s="48" t="s">
        <v>75</v>
      </c>
      <c r="U344" s="49" t="s">
        <v>3678</v>
      </c>
      <c r="V344" s="7" t="s">
        <v>214</v>
      </c>
      <c r="W344" s="49" t="s">
        <v>214</v>
      </c>
      <c r="X344" s="49" t="s">
        <v>214</v>
      </c>
      <c r="Y344" s="49" t="s">
        <v>214</v>
      </c>
      <c r="Z344" s="55" t="s">
        <v>214</v>
      </c>
      <c r="AA344" s="48" t="s">
        <v>16289</v>
      </c>
      <c r="AB344" s="84" t="s">
        <v>16288</v>
      </c>
      <c r="AC344" s="53" t="str">
        <f t="shared" ref="AC344:AC345" si="187">HYPERLINK("http://www.njc.edu/academics/degree-options","Link")</f>
        <v>Link</v>
      </c>
      <c r="AD344" s="42">
        <v>1645</v>
      </c>
      <c r="AE344" s="55"/>
      <c r="AF344" s="55"/>
      <c r="AG344" s="56">
        <v>127732</v>
      </c>
      <c r="AH344" s="56"/>
      <c r="AI344" s="56"/>
    </row>
    <row r="345" spans="1:37" ht="15" x14ac:dyDescent="0.2">
      <c r="A345" s="110" t="s">
        <v>2072</v>
      </c>
      <c r="B345" s="33" t="s">
        <v>12632</v>
      </c>
      <c r="C345" s="7" t="s">
        <v>16292</v>
      </c>
      <c r="D345" s="112">
        <v>5</v>
      </c>
      <c r="E345" s="7" t="s">
        <v>116</v>
      </c>
      <c r="F345" s="7"/>
      <c r="G345" s="2" t="s">
        <v>16284</v>
      </c>
      <c r="H345" s="7" t="s">
        <v>1985</v>
      </c>
      <c r="I345" s="7" t="s">
        <v>16293</v>
      </c>
      <c r="J345" s="7" t="s">
        <v>1423</v>
      </c>
      <c r="K345" s="7" t="s">
        <v>16294</v>
      </c>
      <c r="L345" s="7" t="s">
        <v>16295</v>
      </c>
      <c r="M345" s="48"/>
      <c r="N345" s="45" t="str">
        <f t="shared" si="186"/>
        <v>Questionnaire</v>
      </c>
      <c r="O345" s="48" t="s">
        <v>16288</v>
      </c>
      <c r="P345" s="145" t="s">
        <v>2088</v>
      </c>
      <c r="Q345" s="48" t="s">
        <v>14394</v>
      </c>
      <c r="R345" s="48" t="s">
        <v>172</v>
      </c>
      <c r="S345" s="49" t="s">
        <v>74</v>
      </c>
      <c r="T345" s="48" t="s">
        <v>75</v>
      </c>
      <c r="U345" s="49" t="s">
        <v>3678</v>
      </c>
      <c r="V345" s="7" t="s">
        <v>214</v>
      </c>
      <c r="W345" s="49" t="s">
        <v>214</v>
      </c>
      <c r="X345" s="49" t="s">
        <v>214</v>
      </c>
      <c r="Y345" s="49" t="s">
        <v>214</v>
      </c>
      <c r="Z345" s="55" t="s">
        <v>214</v>
      </c>
      <c r="AA345" s="48" t="s">
        <v>16289</v>
      </c>
      <c r="AB345" s="84" t="s">
        <v>16288</v>
      </c>
      <c r="AC345" s="53" t="str">
        <f t="shared" si="187"/>
        <v>Link</v>
      </c>
      <c r="AD345" s="42">
        <v>1645</v>
      </c>
      <c r="AE345" s="55"/>
      <c r="AF345" s="55"/>
      <c r="AG345" s="56">
        <v>127732</v>
      </c>
      <c r="AH345" s="56"/>
      <c r="AI345" s="56"/>
    </row>
    <row r="346" spans="1:37" ht="15" x14ac:dyDescent="0.2">
      <c r="A346" s="110" t="s">
        <v>2072</v>
      </c>
      <c r="B346" s="33" t="s">
        <v>12632</v>
      </c>
      <c r="C346" s="7" t="s">
        <v>16299</v>
      </c>
      <c r="D346" s="112">
        <v>5</v>
      </c>
      <c r="E346" s="7"/>
      <c r="F346" s="7"/>
      <c r="G346" s="2" t="s">
        <v>16302</v>
      </c>
      <c r="H346" s="2" t="s">
        <v>16304</v>
      </c>
      <c r="I346" s="2" t="s">
        <v>7709</v>
      </c>
      <c r="J346" s="2" t="s">
        <v>48</v>
      </c>
      <c r="K346" s="2" t="s">
        <v>16308</v>
      </c>
      <c r="L346" s="2" t="s">
        <v>16309</v>
      </c>
      <c r="M346" s="45" t="str">
        <f t="shared" ref="M346:M347" si="188">HYPERLINK("twitter.com/oterosoftball","@oterosoftball")</f>
        <v>@oterosoftball</v>
      </c>
      <c r="N346" s="45" t="str">
        <f t="shared" ref="N346:N347" si="189">HYPERLINK("https://www.ojc.edu/athletics/softball/softballppq.aspx","Questionnaire")</f>
        <v>Questionnaire</v>
      </c>
      <c r="O346" s="48" t="s">
        <v>16314</v>
      </c>
      <c r="P346" s="60" t="s">
        <v>2088</v>
      </c>
      <c r="Q346" s="48" t="s">
        <v>16315</v>
      </c>
      <c r="R346" s="60" t="s">
        <v>205</v>
      </c>
      <c r="S346" s="49" t="s">
        <v>74</v>
      </c>
      <c r="T346" s="48" t="s">
        <v>75</v>
      </c>
      <c r="U346" s="49" t="s">
        <v>3678</v>
      </c>
      <c r="V346" s="7" t="s">
        <v>214</v>
      </c>
      <c r="W346" s="49" t="s">
        <v>214</v>
      </c>
      <c r="X346" s="49" t="s">
        <v>214</v>
      </c>
      <c r="Y346" s="49" t="s">
        <v>214</v>
      </c>
      <c r="Z346" s="55" t="s">
        <v>214</v>
      </c>
      <c r="AA346" s="48" t="s">
        <v>16316</v>
      </c>
      <c r="AB346" s="84" t="s">
        <v>16314</v>
      </c>
      <c r="AC346" s="53" t="str">
        <f t="shared" ref="AC346:AC347" si="190">HYPERLINK("https://www.ojc.edu/academics/understanding/degrees.aspx","Link")</f>
        <v>Link</v>
      </c>
      <c r="AD346" s="42">
        <v>1464</v>
      </c>
      <c r="AE346" s="55"/>
      <c r="AF346" s="55"/>
      <c r="AG346" s="56">
        <v>127778</v>
      </c>
      <c r="AH346" s="56"/>
      <c r="AI346" s="56"/>
    </row>
    <row r="347" spans="1:37" ht="15" x14ac:dyDescent="0.2">
      <c r="A347" s="110" t="s">
        <v>2072</v>
      </c>
      <c r="B347" s="33" t="s">
        <v>12632</v>
      </c>
      <c r="C347" s="7" t="s">
        <v>16319</v>
      </c>
      <c r="D347" s="112">
        <v>5</v>
      </c>
      <c r="E347" s="7"/>
      <c r="F347" s="7"/>
      <c r="G347" s="2" t="s">
        <v>16302</v>
      </c>
      <c r="H347" s="2" t="s">
        <v>16320</v>
      </c>
      <c r="I347" s="2" t="s">
        <v>16322</v>
      </c>
      <c r="J347" s="33" t="s">
        <v>55</v>
      </c>
      <c r="K347" s="2" t="s">
        <v>16324</v>
      </c>
      <c r="L347" s="2" t="s">
        <v>16325</v>
      </c>
      <c r="M347" s="45" t="str">
        <f t="shared" si="188"/>
        <v>@oterosoftball</v>
      </c>
      <c r="N347" s="45" t="str">
        <f t="shared" si="189"/>
        <v>Questionnaire</v>
      </c>
      <c r="O347" s="48" t="s">
        <v>16314</v>
      </c>
      <c r="P347" s="60" t="s">
        <v>2088</v>
      </c>
      <c r="Q347" s="48" t="s">
        <v>16315</v>
      </c>
      <c r="R347" s="60" t="s">
        <v>205</v>
      </c>
      <c r="S347" s="49" t="s">
        <v>74</v>
      </c>
      <c r="T347" s="48" t="s">
        <v>75</v>
      </c>
      <c r="U347" s="49" t="s">
        <v>3678</v>
      </c>
      <c r="V347" s="7" t="s">
        <v>214</v>
      </c>
      <c r="W347" s="49" t="s">
        <v>214</v>
      </c>
      <c r="X347" s="49" t="s">
        <v>214</v>
      </c>
      <c r="Y347" s="49" t="s">
        <v>214</v>
      </c>
      <c r="Z347" s="55" t="s">
        <v>214</v>
      </c>
      <c r="AA347" s="48" t="s">
        <v>16316</v>
      </c>
      <c r="AB347" s="84" t="s">
        <v>16314</v>
      </c>
      <c r="AC347" s="53" t="str">
        <f t="shared" si="190"/>
        <v>Link</v>
      </c>
      <c r="AD347" s="42">
        <v>1464</v>
      </c>
      <c r="AE347" s="55"/>
      <c r="AF347" s="55"/>
      <c r="AG347" s="56">
        <v>127778</v>
      </c>
      <c r="AH347" s="56"/>
      <c r="AI347" s="56"/>
    </row>
    <row r="348" spans="1:37" ht="15" x14ac:dyDescent="0.2">
      <c r="A348" s="64" t="s">
        <v>2072</v>
      </c>
      <c r="B348" s="33" t="s">
        <v>12632</v>
      </c>
      <c r="C348" s="7" t="s">
        <v>16331</v>
      </c>
      <c r="D348" s="44">
        <v>5</v>
      </c>
      <c r="E348" s="7" t="s">
        <v>116</v>
      </c>
      <c r="F348" s="7"/>
      <c r="G348" s="2" t="s">
        <v>16332</v>
      </c>
      <c r="H348" s="7" t="s">
        <v>16334</v>
      </c>
      <c r="I348" s="7" t="s">
        <v>16336</v>
      </c>
      <c r="J348" s="7" t="s">
        <v>55</v>
      </c>
      <c r="K348" s="7"/>
      <c r="L348" s="7"/>
      <c r="M348" s="48"/>
      <c r="N348" s="45" t="str">
        <f t="shared" ref="N348:N351" si="191">HYPERLINK("https://www.tsjctrojans.com/information/Prospective_Athlete_Form","Questionnaire")</f>
        <v>Questionnaire</v>
      </c>
      <c r="O348" s="108" t="s">
        <v>16337</v>
      </c>
      <c r="P348" s="60" t="s">
        <v>2088</v>
      </c>
      <c r="Q348" s="48" t="s">
        <v>16338</v>
      </c>
      <c r="R348" s="60" t="s">
        <v>205</v>
      </c>
      <c r="S348" s="49" t="s">
        <v>74</v>
      </c>
      <c r="T348" s="48" t="s">
        <v>75</v>
      </c>
      <c r="U348" s="49" t="s">
        <v>3678</v>
      </c>
      <c r="V348" s="7" t="s">
        <v>214</v>
      </c>
      <c r="W348" s="49" t="s">
        <v>214</v>
      </c>
      <c r="X348" s="49" t="s">
        <v>214</v>
      </c>
      <c r="Y348" s="49" t="s">
        <v>214</v>
      </c>
      <c r="Z348" s="55" t="s">
        <v>214</v>
      </c>
      <c r="AA348" s="48" t="s">
        <v>16339</v>
      </c>
      <c r="AB348" s="52" t="s">
        <v>16337</v>
      </c>
      <c r="AC348" s="53" t="str">
        <f t="shared" ref="AC348:AC351" si="192">HYPERLINK("http://www.trinidadstate.edu/academics/index.html","Link")</f>
        <v>Link</v>
      </c>
      <c r="AD348" s="42">
        <v>1654</v>
      </c>
      <c r="AE348" s="55"/>
      <c r="AF348" s="55"/>
      <c r="AG348" s="56">
        <v>128258</v>
      </c>
      <c r="AH348" s="85"/>
      <c r="AI348" s="85"/>
    </row>
    <row r="349" spans="1:37" ht="15" x14ac:dyDescent="0.2">
      <c r="A349" s="110" t="s">
        <v>2072</v>
      </c>
      <c r="B349" s="33" t="s">
        <v>12632</v>
      </c>
      <c r="C349" s="7" t="s">
        <v>16343</v>
      </c>
      <c r="D349" s="112">
        <v>5</v>
      </c>
      <c r="E349" s="7"/>
      <c r="F349" s="7"/>
      <c r="G349" s="2" t="s">
        <v>16332</v>
      </c>
      <c r="H349" s="2" t="s">
        <v>363</v>
      </c>
      <c r="I349" s="2" t="s">
        <v>16344</v>
      </c>
      <c r="J349" s="2" t="s">
        <v>48</v>
      </c>
      <c r="K349" s="2" t="s">
        <v>16345</v>
      </c>
      <c r="L349" s="2" t="s">
        <v>16346</v>
      </c>
      <c r="M349" s="48"/>
      <c r="N349" s="45" t="str">
        <f t="shared" si="191"/>
        <v>Questionnaire</v>
      </c>
      <c r="O349" s="108" t="s">
        <v>16337</v>
      </c>
      <c r="P349" s="60" t="s">
        <v>2088</v>
      </c>
      <c r="Q349" s="48" t="s">
        <v>16338</v>
      </c>
      <c r="R349" s="60" t="s">
        <v>205</v>
      </c>
      <c r="S349" s="49" t="s">
        <v>74</v>
      </c>
      <c r="T349" s="48" t="s">
        <v>75</v>
      </c>
      <c r="U349" s="49" t="s">
        <v>3678</v>
      </c>
      <c r="V349" s="7" t="s">
        <v>214</v>
      </c>
      <c r="W349" s="49" t="s">
        <v>214</v>
      </c>
      <c r="X349" s="49" t="s">
        <v>214</v>
      </c>
      <c r="Y349" s="49" t="s">
        <v>214</v>
      </c>
      <c r="Z349" s="55" t="s">
        <v>214</v>
      </c>
      <c r="AA349" s="48" t="s">
        <v>16339</v>
      </c>
      <c r="AB349" s="52" t="s">
        <v>16337</v>
      </c>
      <c r="AC349" s="53" t="str">
        <f t="shared" si="192"/>
        <v>Link</v>
      </c>
      <c r="AD349" s="42">
        <v>1654</v>
      </c>
      <c r="AE349" s="55"/>
      <c r="AF349" s="55"/>
      <c r="AG349" s="56">
        <v>128258</v>
      </c>
      <c r="AH349" s="56"/>
      <c r="AI349" s="56"/>
    </row>
    <row r="350" spans="1:37" ht="15" x14ac:dyDescent="0.2">
      <c r="A350" s="110" t="s">
        <v>2072</v>
      </c>
      <c r="B350" s="33" t="s">
        <v>12632</v>
      </c>
      <c r="C350" s="7" t="s">
        <v>16352</v>
      </c>
      <c r="D350" s="112">
        <v>5</v>
      </c>
      <c r="E350" s="7"/>
      <c r="F350" s="7"/>
      <c r="G350" s="2" t="s">
        <v>16332</v>
      </c>
      <c r="H350" s="138" t="s">
        <v>222</v>
      </c>
      <c r="I350" s="2" t="s">
        <v>15984</v>
      </c>
      <c r="J350" s="2" t="s">
        <v>55</v>
      </c>
      <c r="K350" s="2"/>
      <c r="L350" s="2"/>
      <c r="M350" s="48"/>
      <c r="N350" s="45" t="str">
        <f t="shared" si="191"/>
        <v>Questionnaire</v>
      </c>
      <c r="O350" s="108" t="s">
        <v>16337</v>
      </c>
      <c r="P350" s="60" t="s">
        <v>2088</v>
      </c>
      <c r="Q350" s="48" t="s">
        <v>16338</v>
      </c>
      <c r="R350" s="60" t="s">
        <v>205</v>
      </c>
      <c r="S350" s="49" t="s">
        <v>74</v>
      </c>
      <c r="T350" s="48" t="s">
        <v>75</v>
      </c>
      <c r="U350" s="49" t="s">
        <v>3678</v>
      </c>
      <c r="V350" s="7" t="s">
        <v>214</v>
      </c>
      <c r="W350" s="49" t="s">
        <v>214</v>
      </c>
      <c r="X350" s="49" t="s">
        <v>214</v>
      </c>
      <c r="Y350" s="49" t="s">
        <v>214</v>
      </c>
      <c r="Z350" s="55" t="s">
        <v>214</v>
      </c>
      <c r="AA350" s="48" t="s">
        <v>16339</v>
      </c>
      <c r="AB350" s="52" t="s">
        <v>16337</v>
      </c>
      <c r="AC350" s="53" t="str">
        <f t="shared" si="192"/>
        <v>Link</v>
      </c>
      <c r="AD350" s="42">
        <v>1654</v>
      </c>
      <c r="AE350" s="55"/>
      <c r="AF350" s="55"/>
      <c r="AG350" s="56">
        <v>128258</v>
      </c>
      <c r="AH350" s="56"/>
      <c r="AI350" s="56"/>
    </row>
    <row r="351" spans="1:37" ht="15" x14ac:dyDescent="0.2">
      <c r="A351" s="110" t="s">
        <v>2072</v>
      </c>
      <c r="B351" s="33" t="s">
        <v>12632</v>
      </c>
      <c r="C351" s="7" t="s">
        <v>16356</v>
      </c>
      <c r="D351" s="112">
        <v>5</v>
      </c>
      <c r="E351" s="7"/>
      <c r="F351" s="7"/>
      <c r="G351" s="2" t="s">
        <v>16332</v>
      </c>
      <c r="H351" s="138" t="s">
        <v>11885</v>
      </c>
      <c r="I351" s="2" t="s">
        <v>3810</v>
      </c>
      <c r="J351" s="2" t="s">
        <v>55</v>
      </c>
      <c r="K351" s="2"/>
      <c r="L351" s="2"/>
      <c r="M351" s="48"/>
      <c r="N351" s="45" t="str">
        <f t="shared" si="191"/>
        <v>Questionnaire</v>
      </c>
      <c r="O351" s="108" t="s">
        <v>16337</v>
      </c>
      <c r="P351" s="60" t="s">
        <v>2088</v>
      </c>
      <c r="Q351" s="48" t="s">
        <v>16338</v>
      </c>
      <c r="R351" s="60" t="s">
        <v>205</v>
      </c>
      <c r="S351" s="49" t="s">
        <v>74</v>
      </c>
      <c r="T351" s="48" t="s">
        <v>75</v>
      </c>
      <c r="U351" s="49" t="s">
        <v>3678</v>
      </c>
      <c r="V351" s="7" t="s">
        <v>214</v>
      </c>
      <c r="W351" s="49" t="s">
        <v>214</v>
      </c>
      <c r="X351" s="49" t="s">
        <v>214</v>
      </c>
      <c r="Y351" s="49" t="s">
        <v>214</v>
      </c>
      <c r="Z351" s="55" t="s">
        <v>214</v>
      </c>
      <c r="AA351" s="48" t="s">
        <v>16339</v>
      </c>
      <c r="AB351" s="52" t="s">
        <v>16337</v>
      </c>
      <c r="AC351" s="53" t="str">
        <f t="shared" si="192"/>
        <v>Link</v>
      </c>
      <c r="AD351" s="42">
        <v>1654</v>
      </c>
      <c r="AE351" s="55"/>
      <c r="AF351" s="55"/>
      <c r="AG351" s="56">
        <v>128258</v>
      </c>
      <c r="AH351" s="56"/>
      <c r="AI351" s="56"/>
    </row>
    <row r="352" spans="1:37" ht="15" x14ac:dyDescent="0.2">
      <c r="A352" s="31" t="s">
        <v>1175</v>
      </c>
      <c r="B352" s="33" t="s">
        <v>12632</v>
      </c>
      <c r="C352" s="7"/>
      <c r="D352" s="112">
        <v>5</v>
      </c>
      <c r="E352" s="7"/>
      <c r="F352" s="112"/>
      <c r="G352" s="2" t="s">
        <v>16365</v>
      </c>
      <c r="H352" s="7" t="s">
        <v>986</v>
      </c>
      <c r="I352" s="7" t="s">
        <v>16366</v>
      </c>
      <c r="J352" s="7" t="s">
        <v>48</v>
      </c>
      <c r="K352" s="138" t="s">
        <v>16367</v>
      </c>
      <c r="L352" s="7" t="s">
        <v>16368</v>
      </c>
      <c r="M352" s="48"/>
      <c r="N352" s="45" t="str">
        <f t="shared" ref="N352:N353" si="193">HYPERLINK("https://delawaretech.wufoo.com/forms/athletics-recruitment/","Questionnaire")</f>
        <v>Questionnaire</v>
      </c>
      <c r="O352" s="48" t="s">
        <v>16372</v>
      </c>
      <c r="P352" s="60" t="s">
        <v>1189</v>
      </c>
      <c r="Q352" s="48" t="s">
        <v>1190</v>
      </c>
      <c r="R352" s="48" t="s">
        <v>468</v>
      </c>
      <c r="S352" s="49" t="s">
        <v>74</v>
      </c>
      <c r="T352" s="48" t="s">
        <v>75</v>
      </c>
      <c r="U352" s="49" t="s">
        <v>3678</v>
      </c>
      <c r="V352" s="7" t="s">
        <v>214</v>
      </c>
      <c r="W352" s="49" t="s">
        <v>214</v>
      </c>
      <c r="X352" s="49" t="s">
        <v>214</v>
      </c>
      <c r="Y352" s="49" t="s">
        <v>214</v>
      </c>
      <c r="Z352" s="55" t="s">
        <v>214</v>
      </c>
      <c r="AA352" s="48" t="s">
        <v>16375</v>
      </c>
      <c r="AB352" s="84" t="s">
        <v>16372</v>
      </c>
      <c r="AC352" s="53" t="str">
        <f t="shared" ref="AC352:AC353" si="194">HYPERLINK("https://www.dtcc.edu/academics/programs-study","Link")</f>
        <v>Link</v>
      </c>
      <c r="AD352" s="42">
        <v>14479</v>
      </c>
      <c r="AE352" s="55"/>
      <c r="AF352" s="55"/>
      <c r="AG352" s="56">
        <v>130907</v>
      </c>
      <c r="AH352" s="7" t="s">
        <v>2459</v>
      </c>
      <c r="AI352" s="7"/>
      <c r="AJ352" s="7"/>
      <c r="AK352" s="7"/>
    </row>
    <row r="353" spans="1:37" ht="15" x14ac:dyDescent="0.2">
      <c r="A353" s="31" t="s">
        <v>1175</v>
      </c>
      <c r="B353" s="7" t="s">
        <v>12632</v>
      </c>
      <c r="C353" s="7"/>
      <c r="D353" s="112">
        <v>5</v>
      </c>
      <c r="E353" s="7"/>
      <c r="F353" s="112"/>
      <c r="G353" s="2" t="s">
        <v>16365</v>
      </c>
      <c r="H353" s="2" t="s">
        <v>173</v>
      </c>
      <c r="I353" s="2" t="s">
        <v>4306</v>
      </c>
      <c r="J353" s="2" t="s">
        <v>55</v>
      </c>
      <c r="K353" s="2" t="s">
        <v>16380</v>
      </c>
      <c r="L353" s="7" t="s">
        <v>16381</v>
      </c>
      <c r="M353" s="48"/>
      <c r="N353" s="45" t="str">
        <f t="shared" si="193"/>
        <v>Questionnaire</v>
      </c>
      <c r="O353" s="48" t="s">
        <v>16372</v>
      </c>
      <c r="P353" s="60" t="s">
        <v>1189</v>
      </c>
      <c r="Q353" s="48" t="s">
        <v>1190</v>
      </c>
      <c r="R353" s="48" t="s">
        <v>468</v>
      </c>
      <c r="S353" s="49" t="s">
        <v>74</v>
      </c>
      <c r="T353" s="48" t="s">
        <v>75</v>
      </c>
      <c r="U353" s="49" t="s">
        <v>3678</v>
      </c>
      <c r="V353" s="7" t="s">
        <v>214</v>
      </c>
      <c r="W353" s="49" t="s">
        <v>214</v>
      </c>
      <c r="X353" s="49" t="s">
        <v>214</v>
      </c>
      <c r="Y353" s="49" t="s">
        <v>214</v>
      </c>
      <c r="Z353" s="55" t="s">
        <v>214</v>
      </c>
      <c r="AA353" s="48" t="s">
        <v>16375</v>
      </c>
      <c r="AB353" s="84" t="s">
        <v>16372</v>
      </c>
      <c r="AC353" s="53" t="str">
        <f t="shared" si="194"/>
        <v>Link</v>
      </c>
      <c r="AD353" s="42">
        <v>14479</v>
      </c>
      <c r="AE353" s="55"/>
      <c r="AF353" s="55"/>
      <c r="AG353" s="56">
        <v>130907</v>
      </c>
      <c r="AH353" s="7" t="s">
        <v>2459</v>
      </c>
      <c r="AI353" s="7"/>
      <c r="AJ353" s="7"/>
      <c r="AK353" s="7"/>
    </row>
    <row r="354" spans="1:37" ht="15" x14ac:dyDescent="0.2">
      <c r="A354" s="88" t="s">
        <v>2866</v>
      </c>
      <c r="B354" s="33" t="s">
        <v>12632</v>
      </c>
      <c r="C354" s="7" t="s">
        <v>16384</v>
      </c>
      <c r="D354" s="44">
        <v>5</v>
      </c>
      <c r="E354" s="7" t="s">
        <v>116</v>
      </c>
      <c r="F354" s="7"/>
      <c r="G354" s="2" t="s">
        <v>16385</v>
      </c>
      <c r="H354" s="7" t="s">
        <v>16386</v>
      </c>
      <c r="I354" s="7" t="s">
        <v>16387</v>
      </c>
      <c r="J354" s="7" t="s">
        <v>55</v>
      </c>
      <c r="K354" s="7"/>
      <c r="L354" s="7"/>
      <c r="M354" s="48"/>
      <c r="N354" s="45" t="str">
        <f t="shared" ref="N354:N357" si="195">HYPERLINK("https://asasilverstorm.com/Recruiting_Landing","Questionnaire")</f>
        <v>Questionnaire</v>
      </c>
      <c r="O354" s="108" t="s">
        <v>16395</v>
      </c>
      <c r="P354" s="60" t="s">
        <v>66</v>
      </c>
      <c r="Q354" s="48" t="s">
        <v>6077</v>
      </c>
      <c r="R354" s="48" t="s">
        <v>354</v>
      </c>
      <c r="S354" s="5" t="s">
        <v>63</v>
      </c>
      <c r="T354" s="48" t="s">
        <v>75</v>
      </c>
      <c r="U354" s="49" t="s">
        <v>3678</v>
      </c>
      <c r="V354" s="7" t="s">
        <v>6405</v>
      </c>
      <c r="W354" s="49" t="s">
        <v>214</v>
      </c>
      <c r="X354" s="49" t="s">
        <v>214</v>
      </c>
      <c r="Y354" s="49" t="s">
        <v>214</v>
      </c>
      <c r="Z354" s="55" t="s">
        <v>214</v>
      </c>
      <c r="AA354" s="39">
        <v>33818</v>
      </c>
      <c r="AB354" s="84" t="s">
        <v>16395</v>
      </c>
      <c r="AC354" s="53" t="str">
        <f t="shared" ref="AC354:AC357" si="196">HYPERLINK("http://miami.asa.edu/academics/degree-programs/","Link")</f>
        <v>Link</v>
      </c>
      <c r="AD354" s="42">
        <v>4480</v>
      </c>
      <c r="AE354" s="42"/>
      <c r="AF354" s="42"/>
      <c r="AG354" s="42"/>
      <c r="AH354" s="42"/>
      <c r="AI354" s="42"/>
    </row>
    <row r="355" spans="1:37" ht="15" x14ac:dyDescent="0.2">
      <c r="A355" s="88" t="s">
        <v>2866</v>
      </c>
      <c r="B355" s="33" t="s">
        <v>12632</v>
      </c>
      <c r="C355" s="7" t="s">
        <v>16400</v>
      </c>
      <c r="D355" s="44">
        <v>5</v>
      </c>
      <c r="E355" s="7" t="s">
        <v>116</v>
      </c>
      <c r="F355" s="7"/>
      <c r="G355" s="2" t="s">
        <v>16385</v>
      </c>
      <c r="H355" s="7" t="s">
        <v>173</v>
      </c>
      <c r="I355" s="7" t="s">
        <v>16401</v>
      </c>
      <c r="J355" s="7" t="s">
        <v>55</v>
      </c>
      <c r="K355" s="7"/>
      <c r="L355" s="7"/>
      <c r="M355" s="48"/>
      <c r="N355" s="45" t="str">
        <f t="shared" si="195"/>
        <v>Questionnaire</v>
      </c>
      <c r="O355" s="108" t="s">
        <v>16395</v>
      </c>
      <c r="P355" s="60" t="s">
        <v>66</v>
      </c>
      <c r="Q355" s="48" t="s">
        <v>6077</v>
      </c>
      <c r="R355" s="48" t="s">
        <v>354</v>
      </c>
      <c r="S355" s="5" t="s">
        <v>63</v>
      </c>
      <c r="T355" s="48" t="s">
        <v>75</v>
      </c>
      <c r="U355" s="49" t="s">
        <v>3678</v>
      </c>
      <c r="V355" s="7" t="s">
        <v>6405</v>
      </c>
      <c r="W355" s="49" t="s">
        <v>214</v>
      </c>
      <c r="X355" s="49" t="s">
        <v>214</v>
      </c>
      <c r="Y355" s="49" t="s">
        <v>214</v>
      </c>
      <c r="Z355" s="55" t="s">
        <v>214</v>
      </c>
      <c r="AA355" s="39">
        <v>33818</v>
      </c>
      <c r="AB355" s="84" t="s">
        <v>16395</v>
      </c>
      <c r="AC355" s="53" t="str">
        <f t="shared" si="196"/>
        <v>Link</v>
      </c>
      <c r="AD355" s="42">
        <v>4480</v>
      </c>
      <c r="AE355" s="42"/>
      <c r="AF355" s="42"/>
      <c r="AG355" s="42"/>
      <c r="AH355" s="42"/>
      <c r="AI355" s="42"/>
    </row>
    <row r="356" spans="1:37" ht="15" x14ac:dyDescent="0.2">
      <c r="A356" s="88" t="s">
        <v>2866</v>
      </c>
      <c r="B356" s="33" t="s">
        <v>12632</v>
      </c>
      <c r="C356" s="7" t="s">
        <v>16408</v>
      </c>
      <c r="D356" s="112">
        <v>5</v>
      </c>
      <c r="E356" s="7"/>
      <c r="F356" s="112"/>
      <c r="G356" s="2" t="s">
        <v>16385</v>
      </c>
      <c r="H356" s="2" t="s">
        <v>728</v>
      </c>
      <c r="I356" s="2" t="s">
        <v>10853</v>
      </c>
      <c r="J356" s="2" t="s">
        <v>48</v>
      </c>
      <c r="K356" s="6" t="s">
        <v>16409</v>
      </c>
      <c r="L356" s="2" t="s">
        <v>16410</v>
      </c>
      <c r="M356" s="7"/>
      <c r="N356" s="45" t="str">
        <f t="shared" si="195"/>
        <v>Questionnaire</v>
      </c>
      <c r="O356" s="108" t="s">
        <v>16395</v>
      </c>
      <c r="P356" s="60" t="s">
        <v>66</v>
      </c>
      <c r="Q356" s="48" t="s">
        <v>6077</v>
      </c>
      <c r="R356" s="48" t="s">
        <v>354</v>
      </c>
      <c r="S356" s="5" t="s">
        <v>63</v>
      </c>
      <c r="T356" s="48" t="s">
        <v>75</v>
      </c>
      <c r="U356" s="49" t="s">
        <v>3678</v>
      </c>
      <c r="V356" s="7" t="s">
        <v>6405</v>
      </c>
      <c r="W356" s="49" t="s">
        <v>214</v>
      </c>
      <c r="X356" s="49" t="s">
        <v>214</v>
      </c>
      <c r="Y356" s="49" t="s">
        <v>214</v>
      </c>
      <c r="Z356" s="55" t="s">
        <v>214</v>
      </c>
      <c r="AA356" s="39">
        <v>33818</v>
      </c>
      <c r="AB356" s="84" t="s">
        <v>16395</v>
      </c>
      <c r="AC356" s="53" t="str">
        <f t="shared" si="196"/>
        <v>Link</v>
      </c>
      <c r="AD356" s="42">
        <v>4480</v>
      </c>
      <c r="AE356" s="55"/>
      <c r="AF356" s="55"/>
      <c r="AG356" s="7"/>
      <c r="AH356" s="7"/>
      <c r="AI356" s="7"/>
    </row>
    <row r="357" spans="1:37" ht="15" x14ac:dyDescent="0.2">
      <c r="A357" s="88" t="s">
        <v>2866</v>
      </c>
      <c r="B357" s="33" t="s">
        <v>12632</v>
      </c>
      <c r="C357" s="7" t="s">
        <v>16418</v>
      </c>
      <c r="D357" s="112">
        <v>5</v>
      </c>
      <c r="E357" s="7"/>
      <c r="F357" s="112"/>
      <c r="G357" s="2" t="s">
        <v>16385</v>
      </c>
      <c r="H357" s="2" t="s">
        <v>1060</v>
      </c>
      <c r="I357" s="2" t="s">
        <v>16419</v>
      </c>
      <c r="J357" s="2" t="s">
        <v>919</v>
      </c>
      <c r="K357" s="2" t="s">
        <v>16420</v>
      </c>
      <c r="L357" s="2"/>
      <c r="M357" s="48"/>
      <c r="N357" s="45" t="str">
        <f t="shared" si="195"/>
        <v>Questionnaire</v>
      </c>
      <c r="O357" s="108" t="s">
        <v>16395</v>
      </c>
      <c r="P357" s="60" t="s">
        <v>66</v>
      </c>
      <c r="Q357" s="48" t="s">
        <v>6077</v>
      </c>
      <c r="R357" s="48" t="s">
        <v>354</v>
      </c>
      <c r="S357" s="5" t="s">
        <v>63</v>
      </c>
      <c r="T357" s="48" t="s">
        <v>75</v>
      </c>
      <c r="U357" s="49" t="s">
        <v>3678</v>
      </c>
      <c r="V357" s="7" t="s">
        <v>6405</v>
      </c>
      <c r="W357" s="49" t="s">
        <v>214</v>
      </c>
      <c r="X357" s="49" t="s">
        <v>214</v>
      </c>
      <c r="Y357" s="49" t="s">
        <v>214</v>
      </c>
      <c r="Z357" s="55" t="s">
        <v>214</v>
      </c>
      <c r="AA357" s="39">
        <v>33818</v>
      </c>
      <c r="AB357" s="84" t="s">
        <v>16395</v>
      </c>
      <c r="AC357" s="53" t="str">
        <f t="shared" si="196"/>
        <v>Link</v>
      </c>
      <c r="AD357" s="42">
        <v>4480</v>
      </c>
      <c r="AE357" s="55"/>
      <c r="AF357" s="55"/>
      <c r="AG357" s="7"/>
      <c r="AH357" s="7"/>
      <c r="AI357" s="7"/>
    </row>
    <row r="358" spans="1:37" ht="15" x14ac:dyDescent="0.2">
      <c r="A358" s="64" t="s">
        <v>2866</v>
      </c>
      <c r="B358" s="33" t="s">
        <v>12632</v>
      </c>
      <c r="C358" s="7" t="s">
        <v>16424</v>
      </c>
      <c r="D358" s="112">
        <v>5</v>
      </c>
      <c r="E358" s="7" t="s">
        <v>116</v>
      </c>
      <c r="F358" s="7"/>
      <c r="G358" s="2" t="s">
        <v>16425</v>
      </c>
      <c r="H358" s="7" t="s">
        <v>16426</v>
      </c>
      <c r="I358" s="7" t="s">
        <v>16427</v>
      </c>
      <c r="J358" s="7" t="s">
        <v>48</v>
      </c>
      <c r="K358" s="7" t="s">
        <v>16428</v>
      </c>
      <c r="L358" s="36" t="s">
        <v>16429</v>
      </c>
      <c r="M358" s="45" t="str">
        <f>HYPERLINK("twitter.com/browardsoftball","@browardsoftball")</f>
        <v>@browardsoftball</v>
      </c>
      <c r="N358" s="48" t="s">
        <v>22</v>
      </c>
      <c r="O358" s="60" t="s">
        <v>16433</v>
      </c>
      <c r="P358" s="60" t="s">
        <v>66</v>
      </c>
      <c r="Q358" s="48" t="s">
        <v>3222</v>
      </c>
      <c r="R358" s="48" t="s">
        <v>62</v>
      </c>
      <c r="S358" s="5" t="s">
        <v>74</v>
      </c>
      <c r="T358" s="48" t="s">
        <v>75</v>
      </c>
      <c r="U358" s="49" t="s">
        <v>3678</v>
      </c>
      <c r="V358" s="7" t="s">
        <v>214</v>
      </c>
      <c r="W358" s="49" t="s">
        <v>214</v>
      </c>
      <c r="X358" s="49" t="s">
        <v>214</v>
      </c>
      <c r="Y358" s="49" t="s">
        <v>214</v>
      </c>
      <c r="Z358" s="55" t="s">
        <v>214</v>
      </c>
      <c r="AA358" s="48" t="s">
        <v>16434</v>
      </c>
      <c r="AB358" s="90" t="s">
        <v>16433</v>
      </c>
      <c r="AC358" s="53" t="str">
        <f>HYPERLINK("http://www.broward.edu/academics/programs/Pages/default.aspx","Link")</f>
        <v>Link</v>
      </c>
      <c r="AD358" s="42">
        <v>43700</v>
      </c>
      <c r="AE358" s="55"/>
      <c r="AF358" s="55"/>
      <c r="AG358" s="56">
        <v>132709</v>
      </c>
      <c r="AH358" s="56"/>
      <c r="AI358" s="56"/>
    </row>
    <row r="359" spans="1:37" ht="15" x14ac:dyDescent="0.2">
      <c r="A359" s="64" t="s">
        <v>2866</v>
      </c>
      <c r="B359" s="33" t="s">
        <v>12632</v>
      </c>
      <c r="C359" s="7" t="s">
        <v>16437</v>
      </c>
      <c r="D359" s="112">
        <v>5</v>
      </c>
      <c r="E359" s="7"/>
      <c r="F359" s="112"/>
      <c r="G359" s="2" t="s">
        <v>16438</v>
      </c>
      <c r="H359" s="2" t="s">
        <v>3279</v>
      </c>
      <c r="I359" s="2" t="s">
        <v>1482</v>
      </c>
      <c r="J359" s="2" t="s">
        <v>48</v>
      </c>
      <c r="K359" s="2" t="s">
        <v>16439</v>
      </c>
      <c r="L359" s="2" t="s">
        <v>16440</v>
      </c>
      <c r="M359" s="45" t="str">
        <f t="shared" ref="M359:M361" si="197">HYPERLINK("twitter.com/gocfsoftball","@gocfsoftball")</f>
        <v>@gocfsoftball</v>
      </c>
      <c r="N359" s="45" t="str">
        <f t="shared" ref="N359:N361" si="198">HYPERLINK("http://www.cfpatriots.net/sports/sball/sb_recruit_questionnaire","Questionnaire")</f>
        <v>Questionnaire</v>
      </c>
      <c r="O359" s="108" t="s">
        <v>16446</v>
      </c>
      <c r="P359" s="60" t="s">
        <v>66</v>
      </c>
      <c r="Q359" s="48" t="s">
        <v>16447</v>
      </c>
      <c r="R359" s="48" t="s">
        <v>186</v>
      </c>
      <c r="S359" s="49" t="s">
        <v>74</v>
      </c>
      <c r="T359" s="48" t="s">
        <v>75</v>
      </c>
      <c r="U359" s="49"/>
      <c r="V359" s="37">
        <v>3.81</v>
      </c>
      <c r="W359" s="49" t="s">
        <v>214</v>
      </c>
      <c r="X359" s="49" t="s">
        <v>214</v>
      </c>
      <c r="Y359" s="49" t="s">
        <v>214</v>
      </c>
      <c r="Z359" s="38">
        <v>0.65500000000000003</v>
      </c>
      <c r="AA359" s="48" t="s">
        <v>16448</v>
      </c>
      <c r="AB359" s="52" t="s">
        <v>16446</v>
      </c>
      <c r="AC359" s="53" t="str">
        <f t="shared" ref="AC359:AC361" si="199">HYPERLINK("http://www.cf.edu/explore/programs/index","Link")</f>
        <v>Link</v>
      </c>
      <c r="AD359" s="42">
        <v>7375</v>
      </c>
      <c r="AE359" s="55"/>
      <c r="AF359" s="55"/>
      <c r="AG359" s="56">
        <v>132851</v>
      </c>
      <c r="AH359" s="56"/>
      <c r="AI359" s="56"/>
    </row>
    <row r="360" spans="1:37" ht="15" x14ac:dyDescent="0.2">
      <c r="A360" s="64" t="s">
        <v>2866</v>
      </c>
      <c r="B360" s="33" t="s">
        <v>12632</v>
      </c>
      <c r="C360" s="7" t="s">
        <v>16450</v>
      </c>
      <c r="D360" s="112">
        <v>5</v>
      </c>
      <c r="E360" s="7"/>
      <c r="F360" s="112"/>
      <c r="G360" s="2" t="s">
        <v>16438</v>
      </c>
      <c r="H360" s="2" t="s">
        <v>694</v>
      </c>
      <c r="I360" s="2" t="s">
        <v>1482</v>
      </c>
      <c r="J360" s="2" t="s">
        <v>55</v>
      </c>
      <c r="K360" s="2"/>
      <c r="L360" s="2"/>
      <c r="M360" s="45" t="str">
        <f t="shared" si="197"/>
        <v>@gocfsoftball</v>
      </c>
      <c r="N360" s="45" t="str">
        <f t="shared" si="198"/>
        <v>Questionnaire</v>
      </c>
      <c r="O360" s="108" t="s">
        <v>16446</v>
      </c>
      <c r="P360" s="60" t="s">
        <v>66</v>
      </c>
      <c r="Q360" s="48" t="s">
        <v>16447</v>
      </c>
      <c r="R360" s="48" t="s">
        <v>186</v>
      </c>
      <c r="S360" s="49" t="s">
        <v>74</v>
      </c>
      <c r="T360" s="48" t="s">
        <v>75</v>
      </c>
      <c r="U360" s="49"/>
      <c r="V360" s="37">
        <v>3.81</v>
      </c>
      <c r="W360" s="49" t="s">
        <v>214</v>
      </c>
      <c r="X360" s="49" t="s">
        <v>214</v>
      </c>
      <c r="Y360" s="49" t="s">
        <v>214</v>
      </c>
      <c r="Z360" s="38">
        <v>0.65500000000000003</v>
      </c>
      <c r="AA360" s="48" t="s">
        <v>16448</v>
      </c>
      <c r="AB360" s="52" t="s">
        <v>16446</v>
      </c>
      <c r="AC360" s="53" t="str">
        <f t="shared" si="199"/>
        <v>Link</v>
      </c>
      <c r="AD360" s="42">
        <v>7375</v>
      </c>
      <c r="AE360" s="55"/>
      <c r="AF360" s="55"/>
      <c r="AG360" s="56">
        <v>132851</v>
      </c>
      <c r="AH360" s="56"/>
      <c r="AI360" s="56"/>
    </row>
    <row r="361" spans="1:37" ht="15" x14ac:dyDescent="0.2">
      <c r="A361" s="64" t="s">
        <v>2866</v>
      </c>
      <c r="B361" s="33" t="s">
        <v>12632</v>
      </c>
      <c r="C361" s="7" t="s">
        <v>16455</v>
      </c>
      <c r="D361" s="112">
        <v>5</v>
      </c>
      <c r="E361" s="7"/>
      <c r="F361" s="112"/>
      <c r="G361" s="2" t="s">
        <v>16438</v>
      </c>
      <c r="H361" s="2" t="s">
        <v>754</v>
      </c>
      <c r="I361" s="2" t="s">
        <v>16456</v>
      </c>
      <c r="J361" s="2" t="s">
        <v>55</v>
      </c>
      <c r="K361" s="2" t="s">
        <v>16457</v>
      </c>
      <c r="L361" s="2" t="s">
        <v>16440</v>
      </c>
      <c r="M361" s="45" t="str">
        <f t="shared" si="197"/>
        <v>@gocfsoftball</v>
      </c>
      <c r="N361" s="45" t="str">
        <f t="shared" si="198"/>
        <v>Questionnaire</v>
      </c>
      <c r="O361" s="108" t="s">
        <v>16446</v>
      </c>
      <c r="P361" s="60" t="s">
        <v>66</v>
      </c>
      <c r="Q361" s="48" t="s">
        <v>16447</v>
      </c>
      <c r="R361" s="48" t="s">
        <v>186</v>
      </c>
      <c r="S361" s="49" t="s">
        <v>74</v>
      </c>
      <c r="T361" s="48" t="s">
        <v>75</v>
      </c>
      <c r="U361" s="49"/>
      <c r="V361" s="37">
        <v>3.81</v>
      </c>
      <c r="W361" s="49" t="s">
        <v>214</v>
      </c>
      <c r="X361" s="49" t="s">
        <v>214</v>
      </c>
      <c r="Y361" s="49" t="s">
        <v>214</v>
      </c>
      <c r="Z361" s="38">
        <v>0.65500000000000003</v>
      </c>
      <c r="AA361" s="48" t="s">
        <v>16448</v>
      </c>
      <c r="AB361" s="52" t="s">
        <v>16446</v>
      </c>
      <c r="AC361" s="53" t="str">
        <f t="shared" si="199"/>
        <v>Link</v>
      </c>
      <c r="AD361" s="42">
        <v>7375</v>
      </c>
      <c r="AE361" s="55"/>
      <c r="AF361" s="55"/>
      <c r="AG361" s="56">
        <v>132851</v>
      </c>
      <c r="AH361" s="56"/>
      <c r="AI361" s="56"/>
    </row>
    <row r="362" spans="1:37" ht="15" x14ac:dyDescent="0.2">
      <c r="A362" s="64" t="s">
        <v>2866</v>
      </c>
      <c r="B362" s="33" t="s">
        <v>12632</v>
      </c>
      <c r="C362" s="7" t="s">
        <v>16465</v>
      </c>
      <c r="D362" s="112">
        <v>5</v>
      </c>
      <c r="E362" s="7"/>
      <c r="F362" s="112"/>
      <c r="G362" s="2" t="s">
        <v>16467</v>
      </c>
      <c r="H362" s="2" t="s">
        <v>16468</v>
      </c>
      <c r="I362" s="2" t="s">
        <v>183</v>
      </c>
      <c r="J362" s="2" t="s">
        <v>48</v>
      </c>
      <c r="K362" s="2" t="s">
        <v>16469</v>
      </c>
      <c r="L362" s="2" t="s">
        <v>16470</v>
      </c>
      <c r="M362" s="45" t="str">
        <f t="shared" ref="M362:M364" si="200">HYPERLINK("twitter.com/chipolasoftball","@chipolasoftball")</f>
        <v>@chipolasoftball</v>
      </c>
      <c r="N362" s="45" t="str">
        <f t="shared" ref="N362:N364" si="201">HYPERLINK("http://www.chipolaathletics.com/sports/sball/questionnaire","Questionnaire")</f>
        <v>Questionnaire</v>
      </c>
      <c r="O362" s="108" t="s">
        <v>16475</v>
      </c>
      <c r="P362" s="60" t="s">
        <v>66</v>
      </c>
      <c r="Q362" s="48" t="s">
        <v>16477</v>
      </c>
      <c r="R362" s="60" t="s">
        <v>205</v>
      </c>
      <c r="S362" s="49" t="s">
        <v>74</v>
      </c>
      <c r="T362" s="48" t="s">
        <v>75</v>
      </c>
      <c r="U362" s="49"/>
      <c r="V362" s="7" t="s">
        <v>214</v>
      </c>
      <c r="W362" s="49" t="s">
        <v>214</v>
      </c>
      <c r="X362" s="49" t="s">
        <v>214</v>
      </c>
      <c r="Y362" s="49" t="s">
        <v>214</v>
      </c>
      <c r="Z362" s="55" t="s">
        <v>214</v>
      </c>
      <c r="AA362" s="48" t="s">
        <v>16480</v>
      </c>
      <c r="AB362" s="52" t="s">
        <v>16475</v>
      </c>
      <c r="AC362" s="53" t="str">
        <f t="shared" ref="AC362:AC364" si="202">HYPERLINK("https://www.chipola.edu/catalog/Programs-of-Study.htm","Link")</f>
        <v>Link</v>
      </c>
      <c r="AD362" s="42">
        <v>2231</v>
      </c>
      <c r="AE362" s="55"/>
      <c r="AF362" s="55"/>
      <c r="AG362" s="56">
        <v>133021</v>
      </c>
      <c r="AH362" s="56"/>
      <c r="AI362" s="56"/>
    </row>
    <row r="363" spans="1:37" ht="15" x14ac:dyDescent="0.2">
      <c r="A363" s="64" t="s">
        <v>2866</v>
      </c>
      <c r="B363" s="33" t="s">
        <v>12632</v>
      </c>
      <c r="C363" s="7" t="s">
        <v>16481</v>
      </c>
      <c r="D363" s="112">
        <v>5</v>
      </c>
      <c r="E363" s="7"/>
      <c r="F363" s="112"/>
      <c r="G363" s="2" t="s">
        <v>16467</v>
      </c>
      <c r="H363" s="2" t="s">
        <v>5947</v>
      </c>
      <c r="I363" s="2" t="s">
        <v>183</v>
      </c>
      <c r="J363" s="2" t="s">
        <v>55</v>
      </c>
      <c r="K363" s="2" t="s">
        <v>16483</v>
      </c>
      <c r="L363" s="2" t="s">
        <v>16484</v>
      </c>
      <c r="M363" s="45" t="str">
        <f t="shared" si="200"/>
        <v>@chipolasoftball</v>
      </c>
      <c r="N363" s="45" t="str">
        <f t="shared" si="201"/>
        <v>Questionnaire</v>
      </c>
      <c r="O363" s="108" t="s">
        <v>16475</v>
      </c>
      <c r="P363" s="60" t="s">
        <v>66</v>
      </c>
      <c r="Q363" s="48" t="s">
        <v>16477</v>
      </c>
      <c r="R363" s="60" t="s">
        <v>205</v>
      </c>
      <c r="S363" s="49" t="s">
        <v>74</v>
      </c>
      <c r="T363" s="48" t="s">
        <v>75</v>
      </c>
      <c r="U363" s="49"/>
      <c r="V363" s="7" t="s">
        <v>214</v>
      </c>
      <c r="W363" s="49" t="s">
        <v>214</v>
      </c>
      <c r="X363" s="49" t="s">
        <v>214</v>
      </c>
      <c r="Y363" s="49" t="s">
        <v>214</v>
      </c>
      <c r="Z363" s="55" t="s">
        <v>214</v>
      </c>
      <c r="AA363" s="48" t="s">
        <v>16480</v>
      </c>
      <c r="AB363" s="52" t="s">
        <v>16475</v>
      </c>
      <c r="AC363" s="53" t="str">
        <f t="shared" si="202"/>
        <v>Link</v>
      </c>
      <c r="AD363" s="42">
        <v>2231</v>
      </c>
      <c r="AE363" s="55"/>
      <c r="AF363" s="55"/>
      <c r="AG363" s="56">
        <v>133021</v>
      </c>
      <c r="AH363" s="56"/>
      <c r="AI363" s="56"/>
    </row>
    <row r="364" spans="1:37" ht="15" x14ac:dyDescent="0.2">
      <c r="A364" s="64" t="s">
        <v>2866</v>
      </c>
      <c r="B364" s="33" t="s">
        <v>12632</v>
      </c>
      <c r="C364" s="7" t="s">
        <v>16493</v>
      </c>
      <c r="D364" s="112">
        <v>5</v>
      </c>
      <c r="E364" s="7"/>
      <c r="F364" s="112"/>
      <c r="G364" s="2" t="s">
        <v>16467</v>
      </c>
      <c r="H364" s="2" t="s">
        <v>484</v>
      </c>
      <c r="I364" s="2" t="s">
        <v>16496</v>
      </c>
      <c r="J364" s="2" t="s">
        <v>55</v>
      </c>
      <c r="K364" s="2" t="s">
        <v>16497</v>
      </c>
      <c r="L364" s="2" t="s">
        <v>16498</v>
      </c>
      <c r="M364" s="45" t="str">
        <f t="shared" si="200"/>
        <v>@chipolasoftball</v>
      </c>
      <c r="N364" s="45" t="str">
        <f t="shared" si="201"/>
        <v>Questionnaire</v>
      </c>
      <c r="O364" s="108" t="s">
        <v>16475</v>
      </c>
      <c r="P364" s="60" t="s">
        <v>66</v>
      </c>
      <c r="Q364" s="48" t="s">
        <v>16477</v>
      </c>
      <c r="R364" s="60" t="s">
        <v>205</v>
      </c>
      <c r="S364" s="49" t="s">
        <v>74</v>
      </c>
      <c r="T364" s="48" t="s">
        <v>75</v>
      </c>
      <c r="U364" s="49"/>
      <c r="V364" s="7" t="s">
        <v>214</v>
      </c>
      <c r="W364" s="49" t="s">
        <v>214</v>
      </c>
      <c r="X364" s="49" t="s">
        <v>214</v>
      </c>
      <c r="Y364" s="49" t="s">
        <v>214</v>
      </c>
      <c r="Z364" s="55" t="s">
        <v>214</v>
      </c>
      <c r="AA364" s="48" t="s">
        <v>16480</v>
      </c>
      <c r="AB364" s="52" t="s">
        <v>16475</v>
      </c>
      <c r="AC364" s="53" t="str">
        <f t="shared" si="202"/>
        <v>Link</v>
      </c>
      <c r="AD364" s="42">
        <v>2231</v>
      </c>
      <c r="AE364" s="55"/>
      <c r="AF364" s="55"/>
      <c r="AG364" s="56">
        <v>133021</v>
      </c>
      <c r="AH364" s="56"/>
      <c r="AI364" s="56"/>
    </row>
    <row r="365" spans="1:37" ht="15" x14ac:dyDescent="0.2">
      <c r="A365" s="64" t="s">
        <v>2866</v>
      </c>
      <c r="B365" s="33" t="s">
        <v>12632</v>
      </c>
      <c r="C365" s="7" t="s">
        <v>16503</v>
      </c>
      <c r="D365" s="112">
        <v>5</v>
      </c>
      <c r="E365" s="7"/>
      <c r="F365" s="112"/>
      <c r="G365" s="2" t="s">
        <v>16504</v>
      </c>
      <c r="H365" s="2" t="s">
        <v>16505</v>
      </c>
      <c r="I365" s="2" t="s">
        <v>16507</v>
      </c>
      <c r="J365" s="2" t="s">
        <v>48</v>
      </c>
      <c r="K365" s="2" t="s">
        <v>16508</v>
      </c>
      <c r="L365" s="2"/>
      <c r="M365" s="45" t="str">
        <f t="shared" ref="M365:M366" si="203">HYPERLINK("twitter.com/dscsoftball","@dscsoftball")</f>
        <v>@dscsoftball</v>
      </c>
      <c r="N365" s="45" t="str">
        <f t="shared" ref="N365:N366" si="204">HYPERLINK("https://dscfalcons.com/sports/sball/Recrut_Questionnaire","Questionnaire")</f>
        <v>Questionnaire</v>
      </c>
      <c r="O365" s="48" t="s">
        <v>16514</v>
      </c>
      <c r="P365" s="60" t="s">
        <v>66</v>
      </c>
      <c r="Q365" s="48" t="s">
        <v>2978</v>
      </c>
      <c r="R365" s="48" t="s">
        <v>186</v>
      </c>
      <c r="S365" s="49" t="s">
        <v>74</v>
      </c>
      <c r="T365" s="48" t="s">
        <v>75</v>
      </c>
      <c r="U365" s="49" t="s">
        <v>3678</v>
      </c>
      <c r="V365" s="7" t="s">
        <v>214</v>
      </c>
      <c r="W365" s="49" t="s">
        <v>214</v>
      </c>
      <c r="X365" s="49" t="s">
        <v>214</v>
      </c>
      <c r="Y365" s="49" t="s">
        <v>214</v>
      </c>
      <c r="Z365" s="55" t="s">
        <v>214</v>
      </c>
      <c r="AA365" s="48" t="s">
        <v>16517</v>
      </c>
      <c r="AB365" s="84" t="s">
        <v>16514</v>
      </c>
      <c r="AC365" s="53" t="str">
        <f t="shared" ref="AC365:AC366" si="205">HYPERLINK("https://www.daytonastate.edu/advising/progmajor2.html","Link")</f>
        <v>Link</v>
      </c>
      <c r="AD365" s="42">
        <v>12706</v>
      </c>
      <c r="AE365" s="55"/>
      <c r="AF365" s="55"/>
      <c r="AG365" s="56">
        <v>133386</v>
      </c>
      <c r="AH365" s="56"/>
      <c r="AI365" s="56"/>
    </row>
    <row r="366" spans="1:37" ht="15" x14ac:dyDescent="0.2">
      <c r="A366" s="64" t="s">
        <v>2866</v>
      </c>
      <c r="B366" s="33" t="s">
        <v>12632</v>
      </c>
      <c r="C366" s="7" t="s">
        <v>16521</v>
      </c>
      <c r="D366" s="112">
        <v>5</v>
      </c>
      <c r="E366" s="7"/>
      <c r="F366" s="112"/>
      <c r="G366" s="2" t="s">
        <v>16504</v>
      </c>
      <c r="H366" s="2" t="s">
        <v>1471</v>
      </c>
      <c r="I366" s="2" t="s">
        <v>16524</v>
      </c>
      <c r="J366" s="2" t="s">
        <v>55</v>
      </c>
      <c r="K366" s="2" t="s">
        <v>16526</v>
      </c>
      <c r="L366" s="2" t="s">
        <v>16527</v>
      </c>
      <c r="M366" s="45" t="str">
        <f t="shared" si="203"/>
        <v>@dscsoftball</v>
      </c>
      <c r="N366" s="45" t="str">
        <f t="shared" si="204"/>
        <v>Questionnaire</v>
      </c>
      <c r="O366" s="48" t="s">
        <v>16514</v>
      </c>
      <c r="P366" s="60" t="s">
        <v>66</v>
      </c>
      <c r="Q366" s="48" t="s">
        <v>2978</v>
      </c>
      <c r="R366" s="48" t="s">
        <v>186</v>
      </c>
      <c r="S366" s="49" t="s">
        <v>74</v>
      </c>
      <c r="T366" s="48" t="s">
        <v>75</v>
      </c>
      <c r="U366" s="49" t="s">
        <v>3678</v>
      </c>
      <c r="V366" s="7" t="s">
        <v>214</v>
      </c>
      <c r="W366" s="49" t="s">
        <v>214</v>
      </c>
      <c r="X366" s="49" t="s">
        <v>214</v>
      </c>
      <c r="Y366" s="49" t="s">
        <v>214</v>
      </c>
      <c r="Z366" s="55" t="s">
        <v>214</v>
      </c>
      <c r="AA366" s="48" t="s">
        <v>16517</v>
      </c>
      <c r="AB366" s="84" t="s">
        <v>16514</v>
      </c>
      <c r="AC366" s="53" t="str">
        <f t="shared" si="205"/>
        <v>Link</v>
      </c>
      <c r="AD366" s="42">
        <v>12706</v>
      </c>
      <c r="AE366" s="55"/>
      <c r="AF366" s="55"/>
      <c r="AG366" s="56">
        <v>133386</v>
      </c>
      <c r="AH366" s="56"/>
      <c r="AI366" s="56"/>
    </row>
    <row r="367" spans="1:37" ht="15" x14ac:dyDescent="0.2">
      <c r="A367" s="64" t="s">
        <v>2866</v>
      </c>
      <c r="B367" s="33" t="s">
        <v>12632</v>
      </c>
      <c r="C367" s="7" t="s">
        <v>16531</v>
      </c>
      <c r="D367" s="112">
        <v>5</v>
      </c>
      <c r="E367" s="7"/>
      <c r="F367" s="112"/>
      <c r="G367" s="2" t="s">
        <v>16533</v>
      </c>
      <c r="H367" s="2" t="s">
        <v>991</v>
      </c>
      <c r="I367" s="2" t="s">
        <v>16535</v>
      </c>
      <c r="J367" s="2" t="s">
        <v>48</v>
      </c>
      <c r="K367" s="2" t="s">
        <v>16536</v>
      </c>
      <c r="L367" s="2"/>
      <c r="M367" s="48"/>
      <c r="N367" s="45" t="str">
        <f t="shared" ref="N367:N370" si="206">HYPERLINK("https://www.efsctitans.com/information/recruiting","Questionnaire")</f>
        <v>Questionnaire</v>
      </c>
      <c r="O367" s="48" t="s">
        <v>16539</v>
      </c>
      <c r="P367" s="60" t="s">
        <v>66</v>
      </c>
      <c r="Q367" s="48" t="s">
        <v>3113</v>
      </c>
      <c r="R367" s="48" t="s">
        <v>238</v>
      </c>
      <c r="S367" s="49" t="s">
        <v>74</v>
      </c>
      <c r="T367" s="48" t="s">
        <v>75</v>
      </c>
      <c r="U367" s="49" t="s">
        <v>3678</v>
      </c>
      <c r="V367" s="7" t="s">
        <v>214</v>
      </c>
      <c r="W367" s="49" t="s">
        <v>214</v>
      </c>
      <c r="X367" s="49" t="s">
        <v>214</v>
      </c>
      <c r="Y367" s="49" t="s">
        <v>214</v>
      </c>
      <c r="Z367" s="55" t="s">
        <v>214</v>
      </c>
      <c r="AA367" s="146" t="str">
        <f t="shared" ref="AA367:AA370" si="207">HYPERLINK("http://www.easternflorida.edu/admissions/tuition-and-fees/","Link")</f>
        <v>Link</v>
      </c>
      <c r="AB367" s="84" t="s">
        <v>16539</v>
      </c>
      <c r="AC367" s="53" t="str">
        <f t="shared" ref="AC367:AC370" si="208">HYPERLINK("http://www.easternflorida.edu/academics/degrees-certifications/","Link")</f>
        <v>Link</v>
      </c>
      <c r="AD367" s="42">
        <v>15825</v>
      </c>
      <c r="AE367" s="55"/>
      <c r="AF367" s="55"/>
      <c r="AG367" s="56">
        <v>133881</v>
      </c>
      <c r="AH367" s="56"/>
      <c r="AI367" s="56"/>
    </row>
    <row r="368" spans="1:37" ht="15" x14ac:dyDescent="0.2">
      <c r="A368" s="64" t="s">
        <v>2866</v>
      </c>
      <c r="B368" s="33" t="s">
        <v>12632</v>
      </c>
      <c r="C368" s="7" t="s">
        <v>16547</v>
      </c>
      <c r="D368" s="112">
        <v>5</v>
      </c>
      <c r="E368" s="7"/>
      <c r="F368" s="112"/>
      <c r="G368" s="2" t="s">
        <v>16533</v>
      </c>
      <c r="H368" s="2" t="s">
        <v>16548</v>
      </c>
      <c r="I368" s="2"/>
      <c r="J368" s="2"/>
      <c r="K368" s="7"/>
      <c r="L368" s="2"/>
      <c r="M368" s="48"/>
      <c r="N368" s="45" t="str">
        <f t="shared" si="206"/>
        <v>Questionnaire</v>
      </c>
      <c r="O368" s="48" t="s">
        <v>16539</v>
      </c>
      <c r="P368" s="60" t="s">
        <v>66</v>
      </c>
      <c r="Q368" s="48" t="s">
        <v>3113</v>
      </c>
      <c r="R368" s="48" t="s">
        <v>238</v>
      </c>
      <c r="S368" s="49" t="s">
        <v>74</v>
      </c>
      <c r="T368" s="48" t="s">
        <v>75</v>
      </c>
      <c r="U368" s="49" t="s">
        <v>3678</v>
      </c>
      <c r="V368" s="7" t="s">
        <v>214</v>
      </c>
      <c r="W368" s="49" t="s">
        <v>214</v>
      </c>
      <c r="X368" s="49" t="s">
        <v>214</v>
      </c>
      <c r="Y368" s="49" t="s">
        <v>214</v>
      </c>
      <c r="Z368" s="55" t="s">
        <v>214</v>
      </c>
      <c r="AA368" s="146" t="str">
        <f t="shared" si="207"/>
        <v>Link</v>
      </c>
      <c r="AB368" s="84" t="s">
        <v>16539</v>
      </c>
      <c r="AC368" s="53" t="str">
        <f t="shared" si="208"/>
        <v>Link</v>
      </c>
      <c r="AD368" s="42">
        <v>15825</v>
      </c>
      <c r="AE368" s="55"/>
      <c r="AF368" s="55"/>
      <c r="AG368" s="56">
        <v>133881</v>
      </c>
      <c r="AH368" s="56"/>
      <c r="AI368" s="56"/>
    </row>
    <row r="369" spans="1:35" ht="15" x14ac:dyDescent="0.2">
      <c r="A369" s="64" t="s">
        <v>2866</v>
      </c>
      <c r="B369" s="33" t="s">
        <v>12632</v>
      </c>
      <c r="C369" s="7" t="s">
        <v>16555</v>
      </c>
      <c r="D369" s="112">
        <v>5</v>
      </c>
      <c r="E369" s="7"/>
      <c r="F369" s="112"/>
      <c r="G369" s="2" t="s">
        <v>16533</v>
      </c>
      <c r="H369" s="2" t="s">
        <v>16556</v>
      </c>
      <c r="I369" s="2" t="s">
        <v>4207</v>
      </c>
      <c r="J369" s="2" t="s">
        <v>55</v>
      </c>
      <c r="K369" s="2"/>
      <c r="L369" s="2"/>
      <c r="M369" s="48"/>
      <c r="N369" s="45" t="str">
        <f t="shared" si="206"/>
        <v>Questionnaire</v>
      </c>
      <c r="O369" s="48" t="s">
        <v>16539</v>
      </c>
      <c r="P369" s="60" t="s">
        <v>66</v>
      </c>
      <c r="Q369" s="48" t="s">
        <v>3113</v>
      </c>
      <c r="R369" s="48" t="s">
        <v>238</v>
      </c>
      <c r="S369" s="49" t="s">
        <v>74</v>
      </c>
      <c r="T369" s="48" t="s">
        <v>75</v>
      </c>
      <c r="U369" s="49" t="s">
        <v>3678</v>
      </c>
      <c r="V369" s="7" t="s">
        <v>214</v>
      </c>
      <c r="W369" s="49" t="s">
        <v>214</v>
      </c>
      <c r="X369" s="49" t="s">
        <v>214</v>
      </c>
      <c r="Y369" s="49" t="s">
        <v>214</v>
      </c>
      <c r="Z369" s="55" t="s">
        <v>214</v>
      </c>
      <c r="AA369" s="146" t="str">
        <f t="shared" si="207"/>
        <v>Link</v>
      </c>
      <c r="AB369" s="84" t="s">
        <v>16539</v>
      </c>
      <c r="AC369" s="53" t="str">
        <f t="shared" si="208"/>
        <v>Link</v>
      </c>
      <c r="AD369" s="42">
        <v>15825</v>
      </c>
      <c r="AE369" s="55"/>
      <c r="AF369" s="55"/>
      <c r="AG369" s="56">
        <v>133881</v>
      </c>
      <c r="AH369" s="56"/>
      <c r="AI369" s="56"/>
    </row>
    <row r="370" spans="1:35" ht="15" x14ac:dyDescent="0.2">
      <c r="A370" s="64" t="s">
        <v>2866</v>
      </c>
      <c r="B370" s="33" t="s">
        <v>12632</v>
      </c>
      <c r="C370" s="7" t="s">
        <v>16561</v>
      </c>
      <c r="D370" s="112">
        <v>5</v>
      </c>
      <c r="E370" s="7"/>
      <c r="F370" s="112"/>
      <c r="G370" s="2" t="s">
        <v>16533</v>
      </c>
      <c r="H370" s="2" t="s">
        <v>2608</v>
      </c>
      <c r="I370" s="2" t="s">
        <v>11619</v>
      </c>
      <c r="J370" s="2" t="s">
        <v>55</v>
      </c>
      <c r="K370" s="2"/>
      <c r="L370" s="2"/>
      <c r="M370" s="48"/>
      <c r="N370" s="45" t="str">
        <f t="shared" si="206"/>
        <v>Questionnaire</v>
      </c>
      <c r="O370" s="48" t="s">
        <v>16539</v>
      </c>
      <c r="P370" s="60" t="s">
        <v>66</v>
      </c>
      <c r="Q370" s="48" t="s">
        <v>3113</v>
      </c>
      <c r="R370" s="48" t="s">
        <v>238</v>
      </c>
      <c r="S370" s="49" t="s">
        <v>74</v>
      </c>
      <c r="T370" s="48" t="s">
        <v>75</v>
      </c>
      <c r="U370" s="49" t="s">
        <v>3678</v>
      </c>
      <c r="V370" s="7" t="s">
        <v>214</v>
      </c>
      <c r="W370" s="49" t="s">
        <v>214</v>
      </c>
      <c r="X370" s="49" t="s">
        <v>214</v>
      </c>
      <c r="Y370" s="49" t="s">
        <v>214</v>
      </c>
      <c r="Z370" s="55" t="s">
        <v>214</v>
      </c>
      <c r="AA370" s="146" t="str">
        <f t="shared" si="207"/>
        <v>Link</v>
      </c>
      <c r="AB370" s="84" t="s">
        <v>16539</v>
      </c>
      <c r="AC370" s="53" t="str">
        <f t="shared" si="208"/>
        <v>Link</v>
      </c>
      <c r="AD370" s="42">
        <v>15825</v>
      </c>
      <c r="AE370" s="55"/>
      <c r="AF370" s="55"/>
      <c r="AG370" s="56">
        <v>133881</v>
      </c>
      <c r="AH370" s="56"/>
      <c r="AI370" s="56"/>
    </row>
    <row r="371" spans="1:35" ht="15" x14ac:dyDescent="0.2">
      <c r="A371" s="64" t="s">
        <v>2866</v>
      </c>
      <c r="B371" s="33" t="s">
        <v>12632</v>
      </c>
      <c r="C371" s="7" t="s">
        <v>16566</v>
      </c>
      <c r="D371" s="112">
        <v>5</v>
      </c>
      <c r="E371" s="7"/>
      <c r="F371" s="112"/>
      <c r="G371" s="2" t="s">
        <v>16567</v>
      </c>
      <c r="H371" s="2" t="s">
        <v>135</v>
      </c>
      <c r="I371" s="2" t="s">
        <v>16568</v>
      </c>
      <c r="J371" s="2" t="s">
        <v>48</v>
      </c>
      <c r="K371" s="2" t="s">
        <v>16569</v>
      </c>
      <c r="L371" s="2" t="s">
        <v>16570</v>
      </c>
      <c r="M371" s="48"/>
      <c r="N371" s="48" t="s">
        <v>22</v>
      </c>
      <c r="O371" s="48" t="s">
        <v>16571</v>
      </c>
      <c r="P371" s="60" t="s">
        <v>66</v>
      </c>
      <c r="Q371" s="48" t="s">
        <v>2313</v>
      </c>
      <c r="R371" s="48" t="s">
        <v>238</v>
      </c>
      <c r="S371" s="49" t="s">
        <v>74</v>
      </c>
      <c r="T371" s="48" t="s">
        <v>75</v>
      </c>
      <c r="U371" s="49" t="s">
        <v>3678</v>
      </c>
      <c r="V371" s="7" t="s">
        <v>214</v>
      </c>
      <c r="W371" s="49" t="s">
        <v>214</v>
      </c>
      <c r="X371" s="49" t="s">
        <v>214</v>
      </c>
      <c r="Y371" s="49" t="s">
        <v>214</v>
      </c>
      <c r="Z371" s="55" t="s">
        <v>214</v>
      </c>
      <c r="AA371" s="48" t="s">
        <v>16572</v>
      </c>
      <c r="AB371" s="84" t="s">
        <v>16571</v>
      </c>
      <c r="AC371" s="53" t="str">
        <f t="shared" ref="AC371:AC374" si="209">HYPERLINK("https://www.fsw.edu/academics/programs","Link")</f>
        <v>Link</v>
      </c>
      <c r="AD371" s="42">
        <v>16627</v>
      </c>
      <c r="AE371" s="55"/>
      <c r="AF371" s="55"/>
      <c r="AG371" s="56">
        <v>366553</v>
      </c>
      <c r="AH371" s="56"/>
      <c r="AI371" s="56"/>
    </row>
    <row r="372" spans="1:35" ht="15" x14ac:dyDescent="0.2">
      <c r="A372" s="64" t="s">
        <v>2866</v>
      </c>
      <c r="B372" s="33" t="s">
        <v>12632</v>
      </c>
      <c r="C372" s="7" t="s">
        <v>16578</v>
      </c>
      <c r="D372" s="112">
        <v>5</v>
      </c>
      <c r="E372" s="7"/>
      <c r="F372" s="112"/>
      <c r="G372" s="2" t="s">
        <v>16567</v>
      </c>
      <c r="H372" s="2" t="s">
        <v>6787</v>
      </c>
      <c r="I372" s="2" t="s">
        <v>11338</v>
      </c>
      <c r="J372" s="2" t="s">
        <v>55</v>
      </c>
      <c r="K372" s="2"/>
      <c r="L372" s="2"/>
      <c r="M372" s="48"/>
      <c r="N372" s="48" t="s">
        <v>22</v>
      </c>
      <c r="O372" s="48" t="s">
        <v>16571</v>
      </c>
      <c r="P372" s="60" t="s">
        <v>66</v>
      </c>
      <c r="Q372" s="48" t="s">
        <v>2313</v>
      </c>
      <c r="R372" s="48" t="s">
        <v>238</v>
      </c>
      <c r="S372" s="49" t="s">
        <v>74</v>
      </c>
      <c r="T372" s="48" t="s">
        <v>75</v>
      </c>
      <c r="U372" s="49" t="s">
        <v>3678</v>
      </c>
      <c r="V372" s="7" t="s">
        <v>214</v>
      </c>
      <c r="W372" s="49" t="s">
        <v>214</v>
      </c>
      <c r="X372" s="49" t="s">
        <v>214</v>
      </c>
      <c r="Y372" s="49" t="s">
        <v>214</v>
      </c>
      <c r="Z372" s="55" t="s">
        <v>214</v>
      </c>
      <c r="AA372" s="48" t="s">
        <v>16572</v>
      </c>
      <c r="AB372" s="84" t="s">
        <v>16571</v>
      </c>
      <c r="AC372" s="53" t="str">
        <f t="shared" si="209"/>
        <v>Link</v>
      </c>
      <c r="AD372" s="42">
        <v>16627</v>
      </c>
      <c r="AE372" s="55"/>
      <c r="AF372" s="55"/>
      <c r="AG372" s="56">
        <v>366553</v>
      </c>
      <c r="AH372" s="56"/>
      <c r="AI372" s="56"/>
    </row>
    <row r="373" spans="1:35" ht="15" x14ac:dyDescent="0.2">
      <c r="A373" s="64" t="s">
        <v>2866</v>
      </c>
      <c r="B373" s="33" t="s">
        <v>12632</v>
      </c>
      <c r="C373" s="7" t="s">
        <v>16583</v>
      </c>
      <c r="D373" s="112">
        <v>5</v>
      </c>
      <c r="E373" s="7"/>
      <c r="F373" s="112"/>
      <c r="G373" s="2" t="s">
        <v>16567</v>
      </c>
      <c r="H373" s="2" t="s">
        <v>16584</v>
      </c>
      <c r="I373" s="2" t="s">
        <v>15905</v>
      </c>
      <c r="J373" s="2" t="s">
        <v>55</v>
      </c>
      <c r="K373" s="2"/>
      <c r="L373" s="2"/>
      <c r="M373" s="48"/>
      <c r="N373" s="48" t="s">
        <v>22</v>
      </c>
      <c r="O373" s="48" t="s">
        <v>16571</v>
      </c>
      <c r="P373" s="60" t="s">
        <v>66</v>
      </c>
      <c r="Q373" s="48" t="s">
        <v>2313</v>
      </c>
      <c r="R373" s="48" t="s">
        <v>238</v>
      </c>
      <c r="S373" s="49" t="s">
        <v>74</v>
      </c>
      <c r="T373" s="48" t="s">
        <v>75</v>
      </c>
      <c r="U373" s="49" t="s">
        <v>3678</v>
      </c>
      <c r="V373" s="7" t="s">
        <v>214</v>
      </c>
      <c r="W373" s="49" t="s">
        <v>214</v>
      </c>
      <c r="X373" s="49" t="s">
        <v>214</v>
      </c>
      <c r="Y373" s="49" t="s">
        <v>214</v>
      </c>
      <c r="Z373" s="55" t="s">
        <v>214</v>
      </c>
      <c r="AA373" s="48" t="s">
        <v>16572</v>
      </c>
      <c r="AB373" s="84" t="s">
        <v>16571</v>
      </c>
      <c r="AC373" s="53" t="str">
        <f t="shared" si="209"/>
        <v>Link</v>
      </c>
      <c r="AD373" s="42">
        <v>16627</v>
      </c>
      <c r="AE373" s="55"/>
      <c r="AF373" s="55"/>
      <c r="AG373" s="56">
        <v>366553</v>
      </c>
      <c r="AH373" s="56"/>
      <c r="AI373" s="56"/>
    </row>
    <row r="374" spans="1:35" ht="15" x14ac:dyDescent="0.2">
      <c r="A374" s="64" t="s">
        <v>2866</v>
      </c>
      <c r="B374" s="33" t="s">
        <v>12632</v>
      </c>
      <c r="C374" s="7" t="s">
        <v>16590</v>
      </c>
      <c r="D374" s="112">
        <v>5</v>
      </c>
      <c r="E374" s="7"/>
      <c r="F374" s="112"/>
      <c r="G374" s="2" t="s">
        <v>16567</v>
      </c>
      <c r="H374" s="2" t="s">
        <v>2316</v>
      </c>
      <c r="I374" s="2" t="s">
        <v>16568</v>
      </c>
      <c r="J374" s="2" t="s">
        <v>55</v>
      </c>
      <c r="K374" s="2"/>
      <c r="L374" s="2"/>
      <c r="M374" s="48"/>
      <c r="N374" s="48" t="s">
        <v>22</v>
      </c>
      <c r="O374" s="48" t="s">
        <v>16571</v>
      </c>
      <c r="P374" s="60" t="s">
        <v>66</v>
      </c>
      <c r="Q374" s="48" t="s">
        <v>2313</v>
      </c>
      <c r="R374" s="48" t="s">
        <v>238</v>
      </c>
      <c r="S374" s="49" t="s">
        <v>74</v>
      </c>
      <c r="T374" s="48" t="s">
        <v>75</v>
      </c>
      <c r="U374" s="49" t="s">
        <v>3678</v>
      </c>
      <c r="V374" s="7" t="s">
        <v>214</v>
      </c>
      <c r="W374" s="49" t="s">
        <v>214</v>
      </c>
      <c r="X374" s="49" t="s">
        <v>214</v>
      </c>
      <c r="Y374" s="49" t="s">
        <v>214</v>
      </c>
      <c r="Z374" s="55" t="s">
        <v>214</v>
      </c>
      <c r="AA374" s="48" t="s">
        <v>16572</v>
      </c>
      <c r="AB374" s="84" t="s">
        <v>16571</v>
      </c>
      <c r="AC374" s="53" t="str">
        <f t="shared" si="209"/>
        <v>Link</v>
      </c>
      <c r="AD374" s="42">
        <v>16627</v>
      </c>
      <c r="AE374" s="55"/>
      <c r="AF374" s="55"/>
      <c r="AG374" s="56">
        <v>366553</v>
      </c>
      <c r="AH374" s="56"/>
      <c r="AI374" s="56"/>
    </row>
    <row r="375" spans="1:35" ht="15" x14ac:dyDescent="0.2">
      <c r="A375" s="64" t="s">
        <v>2866</v>
      </c>
      <c r="B375" s="33" t="s">
        <v>12632</v>
      </c>
      <c r="C375" s="7" t="s">
        <v>16599</v>
      </c>
      <c r="D375" s="112">
        <v>5</v>
      </c>
      <c r="E375" s="7"/>
      <c r="F375" s="112"/>
      <c r="G375" s="2" t="s">
        <v>16600</v>
      </c>
      <c r="H375" s="2" t="s">
        <v>14322</v>
      </c>
      <c r="I375" s="2" t="s">
        <v>16601</v>
      </c>
      <c r="J375" s="2" t="s">
        <v>48</v>
      </c>
      <c r="K375" s="2" t="s">
        <v>16602</v>
      </c>
      <c r="L375" s="2" t="s">
        <v>16603</v>
      </c>
      <c r="M375" s="48"/>
      <c r="N375" s="45" t="str">
        <f t="shared" ref="N375:N376" si="210">HYPERLINK("http://www.gobluewave.com/Documents/Recruit_Questionaires","Questionnaire")</f>
        <v>Questionnaire</v>
      </c>
      <c r="O375" s="48" t="s">
        <v>16606</v>
      </c>
      <c r="P375" s="60" t="s">
        <v>66</v>
      </c>
      <c r="Q375" s="48" t="s">
        <v>2146</v>
      </c>
      <c r="R375" s="48" t="s">
        <v>354</v>
      </c>
      <c r="S375" s="49" t="s">
        <v>74</v>
      </c>
      <c r="T375" s="48" t="s">
        <v>75</v>
      </c>
      <c r="U375" s="49" t="s">
        <v>3678</v>
      </c>
      <c r="V375" s="7" t="s">
        <v>214</v>
      </c>
      <c r="W375" s="49" t="s">
        <v>214</v>
      </c>
      <c r="X375" s="49" t="s">
        <v>214</v>
      </c>
      <c r="Y375" s="49" t="s">
        <v>214</v>
      </c>
      <c r="Z375" s="55" t="s">
        <v>214</v>
      </c>
      <c r="AA375" s="48" t="s">
        <v>16607</v>
      </c>
      <c r="AB375" s="84" t="s">
        <v>16606</v>
      </c>
      <c r="AC375" s="53" t="str">
        <f t="shared" ref="AC375:AC376" si="211">HYPERLINK("https://www.fscj.edu/academics/areas-of-study","Link")</f>
        <v>Link</v>
      </c>
      <c r="AD375" s="42">
        <v>24078</v>
      </c>
      <c r="AE375" s="55"/>
      <c r="AF375" s="55"/>
      <c r="AG375" s="7"/>
      <c r="AH375" s="7"/>
      <c r="AI375" s="7"/>
    </row>
    <row r="376" spans="1:35" ht="15" x14ac:dyDescent="0.2">
      <c r="A376" s="64" t="s">
        <v>2866</v>
      </c>
      <c r="B376" s="33" t="s">
        <v>12632</v>
      </c>
      <c r="C376" s="7" t="s">
        <v>16611</v>
      </c>
      <c r="D376" s="112">
        <v>5</v>
      </c>
      <c r="E376" s="7"/>
      <c r="F376" s="112"/>
      <c r="G376" s="2" t="s">
        <v>16600</v>
      </c>
      <c r="H376" s="2" t="s">
        <v>6305</v>
      </c>
      <c r="I376" s="2" t="s">
        <v>7769</v>
      </c>
      <c r="J376" s="2" t="s">
        <v>55</v>
      </c>
      <c r="K376" s="2" t="s">
        <v>16612</v>
      </c>
      <c r="L376" s="2" t="s">
        <v>16613</v>
      </c>
      <c r="M376" s="48"/>
      <c r="N376" s="45" t="str">
        <f t="shared" si="210"/>
        <v>Questionnaire</v>
      </c>
      <c r="O376" s="48" t="s">
        <v>16606</v>
      </c>
      <c r="P376" s="60" t="s">
        <v>66</v>
      </c>
      <c r="Q376" s="48" t="s">
        <v>2146</v>
      </c>
      <c r="R376" s="48" t="s">
        <v>354</v>
      </c>
      <c r="S376" s="49" t="s">
        <v>74</v>
      </c>
      <c r="T376" s="48" t="s">
        <v>75</v>
      </c>
      <c r="U376" s="49" t="s">
        <v>3678</v>
      </c>
      <c r="V376" s="7" t="s">
        <v>214</v>
      </c>
      <c r="W376" s="49" t="s">
        <v>214</v>
      </c>
      <c r="X376" s="49" t="s">
        <v>214</v>
      </c>
      <c r="Y376" s="49" t="s">
        <v>214</v>
      </c>
      <c r="Z376" s="55" t="s">
        <v>214</v>
      </c>
      <c r="AA376" s="48" t="s">
        <v>16607</v>
      </c>
      <c r="AB376" s="84" t="s">
        <v>16606</v>
      </c>
      <c r="AC376" s="53" t="str">
        <f t="shared" si="211"/>
        <v>Link</v>
      </c>
      <c r="AD376" s="42">
        <v>24078</v>
      </c>
      <c r="AE376" s="55"/>
      <c r="AF376" s="55"/>
      <c r="AG376" s="7"/>
      <c r="AH376" s="7"/>
      <c r="AI376" s="7"/>
    </row>
    <row r="377" spans="1:35" ht="15" x14ac:dyDescent="0.2">
      <c r="A377" s="64" t="s">
        <v>2866</v>
      </c>
      <c r="B377" s="33" t="s">
        <v>12632</v>
      </c>
      <c r="C377" s="7" t="s">
        <v>16618</v>
      </c>
      <c r="D377" s="112">
        <v>5</v>
      </c>
      <c r="E377" s="7"/>
      <c r="F377" s="112"/>
      <c r="G377" s="2" t="s">
        <v>16619</v>
      </c>
      <c r="H377" s="2" t="s">
        <v>13228</v>
      </c>
      <c r="I377" s="2" t="s">
        <v>4003</v>
      </c>
      <c r="J377" s="2" t="s">
        <v>48</v>
      </c>
      <c r="K377" s="2" t="s">
        <v>16620</v>
      </c>
      <c r="L377" s="2" t="s">
        <v>16621</v>
      </c>
      <c r="M377" s="45" t="str">
        <f t="shared" ref="M377:M378" si="212">HYPERLINK("twitter.com/gcscsoftball","@gcscsoftball")</f>
        <v>@gcscsoftball</v>
      </c>
      <c r="N377" s="48" t="s">
        <v>22</v>
      </c>
      <c r="O377" s="48" t="s">
        <v>16622</v>
      </c>
      <c r="P377" s="60" t="s">
        <v>66</v>
      </c>
      <c r="Q377" s="48" t="s">
        <v>16623</v>
      </c>
      <c r="R377" s="48" t="s">
        <v>468</v>
      </c>
      <c r="S377" s="49" t="s">
        <v>74</v>
      </c>
      <c r="T377" s="48" t="s">
        <v>75</v>
      </c>
      <c r="U377" s="49" t="s">
        <v>3678</v>
      </c>
      <c r="V377" s="7" t="s">
        <v>214</v>
      </c>
      <c r="W377" s="49" t="s">
        <v>214</v>
      </c>
      <c r="X377" s="49" t="s">
        <v>214</v>
      </c>
      <c r="Y377" s="49" t="s">
        <v>214</v>
      </c>
      <c r="Z377" s="55" t="s">
        <v>214</v>
      </c>
      <c r="AA377" s="48" t="s">
        <v>16628</v>
      </c>
      <c r="AB377" s="84" t="s">
        <v>16622</v>
      </c>
      <c r="AC377" s="53" t="str">
        <f t="shared" ref="AC377:AC378" si="213">HYPERLINK("https://www.gulfcoast.edu/academics/programs/","Link")</f>
        <v>Link</v>
      </c>
      <c r="AD377" s="42">
        <v>5483</v>
      </c>
      <c r="AE377" s="55"/>
      <c r="AF377" s="55"/>
      <c r="AG377" s="56">
        <v>134343</v>
      </c>
      <c r="AH377" s="56"/>
      <c r="AI377" s="56"/>
    </row>
    <row r="378" spans="1:35" ht="15" x14ac:dyDescent="0.2">
      <c r="A378" s="64" t="s">
        <v>2866</v>
      </c>
      <c r="B378" s="33" t="s">
        <v>12632</v>
      </c>
      <c r="C378" s="7" t="s">
        <v>16629</v>
      </c>
      <c r="D378" s="112">
        <v>5</v>
      </c>
      <c r="E378" s="7"/>
      <c r="F378" s="112"/>
      <c r="G378" s="2" t="s">
        <v>16619</v>
      </c>
      <c r="H378" s="2" t="s">
        <v>16630</v>
      </c>
      <c r="I378" s="2" t="s">
        <v>3793</v>
      </c>
      <c r="J378" s="2" t="s">
        <v>55</v>
      </c>
      <c r="K378" s="2" t="s">
        <v>16631</v>
      </c>
      <c r="L378" s="2" t="s">
        <v>16621</v>
      </c>
      <c r="M378" s="45" t="str">
        <f t="shared" si="212"/>
        <v>@gcscsoftball</v>
      </c>
      <c r="N378" s="48" t="s">
        <v>22</v>
      </c>
      <c r="O378" s="48" t="s">
        <v>16622</v>
      </c>
      <c r="P378" s="60" t="s">
        <v>66</v>
      </c>
      <c r="Q378" s="48" t="s">
        <v>16623</v>
      </c>
      <c r="R378" s="48" t="s">
        <v>468</v>
      </c>
      <c r="S378" s="49" t="s">
        <v>74</v>
      </c>
      <c r="T378" s="48" t="s">
        <v>75</v>
      </c>
      <c r="U378" s="49" t="s">
        <v>3678</v>
      </c>
      <c r="V378" s="7" t="s">
        <v>214</v>
      </c>
      <c r="W378" s="49" t="s">
        <v>214</v>
      </c>
      <c r="X378" s="49" t="s">
        <v>214</v>
      </c>
      <c r="Y378" s="49" t="s">
        <v>214</v>
      </c>
      <c r="Z378" s="55" t="s">
        <v>214</v>
      </c>
      <c r="AA378" s="48" t="s">
        <v>16628</v>
      </c>
      <c r="AB378" s="84" t="s">
        <v>16622</v>
      </c>
      <c r="AC378" s="53" t="str">
        <f t="shared" si="213"/>
        <v>Link</v>
      </c>
      <c r="AD378" s="42">
        <v>5483</v>
      </c>
      <c r="AE378" s="55"/>
      <c r="AF378" s="55"/>
      <c r="AG378" s="56">
        <v>134343</v>
      </c>
      <c r="AH378" s="56"/>
      <c r="AI378" s="56"/>
    </row>
    <row r="379" spans="1:35" ht="15" x14ac:dyDescent="0.2">
      <c r="A379" s="64" t="s">
        <v>2866</v>
      </c>
      <c r="B379" s="33" t="s">
        <v>12632</v>
      </c>
      <c r="C379" s="7" t="s">
        <v>16639</v>
      </c>
      <c r="D379" s="112">
        <v>5</v>
      </c>
      <c r="E379" s="7"/>
      <c r="F379" s="112"/>
      <c r="G379" s="2" t="s">
        <v>16640</v>
      </c>
      <c r="H379" s="2" t="s">
        <v>552</v>
      </c>
      <c r="I379" s="2" t="s">
        <v>16641</v>
      </c>
      <c r="J379" s="2" t="s">
        <v>48</v>
      </c>
      <c r="K379" s="2" t="s">
        <v>16643</v>
      </c>
      <c r="L379" s="2"/>
      <c r="M379" s="48"/>
      <c r="N379" s="45" t="str">
        <f t="shared" ref="N379:N382" si="214">HYPERLINK("https://www.hcchawks.com/information/forms","Questionnaire")</f>
        <v>Questionnaire</v>
      </c>
      <c r="O379" s="108" t="s">
        <v>16644</v>
      </c>
      <c r="P379" s="60" t="s">
        <v>66</v>
      </c>
      <c r="Q379" s="48" t="s">
        <v>16646</v>
      </c>
      <c r="R379" s="48" t="s">
        <v>468</v>
      </c>
      <c r="S379" s="49" t="s">
        <v>74</v>
      </c>
      <c r="T379" s="48" t="s">
        <v>75</v>
      </c>
      <c r="U379" s="49" t="s">
        <v>3678</v>
      </c>
      <c r="V379" s="7" t="s">
        <v>214</v>
      </c>
      <c r="W379" s="49" t="s">
        <v>214</v>
      </c>
      <c r="X379" s="49" t="s">
        <v>214</v>
      </c>
      <c r="Y379" s="49" t="s">
        <v>214</v>
      </c>
      <c r="Z379" s="55" t="s">
        <v>214</v>
      </c>
      <c r="AA379" s="48" t="s">
        <v>16647</v>
      </c>
      <c r="AB379" s="52" t="s">
        <v>16644</v>
      </c>
      <c r="AC379" s="53" t="str">
        <f t="shared" ref="AC379:AC382" si="215">HYPERLINK("https://www.hccfl.edu/careers/degrees-and-certificates.aspx","Link")</f>
        <v>Link</v>
      </c>
      <c r="AD379" s="42">
        <v>27061</v>
      </c>
      <c r="AE379" s="55"/>
      <c r="AF379" s="55"/>
      <c r="AG379" s="56">
        <v>134495</v>
      </c>
      <c r="AH379" s="56"/>
      <c r="AI379" s="56"/>
    </row>
    <row r="380" spans="1:35" ht="15" x14ac:dyDescent="0.2">
      <c r="A380" s="64" t="s">
        <v>2866</v>
      </c>
      <c r="B380" s="33" t="s">
        <v>12632</v>
      </c>
      <c r="C380" s="7" t="s">
        <v>16648</v>
      </c>
      <c r="D380" s="112">
        <v>5</v>
      </c>
      <c r="E380" s="7"/>
      <c r="F380" s="112"/>
      <c r="G380" s="2" t="s">
        <v>16640</v>
      </c>
      <c r="H380" s="2" t="s">
        <v>1307</v>
      </c>
      <c r="I380" s="2" t="s">
        <v>2969</v>
      </c>
      <c r="J380" s="2" t="s">
        <v>55</v>
      </c>
      <c r="K380" s="95" t="s">
        <v>16649</v>
      </c>
      <c r="L380" s="2"/>
      <c r="M380" s="48"/>
      <c r="N380" s="45" t="str">
        <f t="shared" si="214"/>
        <v>Questionnaire</v>
      </c>
      <c r="O380" s="108" t="s">
        <v>16644</v>
      </c>
      <c r="P380" s="60" t="s">
        <v>66</v>
      </c>
      <c r="Q380" s="48" t="s">
        <v>16646</v>
      </c>
      <c r="R380" s="48" t="s">
        <v>468</v>
      </c>
      <c r="S380" s="49" t="s">
        <v>74</v>
      </c>
      <c r="T380" s="48" t="s">
        <v>75</v>
      </c>
      <c r="U380" s="49" t="s">
        <v>3678</v>
      </c>
      <c r="V380" s="7" t="s">
        <v>214</v>
      </c>
      <c r="W380" s="49" t="s">
        <v>214</v>
      </c>
      <c r="X380" s="49" t="s">
        <v>214</v>
      </c>
      <c r="Y380" s="49" t="s">
        <v>214</v>
      </c>
      <c r="Z380" s="55" t="s">
        <v>214</v>
      </c>
      <c r="AA380" s="48" t="s">
        <v>16647</v>
      </c>
      <c r="AB380" s="52" t="s">
        <v>16644</v>
      </c>
      <c r="AC380" s="53" t="str">
        <f t="shared" si="215"/>
        <v>Link</v>
      </c>
      <c r="AD380" s="42">
        <v>27061</v>
      </c>
      <c r="AE380" s="55"/>
      <c r="AF380" s="55"/>
      <c r="AG380" s="56">
        <v>134495</v>
      </c>
      <c r="AH380" s="56"/>
      <c r="AI380" s="56"/>
    </row>
    <row r="381" spans="1:35" ht="15" x14ac:dyDescent="0.2">
      <c r="A381" s="64" t="s">
        <v>2866</v>
      </c>
      <c r="B381" s="33" t="s">
        <v>12632</v>
      </c>
      <c r="C381" s="7" t="s">
        <v>16654</v>
      </c>
      <c r="D381" s="112">
        <v>5</v>
      </c>
      <c r="E381" s="7"/>
      <c r="F381" s="112" t="s">
        <v>126</v>
      </c>
      <c r="G381" s="2" t="s">
        <v>16640</v>
      </c>
      <c r="H381" s="2" t="s">
        <v>16655</v>
      </c>
      <c r="I381" s="2"/>
      <c r="J381" s="2"/>
      <c r="K381" s="2"/>
      <c r="L381" s="2"/>
      <c r="M381" s="48"/>
      <c r="N381" s="45" t="str">
        <f t="shared" si="214"/>
        <v>Questionnaire</v>
      </c>
      <c r="O381" s="108" t="s">
        <v>16644</v>
      </c>
      <c r="P381" s="60" t="s">
        <v>66</v>
      </c>
      <c r="Q381" s="48" t="s">
        <v>16646</v>
      </c>
      <c r="R381" s="48" t="s">
        <v>468</v>
      </c>
      <c r="S381" s="49" t="s">
        <v>74</v>
      </c>
      <c r="T381" s="48" t="s">
        <v>75</v>
      </c>
      <c r="U381" s="49" t="s">
        <v>3678</v>
      </c>
      <c r="V381" s="7" t="s">
        <v>214</v>
      </c>
      <c r="W381" s="49" t="s">
        <v>214</v>
      </c>
      <c r="X381" s="49" t="s">
        <v>214</v>
      </c>
      <c r="Y381" s="49" t="s">
        <v>214</v>
      </c>
      <c r="Z381" s="55" t="s">
        <v>214</v>
      </c>
      <c r="AA381" s="48" t="s">
        <v>16647</v>
      </c>
      <c r="AB381" s="52" t="s">
        <v>16644</v>
      </c>
      <c r="AC381" s="53" t="str">
        <f t="shared" si="215"/>
        <v>Link</v>
      </c>
      <c r="AD381" s="42">
        <v>27061</v>
      </c>
      <c r="AE381" s="55"/>
      <c r="AF381" s="55"/>
      <c r="AG381" s="56">
        <v>134495</v>
      </c>
      <c r="AH381" s="56"/>
      <c r="AI381" s="56"/>
    </row>
    <row r="382" spans="1:35" ht="15" x14ac:dyDescent="0.2">
      <c r="A382" s="64" t="s">
        <v>2866</v>
      </c>
      <c r="B382" s="33" t="s">
        <v>12632</v>
      </c>
      <c r="C382" s="7" t="s">
        <v>16661</v>
      </c>
      <c r="D382" s="112">
        <v>5</v>
      </c>
      <c r="E382" s="7"/>
      <c r="F382" s="112"/>
      <c r="G382" s="2" t="s">
        <v>16640</v>
      </c>
      <c r="H382" s="2" t="s">
        <v>294</v>
      </c>
      <c r="I382" s="2" t="s">
        <v>16664</v>
      </c>
      <c r="J382" s="2" t="s">
        <v>139</v>
      </c>
      <c r="K382" s="2" t="s">
        <v>16666</v>
      </c>
      <c r="L382" s="2"/>
      <c r="M382" s="48"/>
      <c r="N382" s="45" t="str">
        <f t="shared" si="214"/>
        <v>Questionnaire</v>
      </c>
      <c r="O382" s="108" t="s">
        <v>16644</v>
      </c>
      <c r="P382" s="60" t="s">
        <v>66</v>
      </c>
      <c r="Q382" s="48" t="s">
        <v>16646</v>
      </c>
      <c r="R382" s="48" t="s">
        <v>468</v>
      </c>
      <c r="S382" s="49" t="s">
        <v>74</v>
      </c>
      <c r="T382" s="48" t="s">
        <v>75</v>
      </c>
      <c r="U382" s="49" t="s">
        <v>3678</v>
      </c>
      <c r="V382" s="7" t="s">
        <v>214</v>
      </c>
      <c r="W382" s="49" t="s">
        <v>214</v>
      </c>
      <c r="X382" s="49" t="s">
        <v>214</v>
      </c>
      <c r="Y382" s="49" t="s">
        <v>214</v>
      </c>
      <c r="Z382" s="55" t="s">
        <v>214</v>
      </c>
      <c r="AA382" s="48" t="s">
        <v>16647</v>
      </c>
      <c r="AB382" s="52" t="s">
        <v>16644</v>
      </c>
      <c r="AC382" s="53" t="str">
        <f t="shared" si="215"/>
        <v>Link</v>
      </c>
      <c r="AD382" s="42">
        <v>27061</v>
      </c>
      <c r="AE382" s="55"/>
      <c r="AF382" s="55"/>
      <c r="AG382" s="56">
        <v>134495</v>
      </c>
      <c r="AH382" s="56"/>
      <c r="AI382" s="56"/>
    </row>
    <row r="383" spans="1:35" ht="15" x14ac:dyDescent="0.2">
      <c r="A383" s="64" t="s">
        <v>2866</v>
      </c>
      <c r="B383" s="33" t="s">
        <v>12632</v>
      </c>
      <c r="C383" s="7" t="s">
        <v>16668</v>
      </c>
      <c r="D383" s="112">
        <v>5</v>
      </c>
      <c r="E383" s="7"/>
      <c r="F383" s="112"/>
      <c r="G383" s="2" t="s">
        <v>16671</v>
      </c>
      <c r="H383" s="2" t="s">
        <v>9286</v>
      </c>
      <c r="I383" s="2" t="s">
        <v>16672</v>
      </c>
      <c r="J383" s="2" t="s">
        <v>48</v>
      </c>
      <c r="K383" s="2" t="s">
        <v>16673</v>
      </c>
      <c r="L383" s="2" t="s">
        <v>16674</v>
      </c>
      <c r="M383" s="48"/>
      <c r="N383" s="48" t="s">
        <v>22</v>
      </c>
      <c r="O383" s="48" t="s">
        <v>16676</v>
      </c>
      <c r="P383" s="60" t="s">
        <v>66</v>
      </c>
      <c r="Q383" s="48" t="s">
        <v>16677</v>
      </c>
      <c r="R383" s="48" t="s">
        <v>468</v>
      </c>
      <c r="S383" s="49" t="s">
        <v>74</v>
      </c>
      <c r="T383" s="48" t="s">
        <v>75</v>
      </c>
      <c r="U383" s="49" t="s">
        <v>3678</v>
      </c>
      <c r="V383" s="7" t="s">
        <v>214</v>
      </c>
      <c r="W383" s="49" t="s">
        <v>214</v>
      </c>
      <c r="X383" s="49" t="s">
        <v>214</v>
      </c>
      <c r="Y383" s="49" t="s">
        <v>214</v>
      </c>
      <c r="Z383" s="55" t="s">
        <v>214</v>
      </c>
      <c r="AA383" s="48" t="s">
        <v>16680</v>
      </c>
      <c r="AB383" s="84" t="s">
        <v>16676</v>
      </c>
      <c r="AC383" s="53" t="str">
        <f t="shared" ref="AC383:AC385" si="216">HYPERLINK("https://www.irsc.edu/Programs/ProgramsList/programslist.aspx?id=4294969909","Link")</f>
        <v>Link</v>
      </c>
      <c r="AD383" s="42">
        <v>18244</v>
      </c>
      <c r="AE383" s="55"/>
      <c r="AF383" s="55"/>
      <c r="AG383" s="56">
        <v>134608</v>
      </c>
      <c r="AH383" s="56"/>
      <c r="AI383" s="56"/>
    </row>
    <row r="384" spans="1:35" ht="15" x14ac:dyDescent="0.2">
      <c r="A384" s="64" t="s">
        <v>2866</v>
      </c>
      <c r="B384" s="33" t="s">
        <v>12632</v>
      </c>
      <c r="C384" s="7" t="s">
        <v>16682</v>
      </c>
      <c r="D384" s="112">
        <v>5</v>
      </c>
      <c r="E384" s="7"/>
      <c r="F384" s="112"/>
      <c r="G384" s="2" t="s">
        <v>16671</v>
      </c>
      <c r="H384" s="2" t="s">
        <v>16595</v>
      </c>
      <c r="I384" s="2" t="s">
        <v>378</v>
      </c>
      <c r="J384" s="2" t="s">
        <v>55</v>
      </c>
      <c r="K384" s="2" t="s">
        <v>16683</v>
      </c>
      <c r="L384" s="2" t="s">
        <v>16684</v>
      </c>
      <c r="M384" s="48"/>
      <c r="N384" s="48" t="s">
        <v>22</v>
      </c>
      <c r="O384" s="48" t="s">
        <v>16676</v>
      </c>
      <c r="P384" s="60" t="s">
        <v>66</v>
      </c>
      <c r="Q384" s="48" t="s">
        <v>16677</v>
      </c>
      <c r="R384" s="48" t="s">
        <v>468</v>
      </c>
      <c r="S384" s="49" t="s">
        <v>74</v>
      </c>
      <c r="T384" s="48" t="s">
        <v>75</v>
      </c>
      <c r="U384" s="49" t="s">
        <v>3678</v>
      </c>
      <c r="V384" s="7" t="s">
        <v>214</v>
      </c>
      <c r="W384" s="49" t="s">
        <v>214</v>
      </c>
      <c r="X384" s="49" t="s">
        <v>214</v>
      </c>
      <c r="Y384" s="49" t="s">
        <v>214</v>
      </c>
      <c r="Z384" s="55" t="s">
        <v>214</v>
      </c>
      <c r="AA384" s="48" t="s">
        <v>16680</v>
      </c>
      <c r="AB384" s="84" t="s">
        <v>16676</v>
      </c>
      <c r="AC384" s="53" t="str">
        <f t="shared" si="216"/>
        <v>Link</v>
      </c>
      <c r="AD384" s="42">
        <v>18244</v>
      </c>
      <c r="AE384" s="55"/>
      <c r="AF384" s="55"/>
      <c r="AG384" s="56">
        <v>134608</v>
      </c>
      <c r="AH384" s="56"/>
      <c r="AI384" s="56"/>
    </row>
    <row r="385" spans="1:37" ht="15" x14ac:dyDescent="0.2">
      <c r="A385" s="64" t="s">
        <v>2866</v>
      </c>
      <c r="B385" s="33" t="s">
        <v>12632</v>
      </c>
      <c r="C385" s="7" t="s">
        <v>16690</v>
      </c>
      <c r="D385" s="112">
        <v>5</v>
      </c>
      <c r="E385" s="7"/>
      <c r="F385" s="112"/>
      <c r="G385" s="2" t="s">
        <v>16671</v>
      </c>
      <c r="H385" s="2" t="s">
        <v>1080</v>
      </c>
      <c r="I385" s="2" t="s">
        <v>16691</v>
      </c>
      <c r="J385" s="2" t="s">
        <v>919</v>
      </c>
      <c r="K385" s="2" t="s">
        <v>16693</v>
      </c>
      <c r="L385" s="2"/>
      <c r="M385" s="48"/>
      <c r="N385" s="48" t="s">
        <v>22</v>
      </c>
      <c r="O385" s="48" t="s">
        <v>16676</v>
      </c>
      <c r="P385" s="60" t="s">
        <v>66</v>
      </c>
      <c r="Q385" s="48" t="s">
        <v>16677</v>
      </c>
      <c r="R385" s="48" t="s">
        <v>468</v>
      </c>
      <c r="S385" s="49" t="s">
        <v>74</v>
      </c>
      <c r="T385" s="48" t="s">
        <v>75</v>
      </c>
      <c r="U385" s="49" t="s">
        <v>3678</v>
      </c>
      <c r="V385" s="7" t="s">
        <v>214</v>
      </c>
      <c r="W385" s="49" t="s">
        <v>214</v>
      </c>
      <c r="X385" s="49" t="s">
        <v>214</v>
      </c>
      <c r="Y385" s="49" t="s">
        <v>214</v>
      </c>
      <c r="Z385" s="55" t="s">
        <v>214</v>
      </c>
      <c r="AA385" s="48" t="s">
        <v>16680</v>
      </c>
      <c r="AB385" s="84" t="s">
        <v>16676</v>
      </c>
      <c r="AC385" s="53" t="str">
        <f t="shared" si="216"/>
        <v>Link</v>
      </c>
      <c r="AD385" s="42">
        <v>18244</v>
      </c>
      <c r="AE385" s="55"/>
      <c r="AF385" s="55"/>
      <c r="AG385" s="56">
        <v>134608</v>
      </c>
      <c r="AH385" s="56"/>
      <c r="AI385" s="56"/>
    </row>
    <row r="386" spans="1:37" ht="15" x14ac:dyDescent="0.2">
      <c r="A386" s="64" t="s">
        <v>2866</v>
      </c>
      <c r="B386" s="33" t="s">
        <v>12632</v>
      </c>
      <c r="C386" s="7" t="s">
        <v>16698</v>
      </c>
      <c r="D386" s="112">
        <v>5</v>
      </c>
      <c r="E386" s="7"/>
      <c r="F386" s="112"/>
      <c r="G386" s="2" t="s">
        <v>16699</v>
      </c>
      <c r="H386" s="2" t="s">
        <v>2772</v>
      </c>
      <c r="I386" s="2" t="s">
        <v>977</v>
      </c>
      <c r="J386" s="2" t="s">
        <v>48</v>
      </c>
      <c r="K386" s="2" t="s">
        <v>16700</v>
      </c>
      <c r="L386" s="2" t="s">
        <v>16701</v>
      </c>
      <c r="M386" s="45" t="str">
        <f t="shared" ref="M386:M388" si="217">HYPERLINK("twitter.com/lsscsoftball","@lsscsoftball")</f>
        <v>@lsscsoftball</v>
      </c>
      <c r="N386" s="48" t="s">
        <v>22</v>
      </c>
      <c r="O386" s="48" t="s">
        <v>16702</v>
      </c>
      <c r="P386" s="60" t="s">
        <v>66</v>
      </c>
      <c r="Q386" s="48" t="s">
        <v>16703</v>
      </c>
      <c r="R386" s="48" t="s">
        <v>172</v>
      </c>
      <c r="S386" s="49" t="s">
        <v>74</v>
      </c>
      <c r="T386" s="48" t="s">
        <v>75</v>
      </c>
      <c r="U386" s="49" t="s">
        <v>3678</v>
      </c>
      <c r="V386" s="7" t="s">
        <v>214</v>
      </c>
      <c r="W386" s="49" t="s">
        <v>214</v>
      </c>
      <c r="X386" s="49" t="s">
        <v>214</v>
      </c>
      <c r="Y386" s="49" t="s">
        <v>214</v>
      </c>
      <c r="Z386" s="55" t="s">
        <v>214</v>
      </c>
      <c r="AA386" s="48" t="s">
        <v>16704</v>
      </c>
      <c r="AB386" s="84" t="s">
        <v>16702</v>
      </c>
      <c r="AC386" s="53" t="str">
        <f t="shared" ref="AC386:AC388" si="218">HYPERLINK("http://www.lssc.edu/academics/Pages/Academic%20Programs/listofprograms.aspx","Link")</f>
        <v>Link</v>
      </c>
      <c r="AD386" s="42">
        <v>4613</v>
      </c>
      <c r="AE386" s="55"/>
      <c r="AF386" s="55"/>
      <c r="AG386" s="56">
        <v>135188</v>
      </c>
      <c r="AH386" s="56"/>
      <c r="AI386" s="56"/>
    </row>
    <row r="387" spans="1:37" ht="15" x14ac:dyDescent="0.2">
      <c r="A387" s="64" t="s">
        <v>2866</v>
      </c>
      <c r="B387" s="33" t="s">
        <v>12632</v>
      </c>
      <c r="C387" s="7" t="s">
        <v>16708</v>
      </c>
      <c r="D387" s="112">
        <v>5</v>
      </c>
      <c r="E387" s="7"/>
      <c r="F387" s="112"/>
      <c r="G387" s="2" t="s">
        <v>16699</v>
      </c>
      <c r="H387" s="2" t="s">
        <v>16709</v>
      </c>
      <c r="I387" s="2" t="s">
        <v>977</v>
      </c>
      <c r="J387" s="2" t="s">
        <v>55</v>
      </c>
      <c r="K387" s="2" t="s">
        <v>16710</v>
      </c>
      <c r="L387" s="2" t="s">
        <v>16701</v>
      </c>
      <c r="M387" s="45" t="str">
        <f t="shared" si="217"/>
        <v>@lsscsoftball</v>
      </c>
      <c r="N387" s="48" t="s">
        <v>22</v>
      </c>
      <c r="O387" s="48" t="s">
        <v>16702</v>
      </c>
      <c r="P387" s="60" t="s">
        <v>66</v>
      </c>
      <c r="Q387" s="48" t="s">
        <v>16703</v>
      </c>
      <c r="R387" s="48" t="s">
        <v>172</v>
      </c>
      <c r="S387" s="49" t="s">
        <v>74</v>
      </c>
      <c r="T387" s="48" t="s">
        <v>75</v>
      </c>
      <c r="U387" s="49" t="s">
        <v>3678</v>
      </c>
      <c r="V387" s="7" t="s">
        <v>214</v>
      </c>
      <c r="W387" s="49" t="s">
        <v>214</v>
      </c>
      <c r="X387" s="49" t="s">
        <v>214</v>
      </c>
      <c r="Y387" s="49" t="s">
        <v>214</v>
      </c>
      <c r="Z387" s="55" t="s">
        <v>214</v>
      </c>
      <c r="AA387" s="48" t="s">
        <v>16704</v>
      </c>
      <c r="AB387" s="84" t="s">
        <v>16702</v>
      </c>
      <c r="AC387" s="53" t="str">
        <f t="shared" si="218"/>
        <v>Link</v>
      </c>
      <c r="AD387" s="42">
        <v>4613</v>
      </c>
      <c r="AE387" s="55"/>
      <c r="AF387" s="55"/>
      <c r="AG387" s="56">
        <v>135188</v>
      </c>
      <c r="AH387" s="56"/>
      <c r="AI387" s="56"/>
    </row>
    <row r="388" spans="1:37" ht="15" x14ac:dyDescent="0.2">
      <c r="A388" s="64" t="s">
        <v>2866</v>
      </c>
      <c r="B388" s="33" t="s">
        <v>12632</v>
      </c>
      <c r="C388" s="7" t="s">
        <v>16714</v>
      </c>
      <c r="D388" s="112">
        <v>5</v>
      </c>
      <c r="E388" s="7"/>
      <c r="F388" s="112"/>
      <c r="G388" s="2" t="s">
        <v>16699</v>
      </c>
      <c r="H388" s="2" t="s">
        <v>1148</v>
      </c>
      <c r="I388" s="2" t="s">
        <v>16715</v>
      </c>
      <c r="J388" s="2" t="s">
        <v>919</v>
      </c>
      <c r="K388" s="2"/>
      <c r="L388" s="2"/>
      <c r="M388" s="45" t="str">
        <f t="shared" si="217"/>
        <v>@lsscsoftball</v>
      </c>
      <c r="N388" s="48" t="s">
        <v>22</v>
      </c>
      <c r="O388" s="48" t="s">
        <v>16702</v>
      </c>
      <c r="P388" s="60" t="s">
        <v>66</v>
      </c>
      <c r="Q388" s="48" t="s">
        <v>16703</v>
      </c>
      <c r="R388" s="48" t="s">
        <v>172</v>
      </c>
      <c r="S388" s="49" t="s">
        <v>74</v>
      </c>
      <c r="T388" s="48" t="s">
        <v>75</v>
      </c>
      <c r="U388" s="49" t="s">
        <v>3678</v>
      </c>
      <c r="V388" s="7" t="s">
        <v>214</v>
      </c>
      <c r="W388" s="49" t="s">
        <v>214</v>
      </c>
      <c r="X388" s="49" t="s">
        <v>214</v>
      </c>
      <c r="Y388" s="49" t="s">
        <v>214</v>
      </c>
      <c r="Z388" s="55" t="s">
        <v>214</v>
      </c>
      <c r="AA388" s="48" t="s">
        <v>16704</v>
      </c>
      <c r="AB388" s="84" t="s">
        <v>16702</v>
      </c>
      <c r="AC388" s="53" t="str">
        <f t="shared" si="218"/>
        <v>Link</v>
      </c>
      <c r="AD388" s="42">
        <v>4613</v>
      </c>
      <c r="AE388" s="55"/>
      <c r="AF388" s="55"/>
      <c r="AG388" s="56">
        <v>135188</v>
      </c>
      <c r="AH388" s="56"/>
      <c r="AI388" s="56"/>
    </row>
    <row r="389" spans="1:37" ht="15" x14ac:dyDescent="0.2">
      <c r="A389" s="64" t="s">
        <v>2866</v>
      </c>
      <c r="B389" s="33" t="s">
        <v>12632</v>
      </c>
      <c r="C389" s="7" t="s">
        <v>16719</v>
      </c>
      <c r="D389" s="44">
        <v>5</v>
      </c>
      <c r="E389" s="7"/>
      <c r="F389" s="44"/>
      <c r="G389" s="2" t="s">
        <v>16720</v>
      </c>
      <c r="H389" s="7" t="s">
        <v>4599</v>
      </c>
      <c r="I389" s="7" t="s">
        <v>16721</v>
      </c>
      <c r="J389" s="7" t="s">
        <v>55</v>
      </c>
      <c r="K389" s="7" t="s">
        <v>16722</v>
      </c>
      <c r="L389" s="7" t="s">
        <v>16724</v>
      </c>
      <c r="M389" s="48"/>
      <c r="N389" s="48" t="s">
        <v>22</v>
      </c>
      <c r="O389" s="48" t="s">
        <v>16725</v>
      </c>
      <c r="P389" s="60" t="s">
        <v>66</v>
      </c>
      <c r="Q389" s="48" t="s">
        <v>6077</v>
      </c>
      <c r="R389" s="48" t="s">
        <v>354</v>
      </c>
      <c r="S389" s="49" t="s">
        <v>74</v>
      </c>
      <c r="T389" s="48" t="s">
        <v>75</v>
      </c>
      <c r="U389" s="49" t="s">
        <v>3678</v>
      </c>
      <c r="V389" s="7" t="s">
        <v>214</v>
      </c>
      <c r="W389" s="49" t="s">
        <v>214</v>
      </c>
      <c r="X389" s="49" t="s">
        <v>214</v>
      </c>
      <c r="Y389" s="49" t="s">
        <v>214</v>
      </c>
      <c r="Z389" s="55" t="s">
        <v>214</v>
      </c>
      <c r="AA389" s="48" t="s">
        <v>16727</v>
      </c>
      <c r="AB389" s="84" t="s">
        <v>16725</v>
      </c>
      <c r="AC389" s="53" t="str">
        <f t="shared" ref="AC389:AC391" si="219">HYPERLINK("http://www.mdc.edu/academics/programs/","Link")</f>
        <v>Link</v>
      </c>
      <c r="AD389" s="42">
        <v>55206</v>
      </c>
      <c r="AE389" s="55"/>
      <c r="AF389" s="55"/>
      <c r="AG389" s="56">
        <v>135717</v>
      </c>
      <c r="AH389" s="56"/>
      <c r="AI389" s="56"/>
    </row>
    <row r="390" spans="1:37" ht="15" x14ac:dyDescent="0.2">
      <c r="A390" s="64" t="s">
        <v>2866</v>
      </c>
      <c r="B390" s="33" t="s">
        <v>12632</v>
      </c>
      <c r="C390" s="7" t="s">
        <v>16728</v>
      </c>
      <c r="D390" s="112">
        <v>5</v>
      </c>
      <c r="E390" s="7"/>
      <c r="F390" s="112"/>
      <c r="G390" s="2" t="s">
        <v>16720</v>
      </c>
      <c r="H390" s="2" t="s">
        <v>453</v>
      </c>
      <c r="I390" s="2" t="s">
        <v>16729</v>
      </c>
      <c r="J390" s="2" t="s">
        <v>48</v>
      </c>
      <c r="K390" s="2" t="s">
        <v>16730</v>
      </c>
      <c r="L390" s="2" t="s">
        <v>16724</v>
      </c>
      <c r="M390" s="48"/>
      <c r="N390" s="48" t="s">
        <v>22</v>
      </c>
      <c r="O390" s="48" t="s">
        <v>16725</v>
      </c>
      <c r="P390" s="60" t="s">
        <v>66</v>
      </c>
      <c r="Q390" s="48" t="s">
        <v>6077</v>
      </c>
      <c r="R390" s="48" t="s">
        <v>354</v>
      </c>
      <c r="S390" s="49" t="s">
        <v>74</v>
      </c>
      <c r="T390" s="48" t="s">
        <v>75</v>
      </c>
      <c r="U390" s="49" t="s">
        <v>3678</v>
      </c>
      <c r="V390" s="7" t="s">
        <v>214</v>
      </c>
      <c r="W390" s="49" t="s">
        <v>214</v>
      </c>
      <c r="X390" s="49" t="s">
        <v>214</v>
      </c>
      <c r="Y390" s="49" t="s">
        <v>214</v>
      </c>
      <c r="Z390" s="55" t="s">
        <v>214</v>
      </c>
      <c r="AA390" s="48" t="s">
        <v>16727</v>
      </c>
      <c r="AB390" s="84" t="s">
        <v>16725</v>
      </c>
      <c r="AC390" s="53" t="str">
        <f t="shared" si="219"/>
        <v>Link</v>
      </c>
      <c r="AD390" s="42">
        <v>55206</v>
      </c>
      <c r="AE390" s="55"/>
      <c r="AF390" s="55"/>
      <c r="AG390" s="56">
        <v>135717</v>
      </c>
      <c r="AH390" s="56"/>
      <c r="AI390" s="56"/>
    </row>
    <row r="391" spans="1:37" ht="15" x14ac:dyDescent="0.2">
      <c r="A391" s="64" t="s">
        <v>2866</v>
      </c>
      <c r="B391" s="33" t="s">
        <v>12632</v>
      </c>
      <c r="C391" s="7" t="s">
        <v>16735</v>
      </c>
      <c r="D391" s="112">
        <v>5</v>
      </c>
      <c r="E391" s="7"/>
      <c r="F391" s="112"/>
      <c r="G391" s="2" t="s">
        <v>16720</v>
      </c>
      <c r="H391" s="2" t="s">
        <v>16736</v>
      </c>
      <c r="I391" s="2"/>
      <c r="J391" s="2"/>
      <c r="K391" s="2"/>
      <c r="L391" s="2"/>
      <c r="M391" s="48"/>
      <c r="N391" s="48" t="s">
        <v>22</v>
      </c>
      <c r="O391" s="48" t="s">
        <v>16725</v>
      </c>
      <c r="P391" s="60" t="s">
        <v>66</v>
      </c>
      <c r="Q391" s="48" t="s">
        <v>6077</v>
      </c>
      <c r="R391" s="48" t="s">
        <v>354</v>
      </c>
      <c r="S391" s="49" t="s">
        <v>74</v>
      </c>
      <c r="T391" s="48" t="s">
        <v>75</v>
      </c>
      <c r="U391" s="49" t="s">
        <v>3678</v>
      </c>
      <c r="V391" s="7" t="s">
        <v>214</v>
      </c>
      <c r="W391" s="49" t="s">
        <v>214</v>
      </c>
      <c r="X391" s="49" t="s">
        <v>214</v>
      </c>
      <c r="Y391" s="49" t="s">
        <v>214</v>
      </c>
      <c r="Z391" s="55" t="s">
        <v>214</v>
      </c>
      <c r="AA391" s="48" t="s">
        <v>16727</v>
      </c>
      <c r="AB391" s="84" t="s">
        <v>16725</v>
      </c>
      <c r="AC391" s="53" t="str">
        <f t="shared" si="219"/>
        <v>Link</v>
      </c>
      <c r="AD391" s="42">
        <v>55206</v>
      </c>
      <c r="AE391" s="55"/>
      <c r="AF391" s="55"/>
      <c r="AG391" s="56">
        <v>135717</v>
      </c>
      <c r="AH391" s="56"/>
      <c r="AI391" s="56"/>
    </row>
    <row r="392" spans="1:37" ht="15" x14ac:dyDescent="0.2">
      <c r="A392" s="64" t="s">
        <v>2866</v>
      </c>
      <c r="B392" s="33" t="s">
        <v>12632</v>
      </c>
      <c r="C392" s="7" t="s">
        <v>16737</v>
      </c>
      <c r="D392" s="112">
        <v>5</v>
      </c>
      <c r="E392" s="7"/>
      <c r="F392" s="112"/>
      <c r="G392" s="2" t="s">
        <v>16738</v>
      </c>
      <c r="H392" s="2" t="s">
        <v>369</v>
      </c>
      <c r="I392" s="2" t="s">
        <v>3882</v>
      </c>
      <c r="J392" s="2" t="s">
        <v>48</v>
      </c>
      <c r="K392" s="2" t="s">
        <v>16739</v>
      </c>
      <c r="L392" s="2" t="s">
        <v>16740</v>
      </c>
      <c r="M392" s="48"/>
      <c r="N392" s="48" t="s">
        <v>22</v>
      </c>
      <c r="O392" s="48" t="s">
        <v>16741</v>
      </c>
      <c r="P392" s="60" t="s">
        <v>66</v>
      </c>
      <c r="Q392" s="48" t="s">
        <v>16742</v>
      </c>
      <c r="R392" s="48" t="s">
        <v>172</v>
      </c>
      <c r="S392" s="49" t="s">
        <v>74</v>
      </c>
      <c r="T392" s="48" t="s">
        <v>75</v>
      </c>
      <c r="U392" s="49" t="s">
        <v>3678</v>
      </c>
      <c r="V392" s="7" t="s">
        <v>214</v>
      </c>
      <c r="W392" s="49" t="s">
        <v>214</v>
      </c>
      <c r="X392" s="49" t="s">
        <v>214</v>
      </c>
      <c r="Y392" s="49" t="s">
        <v>214</v>
      </c>
      <c r="Z392" s="55" t="s">
        <v>214</v>
      </c>
      <c r="AA392" s="48" t="s">
        <v>16745</v>
      </c>
      <c r="AB392" s="84" t="s">
        <v>16741</v>
      </c>
      <c r="AC392" s="53" t="str">
        <f t="shared" ref="AC392:AC394" si="220">HYPERLINK("http://catalog.nwfsc.edu/content.php?catoid=8&amp;navoid=757","Link")</f>
        <v>Link</v>
      </c>
      <c r="AD392" s="42">
        <v>5761</v>
      </c>
      <c r="AE392" s="55"/>
      <c r="AF392" s="55"/>
      <c r="AG392" s="56">
        <v>136233</v>
      </c>
      <c r="AH392" s="56"/>
      <c r="AI392" s="56"/>
    </row>
    <row r="393" spans="1:37" ht="15" x14ac:dyDescent="0.2">
      <c r="A393" s="64" t="s">
        <v>2866</v>
      </c>
      <c r="B393" s="33" t="s">
        <v>12632</v>
      </c>
      <c r="C393" s="7" t="s">
        <v>16750</v>
      </c>
      <c r="D393" s="112">
        <v>5</v>
      </c>
      <c r="E393" s="7"/>
      <c r="F393" s="112"/>
      <c r="G393" s="2" t="s">
        <v>16738</v>
      </c>
      <c r="H393" s="2" t="s">
        <v>3503</v>
      </c>
      <c r="I393" s="2" t="s">
        <v>1124</v>
      </c>
      <c r="J393" s="2" t="s">
        <v>55</v>
      </c>
      <c r="K393" s="7" t="s">
        <v>16751</v>
      </c>
      <c r="L393" s="2" t="s">
        <v>16740</v>
      </c>
      <c r="M393" s="48"/>
      <c r="N393" s="48" t="s">
        <v>22</v>
      </c>
      <c r="O393" s="48" t="s">
        <v>16741</v>
      </c>
      <c r="P393" s="60" t="s">
        <v>66</v>
      </c>
      <c r="Q393" s="48" t="s">
        <v>16742</v>
      </c>
      <c r="R393" s="48" t="s">
        <v>172</v>
      </c>
      <c r="S393" s="49" t="s">
        <v>74</v>
      </c>
      <c r="T393" s="48" t="s">
        <v>75</v>
      </c>
      <c r="U393" s="49" t="s">
        <v>3678</v>
      </c>
      <c r="V393" s="7" t="s">
        <v>214</v>
      </c>
      <c r="W393" s="49" t="s">
        <v>214</v>
      </c>
      <c r="X393" s="49" t="s">
        <v>214</v>
      </c>
      <c r="Y393" s="49" t="s">
        <v>214</v>
      </c>
      <c r="Z393" s="55" t="s">
        <v>214</v>
      </c>
      <c r="AA393" s="48" t="s">
        <v>16745</v>
      </c>
      <c r="AB393" s="84" t="s">
        <v>16741</v>
      </c>
      <c r="AC393" s="53" t="str">
        <f t="shared" si="220"/>
        <v>Link</v>
      </c>
      <c r="AD393" s="42">
        <v>5761</v>
      </c>
      <c r="AE393" s="55"/>
      <c r="AF393" s="55"/>
      <c r="AG393" s="56">
        <v>136233</v>
      </c>
      <c r="AH393" s="56"/>
      <c r="AI393" s="56"/>
    </row>
    <row r="394" spans="1:37" ht="15" x14ac:dyDescent="0.2">
      <c r="A394" s="64" t="s">
        <v>2866</v>
      </c>
      <c r="B394" s="33" t="s">
        <v>12632</v>
      </c>
      <c r="C394" s="7" t="s">
        <v>16756</v>
      </c>
      <c r="D394" s="112">
        <v>5</v>
      </c>
      <c r="E394" s="7"/>
      <c r="F394" s="112"/>
      <c r="G394" s="2" t="s">
        <v>16738</v>
      </c>
      <c r="H394" s="2" t="s">
        <v>16758</v>
      </c>
      <c r="I394" s="2" t="s">
        <v>16760</v>
      </c>
      <c r="J394" s="2" t="s">
        <v>55</v>
      </c>
      <c r="K394" s="2"/>
      <c r="L394" s="2" t="s">
        <v>16740</v>
      </c>
      <c r="M394" s="48"/>
      <c r="N394" s="48" t="s">
        <v>22</v>
      </c>
      <c r="O394" s="48" t="s">
        <v>16741</v>
      </c>
      <c r="P394" s="60" t="s">
        <v>66</v>
      </c>
      <c r="Q394" s="48" t="s">
        <v>16742</v>
      </c>
      <c r="R394" s="48" t="s">
        <v>172</v>
      </c>
      <c r="S394" s="49" t="s">
        <v>74</v>
      </c>
      <c r="T394" s="48" t="s">
        <v>75</v>
      </c>
      <c r="U394" s="49" t="s">
        <v>3678</v>
      </c>
      <c r="V394" s="7" t="s">
        <v>214</v>
      </c>
      <c r="W394" s="49" t="s">
        <v>214</v>
      </c>
      <c r="X394" s="49" t="s">
        <v>214</v>
      </c>
      <c r="Y394" s="49" t="s">
        <v>214</v>
      </c>
      <c r="Z394" s="55" t="s">
        <v>214</v>
      </c>
      <c r="AA394" s="48" t="s">
        <v>16745</v>
      </c>
      <c r="AB394" s="84" t="s">
        <v>16741</v>
      </c>
      <c r="AC394" s="53" t="str">
        <f t="shared" si="220"/>
        <v>Link</v>
      </c>
      <c r="AD394" s="42">
        <v>5761</v>
      </c>
      <c r="AE394" s="55"/>
      <c r="AF394" s="55"/>
      <c r="AG394" s="56">
        <v>136233</v>
      </c>
      <c r="AH394" s="56"/>
      <c r="AI394" s="56"/>
    </row>
    <row r="395" spans="1:37" ht="15" x14ac:dyDescent="0.2">
      <c r="A395" s="64" t="s">
        <v>2866</v>
      </c>
      <c r="B395" s="33" t="s">
        <v>12632</v>
      </c>
      <c r="C395" s="7" t="s">
        <v>16766</v>
      </c>
      <c r="D395" s="112">
        <v>5</v>
      </c>
      <c r="E395" s="7"/>
      <c r="F395" s="112"/>
      <c r="G395" s="2" t="s">
        <v>16767</v>
      </c>
      <c r="H395" s="2" t="s">
        <v>16768</v>
      </c>
      <c r="I395" s="2"/>
      <c r="J395" s="2"/>
      <c r="K395" s="2"/>
      <c r="L395" s="2"/>
      <c r="M395" s="48"/>
      <c r="N395" s="45" t="str">
        <f t="shared" ref="N395:N396" si="221">HYPERLINK("https://pbasailfish.com/sports/2017/6/29/recruit-questionnaire-homepage.aspx","Questionnaire")</f>
        <v>Questionnaire</v>
      </c>
      <c r="O395" s="48" t="s">
        <v>16775</v>
      </c>
      <c r="P395" s="60" t="s">
        <v>66</v>
      </c>
      <c r="Q395" s="48" t="s">
        <v>16776</v>
      </c>
      <c r="R395" s="48" t="s">
        <v>468</v>
      </c>
      <c r="S395" s="49" t="s">
        <v>74</v>
      </c>
      <c r="T395" s="48" t="s">
        <v>75</v>
      </c>
      <c r="U395" s="49" t="s">
        <v>3678</v>
      </c>
      <c r="V395" s="7" t="s">
        <v>214</v>
      </c>
      <c r="W395" s="49" t="s">
        <v>214</v>
      </c>
      <c r="X395" s="49" t="s">
        <v>214</v>
      </c>
      <c r="Y395" s="49" t="s">
        <v>214</v>
      </c>
      <c r="Z395" s="49" t="s">
        <v>214</v>
      </c>
      <c r="AA395" s="48" t="s">
        <v>16778</v>
      </c>
      <c r="AB395" s="84" t="s">
        <v>16775</v>
      </c>
      <c r="AC395" s="53" t="str">
        <f t="shared" ref="AC395:AC396" si="222">HYPERLINK("https://www.palmbeachstate.edu/catalog/current/regulatory/areas-of-study/index.aspx","Link")</f>
        <v>Link</v>
      </c>
      <c r="AD395" s="42">
        <v>30520</v>
      </c>
      <c r="AE395" s="55"/>
      <c r="AF395" s="55"/>
      <c r="AG395" s="56">
        <v>136358</v>
      </c>
      <c r="AH395" s="56"/>
      <c r="AI395" s="56"/>
    </row>
    <row r="396" spans="1:37" ht="15" x14ac:dyDescent="0.2">
      <c r="A396" s="64" t="s">
        <v>2866</v>
      </c>
      <c r="B396" s="33" t="s">
        <v>12632</v>
      </c>
      <c r="C396" s="7" t="s">
        <v>16766</v>
      </c>
      <c r="D396" s="112">
        <v>5</v>
      </c>
      <c r="E396" s="7"/>
      <c r="F396" s="112"/>
      <c r="G396" s="2" t="s">
        <v>16767</v>
      </c>
      <c r="H396" s="2" t="s">
        <v>421</v>
      </c>
      <c r="I396" s="2"/>
      <c r="J396" s="2" t="s">
        <v>48</v>
      </c>
      <c r="K396" s="2"/>
      <c r="L396" s="2"/>
      <c r="M396" s="48"/>
      <c r="N396" s="45" t="str">
        <f t="shared" si="221"/>
        <v>Questionnaire</v>
      </c>
      <c r="O396" s="48" t="s">
        <v>16775</v>
      </c>
      <c r="P396" s="60" t="s">
        <v>66</v>
      </c>
      <c r="Q396" s="48" t="s">
        <v>16776</v>
      </c>
      <c r="R396" s="48" t="s">
        <v>468</v>
      </c>
      <c r="S396" s="49" t="s">
        <v>74</v>
      </c>
      <c r="T396" s="48" t="s">
        <v>75</v>
      </c>
      <c r="U396" s="49" t="s">
        <v>3678</v>
      </c>
      <c r="V396" s="7" t="s">
        <v>214</v>
      </c>
      <c r="W396" s="49" t="s">
        <v>214</v>
      </c>
      <c r="X396" s="49" t="s">
        <v>214</v>
      </c>
      <c r="Y396" s="49" t="s">
        <v>214</v>
      </c>
      <c r="Z396" s="49" t="s">
        <v>214</v>
      </c>
      <c r="AA396" s="48" t="s">
        <v>16778</v>
      </c>
      <c r="AB396" s="84" t="s">
        <v>16775</v>
      </c>
      <c r="AC396" s="53" t="str">
        <f t="shared" si="222"/>
        <v>Link</v>
      </c>
      <c r="AD396" s="42">
        <v>30520</v>
      </c>
      <c r="AE396" s="55"/>
      <c r="AF396" s="55"/>
      <c r="AG396" s="56">
        <v>136358</v>
      </c>
      <c r="AH396" s="56"/>
      <c r="AI396" s="56"/>
    </row>
    <row r="397" spans="1:37" ht="15" x14ac:dyDescent="0.2">
      <c r="A397" s="31" t="s">
        <v>2866</v>
      </c>
      <c r="B397" s="33" t="s">
        <v>12632</v>
      </c>
      <c r="C397" s="7"/>
      <c r="D397" s="112">
        <v>5</v>
      </c>
      <c r="E397" s="7"/>
      <c r="F397" s="112"/>
      <c r="G397" s="2" t="s">
        <v>16793</v>
      </c>
      <c r="H397" s="2" t="s">
        <v>16795</v>
      </c>
      <c r="I397" s="2" t="s">
        <v>16797</v>
      </c>
      <c r="J397" s="2" t="s">
        <v>48</v>
      </c>
      <c r="K397" s="2" t="s">
        <v>16799</v>
      </c>
      <c r="L397" s="2" t="s">
        <v>16800</v>
      </c>
      <c r="M397" s="45" t="str">
        <f t="shared" ref="M397:M400" si="223">HYPERLINK("twitter.com/softball_phsc","@softball_phsc")</f>
        <v>@softball_phsc</v>
      </c>
      <c r="N397" s="48" t="s">
        <v>22</v>
      </c>
      <c r="O397" s="48" t="s">
        <v>16806</v>
      </c>
      <c r="P397" s="60" t="s">
        <v>66</v>
      </c>
      <c r="Q397" s="48" t="s">
        <v>16807</v>
      </c>
      <c r="R397" s="48" t="s">
        <v>172</v>
      </c>
      <c r="S397" s="49" t="s">
        <v>74</v>
      </c>
      <c r="T397" s="48" t="s">
        <v>75</v>
      </c>
      <c r="U397" s="49" t="s">
        <v>3678</v>
      </c>
      <c r="V397" s="7" t="s">
        <v>214</v>
      </c>
      <c r="W397" s="49" t="s">
        <v>214</v>
      </c>
      <c r="X397" s="49" t="s">
        <v>214</v>
      </c>
      <c r="Y397" s="49" t="s">
        <v>214</v>
      </c>
      <c r="Z397" s="55" t="s">
        <v>214</v>
      </c>
      <c r="AA397" s="48" t="s">
        <v>16808</v>
      </c>
      <c r="AB397" s="84" t="s">
        <v>16806</v>
      </c>
      <c r="AC397" s="53" t="str">
        <f t="shared" ref="AC397:AC400" si="224">HYPERLINK("https://phsc.edu/academics/degrees-and-programs","Link")</f>
        <v>Link</v>
      </c>
      <c r="AD397" s="42">
        <v>11822</v>
      </c>
      <c r="AE397" s="55"/>
      <c r="AF397" s="55"/>
      <c r="AG397" s="56">
        <v>136400</v>
      </c>
      <c r="AH397" s="7" t="s">
        <v>2459</v>
      </c>
      <c r="AI397" s="7"/>
      <c r="AJ397" s="7"/>
      <c r="AK397" s="7"/>
    </row>
    <row r="398" spans="1:37" ht="15" x14ac:dyDescent="0.2">
      <c r="A398" s="31" t="s">
        <v>2866</v>
      </c>
      <c r="B398" s="33" t="s">
        <v>12632</v>
      </c>
      <c r="C398" s="7"/>
      <c r="D398" s="112">
        <v>5</v>
      </c>
      <c r="E398" s="7"/>
      <c r="F398" s="112"/>
      <c r="G398" s="2" t="s">
        <v>16793</v>
      </c>
      <c r="H398" s="2" t="s">
        <v>16813</v>
      </c>
      <c r="I398" s="2" t="s">
        <v>16814</v>
      </c>
      <c r="J398" s="2" t="s">
        <v>55</v>
      </c>
      <c r="K398" s="2" t="s">
        <v>16817</v>
      </c>
      <c r="L398" s="2"/>
      <c r="M398" s="45" t="str">
        <f t="shared" si="223"/>
        <v>@softball_phsc</v>
      </c>
      <c r="N398" s="48" t="s">
        <v>22</v>
      </c>
      <c r="O398" s="48" t="s">
        <v>16806</v>
      </c>
      <c r="P398" s="60" t="s">
        <v>66</v>
      </c>
      <c r="Q398" s="48" t="s">
        <v>16807</v>
      </c>
      <c r="R398" s="48" t="s">
        <v>172</v>
      </c>
      <c r="S398" s="49" t="s">
        <v>74</v>
      </c>
      <c r="T398" s="48" t="s">
        <v>75</v>
      </c>
      <c r="U398" s="49" t="s">
        <v>3678</v>
      </c>
      <c r="V398" s="7" t="s">
        <v>214</v>
      </c>
      <c r="W398" s="49" t="s">
        <v>214</v>
      </c>
      <c r="X398" s="49" t="s">
        <v>214</v>
      </c>
      <c r="Y398" s="49" t="s">
        <v>214</v>
      </c>
      <c r="Z398" s="55" t="s">
        <v>214</v>
      </c>
      <c r="AA398" s="48" t="s">
        <v>16808</v>
      </c>
      <c r="AB398" s="84" t="s">
        <v>16806</v>
      </c>
      <c r="AC398" s="53" t="str">
        <f t="shared" si="224"/>
        <v>Link</v>
      </c>
      <c r="AD398" s="42">
        <v>11822</v>
      </c>
      <c r="AE398" s="55"/>
      <c r="AF398" s="55"/>
      <c r="AG398" s="56">
        <v>136400</v>
      </c>
      <c r="AH398" s="7" t="s">
        <v>2459</v>
      </c>
      <c r="AI398" s="7"/>
      <c r="AJ398" s="7"/>
      <c r="AK398" s="7"/>
    </row>
    <row r="399" spans="1:37" ht="15" x14ac:dyDescent="0.2">
      <c r="A399" s="64" t="s">
        <v>2866</v>
      </c>
      <c r="B399" s="33" t="s">
        <v>12632</v>
      </c>
      <c r="C399" s="7" t="s">
        <v>16824</v>
      </c>
      <c r="D399" s="112">
        <v>5</v>
      </c>
      <c r="E399" s="7"/>
      <c r="F399" s="112"/>
      <c r="G399" s="2" t="s">
        <v>16793</v>
      </c>
      <c r="H399" s="2" t="s">
        <v>16795</v>
      </c>
      <c r="I399" s="2" t="s">
        <v>16797</v>
      </c>
      <c r="J399" s="2" t="s">
        <v>48</v>
      </c>
      <c r="K399" s="2" t="s">
        <v>16799</v>
      </c>
      <c r="L399" s="2" t="s">
        <v>16800</v>
      </c>
      <c r="M399" s="45" t="str">
        <f t="shared" si="223"/>
        <v>@softball_phsc</v>
      </c>
      <c r="N399" s="48" t="s">
        <v>22</v>
      </c>
      <c r="O399" s="48" t="s">
        <v>16806</v>
      </c>
      <c r="P399" s="60" t="s">
        <v>66</v>
      </c>
      <c r="Q399" s="48" t="s">
        <v>16807</v>
      </c>
      <c r="R399" s="48" t="s">
        <v>172</v>
      </c>
      <c r="S399" s="49" t="s">
        <v>74</v>
      </c>
      <c r="T399" s="48" t="s">
        <v>75</v>
      </c>
      <c r="U399" s="49" t="s">
        <v>3678</v>
      </c>
      <c r="V399" s="7" t="s">
        <v>214</v>
      </c>
      <c r="W399" s="49" t="s">
        <v>214</v>
      </c>
      <c r="X399" s="49" t="s">
        <v>214</v>
      </c>
      <c r="Y399" s="49" t="s">
        <v>214</v>
      </c>
      <c r="Z399" s="55" t="s">
        <v>214</v>
      </c>
      <c r="AA399" s="48" t="s">
        <v>16808</v>
      </c>
      <c r="AB399" s="84" t="s">
        <v>16806</v>
      </c>
      <c r="AC399" s="53" t="str">
        <f t="shared" si="224"/>
        <v>Link</v>
      </c>
      <c r="AD399" s="42">
        <v>11822</v>
      </c>
      <c r="AE399" s="55"/>
      <c r="AF399" s="55"/>
      <c r="AG399" s="56">
        <v>136400</v>
      </c>
      <c r="AH399" s="56"/>
      <c r="AI399" s="56"/>
    </row>
    <row r="400" spans="1:37" ht="15" x14ac:dyDescent="0.2">
      <c r="A400" s="64" t="s">
        <v>2866</v>
      </c>
      <c r="B400" s="33" t="s">
        <v>12632</v>
      </c>
      <c r="C400" s="7" t="s">
        <v>16827</v>
      </c>
      <c r="D400" s="112">
        <v>5</v>
      </c>
      <c r="E400" s="7"/>
      <c r="F400" s="112"/>
      <c r="G400" s="2" t="s">
        <v>16793</v>
      </c>
      <c r="H400" s="2" t="s">
        <v>16813</v>
      </c>
      <c r="I400" s="2" t="s">
        <v>16814</v>
      </c>
      <c r="J400" s="2" t="s">
        <v>55</v>
      </c>
      <c r="K400" s="2" t="s">
        <v>16817</v>
      </c>
      <c r="L400" s="2"/>
      <c r="M400" s="45" t="str">
        <f t="shared" si="223"/>
        <v>@softball_phsc</v>
      </c>
      <c r="N400" s="48" t="s">
        <v>22</v>
      </c>
      <c r="O400" s="48" t="s">
        <v>16806</v>
      </c>
      <c r="P400" s="60" t="s">
        <v>66</v>
      </c>
      <c r="Q400" s="48" t="s">
        <v>16807</v>
      </c>
      <c r="R400" s="48" t="s">
        <v>172</v>
      </c>
      <c r="S400" s="49" t="s">
        <v>74</v>
      </c>
      <c r="T400" s="48" t="s">
        <v>75</v>
      </c>
      <c r="U400" s="49" t="s">
        <v>3678</v>
      </c>
      <c r="V400" s="7" t="s">
        <v>214</v>
      </c>
      <c r="W400" s="49" t="s">
        <v>214</v>
      </c>
      <c r="X400" s="49" t="s">
        <v>214</v>
      </c>
      <c r="Y400" s="49" t="s">
        <v>214</v>
      </c>
      <c r="Z400" s="55" t="s">
        <v>214</v>
      </c>
      <c r="AA400" s="48" t="s">
        <v>16808</v>
      </c>
      <c r="AB400" s="84" t="s">
        <v>16806</v>
      </c>
      <c r="AC400" s="53" t="str">
        <f t="shared" si="224"/>
        <v>Link</v>
      </c>
      <c r="AD400" s="42">
        <v>11822</v>
      </c>
      <c r="AE400" s="55"/>
      <c r="AF400" s="55"/>
      <c r="AG400" s="56">
        <v>136400</v>
      </c>
      <c r="AH400" s="56"/>
      <c r="AI400" s="56"/>
    </row>
    <row r="401" spans="1:37" ht="15" x14ac:dyDescent="0.2">
      <c r="A401" s="64" t="s">
        <v>2866</v>
      </c>
      <c r="B401" s="33" t="s">
        <v>12632</v>
      </c>
      <c r="C401" s="7" t="s">
        <v>16832</v>
      </c>
      <c r="D401" s="44">
        <v>5</v>
      </c>
      <c r="E401" s="7"/>
      <c r="F401" s="44"/>
      <c r="G401" s="2" t="s">
        <v>16834</v>
      </c>
      <c r="H401" s="7" t="s">
        <v>16836</v>
      </c>
      <c r="I401" s="7" t="s">
        <v>578</v>
      </c>
      <c r="J401" s="7" t="s">
        <v>48</v>
      </c>
      <c r="K401" s="7" t="s">
        <v>16837</v>
      </c>
      <c r="L401" s="7" t="s">
        <v>16839</v>
      </c>
      <c r="M401" s="45" t="str">
        <f t="shared" ref="M401:M404" si="225">HYPERLINK("twitter.com/pscsoftball","@pscsoftball")</f>
        <v>@pscsoftball</v>
      </c>
      <c r="N401" s="48" t="s">
        <v>22</v>
      </c>
      <c r="O401" s="48" t="s">
        <v>16840</v>
      </c>
      <c r="P401" s="60" t="s">
        <v>66</v>
      </c>
      <c r="Q401" s="48" t="s">
        <v>3482</v>
      </c>
      <c r="R401" s="48" t="s">
        <v>186</v>
      </c>
      <c r="S401" s="49" t="s">
        <v>74</v>
      </c>
      <c r="T401" s="48" t="s">
        <v>75</v>
      </c>
      <c r="U401" s="49" t="s">
        <v>3678</v>
      </c>
      <c r="V401" s="7" t="s">
        <v>214</v>
      </c>
      <c r="W401" s="49" t="s">
        <v>214</v>
      </c>
      <c r="X401" s="49" t="s">
        <v>214</v>
      </c>
      <c r="Y401" s="49" t="s">
        <v>214</v>
      </c>
      <c r="Z401" s="55" t="s">
        <v>214</v>
      </c>
      <c r="AA401" s="48" t="s">
        <v>16842</v>
      </c>
      <c r="AB401" s="84" t="s">
        <v>16840</v>
      </c>
      <c r="AC401" s="53" t="str">
        <f t="shared" ref="AC401:AC404" si="226">HYPERLINK("http://www.pensacolastate.edu/academics/programs/","Link")</f>
        <v>Link</v>
      </c>
      <c r="AD401" s="42">
        <v>9643</v>
      </c>
      <c r="AE401" s="55"/>
      <c r="AF401" s="55"/>
      <c r="AG401" s="56">
        <v>136473</v>
      </c>
      <c r="AH401" s="56"/>
      <c r="AI401" s="56"/>
    </row>
    <row r="402" spans="1:37" ht="15" x14ac:dyDescent="0.2">
      <c r="A402" s="64" t="s">
        <v>2866</v>
      </c>
      <c r="B402" s="33" t="s">
        <v>12632</v>
      </c>
      <c r="C402" s="7" t="s">
        <v>16847</v>
      </c>
      <c r="D402" s="112">
        <v>5</v>
      </c>
      <c r="E402" s="7"/>
      <c r="F402" s="112"/>
      <c r="G402" s="2" t="s">
        <v>16834</v>
      </c>
      <c r="H402" s="2" t="s">
        <v>16848</v>
      </c>
      <c r="I402" s="2" t="s">
        <v>16849</v>
      </c>
      <c r="J402" s="2" t="s">
        <v>48</v>
      </c>
      <c r="K402" s="2" t="s">
        <v>16850</v>
      </c>
      <c r="L402" s="2" t="s">
        <v>16851</v>
      </c>
      <c r="M402" s="45" t="str">
        <f t="shared" si="225"/>
        <v>@pscsoftball</v>
      </c>
      <c r="N402" s="48" t="s">
        <v>22</v>
      </c>
      <c r="O402" s="48" t="s">
        <v>16840</v>
      </c>
      <c r="P402" s="60" t="s">
        <v>66</v>
      </c>
      <c r="Q402" s="48" t="s">
        <v>3482</v>
      </c>
      <c r="R402" s="48" t="s">
        <v>186</v>
      </c>
      <c r="S402" s="49" t="s">
        <v>74</v>
      </c>
      <c r="T402" s="48" t="s">
        <v>75</v>
      </c>
      <c r="U402" s="49" t="s">
        <v>3678</v>
      </c>
      <c r="V402" s="7" t="s">
        <v>214</v>
      </c>
      <c r="W402" s="49" t="s">
        <v>214</v>
      </c>
      <c r="X402" s="49" t="s">
        <v>214</v>
      </c>
      <c r="Y402" s="49" t="s">
        <v>214</v>
      </c>
      <c r="Z402" s="55" t="s">
        <v>214</v>
      </c>
      <c r="AA402" s="48" t="s">
        <v>16842</v>
      </c>
      <c r="AB402" s="84" t="s">
        <v>16840</v>
      </c>
      <c r="AC402" s="53" t="str">
        <f t="shared" si="226"/>
        <v>Link</v>
      </c>
      <c r="AD402" s="42">
        <v>9643</v>
      </c>
      <c r="AE402" s="55"/>
      <c r="AF402" s="55"/>
      <c r="AG402" s="56">
        <v>136473</v>
      </c>
      <c r="AH402" s="56"/>
      <c r="AI402" s="56"/>
    </row>
    <row r="403" spans="1:37" ht="15" x14ac:dyDescent="0.2">
      <c r="A403" s="64" t="s">
        <v>2866</v>
      </c>
      <c r="B403" s="33" t="s">
        <v>12632</v>
      </c>
      <c r="C403" s="7" t="s">
        <v>16856</v>
      </c>
      <c r="D403" s="112">
        <v>5</v>
      </c>
      <c r="E403" s="7"/>
      <c r="F403" s="112"/>
      <c r="G403" s="2" t="s">
        <v>16834</v>
      </c>
      <c r="H403" s="2" t="s">
        <v>926</v>
      </c>
      <c r="I403" s="2" t="s">
        <v>5125</v>
      </c>
      <c r="J403" s="2" t="s">
        <v>55</v>
      </c>
      <c r="K403" s="2" t="s">
        <v>16857</v>
      </c>
      <c r="L403" s="2" t="s">
        <v>16858</v>
      </c>
      <c r="M403" s="45" t="str">
        <f t="shared" si="225"/>
        <v>@pscsoftball</v>
      </c>
      <c r="N403" s="48" t="s">
        <v>22</v>
      </c>
      <c r="O403" s="48" t="s">
        <v>16840</v>
      </c>
      <c r="P403" s="60" t="s">
        <v>66</v>
      </c>
      <c r="Q403" s="48" t="s">
        <v>3482</v>
      </c>
      <c r="R403" s="48" t="s">
        <v>186</v>
      </c>
      <c r="S403" s="49" t="s">
        <v>74</v>
      </c>
      <c r="T403" s="48" t="s">
        <v>75</v>
      </c>
      <c r="U403" s="49" t="s">
        <v>3678</v>
      </c>
      <c r="V403" s="7" t="s">
        <v>214</v>
      </c>
      <c r="W403" s="49" t="s">
        <v>214</v>
      </c>
      <c r="X403" s="49" t="s">
        <v>214</v>
      </c>
      <c r="Y403" s="49" t="s">
        <v>214</v>
      </c>
      <c r="Z403" s="55" t="s">
        <v>214</v>
      </c>
      <c r="AA403" s="48" t="s">
        <v>16842</v>
      </c>
      <c r="AB403" s="84" t="s">
        <v>16840</v>
      </c>
      <c r="AC403" s="53" t="str">
        <f t="shared" si="226"/>
        <v>Link</v>
      </c>
      <c r="AD403" s="42">
        <v>9643</v>
      </c>
      <c r="AE403" s="55"/>
      <c r="AF403" s="55"/>
      <c r="AG403" s="56">
        <v>136473</v>
      </c>
      <c r="AH403" s="56"/>
      <c r="AI403" s="56"/>
    </row>
    <row r="404" spans="1:37" ht="15" x14ac:dyDescent="0.2">
      <c r="A404" s="64" t="s">
        <v>2866</v>
      </c>
      <c r="B404" s="33" t="s">
        <v>12632</v>
      </c>
      <c r="C404" s="7" t="s">
        <v>16859</v>
      </c>
      <c r="D404" s="112">
        <v>5</v>
      </c>
      <c r="E404" s="7"/>
      <c r="F404" s="112"/>
      <c r="G404" s="2" t="s">
        <v>16834</v>
      </c>
      <c r="H404" s="2" t="s">
        <v>1080</v>
      </c>
      <c r="I404" s="2" t="s">
        <v>16860</v>
      </c>
      <c r="J404" s="2" t="s">
        <v>55</v>
      </c>
      <c r="K404" s="2" t="s">
        <v>16861</v>
      </c>
      <c r="L404" s="2"/>
      <c r="M404" s="45" t="str">
        <f t="shared" si="225"/>
        <v>@pscsoftball</v>
      </c>
      <c r="N404" s="48" t="s">
        <v>22</v>
      </c>
      <c r="O404" s="48" t="s">
        <v>16840</v>
      </c>
      <c r="P404" s="60" t="s">
        <v>66</v>
      </c>
      <c r="Q404" s="48" t="s">
        <v>3482</v>
      </c>
      <c r="R404" s="48" t="s">
        <v>186</v>
      </c>
      <c r="S404" s="49" t="s">
        <v>74</v>
      </c>
      <c r="T404" s="48" t="s">
        <v>75</v>
      </c>
      <c r="U404" s="49" t="s">
        <v>3678</v>
      </c>
      <c r="V404" s="7" t="s">
        <v>214</v>
      </c>
      <c r="W404" s="49" t="s">
        <v>214</v>
      </c>
      <c r="X404" s="49" t="s">
        <v>214</v>
      </c>
      <c r="Y404" s="49" t="s">
        <v>214</v>
      </c>
      <c r="Z404" s="55" t="s">
        <v>214</v>
      </c>
      <c r="AA404" s="48" t="s">
        <v>16842</v>
      </c>
      <c r="AB404" s="84" t="s">
        <v>16840</v>
      </c>
      <c r="AC404" s="53" t="str">
        <f t="shared" si="226"/>
        <v>Link</v>
      </c>
      <c r="AD404" s="42">
        <v>9643</v>
      </c>
      <c r="AE404" s="55"/>
      <c r="AF404" s="55"/>
      <c r="AG404" s="56">
        <v>136473</v>
      </c>
      <c r="AH404" s="56"/>
      <c r="AI404" s="56"/>
    </row>
    <row r="405" spans="1:37" ht="15" x14ac:dyDescent="0.2">
      <c r="A405" s="64" t="s">
        <v>2866</v>
      </c>
      <c r="B405" s="33" t="s">
        <v>12632</v>
      </c>
      <c r="C405" s="7" t="s">
        <v>16866</v>
      </c>
      <c r="D405" s="112">
        <v>5</v>
      </c>
      <c r="E405" s="7"/>
      <c r="F405" s="112"/>
      <c r="G405" s="2" t="s">
        <v>16867</v>
      </c>
      <c r="H405" s="2" t="s">
        <v>819</v>
      </c>
      <c r="I405" s="2" t="s">
        <v>16868</v>
      </c>
      <c r="J405" s="2" t="s">
        <v>48</v>
      </c>
      <c r="K405" s="2" t="s">
        <v>16869</v>
      </c>
      <c r="L405" s="2" t="s">
        <v>16870</v>
      </c>
      <c r="M405" s="48"/>
      <c r="N405" s="48" t="s">
        <v>22</v>
      </c>
      <c r="O405" s="48" t="s">
        <v>16872</v>
      </c>
      <c r="P405" s="60" t="s">
        <v>66</v>
      </c>
      <c r="Q405" s="48" t="s">
        <v>16874</v>
      </c>
      <c r="R405" s="48" t="s">
        <v>468</v>
      </c>
      <c r="S405" s="49" t="s">
        <v>74</v>
      </c>
      <c r="T405" s="48" t="s">
        <v>75</v>
      </c>
      <c r="U405" s="49" t="s">
        <v>3678</v>
      </c>
      <c r="V405" s="7" t="s">
        <v>214</v>
      </c>
      <c r="W405" s="49" t="s">
        <v>214</v>
      </c>
      <c r="X405" s="49" t="s">
        <v>214</v>
      </c>
      <c r="Y405" s="49" t="s">
        <v>214</v>
      </c>
      <c r="Z405" s="55" t="s">
        <v>214</v>
      </c>
      <c r="AA405" s="48" t="s">
        <v>16877</v>
      </c>
      <c r="AB405" s="84" t="s">
        <v>16872</v>
      </c>
      <c r="AC405" s="53" t="str">
        <f t="shared" ref="AC405:AC407" si="227">HYPERLINK("https://www.polk.edu/academics/degrees-and-certificates/","Link")</f>
        <v>Link</v>
      </c>
      <c r="AD405" s="42">
        <v>11364</v>
      </c>
      <c r="AE405" s="55"/>
      <c r="AF405" s="55"/>
      <c r="AG405" s="56">
        <v>136516</v>
      </c>
      <c r="AH405" s="56"/>
      <c r="AI405" s="56"/>
    </row>
    <row r="406" spans="1:37" ht="15" x14ac:dyDescent="0.2">
      <c r="A406" s="64" t="s">
        <v>2866</v>
      </c>
      <c r="B406" s="33" t="s">
        <v>12632</v>
      </c>
      <c r="C406" s="7" t="s">
        <v>16881</v>
      </c>
      <c r="D406" s="112">
        <v>5</v>
      </c>
      <c r="E406" s="7"/>
      <c r="F406" s="112" t="s">
        <v>126</v>
      </c>
      <c r="G406" s="2" t="s">
        <v>16867</v>
      </c>
      <c r="H406" s="2" t="s">
        <v>16882</v>
      </c>
      <c r="I406" s="2"/>
      <c r="J406" s="2"/>
      <c r="K406" s="2"/>
      <c r="L406" s="2"/>
      <c r="M406" s="48"/>
      <c r="N406" s="48" t="s">
        <v>22</v>
      </c>
      <c r="O406" s="48" t="s">
        <v>16872</v>
      </c>
      <c r="P406" s="60" t="s">
        <v>66</v>
      </c>
      <c r="Q406" s="48" t="s">
        <v>16874</v>
      </c>
      <c r="R406" s="48" t="s">
        <v>468</v>
      </c>
      <c r="S406" s="49" t="s">
        <v>74</v>
      </c>
      <c r="T406" s="48" t="s">
        <v>75</v>
      </c>
      <c r="U406" s="49" t="s">
        <v>3678</v>
      </c>
      <c r="V406" s="7" t="s">
        <v>214</v>
      </c>
      <c r="W406" s="49" t="s">
        <v>214</v>
      </c>
      <c r="X406" s="49" t="s">
        <v>214</v>
      </c>
      <c r="Y406" s="49" t="s">
        <v>214</v>
      </c>
      <c r="Z406" s="55" t="s">
        <v>214</v>
      </c>
      <c r="AA406" s="48" t="s">
        <v>16877</v>
      </c>
      <c r="AB406" s="84" t="s">
        <v>16872</v>
      </c>
      <c r="AC406" s="53" t="str">
        <f t="shared" si="227"/>
        <v>Link</v>
      </c>
      <c r="AD406" s="42">
        <v>11364</v>
      </c>
      <c r="AE406" s="55"/>
      <c r="AF406" s="55"/>
      <c r="AG406" s="56">
        <v>136516</v>
      </c>
      <c r="AH406" s="56"/>
      <c r="AI406" s="56"/>
    </row>
    <row r="407" spans="1:37" ht="15" x14ac:dyDescent="0.2">
      <c r="A407" s="64" t="s">
        <v>2866</v>
      </c>
      <c r="B407" s="33" t="s">
        <v>12632</v>
      </c>
      <c r="C407" s="7" t="s">
        <v>16885</v>
      </c>
      <c r="D407" s="112">
        <v>5</v>
      </c>
      <c r="E407" s="7"/>
      <c r="F407" s="112" t="s">
        <v>126</v>
      </c>
      <c r="G407" s="2" t="s">
        <v>16867</v>
      </c>
      <c r="H407" s="2" t="s">
        <v>16886</v>
      </c>
      <c r="I407" s="2"/>
      <c r="J407" s="2"/>
      <c r="K407" s="2"/>
      <c r="L407" s="2"/>
      <c r="M407" s="48"/>
      <c r="N407" s="48" t="s">
        <v>22</v>
      </c>
      <c r="O407" s="48" t="s">
        <v>16872</v>
      </c>
      <c r="P407" s="60" t="s">
        <v>66</v>
      </c>
      <c r="Q407" s="48" t="s">
        <v>16874</v>
      </c>
      <c r="R407" s="48" t="s">
        <v>468</v>
      </c>
      <c r="S407" s="49" t="s">
        <v>74</v>
      </c>
      <c r="T407" s="48" t="s">
        <v>75</v>
      </c>
      <c r="U407" s="49" t="s">
        <v>3678</v>
      </c>
      <c r="V407" s="7" t="s">
        <v>214</v>
      </c>
      <c r="W407" s="49" t="s">
        <v>214</v>
      </c>
      <c r="X407" s="49" t="s">
        <v>214</v>
      </c>
      <c r="Y407" s="49" t="s">
        <v>214</v>
      </c>
      <c r="Z407" s="55" t="s">
        <v>214</v>
      </c>
      <c r="AA407" s="48" t="s">
        <v>16877</v>
      </c>
      <c r="AB407" s="84" t="s">
        <v>16872</v>
      </c>
      <c r="AC407" s="53" t="str">
        <f t="shared" si="227"/>
        <v>Link</v>
      </c>
      <c r="AD407" s="42">
        <v>11364</v>
      </c>
      <c r="AE407" s="55"/>
      <c r="AF407" s="55"/>
      <c r="AG407" s="56">
        <v>136516</v>
      </c>
      <c r="AH407" s="56"/>
      <c r="AI407" s="56"/>
    </row>
    <row r="408" spans="1:37" ht="13" x14ac:dyDescent="0.15">
      <c r="A408" s="57" t="s">
        <v>2866</v>
      </c>
      <c r="B408" s="7" t="s">
        <v>12632</v>
      </c>
      <c r="C408" s="7" t="s">
        <v>16893</v>
      </c>
      <c r="D408" s="44">
        <v>5</v>
      </c>
      <c r="E408" s="7"/>
      <c r="F408" s="44"/>
      <c r="G408" s="7" t="s">
        <v>16894</v>
      </c>
      <c r="H408" s="7" t="s">
        <v>1075</v>
      </c>
      <c r="I408" s="7" t="s">
        <v>16895</v>
      </c>
      <c r="J408" s="7" t="s">
        <v>139</v>
      </c>
      <c r="K408" s="7"/>
      <c r="L408" s="7"/>
      <c r="M408" s="48"/>
      <c r="N408" s="148" t="s">
        <v>22</v>
      </c>
      <c r="O408" s="48" t="s">
        <v>16900</v>
      </c>
      <c r="P408" s="48" t="s">
        <v>66</v>
      </c>
      <c r="Q408" s="48" t="s">
        <v>11656</v>
      </c>
      <c r="R408" s="48" t="s">
        <v>238</v>
      </c>
      <c r="S408" s="49" t="s">
        <v>74</v>
      </c>
      <c r="T408" s="48" t="s">
        <v>75</v>
      </c>
      <c r="U408" s="49" t="s">
        <v>3678</v>
      </c>
      <c r="V408" s="7" t="s">
        <v>214</v>
      </c>
      <c r="W408" s="49" t="s">
        <v>214</v>
      </c>
      <c r="X408" s="49" t="s">
        <v>214</v>
      </c>
      <c r="Y408" s="49" t="s">
        <v>214</v>
      </c>
      <c r="Z408" s="55" t="s">
        <v>214</v>
      </c>
      <c r="AA408" s="48" t="s">
        <v>16901</v>
      </c>
      <c r="AB408" s="55" t="s">
        <v>16900</v>
      </c>
      <c r="AC408" s="55" t="s">
        <v>16902</v>
      </c>
      <c r="AD408" s="54">
        <v>4739</v>
      </c>
      <c r="AE408" s="55"/>
      <c r="AF408" s="55"/>
      <c r="AG408" s="56">
        <v>137096</v>
      </c>
      <c r="AH408" s="56"/>
      <c r="AI408" s="56"/>
    </row>
    <row r="409" spans="1:37" ht="15" x14ac:dyDescent="0.2">
      <c r="A409" s="64" t="s">
        <v>2866</v>
      </c>
      <c r="B409" s="33" t="s">
        <v>12632</v>
      </c>
      <c r="C409" s="7" t="s">
        <v>16903</v>
      </c>
      <c r="D409" s="112">
        <v>5</v>
      </c>
      <c r="E409" s="7"/>
      <c r="F409" s="112"/>
      <c r="G409" s="2" t="s">
        <v>16894</v>
      </c>
      <c r="H409" s="2" t="s">
        <v>294</v>
      </c>
      <c r="I409" s="2" t="s">
        <v>11720</v>
      </c>
      <c r="J409" s="2" t="s">
        <v>48</v>
      </c>
      <c r="K409" s="2" t="s">
        <v>16905</v>
      </c>
      <c r="L409" s="2" t="s">
        <v>16907</v>
      </c>
      <c r="M409" s="48"/>
      <c r="N409" s="45" t="str">
        <f t="shared" ref="N409:N411" si="228">HYPERLINK("http://santafesaints.com/sports/sball/Softball_Prospect_Questionnaire","Questionnaire")</f>
        <v>Questionnaire</v>
      </c>
      <c r="O409" s="48" t="s">
        <v>16900</v>
      </c>
      <c r="P409" s="60" t="s">
        <v>66</v>
      </c>
      <c r="Q409" s="48" t="s">
        <v>11656</v>
      </c>
      <c r="R409" s="48" t="s">
        <v>238</v>
      </c>
      <c r="S409" s="49" t="s">
        <v>74</v>
      </c>
      <c r="T409" s="48" t="s">
        <v>75</v>
      </c>
      <c r="U409" s="49" t="s">
        <v>3678</v>
      </c>
      <c r="V409" s="7" t="s">
        <v>214</v>
      </c>
      <c r="W409" s="49" t="s">
        <v>214</v>
      </c>
      <c r="X409" s="49" t="s">
        <v>214</v>
      </c>
      <c r="Y409" s="49" t="s">
        <v>214</v>
      </c>
      <c r="Z409" s="55" t="s">
        <v>214</v>
      </c>
      <c r="AA409" s="48" t="s">
        <v>16901</v>
      </c>
      <c r="AB409" s="84" t="s">
        <v>16900</v>
      </c>
      <c r="AC409" s="53" t="str">
        <f t="shared" ref="AC409:AC411" si="229">HYPERLINK("https://www.sfcollege.edu/programs/index","Link")</f>
        <v>Link</v>
      </c>
      <c r="AD409" s="42">
        <v>4739</v>
      </c>
      <c r="AE409" s="55"/>
      <c r="AF409" s="55"/>
      <c r="AG409" s="56">
        <v>137096</v>
      </c>
      <c r="AH409" s="56"/>
      <c r="AI409" s="56"/>
    </row>
    <row r="410" spans="1:37" ht="15" x14ac:dyDescent="0.2">
      <c r="A410" s="64" t="s">
        <v>2866</v>
      </c>
      <c r="B410" s="33" t="s">
        <v>12632</v>
      </c>
      <c r="C410" s="7" t="s">
        <v>16918</v>
      </c>
      <c r="D410" s="112">
        <v>5</v>
      </c>
      <c r="E410" s="7"/>
      <c r="F410" s="112"/>
      <c r="G410" s="2" t="s">
        <v>16894</v>
      </c>
      <c r="H410" s="2" t="s">
        <v>1817</v>
      </c>
      <c r="I410" s="2" t="s">
        <v>7113</v>
      </c>
      <c r="J410" s="2" t="s">
        <v>55</v>
      </c>
      <c r="K410" s="2" t="s">
        <v>16920</v>
      </c>
      <c r="L410" s="2"/>
      <c r="M410" s="48"/>
      <c r="N410" s="45" t="str">
        <f t="shared" si="228"/>
        <v>Questionnaire</v>
      </c>
      <c r="O410" s="48" t="s">
        <v>16900</v>
      </c>
      <c r="P410" s="60" t="s">
        <v>66</v>
      </c>
      <c r="Q410" s="48" t="s">
        <v>11656</v>
      </c>
      <c r="R410" s="48" t="s">
        <v>238</v>
      </c>
      <c r="S410" s="49" t="s">
        <v>74</v>
      </c>
      <c r="T410" s="48" t="s">
        <v>75</v>
      </c>
      <c r="U410" s="49" t="s">
        <v>3678</v>
      </c>
      <c r="V410" s="7" t="s">
        <v>214</v>
      </c>
      <c r="W410" s="49" t="s">
        <v>214</v>
      </c>
      <c r="X410" s="49" t="s">
        <v>214</v>
      </c>
      <c r="Y410" s="49" t="s">
        <v>214</v>
      </c>
      <c r="Z410" s="55" t="s">
        <v>214</v>
      </c>
      <c r="AA410" s="48" t="s">
        <v>16901</v>
      </c>
      <c r="AB410" s="84" t="s">
        <v>16900</v>
      </c>
      <c r="AC410" s="53" t="str">
        <f t="shared" si="229"/>
        <v>Link</v>
      </c>
      <c r="AD410" s="42">
        <v>4739</v>
      </c>
      <c r="AE410" s="55"/>
      <c r="AF410" s="55"/>
      <c r="AG410" s="56">
        <v>137096</v>
      </c>
      <c r="AH410" s="56"/>
      <c r="AI410" s="56"/>
    </row>
    <row r="411" spans="1:37" ht="15" x14ac:dyDescent="0.2">
      <c r="A411" s="64" t="s">
        <v>2866</v>
      </c>
      <c r="B411" s="33" t="s">
        <v>12632</v>
      </c>
      <c r="C411" s="7" t="s">
        <v>16926</v>
      </c>
      <c r="D411" s="112">
        <v>5</v>
      </c>
      <c r="E411" s="7"/>
      <c r="F411" s="112"/>
      <c r="G411" s="2" t="s">
        <v>16894</v>
      </c>
      <c r="H411" s="2" t="s">
        <v>6836</v>
      </c>
      <c r="I411" s="2" t="s">
        <v>16927</v>
      </c>
      <c r="J411" s="2" t="s">
        <v>139</v>
      </c>
      <c r="K411" s="2"/>
      <c r="L411" s="2"/>
      <c r="M411" s="48"/>
      <c r="N411" s="45" t="str">
        <f t="shared" si="228"/>
        <v>Questionnaire</v>
      </c>
      <c r="O411" s="48" t="s">
        <v>16900</v>
      </c>
      <c r="P411" s="60" t="s">
        <v>66</v>
      </c>
      <c r="Q411" s="48" t="s">
        <v>11656</v>
      </c>
      <c r="R411" s="48" t="s">
        <v>238</v>
      </c>
      <c r="S411" s="49" t="s">
        <v>74</v>
      </c>
      <c r="T411" s="48" t="s">
        <v>75</v>
      </c>
      <c r="U411" s="49" t="s">
        <v>3678</v>
      </c>
      <c r="V411" s="7" t="s">
        <v>214</v>
      </c>
      <c r="W411" s="49" t="s">
        <v>214</v>
      </c>
      <c r="X411" s="49" t="s">
        <v>214</v>
      </c>
      <c r="Y411" s="49" t="s">
        <v>214</v>
      </c>
      <c r="Z411" s="55" t="s">
        <v>214</v>
      </c>
      <c r="AA411" s="48" t="s">
        <v>16901</v>
      </c>
      <c r="AB411" s="84" t="s">
        <v>16900</v>
      </c>
      <c r="AC411" s="53" t="str">
        <f t="shared" si="229"/>
        <v>Link</v>
      </c>
      <c r="AD411" s="42">
        <v>4739</v>
      </c>
      <c r="AE411" s="55"/>
      <c r="AF411" s="55"/>
      <c r="AG411" s="56">
        <v>137096</v>
      </c>
      <c r="AH411" s="56"/>
      <c r="AI411" s="56"/>
    </row>
    <row r="412" spans="1:37" ht="15" x14ac:dyDescent="0.2">
      <c r="A412" s="64" t="s">
        <v>2866</v>
      </c>
      <c r="B412" s="33" t="s">
        <v>12632</v>
      </c>
      <c r="C412" s="7" t="s">
        <v>16933</v>
      </c>
      <c r="D412" s="112">
        <v>5</v>
      </c>
      <c r="E412" s="7"/>
      <c r="F412" s="112"/>
      <c r="G412" s="2" t="s">
        <v>16934</v>
      </c>
      <c r="H412" s="2" t="s">
        <v>222</v>
      </c>
      <c r="I412" s="2" t="s">
        <v>977</v>
      </c>
      <c r="J412" s="2" t="s">
        <v>48</v>
      </c>
      <c r="K412" s="2" t="s">
        <v>16936</v>
      </c>
      <c r="L412" s="2" t="s">
        <v>16937</v>
      </c>
      <c r="M412" s="45" t="str">
        <f t="shared" ref="M412:M415" si="230">HYPERLINK("twitter.com/seminolestatesb","@seminolestatesb")</f>
        <v>@seminolestatesb</v>
      </c>
      <c r="N412" s="48" t="s">
        <v>22</v>
      </c>
      <c r="O412" s="48" t="s">
        <v>16944</v>
      </c>
      <c r="P412" s="60" t="s">
        <v>66</v>
      </c>
      <c r="Q412" s="48" t="s">
        <v>16945</v>
      </c>
      <c r="R412" s="48" t="s">
        <v>186</v>
      </c>
      <c r="S412" s="49" t="s">
        <v>74</v>
      </c>
      <c r="T412" s="48" t="s">
        <v>75</v>
      </c>
      <c r="U412" s="49"/>
      <c r="V412" s="7" t="s">
        <v>214</v>
      </c>
      <c r="W412" s="49" t="s">
        <v>214</v>
      </c>
      <c r="X412" s="49" t="s">
        <v>214</v>
      </c>
      <c r="Y412" s="49" t="s">
        <v>214</v>
      </c>
      <c r="Z412" s="55" t="s">
        <v>214</v>
      </c>
      <c r="AA412" s="48" t="s">
        <v>13156</v>
      </c>
      <c r="AB412" s="84" t="s">
        <v>16944</v>
      </c>
      <c r="AC412" s="53" t="str">
        <f t="shared" ref="AC412:AC415" si="231">HYPERLINK("https://www.seminolestate.edu/future-students/degrees-of-success/","Link")</f>
        <v>Link</v>
      </c>
      <c r="AD412" s="42">
        <v>17706</v>
      </c>
      <c r="AE412" s="55"/>
      <c r="AF412" s="55"/>
      <c r="AG412" s="56">
        <v>207740</v>
      </c>
      <c r="AH412" s="56"/>
      <c r="AI412" s="56"/>
    </row>
    <row r="413" spans="1:37" ht="15" x14ac:dyDescent="0.2">
      <c r="A413" s="64" t="s">
        <v>2866</v>
      </c>
      <c r="B413" s="33" t="s">
        <v>12632</v>
      </c>
      <c r="C413" s="7" t="s">
        <v>16948</v>
      </c>
      <c r="D413" s="112">
        <v>5</v>
      </c>
      <c r="E413" s="7"/>
      <c r="F413" s="112"/>
      <c r="G413" s="2" t="s">
        <v>16934</v>
      </c>
      <c r="H413" s="2" t="s">
        <v>1524</v>
      </c>
      <c r="I413" s="2" t="s">
        <v>16952</v>
      </c>
      <c r="J413" s="2" t="s">
        <v>55</v>
      </c>
      <c r="K413" s="2" t="s">
        <v>16954</v>
      </c>
      <c r="L413" s="2"/>
      <c r="M413" s="45" t="str">
        <f t="shared" si="230"/>
        <v>@seminolestatesb</v>
      </c>
      <c r="N413" s="48" t="s">
        <v>22</v>
      </c>
      <c r="O413" s="48" t="s">
        <v>16944</v>
      </c>
      <c r="P413" s="60" t="s">
        <v>66</v>
      </c>
      <c r="Q413" s="48" t="s">
        <v>16945</v>
      </c>
      <c r="R413" s="48" t="s">
        <v>186</v>
      </c>
      <c r="S413" s="49" t="s">
        <v>74</v>
      </c>
      <c r="T413" s="48" t="s">
        <v>75</v>
      </c>
      <c r="U413" s="49"/>
      <c r="V413" s="7" t="s">
        <v>214</v>
      </c>
      <c r="W413" s="49" t="s">
        <v>214</v>
      </c>
      <c r="X413" s="49" t="s">
        <v>214</v>
      </c>
      <c r="Y413" s="49" t="s">
        <v>214</v>
      </c>
      <c r="Z413" s="55" t="s">
        <v>214</v>
      </c>
      <c r="AA413" s="48" t="s">
        <v>13156</v>
      </c>
      <c r="AB413" s="84" t="s">
        <v>16944</v>
      </c>
      <c r="AC413" s="53" t="str">
        <f t="shared" si="231"/>
        <v>Link</v>
      </c>
      <c r="AD413" s="42">
        <v>17706</v>
      </c>
      <c r="AE413" s="55"/>
      <c r="AF413" s="55"/>
      <c r="AG413" s="56">
        <v>207740</v>
      </c>
      <c r="AH413" s="56"/>
      <c r="AI413" s="56"/>
    </row>
    <row r="414" spans="1:37" ht="15" x14ac:dyDescent="0.2">
      <c r="A414" s="64" t="s">
        <v>2866</v>
      </c>
      <c r="B414" s="33" t="s">
        <v>12632</v>
      </c>
      <c r="C414" s="7" t="s">
        <v>16960</v>
      </c>
      <c r="D414" s="112">
        <v>5</v>
      </c>
      <c r="E414" s="7"/>
      <c r="F414" s="112"/>
      <c r="G414" s="2" t="s">
        <v>16934</v>
      </c>
      <c r="H414" s="2" t="s">
        <v>1524</v>
      </c>
      <c r="I414" s="2" t="s">
        <v>16952</v>
      </c>
      <c r="J414" s="2" t="s">
        <v>6646</v>
      </c>
      <c r="K414" s="2" t="s">
        <v>16961</v>
      </c>
      <c r="L414" s="2"/>
      <c r="M414" s="45" t="str">
        <f t="shared" si="230"/>
        <v>@seminolestatesb</v>
      </c>
      <c r="N414" s="48" t="s">
        <v>22</v>
      </c>
      <c r="O414" s="48" t="s">
        <v>16944</v>
      </c>
      <c r="P414" s="60" t="s">
        <v>66</v>
      </c>
      <c r="Q414" s="48" t="s">
        <v>16945</v>
      </c>
      <c r="R414" s="48" t="s">
        <v>186</v>
      </c>
      <c r="S414" s="49" t="s">
        <v>74</v>
      </c>
      <c r="T414" s="48" t="s">
        <v>75</v>
      </c>
      <c r="U414" s="49"/>
      <c r="V414" s="7" t="s">
        <v>214</v>
      </c>
      <c r="W414" s="49" t="s">
        <v>214</v>
      </c>
      <c r="X414" s="49" t="s">
        <v>214</v>
      </c>
      <c r="Y414" s="49" t="s">
        <v>214</v>
      </c>
      <c r="Z414" s="55" t="s">
        <v>214</v>
      </c>
      <c r="AA414" s="48" t="s">
        <v>13156</v>
      </c>
      <c r="AB414" s="84" t="s">
        <v>16944</v>
      </c>
      <c r="AC414" s="53" t="str">
        <f t="shared" si="231"/>
        <v>Link</v>
      </c>
      <c r="AD414" s="42">
        <v>17706</v>
      </c>
      <c r="AE414" s="55"/>
      <c r="AF414" s="55"/>
      <c r="AG414" s="56">
        <v>207740</v>
      </c>
      <c r="AH414" s="56"/>
      <c r="AI414" s="56"/>
    </row>
    <row r="415" spans="1:37" ht="15" x14ac:dyDescent="0.2">
      <c r="A415" s="64" t="s">
        <v>2866</v>
      </c>
      <c r="B415" s="33" t="s">
        <v>12632</v>
      </c>
      <c r="C415" s="7" t="s">
        <v>16968</v>
      </c>
      <c r="D415" s="112">
        <v>5</v>
      </c>
      <c r="E415" s="7"/>
      <c r="F415" s="112"/>
      <c r="G415" s="2" t="s">
        <v>16934</v>
      </c>
      <c r="H415" s="2" t="s">
        <v>2806</v>
      </c>
      <c r="I415" s="2" t="s">
        <v>11141</v>
      </c>
      <c r="J415" s="2" t="s">
        <v>55</v>
      </c>
      <c r="K415" s="2" t="s">
        <v>16969</v>
      </c>
      <c r="L415" s="2"/>
      <c r="M415" s="45" t="str">
        <f t="shared" si="230"/>
        <v>@seminolestatesb</v>
      </c>
      <c r="N415" s="48" t="s">
        <v>22</v>
      </c>
      <c r="O415" s="48" t="s">
        <v>16944</v>
      </c>
      <c r="P415" s="60" t="s">
        <v>66</v>
      </c>
      <c r="Q415" s="48" t="s">
        <v>16945</v>
      </c>
      <c r="R415" s="48" t="s">
        <v>186</v>
      </c>
      <c r="S415" s="49" t="s">
        <v>74</v>
      </c>
      <c r="T415" s="48" t="s">
        <v>75</v>
      </c>
      <c r="U415" s="49"/>
      <c r="V415" s="7" t="s">
        <v>214</v>
      </c>
      <c r="W415" s="49" t="s">
        <v>214</v>
      </c>
      <c r="X415" s="49" t="s">
        <v>214</v>
      </c>
      <c r="Y415" s="49" t="s">
        <v>214</v>
      </c>
      <c r="Z415" s="55" t="s">
        <v>214</v>
      </c>
      <c r="AA415" s="48" t="s">
        <v>13156</v>
      </c>
      <c r="AB415" s="84" t="s">
        <v>16944</v>
      </c>
      <c r="AC415" s="53" t="str">
        <f t="shared" si="231"/>
        <v>Link</v>
      </c>
      <c r="AD415" s="42">
        <v>17706</v>
      </c>
      <c r="AE415" s="55"/>
      <c r="AF415" s="55"/>
      <c r="AG415" s="56">
        <v>207740</v>
      </c>
      <c r="AH415" s="56"/>
      <c r="AI415" s="56"/>
    </row>
    <row r="416" spans="1:37" ht="15" x14ac:dyDescent="0.2">
      <c r="A416" s="31" t="s">
        <v>2866</v>
      </c>
      <c r="B416" s="33" t="s">
        <v>12632</v>
      </c>
      <c r="C416" s="7"/>
      <c r="D416" s="112">
        <v>5</v>
      </c>
      <c r="E416" s="7"/>
      <c r="F416" s="112"/>
      <c r="G416" s="2" t="s">
        <v>16973</v>
      </c>
      <c r="H416" s="2" t="s">
        <v>1830</v>
      </c>
      <c r="I416" s="2" t="s">
        <v>16975</v>
      </c>
      <c r="J416" s="2" t="s">
        <v>48</v>
      </c>
      <c r="K416" s="2" t="s">
        <v>16976</v>
      </c>
      <c r="L416" s="2" t="s">
        <v>16977</v>
      </c>
      <c r="M416" s="48"/>
      <c r="N416" s="48" t="s">
        <v>22</v>
      </c>
      <c r="O416" s="48" t="s">
        <v>16978</v>
      </c>
      <c r="P416" s="60" t="s">
        <v>66</v>
      </c>
      <c r="Q416" s="48" t="s">
        <v>16979</v>
      </c>
      <c r="R416" s="48" t="s">
        <v>172</v>
      </c>
      <c r="S416" s="49" t="s">
        <v>74</v>
      </c>
      <c r="T416" s="48" t="s">
        <v>75</v>
      </c>
      <c r="U416" s="49" t="s">
        <v>3678</v>
      </c>
      <c r="V416" s="7" t="s">
        <v>214</v>
      </c>
      <c r="W416" s="49" t="s">
        <v>214</v>
      </c>
      <c r="X416" s="49" t="s">
        <v>214</v>
      </c>
      <c r="Y416" s="49" t="s">
        <v>214</v>
      </c>
      <c r="Z416" s="55" t="s">
        <v>214</v>
      </c>
      <c r="AA416" s="48" t="s">
        <v>16982</v>
      </c>
      <c r="AB416" s="149" t="s">
        <v>16978</v>
      </c>
      <c r="AC416" s="53" t="str">
        <f t="shared" ref="AC416:AC418" si="232">HYPERLINK("https://www.southflorida.edu/current-students/degrees-programs/academics","Link")</f>
        <v>Link</v>
      </c>
      <c r="AD416" s="42">
        <v>2722</v>
      </c>
      <c r="AE416" s="55"/>
      <c r="AF416" s="55"/>
      <c r="AG416" s="56">
        <v>137315</v>
      </c>
      <c r="AH416" s="7" t="s">
        <v>2459</v>
      </c>
      <c r="AI416" s="7"/>
      <c r="AJ416" s="7"/>
      <c r="AK416" s="7"/>
    </row>
    <row r="417" spans="1:37" ht="15" x14ac:dyDescent="0.2">
      <c r="A417" s="31" t="s">
        <v>2866</v>
      </c>
      <c r="B417" s="33" t="s">
        <v>12632</v>
      </c>
      <c r="C417" s="7"/>
      <c r="D417" s="112">
        <v>5</v>
      </c>
      <c r="E417" s="7"/>
      <c r="F417" s="112"/>
      <c r="G417" s="2" t="s">
        <v>16973</v>
      </c>
      <c r="H417" s="2" t="s">
        <v>270</v>
      </c>
      <c r="I417" s="2" t="s">
        <v>812</v>
      </c>
      <c r="J417" s="2" t="s">
        <v>55</v>
      </c>
      <c r="K417" s="2"/>
      <c r="L417" s="2"/>
      <c r="M417" s="48"/>
      <c r="N417" s="48" t="s">
        <v>22</v>
      </c>
      <c r="O417" s="48" t="s">
        <v>16978</v>
      </c>
      <c r="P417" s="60" t="s">
        <v>66</v>
      </c>
      <c r="Q417" s="48" t="s">
        <v>16979</v>
      </c>
      <c r="R417" s="48" t="s">
        <v>172</v>
      </c>
      <c r="S417" s="49" t="s">
        <v>74</v>
      </c>
      <c r="T417" s="48" t="s">
        <v>75</v>
      </c>
      <c r="U417" s="49" t="s">
        <v>3678</v>
      </c>
      <c r="V417" s="7" t="s">
        <v>214</v>
      </c>
      <c r="W417" s="49" t="s">
        <v>214</v>
      </c>
      <c r="X417" s="49" t="s">
        <v>214</v>
      </c>
      <c r="Y417" s="49" t="s">
        <v>214</v>
      </c>
      <c r="Z417" s="55" t="s">
        <v>214</v>
      </c>
      <c r="AA417" s="48" t="s">
        <v>16982</v>
      </c>
      <c r="AB417" s="149" t="s">
        <v>16978</v>
      </c>
      <c r="AC417" s="53" t="str">
        <f t="shared" si="232"/>
        <v>Link</v>
      </c>
      <c r="AD417" s="42">
        <v>2722</v>
      </c>
      <c r="AE417" s="55"/>
      <c r="AF417" s="55"/>
      <c r="AG417" s="56">
        <v>137315</v>
      </c>
      <c r="AH417" s="7" t="s">
        <v>2459</v>
      </c>
      <c r="AI417" s="7"/>
      <c r="AJ417" s="7"/>
      <c r="AK417" s="7"/>
    </row>
    <row r="418" spans="1:37" ht="15" x14ac:dyDescent="0.2">
      <c r="A418" s="31" t="s">
        <v>2866</v>
      </c>
      <c r="B418" s="33" t="s">
        <v>12632</v>
      </c>
      <c r="C418" s="7"/>
      <c r="D418" s="112">
        <v>5</v>
      </c>
      <c r="E418" s="7"/>
      <c r="F418" s="112"/>
      <c r="G418" s="2" t="s">
        <v>16973</v>
      </c>
      <c r="H418" s="2" t="s">
        <v>107</v>
      </c>
      <c r="I418" s="2" t="s">
        <v>16996</v>
      </c>
      <c r="J418" s="2" t="s">
        <v>139</v>
      </c>
      <c r="K418" s="2"/>
      <c r="L418" s="2"/>
      <c r="M418" s="48"/>
      <c r="N418" s="48" t="s">
        <v>22</v>
      </c>
      <c r="O418" s="48" t="s">
        <v>16978</v>
      </c>
      <c r="P418" s="60" t="s">
        <v>66</v>
      </c>
      <c r="Q418" s="48" t="s">
        <v>16979</v>
      </c>
      <c r="R418" s="48" t="s">
        <v>172</v>
      </c>
      <c r="S418" s="49" t="s">
        <v>74</v>
      </c>
      <c r="T418" s="48" t="s">
        <v>75</v>
      </c>
      <c r="U418" s="49" t="s">
        <v>3678</v>
      </c>
      <c r="V418" s="7" t="s">
        <v>214</v>
      </c>
      <c r="W418" s="49" t="s">
        <v>214</v>
      </c>
      <c r="X418" s="49" t="s">
        <v>214</v>
      </c>
      <c r="Y418" s="49" t="s">
        <v>214</v>
      </c>
      <c r="Z418" s="55" t="s">
        <v>214</v>
      </c>
      <c r="AA418" s="48" t="s">
        <v>16982</v>
      </c>
      <c r="AB418" s="149" t="s">
        <v>16978</v>
      </c>
      <c r="AC418" s="53" t="str">
        <f t="shared" si="232"/>
        <v>Link</v>
      </c>
      <c r="AD418" s="42">
        <v>2722</v>
      </c>
      <c r="AE418" s="55"/>
      <c r="AF418" s="55"/>
      <c r="AG418" s="56">
        <v>137315</v>
      </c>
      <c r="AH418" s="7" t="s">
        <v>2459</v>
      </c>
      <c r="AI418" s="7"/>
      <c r="AJ418" s="7"/>
      <c r="AK418" s="7"/>
    </row>
    <row r="419" spans="1:37" ht="15" x14ac:dyDescent="0.2">
      <c r="A419" s="64" t="s">
        <v>2866</v>
      </c>
      <c r="B419" s="33" t="s">
        <v>12632</v>
      </c>
      <c r="C419" s="7" t="s">
        <v>17000</v>
      </c>
      <c r="D419" s="112">
        <v>5</v>
      </c>
      <c r="E419" s="7"/>
      <c r="F419" s="112"/>
      <c r="G419" s="2" t="s">
        <v>17002</v>
      </c>
      <c r="H419" s="2" t="s">
        <v>7385</v>
      </c>
      <c r="I419" s="2" t="s">
        <v>17003</v>
      </c>
      <c r="J419" s="2" t="s">
        <v>48</v>
      </c>
      <c r="K419" s="2" t="s">
        <v>17004</v>
      </c>
      <c r="L419" s="2" t="s">
        <v>17005</v>
      </c>
      <c r="M419" s="45" t="str">
        <f t="shared" ref="M419:M422" si="233">HYPERLINK("twitter.com/scfsoftball","@scfsoftball")</f>
        <v>@scfsoftball</v>
      </c>
      <c r="N419" s="45" t="str">
        <f t="shared" ref="N419:N422" si="234">HYPERLINK("https://www.scfmanatees.com/athletics/studentform","Questionnaire")</f>
        <v>Questionnaire</v>
      </c>
      <c r="O419" s="48" t="s">
        <v>17010</v>
      </c>
      <c r="P419" s="60" t="s">
        <v>66</v>
      </c>
      <c r="Q419" s="48" t="s">
        <v>17012</v>
      </c>
      <c r="R419" s="48" t="s">
        <v>186</v>
      </c>
      <c r="S419" s="49" t="s">
        <v>74</v>
      </c>
      <c r="T419" s="48" t="s">
        <v>75</v>
      </c>
      <c r="U419" s="49" t="s">
        <v>3678</v>
      </c>
      <c r="V419" s="37">
        <v>3.75</v>
      </c>
      <c r="W419" s="49" t="s">
        <v>17015</v>
      </c>
      <c r="X419" s="49" t="s">
        <v>17016</v>
      </c>
      <c r="Y419" s="49" t="s">
        <v>1650</v>
      </c>
      <c r="Z419" s="38">
        <v>0.33900000000000002</v>
      </c>
      <c r="AA419" s="48" t="s">
        <v>17017</v>
      </c>
      <c r="AB419" s="84" t="s">
        <v>17010</v>
      </c>
      <c r="AC419" s="53" t="str">
        <f t="shared" ref="AC419:AC422" si="235">HYPERLINK("http://usfsm.edu/academics/undergraduate-majors-and-minors/","Link")</f>
        <v>Link</v>
      </c>
      <c r="AD419" s="42">
        <v>10480</v>
      </c>
      <c r="AE419" s="55"/>
      <c r="AF419" s="55"/>
      <c r="AG419" s="56">
        <v>262129</v>
      </c>
      <c r="AH419" s="56"/>
      <c r="AI419" s="56"/>
    </row>
    <row r="420" spans="1:37" ht="15" x14ac:dyDescent="0.2">
      <c r="A420" s="64" t="s">
        <v>2866</v>
      </c>
      <c r="B420" s="33" t="s">
        <v>12632</v>
      </c>
      <c r="C420" s="7" t="s">
        <v>17018</v>
      </c>
      <c r="D420" s="112">
        <v>5</v>
      </c>
      <c r="E420" s="7"/>
      <c r="F420" s="112"/>
      <c r="G420" s="2" t="s">
        <v>17002</v>
      </c>
      <c r="H420" s="2" t="s">
        <v>1280</v>
      </c>
      <c r="I420" s="2" t="s">
        <v>17019</v>
      </c>
      <c r="J420" s="2" t="s">
        <v>55</v>
      </c>
      <c r="K420" s="2"/>
      <c r="L420" s="2"/>
      <c r="M420" s="45" t="str">
        <f t="shared" si="233"/>
        <v>@scfsoftball</v>
      </c>
      <c r="N420" s="45" t="str">
        <f t="shared" si="234"/>
        <v>Questionnaire</v>
      </c>
      <c r="O420" s="48" t="s">
        <v>17010</v>
      </c>
      <c r="P420" s="60" t="s">
        <v>66</v>
      </c>
      <c r="Q420" s="48" t="s">
        <v>17012</v>
      </c>
      <c r="R420" s="48" t="s">
        <v>186</v>
      </c>
      <c r="S420" s="49" t="s">
        <v>74</v>
      </c>
      <c r="T420" s="48" t="s">
        <v>75</v>
      </c>
      <c r="U420" s="49" t="s">
        <v>3678</v>
      </c>
      <c r="V420" s="37">
        <v>3.75</v>
      </c>
      <c r="W420" s="49" t="s">
        <v>17015</v>
      </c>
      <c r="X420" s="49" t="s">
        <v>17016</v>
      </c>
      <c r="Y420" s="49" t="s">
        <v>1650</v>
      </c>
      <c r="Z420" s="38">
        <v>0.33900000000000002</v>
      </c>
      <c r="AA420" s="48" t="s">
        <v>17017</v>
      </c>
      <c r="AB420" s="84" t="s">
        <v>17010</v>
      </c>
      <c r="AC420" s="53" t="str">
        <f t="shared" si="235"/>
        <v>Link</v>
      </c>
      <c r="AD420" s="42">
        <v>10480</v>
      </c>
      <c r="AE420" s="55"/>
      <c r="AF420" s="55"/>
      <c r="AG420" s="56">
        <v>262129</v>
      </c>
      <c r="AH420" s="56"/>
      <c r="AI420" s="56"/>
    </row>
    <row r="421" spans="1:37" ht="15" x14ac:dyDescent="0.2">
      <c r="A421" s="64" t="s">
        <v>2866</v>
      </c>
      <c r="B421" s="33" t="s">
        <v>12632</v>
      </c>
      <c r="C421" s="7" t="s">
        <v>17028</v>
      </c>
      <c r="D421" s="112">
        <v>5</v>
      </c>
      <c r="E421" s="7"/>
      <c r="F421" s="112"/>
      <c r="G421" s="2" t="s">
        <v>17002</v>
      </c>
      <c r="H421" s="2" t="s">
        <v>2622</v>
      </c>
      <c r="I421" s="2" t="s">
        <v>17029</v>
      </c>
      <c r="J421" s="2" t="s">
        <v>55</v>
      </c>
      <c r="K421" s="2"/>
      <c r="L421" s="2"/>
      <c r="M421" s="45" t="str">
        <f t="shared" si="233"/>
        <v>@scfsoftball</v>
      </c>
      <c r="N421" s="45" t="str">
        <f t="shared" si="234"/>
        <v>Questionnaire</v>
      </c>
      <c r="O421" s="48" t="s">
        <v>17010</v>
      </c>
      <c r="P421" s="60" t="s">
        <v>66</v>
      </c>
      <c r="Q421" s="48" t="s">
        <v>17012</v>
      </c>
      <c r="R421" s="48" t="s">
        <v>186</v>
      </c>
      <c r="S421" s="49" t="s">
        <v>74</v>
      </c>
      <c r="T421" s="48" t="s">
        <v>75</v>
      </c>
      <c r="U421" s="49" t="s">
        <v>3678</v>
      </c>
      <c r="V421" s="37">
        <v>3.75</v>
      </c>
      <c r="W421" s="49" t="s">
        <v>17015</v>
      </c>
      <c r="X421" s="49" t="s">
        <v>17016</v>
      </c>
      <c r="Y421" s="49" t="s">
        <v>1650</v>
      </c>
      <c r="Z421" s="38">
        <v>0.33900000000000002</v>
      </c>
      <c r="AA421" s="48" t="s">
        <v>17017</v>
      </c>
      <c r="AB421" s="84" t="s">
        <v>17010</v>
      </c>
      <c r="AC421" s="53" t="str">
        <f t="shared" si="235"/>
        <v>Link</v>
      </c>
      <c r="AD421" s="42">
        <v>10480</v>
      </c>
      <c r="AE421" s="55"/>
      <c r="AF421" s="55"/>
      <c r="AG421" s="56">
        <v>262129</v>
      </c>
      <c r="AH421" s="56"/>
      <c r="AI421" s="56"/>
    </row>
    <row r="422" spans="1:37" ht="15" x14ac:dyDescent="0.2">
      <c r="A422" s="64" t="s">
        <v>2866</v>
      </c>
      <c r="B422" s="33" t="s">
        <v>12632</v>
      </c>
      <c r="C422" s="7" t="s">
        <v>17034</v>
      </c>
      <c r="D422" s="112">
        <v>5</v>
      </c>
      <c r="E422" s="7"/>
      <c r="F422" s="112"/>
      <c r="G422" s="2" t="s">
        <v>17002</v>
      </c>
      <c r="H422" s="2" t="s">
        <v>421</v>
      </c>
      <c r="I422" s="2"/>
      <c r="J422" s="2" t="s">
        <v>55</v>
      </c>
      <c r="K422" s="2"/>
      <c r="L422" s="2"/>
      <c r="M422" s="45" t="str">
        <f t="shared" si="233"/>
        <v>@scfsoftball</v>
      </c>
      <c r="N422" s="45" t="str">
        <f t="shared" si="234"/>
        <v>Questionnaire</v>
      </c>
      <c r="O422" s="48" t="s">
        <v>17010</v>
      </c>
      <c r="P422" s="60" t="s">
        <v>66</v>
      </c>
      <c r="Q422" s="48" t="s">
        <v>17012</v>
      </c>
      <c r="R422" s="48" t="s">
        <v>186</v>
      </c>
      <c r="S422" s="49" t="s">
        <v>74</v>
      </c>
      <c r="T422" s="48" t="s">
        <v>75</v>
      </c>
      <c r="U422" s="49" t="s">
        <v>3678</v>
      </c>
      <c r="V422" s="37">
        <v>3.75</v>
      </c>
      <c r="W422" s="49" t="s">
        <v>17015</v>
      </c>
      <c r="X422" s="49" t="s">
        <v>17016</v>
      </c>
      <c r="Y422" s="49" t="s">
        <v>1650</v>
      </c>
      <c r="Z422" s="38">
        <v>0.33900000000000002</v>
      </c>
      <c r="AA422" s="48" t="s">
        <v>17017</v>
      </c>
      <c r="AB422" s="84" t="s">
        <v>17010</v>
      </c>
      <c r="AC422" s="53" t="str">
        <f t="shared" si="235"/>
        <v>Link</v>
      </c>
      <c r="AD422" s="42">
        <v>10480</v>
      </c>
      <c r="AE422" s="55"/>
      <c r="AF422" s="55"/>
      <c r="AG422" s="56">
        <v>262129</v>
      </c>
      <c r="AH422" s="56"/>
      <c r="AI422" s="56"/>
    </row>
    <row r="423" spans="1:37" ht="15" x14ac:dyDescent="0.2">
      <c r="A423" s="31" t="s">
        <v>2866</v>
      </c>
      <c r="B423" s="33" t="s">
        <v>12632</v>
      </c>
      <c r="C423" s="7"/>
      <c r="D423" s="112">
        <v>5</v>
      </c>
      <c r="E423" s="7"/>
      <c r="F423" s="112"/>
      <c r="G423" s="2" t="s">
        <v>17037</v>
      </c>
      <c r="H423" s="2" t="s">
        <v>17038</v>
      </c>
      <c r="I423" s="2" t="s">
        <v>4595</v>
      </c>
      <c r="J423" s="2" t="s">
        <v>48</v>
      </c>
      <c r="K423" s="2" t="s">
        <v>17039</v>
      </c>
      <c r="L423" s="2" t="s">
        <v>17040</v>
      </c>
      <c r="M423" s="45" t="str">
        <f t="shared" ref="M423:M425" si="236">HYPERLINK("twitter.com/spcsoftball","@spcsoftball")</f>
        <v>@spcsoftball</v>
      </c>
      <c r="N423" s="48" t="s">
        <v>22</v>
      </c>
      <c r="O423" s="48" t="s">
        <v>17046</v>
      </c>
      <c r="P423" s="60" t="s">
        <v>66</v>
      </c>
      <c r="Q423" s="48" t="s">
        <v>17048</v>
      </c>
      <c r="R423" s="48" t="s">
        <v>172</v>
      </c>
      <c r="S423" s="49" t="s">
        <v>63</v>
      </c>
      <c r="T423" s="48" t="s">
        <v>343</v>
      </c>
      <c r="U423" s="49" t="s">
        <v>3678</v>
      </c>
      <c r="V423" s="7" t="s">
        <v>214</v>
      </c>
      <c r="W423" s="49" t="s">
        <v>214</v>
      </c>
      <c r="X423" s="49" t="s">
        <v>214</v>
      </c>
      <c r="Y423" s="49" t="s">
        <v>214</v>
      </c>
      <c r="Z423" s="55" t="s">
        <v>214</v>
      </c>
      <c r="AA423" s="39">
        <v>16426</v>
      </c>
      <c r="AB423" s="84" t="s">
        <v>17046</v>
      </c>
      <c r="AC423" s="53" t="str">
        <f t="shared" ref="AC423:AC425" si="237">HYPERLINK("http://sjrstate.edu/bachelors.html","Link")</f>
        <v>Link</v>
      </c>
      <c r="AD423" s="42">
        <v>7114</v>
      </c>
      <c r="AE423" s="55"/>
      <c r="AF423" s="55"/>
      <c r="AG423" s="56">
        <v>137281</v>
      </c>
      <c r="AH423" s="7" t="s">
        <v>2459</v>
      </c>
      <c r="AI423" s="7"/>
      <c r="AJ423" s="7"/>
      <c r="AK423" s="7"/>
    </row>
    <row r="424" spans="1:37" ht="15" x14ac:dyDescent="0.2">
      <c r="A424" s="31" t="s">
        <v>2866</v>
      </c>
      <c r="B424" s="33" t="s">
        <v>12632</v>
      </c>
      <c r="C424" s="7"/>
      <c r="D424" s="112">
        <v>5</v>
      </c>
      <c r="E424" s="7"/>
      <c r="F424" s="112"/>
      <c r="G424" s="2" t="s">
        <v>17037</v>
      </c>
      <c r="H424" s="2" t="s">
        <v>3939</v>
      </c>
      <c r="I424" s="2" t="s">
        <v>2919</v>
      </c>
      <c r="J424" s="2" t="s">
        <v>55</v>
      </c>
      <c r="K424" s="130" t="s">
        <v>17053</v>
      </c>
      <c r="L424" s="2"/>
      <c r="M424" s="45" t="str">
        <f t="shared" si="236"/>
        <v>@spcsoftball</v>
      </c>
      <c r="N424" s="48" t="s">
        <v>22</v>
      </c>
      <c r="O424" s="48" t="s">
        <v>17046</v>
      </c>
      <c r="P424" s="60" t="s">
        <v>66</v>
      </c>
      <c r="Q424" s="48" t="s">
        <v>17048</v>
      </c>
      <c r="R424" s="48" t="s">
        <v>172</v>
      </c>
      <c r="S424" s="49" t="s">
        <v>63</v>
      </c>
      <c r="T424" s="48" t="s">
        <v>343</v>
      </c>
      <c r="U424" s="49" t="s">
        <v>3678</v>
      </c>
      <c r="V424" s="7" t="s">
        <v>214</v>
      </c>
      <c r="W424" s="49" t="s">
        <v>214</v>
      </c>
      <c r="X424" s="49" t="s">
        <v>214</v>
      </c>
      <c r="Y424" s="49" t="s">
        <v>214</v>
      </c>
      <c r="Z424" s="55" t="s">
        <v>214</v>
      </c>
      <c r="AA424" s="39">
        <v>16426</v>
      </c>
      <c r="AB424" s="84" t="s">
        <v>17046</v>
      </c>
      <c r="AC424" s="53" t="str">
        <f t="shared" si="237"/>
        <v>Link</v>
      </c>
      <c r="AD424" s="42">
        <v>7114</v>
      </c>
      <c r="AE424" s="55"/>
      <c r="AF424" s="55"/>
      <c r="AG424" s="56">
        <v>137281</v>
      </c>
      <c r="AH424" s="7" t="s">
        <v>2459</v>
      </c>
      <c r="AI424" s="7"/>
      <c r="AJ424" s="7"/>
      <c r="AK424" s="7"/>
    </row>
    <row r="425" spans="1:37" ht="15" x14ac:dyDescent="0.2">
      <c r="A425" s="31" t="s">
        <v>2866</v>
      </c>
      <c r="B425" s="33" t="s">
        <v>12632</v>
      </c>
      <c r="C425" s="7"/>
      <c r="D425" s="112">
        <v>5</v>
      </c>
      <c r="E425" s="7"/>
      <c r="F425" s="112"/>
      <c r="G425" s="2" t="s">
        <v>17037</v>
      </c>
      <c r="H425" s="2" t="s">
        <v>3511</v>
      </c>
      <c r="I425" s="2" t="s">
        <v>17057</v>
      </c>
      <c r="J425" s="2" t="s">
        <v>55</v>
      </c>
      <c r="K425" s="2"/>
      <c r="L425" s="2"/>
      <c r="M425" s="45" t="str">
        <f t="shared" si="236"/>
        <v>@spcsoftball</v>
      </c>
      <c r="N425" s="48" t="s">
        <v>22</v>
      </c>
      <c r="O425" s="48" t="s">
        <v>17046</v>
      </c>
      <c r="P425" s="60" t="s">
        <v>66</v>
      </c>
      <c r="Q425" s="48" t="s">
        <v>17048</v>
      </c>
      <c r="R425" s="48" t="s">
        <v>172</v>
      </c>
      <c r="S425" s="49" t="s">
        <v>63</v>
      </c>
      <c r="T425" s="48" t="s">
        <v>343</v>
      </c>
      <c r="U425" s="49" t="s">
        <v>3678</v>
      </c>
      <c r="V425" s="7" t="s">
        <v>214</v>
      </c>
      <c r="W425" s="49" t="s">
        <v>214</v>
      </c>
      <c r="X425" s="49" t="s">
        <v>214</v>
      </c>
      <c r="Y425" s="49" t="s">
        <v>214</v>
      </c>
      <c r="Z425" s="55" t="s">
        <v>214</v>
      </c>
      <c r="AA425" s="39">
        <v>16426</v>
      </c>
      <c r="AB425" s="84" t="s">
        <v>17046</v>
      </c>
      <c r="AC425" s="53" t="str">
        <f t="shared" si="237"/>
        <v>Link</v>
      </c>
      <c r="AD425" s="42">
        <v>7114</v>
      </c>
      <c r="AE425" s="55"/>
      <c r="AF425" s="55"/>
      <c r="AG425" s="56">
        <v>137281</v>
      </c>
      <c r="AH425" s="7" t="s">
        <v>2459</v>
      </c>
      <c r="AI425" s="7"/>
      <c r="AJ425" s="7"/>
      <c r="AK425" s="7"/>
    </row>
    <row r="426" spans="1:37" ht="15" x14ac:dyDescent="0.2">
      <c r="A426" s="64" t="s">
        <v>2866</v>
      </c>
      <c r="B426" s="33" t="s">
        <v>12632</v>
      </c>
      <c r="C426" s="7" t="s">
        <v>17063</v>
      </c>
      <c r="D426" s="112">
        <v>5</v>
      </c>
      <c r="E426" s="7"/>
      <c r="F426" s="112"/>
      <c r="G426" s="2" t="s">
        <v>17065</v>
      </c>
      <c r="H426" s="2" t="s">
        <v>17066</v>
      </c>
      <c r="I426" s="2" t="s">
        <v>13931</v>
      </c>
      <c r="J426" s="2" t="s">
        <v>48</v>
      </c>
      <c r="K426" s="2" t="s">
        <v>17068</v>
      </c>
      <c r="L426" s="2" t="s">
        <v>17069</v>
      </c>
      <c r="M426" s="7"/>
      <c r="N426" s="48" t="s">
        <v>22</v>
      </c>
      <c r="O426" s="48" t="s">
        <v>2923</v>
      </c>
      <c r="P426" s="60" t="s">
        <v>66</v>
      </c>
      <c r="Q426" s="48" t="s">
        <v>2923</v>
      </c>
      <c r="R426" s="48" t="s">
        <v>62</v>
      </c>
      <c r="S426" s="49" t="s">
        <v>74</v>
      </c>
      <c r="T426" s="48" t="s">
        <v>75</v>
      </c>
      <c r="U426" s="49" t="s">
        <v>3678</v>
      </c>
      <c r="V426" s="7" t="s">
        <v>214</v>
      </c>
      <c r="W426" s="49" t="s">
        <v>214</v>
      </c>
      <c r="X426" s="49" t="s">
        <v>214</v>
      </c>
      <c r="Y426" s="49" t="s">
        <v>214</v>
      </c>
      <c r="Z426" s="55" t="s">
        <v>214</v>
      </c>
      <c r="AA426" s="48" t="s">
        <v>17070</v>
      </c>
      <c r="AB426" s="84" t="s">
        <v>2923</v>
      </c>
      <c r="AC426" s="53" t="str">
        <f>HYPERLINK("https://go.spcollege.edu/degrees/","Link")</f>
        <v>Link</v>
      </c>
      <c r="AD426" s="42">
        <v>30028</v>
      </c>
      <c r="AE426" s="55"/>
      <c r="AF426" s="55"/>
      <c r="AG426" s="56">
        <v>137078</v>
      </c>
      <c r="AH426" s="56"/>
      <c r="AI426" s="56"/>
    </row>
    <row r="427" spans="1:37" ht="15" x14ac:dyDescent="0.2">
      <c r="A427" s="64" t="s">
        <v>2866</v>
      </c>
      <c r="B427" s="33" t="s">
        <v>12632</v>
      </c>
      <c r="C427" s="7" t="s">
        <v>17073</v>
      </c>
      <c r="D427" s="112">
        <v>5</v>
      </c>
      <c r="E427" s="7"/>
      <c r="F427" s="112"/>
      <c r="G427" s="2" t="s">
        <v>17074</v>
      </c>
      <c r="H427" s="2" t="s">
        <v>1574</v>
      </c>
      <c r="I427" s="2" t="s">
        <v>17077</v>
      </c>
      <c r="J427" s="2" t="s">
        <v>48</v>
      </c>
      <c r="K427" s="7" t="s">
        <v>17079</v>
      </c>
      <c r="L427" s="2" t="s">
        <v>17080</v>
      </c>
      <c r="M427" s="45" t="str">
        <f t="shared" ref="M427:M429" si="238">HYPERLINK("twitter.com/TCCeaglesSB","@TCCeaglesSB")</f>
        <v>@TCCeaglesSB</v>
      </c>
      <c r="N427" s="45" t="str">
        <f t="shared" ref="N427:N429" si="239">HYPERLINK("https://www.tcceagles.com/student-athletes/Recruiting_Information","Questionnaire")</f>
        <v>Questionnaire</v>
      </c>
      <c r="O427" s="48" t="s">
        <v>17086</v>
      </c>
      <c r="P427" s="60" t="s">
        <v>66</v>
      </c>
      <c r="Q427" s="48" t="s">
        <v>828</v>
      </c>
      <c r="R427" s="48" t="s">
        <v>62</v>
      </c>
      <c r="S427" s="49" t="s">
        <v>74</v>
      </c>
      <c r="T427" s="48" t="s">
        <v>75</v>
      </c>
      <c r="U427" s="49" t="s">
        <v>3678</v>
      </c>
      <c r="V427" s="7" t="s">
        <v>214</v>
      </c>
      <c r="W427" s="49" t="s">
        <v>214</v>
      </c>
      <c r="X427" s="49" t="s">
        <v>214</v>
      </c>
      <c r="Y427" s="49" t="s">
        <v>214</v>
      </c>
      <c r="Z427" s="55" t="s">
        <v>214</v>
      </c>
      <c r="AA427" s="48" t="s">
        <v>17089</v>
      </c>
      <c r="AB427" s="84" t="s">
        <v>17086</v>
      </c>
      <c r="AC427" s="53" t="str">
        <f t="shared" ref="AC427:AC429" si="240">HYPERLINK("http://www.tcc.fl.edu/academics/programs/","Link")</f>
        <v>Link</v>
      </c>
      <c r="AD427" s="42">
        <v>12200</v>
      </c>
      <c r="AE427" s="55"/>
      <c r="AF427" s="55"/>
      <c r="AG427" s="56">
        <v>137759</v>
      </c>
      <c r="AH427" s="56"/>
      <c r="AI427" s="56"/>
    </row>
    <row r="428" spans="1:37" ht="15" x14ac:dyDescent="0.2">
      <c r="A428" s="64" t="s">
        <v>2866</v>
      </c>
      <c r="B428" s="33" t="s">
        <v>12632</v>
      </c>
      <c r="C428" s="7" t="s">
        <v>17093</v>
      </c>
      <c r="D428" s="112">
        <v>5</v>
      </c>
      <c r="E428" s="7"/>
      <c r="F428" s="112"/>
      <c r="G428" s="2" t="s">
        <v>17074</v>
      </c>
      <c r="H428" s="2" t="s">
        <v>17094</v>
      </c>
      <c r="I428" s="2" t="s">
        <v>17095</v>
      </c>
      <c r="J428" s="2" t="s">
        <v>55</v>
      </c>
      <c r="K428" s="7" t="s">
        <v>17096</v>
      </c>
      <c r="L428" s="2" t="s">
        <v>17097</v>
      </c>
      <c r="M428" s="45" t="str">
        <f t="shared" si="238"/>
        <v>@TCCeaglesSB</v>
      </c>
      <c r="N428" s="45" t="str">
        <f t="shared" si="239"/>
        <v>Questionnaire</v>
      </c>
      <c r="O428" s="48" t="s">
        <v>17086</v>
      </c>
      <c r="P428" s="60" t="s">
        <v>66</v>
      </c>
      <c r="Q428" s="48" t="s">
        <v>828</v>
      </c>
      <c r="R428" s="48" t="s">
        <v>62</v>
      </c>
      <c r="S428" s="49" t="s">
        <v>74</v>
      </c>
      <c r="T428" s="48" t="s">
        <v>75</v>
      </c>
      <c r="U428" s="49" t="s">
        <v>3678</v>
      </c>
      <c r="V428" s="7" t="s">
        <v>214</v>
      </c>
      <c r="W428" s="49" t="s">
        <v>214</v>
      </c>
      <c r="X428" s="49" t="s">
        <v>214</v>
      </c>
      <c r="Y428" s="49" t="s">
        <v>214</v>
      </c>
      <c r="Z428" s="55" t="s">
        <v>214</v>
      </c>
      <c r="AA428" s="48" t="s">
        <v>17089</v>
      </c>
      <c r="AB428" s="84" t="s">
        <v>17086</v>
      </c>
      <c r="AC428" s="53" t="str">
        <f t="shared" si="240"/>
        <v>Link</v>
      </c>
      <c r="AD428" s="42">
        <v>12200</v>
      </c>
      <c r="AE428" s="55"/>
      <c r="AF428" s="55"/>
      <c r="AG428" s="56">
        <v>137759</v>
      </c>
      <c r="AH428" s="56"/>
      <c r="AI428" s="56"/>
    </row>
    <row r="429" spans="1:37" ht="15" x14ac:dyDescent="0.2">
      <c r="A429" s="64" t="s">
        <v>2866</v>
      </c>
      <c r="B429" s="33" t="s">
        <v>12632</v>
      </c>
      <c r="C429" s="7" t="s">
        <v>17104</v>
      </c>
      <c r="D429" s="112">
        <v>5</v>
      </c>
      <c r="E429" s="7"/>
      <c r="F429" s="112"/>
      <c r="G429" s="2" t="s">
        <v>17074</v>
      </c>
      <c r="H429" s="2" t="s">
        <v>878</v>
      </c>
      <c r="I429" s="2" t="s">
        <v>17105</v>
      </c>
      <c r="J429" s="2" t="s">
        <v>55</v>
      </c>
      <c r="K429" s="2" t="s">
        <v>17106</v>
      </c>
      <c r="L429" s="2" t="s">
        <v>17097</v>
      </c>
      <c r="M429" s="45" t="str">
        <f t="shared" si="238"/>
        <v>@TCCeaglesSB</v>
      </c>
      <c r="N429" s="45" t="str">
        <f t="shared" si="239"/>
        <v>Questionnaire</v>
      </c>
      <c r="O429" s="48" t="s">
        <v>17086</v>
      </c>
      <c r="P429" s="60" t="s">
        <v>66</v>
      </c>
      <c r="Q429" s="48" t="s">
        <v>828</v>
      </c>
      <c r="R429" s="48" t="s">
        <v>62</v>
      </c>
      <c r="S429" s="49" t="s">
        <v>74</v>
      </c>
      <c r="T429" s="48" t="s">
        <v>75</v>
      </c>
      <c r="U429" s="49" t="s">
        <v>3678</v>
      </c>
      <c r="V429" s="7" t="s">
        <v>214</v>
      </c>
      <c r="W429" s="49" t="s">
        <v>214</v>
      </c>
      <c r="X429" s="49" t="s">
        <v>214</v>
      </c>
      <c r="Y429" s="49" t="s">
        <v>214</v>
      </c>
      <c r="Z429" s="55" t="s">
        <v>214</v>
      </c>
      <c r="AA429" s="48" t="s">
        <v>17089</v>
      </c>
      <c r="AB429" s="84" t="s">
        <v>17086</v>
      </c>
      <c r="AC429" s="53" t="str">
        <f t="shared" si="240"/>
        <v>Link</v>
      </c>
      <c r="AD429" s="42">
        <v>12200</v>
      </c>
      <c r="AE429" s="55"/>
      <c r="AF429" s="55"/>
      <c r="AG429" s="56">
        <v>137759</v>
      </c>
      <c r="AH429" s="56"/>
      <c r="AI429" s="56"/>
    </row>
    <row r="430" spans="1:37" ht="15" x14ac:dyDescent="0.2">
      <c r="A430" s="88" t="s">
        <v>1354</v>
      </c>
      <c r="B430" s="33" t="s">
        <v>12632</v>
      </c>
      <c r="C430" s="7" t="s">
        <v>17114</v>
      </c>
      <c r="D430" s="112">
        <v>5</v>
      </c>
      <c r="E430" s="7"/>
      <c r="F430" s="112"/>
      <c r="G430" s="2" t="s">
        <v>17115</v>
      </c>
      <c r="H430" s="2" t="s">
        <v>1080</v>
      </c>
      <c r="I430" s="2" t="s">
        <v>729</v>
      </c>
      <c r="J430" s="2" t="s">
        <v>48</v>
      </c>
      <c r="K430" s="2" t="s">
        <v>17116</v>
      </c>
      <c r="L430" s="2" t="s">
        <v>17117</v>
      </c>
      <c r="M430" s="48"/>
      <c r="N430" s="48" t="s">
        <v>22</v>
      </c>
      <c r="O430" s="108" t="s">
        <v>17119</v>
      </c>
      <c r="P430" s="60" t="s">
        <v>871</v>
      </c>
      <c r="Q430" s="48" t="s">
        <v>17121</v>
      </c>
      <c r="R430" s="48" t="s">
        <v>172</v>
      </c>
      <c r="S430" s="49" t="s">
        <v>74</v>
      </c>
      <c r="T430" s="48" t="s">
        <v>75</v>
      </c>
      <c r="U430" s="49" t="s">
        <v>17124</v>
      </c>
      <c r="V430" s="7" t="s">
        <v>289</v>
      </c>
      <c r="W430" s="49" t="s">
        <v>17125</v>
      </c>
      <c r="X430" s="49" t="s">
        <v>3428</v>
      </c>
      <c r="Y430" s="49" t="s">
        <v>1948</v>
      </c>
      <c r="Z430" s="38">
        <v>0.65600000000000003</v>
      </c>
      <c r="AA430" s="48" t="s">
        <v>17126</v>
      </c>
      <c r="AB430" s="52" t="s">
        <v>17119</v>
      </c>
      <c r="AC430" s="53" t="str">
        <f t="shared" ref="AC430:AC431" si="241">HYPERLINK("http://www.abac.edu/about-abac/degrees-and-majors","Link")</f>
        <v>Link</v>
      </c>
      <c r="AD430" s="42">
        <v>3475</v>
      </c>
      <c r="AE430" s="55"/>
      <c r="AF430" s="55"/>
      <c r="AG430" s="56">
        <v>138558</v>
      </c>
      <c r="AH430" s="56"/>
      <c r="AI430" s="56"/>
    </row>
    <row r="431" spans="1:37" ht="15" x14ac:dyDescent="0.2">
      <c r="A431" s="88" t="s">
        <v>1354</v>
      </c>
      <c r="B431" s="33" t="s">
        <v>12632</v>
      </c>
      <c r="C431" s="7" t="s">
        <v>17132</v>
      </c>
      <c r="D431" s="112">
        <v>5</v>
      </c>
      <c r="E431" s="7"/>
      <c r="F431" s="112"/>
      <c r="G431" s="2" t="s">
        <v>17115</v>
      </c>
      <c r="H431" s="2" t="s">
        <v>754</v>
      </c>
      <c r="I431" s="2" t="s">
        <v>3046</v>
      </c>
      <c r="J431" s="2" t="s">
        <v>55</v>
      </c>
      <c r="K431" s="2" t="s">
        <v>17134</v>
      </c>
      <c r="L431" s="2"/>
      <c r="M431" s="48"/>
      <c r="N431" s="48" t="s">
        <v>22</v>
      </c>
      <c r="O431" s="108" t="s">
        <v>17119</v>
      </c>
      <c r="P431" s="60" t="s">
        <v>871</v>
      </c>
      <c r="Q431" s="48" t="s">
        <v>17121</v>
      </c>
      <c r="R431" s="48" t="s">
        <v>172</v>
      </c>
      <c r="S431" s="49" t="s">
        <v>74</v>
      </c>
      <c r="T431" s="48" t="s">
        <v>75</v>
      </c>
      <c r="U431" s="49" t="s">
        <v>17124</v>
      </c>
      <c r="V431" s="7" t="s">
        <v>289</v>
      </c>
      <c r="W431" s="49" t="s">
        <v>17125</v>
      </c>
      <c r="X431" s="49" t="s">
        <v>3428</v>
      </c>
      <c r="Y431" s="49" t="s">
        <v>1948</v>
      </c>
      <c r="Z431" s="38">
        <v>0.65600000000000003</v>
      </c>
      <c r="AA431" s="48" t="s">
        <v>17126</v>
      </c>
      <c r="AB431" s="52" t="s">
        <v>17119</v>
      </c>
      <c r="AC431" s="53" t="str">
        <f t="shared" si="241"/>
        <v>Link</v>
      </c>
      <c r="AD431" s="42">
        <v>3475</v>
      </c>
      <c r="AE431" s="55"/>
      <c r="AF431" s="55"/>
      <c r="AG431" s="56">
        <v>138558</v>
      </c>
      <c r="AH431" s="56"/>
      <c r="AI431" s="56"/>
    </row>
    <row r="432" spans="1:37" ht="15" x14ac:dyDescent="0.2">
      <c r="A432" s="88" t="s">
        <v>1354</v>
      </c>
      <c r="B432" s="33" t="s">
        <v>12632</v>
      </c>
      <c r="C432" s="7" t="s">
        <v>17136</v>
      </c>
      <c r="D432" s="44">
        <v>5</v>
      </c>
      <c r="E432" s="7" t="s">
        <v>116</v>
      </c>
      <c r="F432" s="7"/>
      <c r="G432" s="2" t="s">
        <v>17138</v>
      </c>
      <c r="H432" s="7" t="s">
        <v>728</v>
      </c>
      <c r="I432" s="7" t="s">
        <v>17139</v>
      </c>
      <c r="J432" s="7" t="s">
        <v>55</v>
      </c>
      <c r="K432" s="7" t="s">
        <v>17140</v>
      </c>
      <c r="L432" s="7" t="s">
        <v>17141</v>
      </c>
      <c r="M432" s="45" t="str">
        <f t="shared" ref="M432:M435" si="242">HYPERLINK("twitter.com/softballac","@softballac")</f>
        <v>@softballac</v>
      </c>
      <c r="N432" s="45" t="str">
        <f t="shared" ref="N432:N435" si="243">HYPERLINK("https://www.andrewcollege.edu/athleticinterest.html","Questionnaire")</f>
        <v>Questionnaire</v>
      </c>
      <c r="O432" s="108" t="s">
        <v>17143</v>
      </c>
      <c r="P432" s="60" t="s">
        <v>871</v>
      </c>
      <c r="Q432" s="48" t="s">
        <v>17144</v>
      </c>
      <c r="R432" s="60" t="s">
        <v>205</v>
      </c>
      <c r="S432" s="49" t="s">
        <v>63</v>
      </c>
      <c r="T432" s="48" t="s">
        <v>65</v>
      </c>
      <c r="U432" s="49" t="s">
        <v>3678</v>
      </c>
      <c r="V432" s="7" t="s">
        <v>524</v>
      </c>
      <c r="W432" s="49" t="s">
        <v>214</v>
      </c>
      <c r="X432" s="49" t="s">
        <v>214</v>
      </c>
      <c r="Y432" s="49" t="s">
        <v>214</v>
      </c>
      <c r="Z432" s="65">
        <v>1</v>
      </c>
      <c r="AA432" s="42">
        <v>29406</v>
      </c>
      <c r="AB432" s="52" t="s">
        <v>17143</v>
      </c>
      <c r="AC432" s="53" t="str">
        <f t="shared" ref="AC432:AC435" si="244">HYPERLINK("https://www.andrewcollege.edu/degrees-programs-study","Link")</f>
        <v>Link</v>
      </c>
      <c r="AD432" s="42">
        <v>276</v>
      </c>
      <c r="AE432" s="55"/>
      <c r="AF432" s="55"/>
      <c r="AG432" s="56">
        <v>138761</v>
      </c>
      <c r="AH432" s="56"/>
      <c r="AI432" s="56"/>
    </row>
    <row r="433" spans="1:37" ht="15" x14ac:dyDescent="0.2">
      <c r="A433" s="88" t="s">
        <v>1354</v>
      </c>
      <c r="B433" s="33" t="s">
        <v>12632</v>
      </c>
      <c r="C433" s="7" t="s">
        <v>17150</v>
      </c>
      <c r="D433" s="112">
        <v>5</v>
      </c>
      <c r="E433" s="7"/>
      <c r="F433" s="112"/>
      <c r="G433" s="2" t="s">
        <v>17138</v>
      </c>
      <c r="H433" s="2" t="s">
        <v>860</v>
      </c>
      <c r="I433" s="2" t="s">
        <v>1906</v>
      </c>
      <c r="J433" s="2" t="s">
        <v>48</v>
      </c>
      <c r="K433" s="2" t="s">
        <v>17152</v>
      </c>
      <c r="L433" s="2" t="s">
        <v>17141</v>
      </c>
      <c r="M433" s="45" t="str">
        <f t="shared" si="242"/>
        <v>@softballac</v>
      </c>
      <c r="N433" s="45" t="str">
        <f t="shared" si="243"/>
        <v>Questionnaire</v>
      </c>
      <c r="O433" s="108" t="s">
        <v>17143</v>
      </c>
      <c r="P433" s="60" t="s">
        <v>871</v>
      </c>
      <c r="Q433" s="48" t="s">
        <v>17144</v>
      </c>
      <c r="R433" s="60" t="s">
        <v>205</v>
      </c>
      <c r="S433" s="49" t="s">
        <v>63</v>
      </c>
      <c r="T433" s="48" t="s">
        <v>65</v>
      </c>
      <c r="U433" s="49" t="s">
        <v>3678</v>
      </c>
      <c r="V433" s="7" t="s">
        <v>524</v>
      </c>
      <c r="W433" s="49" t="s">
        <v>214</v>
      </c>
      <c r="X433" s="49" t="s">
        <v>214</v>
      </c>
      <c r="Y433" s="49" t="s">
        <v>214</v>
      </c>
      <c r="Z433" s="65">
        <v>1</v>
      </c>
      <c r="AA433" s="42">
        <v>29406</v>
      </c>
      <c r="AB433" s="52" t="s">
        <v>17143</v>
      </c>
      <c r="AC433" s="53" t="str">
        <f t="shared" si="244"/>
        <v>Link</v>
      </c>
      <c r="AD433" s="42">
        <v>276</v>
      </c>
      <c r="AE433" s="55"/>
      <c r="AF433" s="55"/>
      <c r="AG433" s="56">
        <v>138761</v>
      </c>
      <c r="AH433" s="56"/>
      <c r="AI433" s="56"/>
    </row>
    <row r="434" spans="1:37" ht="15" x14ac:dyDescent="0.2">
      <c r="A434" s="88" t="s">
        <v>1354</v>
      </c>
      <c r="B434" s="33" t="s">
        <v>12632</v>
      </c>
      <c r="C434" s="7" t="s">
        <v>17155</v>
      </c>
      <c r="D434" s="112">
        <v>5</v>
      </c>
      <c r="E434" s="7"/>
      <c r="F434" s="112" t="s">
        <v>126</v>
      </c>
      <c r="G434" s="2" t="s">
        <v>17138</v>
      </c>
      <c r="H434" s="2" t="s">
        <v>17157</v>
      </c>
      <c r="I434" s="2"/>
      <c r="J434" s="2"/>
      <c r="K434" s="2"/>
      <c r="L434" s="2"/>
      <c r="M434" s="45" t="str">
        <f t="shared" si="242"/>
        <v>@softballac</v>
      </c>
      <c r="N434" s="45" t="str">
        <f t="shared" si="243"/>
        <v>Questionnaire</v>
      </c>
      <c r="O434" s="108" t="s">
        <v>17143</v>
      </c>
      <c r="P434" s="60" t="s">
        <v>871</v>
      </c>
      <c r="Q434" s="48" t="s">
        <v>17144</v>
      </c>
      <c r="R434" s="60" t="s">
        <v>205</v>
      </c>
      <c r="S434" s="49" t="s">
        <v>63</v>
      </c>
      <c r="T434" s="48" t="s">
        <v>65</v>
      </c>
      <c r="U434" s="49" t="s">
        <v>3678</v>
      </c>
      <c r="V434" s="7" t="s">
        <v>524</v>
      </c>
      <c r="W434" s="49" t="s">
        <v>214</v>
      </c>
      <c r="X434" s="49" t="s">
        <v>214</v>
      </c>
      <c r="Y434" s="49" t="s">
        <v>214</v>
      </c>
      <c r="Z434" s="65">
        <v>1</v>
      </c>
      <c r="AA434" s="42">
        <v>29406</v>
      </c>
      <c r="AB434" s="52" t="s">
        <v>17143</v>
      </c>
      <c r="AC434" s="53" t="str">
        <f t="shared" si="244"/>
        <v>Link</v>
      </c>
      <c r="AD434" s="42">
        <v>276</v>
      </c>
      <c r="AE434" s="55"/>
      <c r="AF434" s="55"/>
      <c r="AG434" s="56">
        <v>138761</v>
      </c>
      <c r="AH434" s="56"/>
      <c r="AI434" s="56"/>
    </row>
    <row r="435" spans="1:37" ht="15" x14ac:dyDescent="0.2">
      <c r="A435" s="88" t="s">
        <v>1354</v>
      </c>
      <c r="B435" s="33" t="s">
        <v>12632</v>
      </c>
      <c r="C435" s="7" t="s">
        <v>17158</v>
      </c>
      <c r="D435" s="112">
        <v>5</v>
      </c>
      <c r="E435" s="7"/>
      <c r="F435" s="112"/>
      <c r="G435" s="2" t="s">
        <v>17138</v>
      </c>
      <c r="H435" s="2" t="s">
        <v>17160</v>
      </c>
      <c r="I435" s="2" t="s">
        <v>11971</v>
      </c>
      <c r="J435" s="2" t="s">
        <v>55</v>
      </c>
      <c r="K435" s="2" t="s">
        <v>17161</v>
      </c>
      <c r="L435" s="2" t="s">
        <v>17141</v>
      </c>
      <c r="M435" s="45" t="str">
        <f t="shared" si="242"/>
        <v>@softballac</v>
      </c>
      <c r="N435" s="45" t="str">
        <f t="shared" si="243"/>
        <v>Questionnaire</v>
      </c>
      <c r="O435" s="108" t="s">
        <v>17143</v>
      </c>
      <c r="P435" s="60" t="s">
        <v>871</v>
      </c>
      <c r="Q435" s="48" t="s">
        <v>17144</v>
      </c>
      <c r="R435" s="60" t="s">
        <v>205</v>
      </c>
      <c r="S435" s="49" t="s">
        <v>63</v>
      </c>
      <c r="T435" s="48" t="s">
        <v>65</v>
      </c>
      <c r="U435" s="49" t="s">
        <v>3678</v>
      </c>
      <c r="V435" s="7" t="s">
        <v>524</v>
      </c>
      <c r="W435" s="49" t="s">
        <v>214</v>
      </c>
      <c r="X435" s="49" t="s">
        <v>214</v>
      </c>
      <c r="Y435" s="49" t="s">
        <v>214</v>
      </c>
      <c r="Z435" s="65">
        <v>1</v>
      </c>
      <c r="AA435" s="42">
        <v>29406</v>
      </c>
      <c r="AB435" s="52" t="s">
        <v>17143</v>
      </c>
      <c r="AC435" s="53" t="str">
        <f t="shared" si="244"/>
        <v>Link</v>
      </c>
      <c r="AD435" s="42">
        <v>276</v>
      </c>
      <c r="AE435" s="55"/>
      <c r="AF435" s="55"/>
      <c r="AG435" s="56">
        <v>138761</v>
      </c>
      <c r="AH435" s="56"/>
      <c r="AI435" s="56"/>
    </row>
    <row r="436" spans="1:37" ht="15" x14ac:dyDescent="0.2">
      <c r="A436" s="31" t="s">
        <v>1354</v>
      </c>
      <c r="B436" s="33" t="s">
        <v>12632</v>
      </c>
      <c r="C436" s="7"/>
      <c r="D436" s="112">
        <v>5</v>
      </c>
      <c r="E436" s="7"/>
      <c r="F436" s="112"/>
      <c r="G436" s="2" t="s">
        <v>17165</v>
      </c>
      <c r="H436" s="2" t="s">
        <v>10730</v>
      </c>
      <c r="I436" s="2" t="s">
        <v>17166</v>
      </c>
      <c r="J436" s="2" t="s">
        <v>48</v>
      </c>
      <c r="K436" s="2" t="s">
        <v>17168</v>
      </c>
      <c r="L436" s="2"/>
      <c r="M436" s="45" t="str">
        <f t="shared" ref="M436:M437" si="245">HYPERLINK("twitter.com/egscsoftball","@egscsoftball")</f>
        <v>@egscsoftball</v>
      </c>
      <c r="N436" s="45" t="str">
        <f t="shared" ref="N436:N437" si="246">HYPERLINK("http://www.ega.edu/athletics/recruits","Questionnaire")</f>
        <v>Questionnaire</v>
      </c>
      <c r="O436" s="48" t="s">
        <v>17173</v>
      </c>
      <c r="P436" s="60" t="s">
        <v>871</v>
      </c>
      <c r="Q436" s="48" t="s">
        <v>17174</v>
      </c>
      <c r="R436" s="60" t="s">
        <v>205</v>
      </c>
      <c r="S436" s="49" t="s">
        <v>74</v>
      </c>
      <c r="T436" s="48" t="s">
        <v>75</v>
      </c>
      <c r="U436" s="49" t="s">
        <v>3678</v>
      </c>
      <c r="V436" s="7" t="s">
        <v>214</v>
      </c>
      <c r="W436" s="49" t="s">
        <v>214</v>
      </c>
      <c r="X436" s="49" t="s">
        <v>214</v>
      </c>
      <c r="Y436" s="49" t="s">
        <v>214</v>
      </c>
      <c r="Z436" s="55" t="s">
        <v>214</v>
      </c>
      <c r="AA436" s="48" t="s">
        <v>17175</v>
      </c>
      <c r="AB436" s="84" t="s">
        <v>17173</v>
      </c>
      <c r="AC436" s="53" t="str">
        <f t="shared" ref="AC436:AC437" si="247">HYPERLINK("http://www.ega.edu/academics/programs_of_study","Link")</f>
        <v>Link</v>
      </c>
      <c r="AD436" s="42">
        <v>3152</v>
      </c>
      <c r="AE436" s="55"/>
      <c r="AF436" s="55"/>
      <c r="AG436" s="56">
        <v>139621</v>
      </c>
      <c r="AH436" s="7" t="s">
        <v>2459</v>
      </c>
      <c r="AI436" s="7"/>
      <c r="AJ436" s="7"/>
      <c r="AK436" s="7"/>
    </row>
    <row r="437" spans="1:37" ht="15" x14ac:dyDescent="0.2">
      <c r="A437" s="31" t="s">
        <v>1354</v>
      </c>
      <c r="B437" s="33" t="s">
        <v>12632</v>
      </c>
      <c r="C437" s="7"/>
      <c r="D437" s="112">
        <v>5</v>
      </c>
      <c r="E437" s="7"/>
      <c r="F437" s="112"/>
      <c r="G437" s="2" t="s">
        <v>17165</v>
      </c>
      <c r="H437" s="2" t="s">
        <v>17177</v>
      </c>
      <c r="I437" s="2" t="s">
        <v>9616</v>
      </c>
      <c r="J437" s="2" t="s">
        <v>55</v>
      </c>
      <c r="K437" s="2" t="s">
        <v>17178</v>
      </c>
      <c r="L437" s="2"/>
      <c r="M437" s="45" t="str">
        <f t="shared" si="245"/>
        <v>@egscsoftball</v>
      </c>
      <c r="N437" s="45" t="str">
        <f t="shared" si="246"/>
        <v>Questionnaire</v>
      </c>
      <c r="O437" s="48" t="s">
        <v>17173</v>
      </c>
      <c r="P437" s="60" t="s">
        <v>871</v>
      </c>
      <c r="Q437" s="48" t="s">
        <v>17174</v>
      </c>
      <c r="R437" s="60" t="s">
        <v>205</v>
      </c>
      <c r="S437" s="49" t="s">
        <v>74</v>
      </c>
      <c r="T437" s="48" t="s">
        <v>75</v>
      </c>
      <c r="U437" s="49" t="s">
        <v>3678</v>
      </c>
      <c r="V437" s="7" t="s">
        <v>214</v>
      </c>
      <c r="W437" s="49" t="s">
        <v>214</v>
      </c>
      <c r="X437" s="49" t="s">
        <v>214</v>
      </c>
      <c r="Y437" s="49" t="s">
        <v>214</v>
      </c>
      <c r="Z437" s="55" t="s">
        <v>214</v>
      </c>
      <c r="AA437" s="48" t="s">
        <v>17175</v>
      </c>
      <c r="AB437" s="84" t="s">
        <v>17173</v>
      </c>
      <c r="AC437" s="53" t="str">
        <f t="shared" si="247"/>
        <v>Link</v>
      </c>
      <c r="AD437" s="42">
        <v>3152</v>
      </c>
      <c r="AE437" s="55"/>
      <c r="AF437" s="55"/>
      <c r="AG437" s="56">
        <v>139621</v>
      </c>
      <c r="AH437" s="7" t="s">
        <v>2459</v>
      </c>
      <c r="AI437" s="7"/>
      <c r="AJ437" s="7"/>
      <c r="AK437" s="7"/>
    </row>
    <row r="438" spans="1:37" ht="15" x14ac:dyDescent="0.2">
      <c r="A438" s="64" t="s">
        <v>1354</v>
      </c>
      <c r="B438" s="33" t="s">
        <v>12632</v>
      </c>
      <c r="C438" s="7" t="s">
        <v>17179</v>
      </c>
      <c r="D438" s="44">
        <v>5</v>
      </c>
      <c r="E438" s="7" t="s">
        <v>116</v>
      </c>
      <c r="F438" s="7"/>
      <c r="G438" s="2" t="s">
        <v>17182</v>
      </c>
      <c r="H438" s="7" t="s">
        <v>8939</v>
      </c>
      <c r="I438" s="7" t="s">
        <v>17183</v>
      </c>
      <c r="J438" s="7" t="s">
        <v>48</v>
      </c>
      <c r="K438" s="7" t="s">
        <v>17186</v>
      </c>
      <c r="L438" s="7" t="s">
        <v>17187</v>
      </c>
      <c r="M438" s="45" t="str">
        <f t="shared" ref="M438:M441" si="248">HYPERLINK("twitter.com/GHCSoftball","@GHCSoftball")</f>
        <v>@GHCSoftball</v>
      </c>
      <c r="N438" s="48" t="s">
        <v>22</v>
      </c>
      <c r="O438" s="48" t="s">
        <v>17189</v>
      </c>
      <c r="P438" s="60" t="s">
        <v>871</v>
      </c>
      <c r="Q438" s="48" t="s">
        <v>3956</v>
      </c>
      <c r="R438" s="48" t="s">
        <v>468</v>
      </c>
      <c r="S438" s="49" t="s">
        <v>74</v>
      </c>
      <c r="T438" s="48" t="s">
        <v>75</v>
      </c>
      <c r="U438" s="49" t="s">
        <v>3678</v>
      </c>
      <c r="V438" s="7" t="s">
        <v>214</v>
      </c>
      <c r="W438" s="49" t="s">
        <v>214</v>
      </c>
      <c r="X438" s="49" t="s">
        <v>214</v>
      </c>
      <c r="Y438" s="49" t="s">
        <v>214</v>
      </c>
      <c r="Z438" s="55" t="s">
        <v>214</v>
      </c>
      <c r="AA438" s="48" t="s">
        <v>214</v>
      </c>
      <c r="AB438" s="84" t="s">
        <v>17189</v>
      </c>
      <c r="AC438" s="53" t="str">
        <f t="shared" ref="AC438:AC441" si="249">HYPERLINK("https://www2.highlands.edu/site/advising-programs-of-study-","Link")</f>
        <v>Link</v>
      </c>
      <c r="AD438" s="42">
        <v>6013</v>
      </c>
      <c r="AE438" s="55"/>
      <c r="AF438" s="55"/>
      <c r="AG438" s="85"/>
      <c r="AH438" s="85"/>
      <c r="AI438" s="85"/>
    </row>
    <row r="439" spans="1:37" ht="15" x14ac:dyDescent="0.2">
      <c r="A439" s="64" t="s">
        <v>1354</v>
      </c>
      <c r="B439" s="33" t="s">
        <v>12632</v>
      </c>
      <c r="C439" s="7" t="s">
        <v>17190</v>
      </c>
      <c r="D439" s="44">
        <v>5</v>
      </c>
      <c r="E439" s="7" t="s">
        <v>116</v>
      </c>
      <c r="F439" s="7"/>
      <c r="G439" s="2" t="s">
        <v>17182</v>
      </c>
      <c r="H439" s="7" t="s">
        <v>93</v>
      </c>
      <c r="I439" s="7" t="s">
        <v>17191</v>
      </c>
      <c r="J439" s="7" t="s">
        <v>55</v>
      </c>
      <c r="K439" s="7" t="s">
        <v>17192</v>
      </c>
      <c r="L439" s="7" t="s">
        <v>17193</v>
      </c>
      <c r="M439" s="45" t="str">
        <f t="shared" si="248"/>
        <v>@GHCSoftball</v>
      </c>
      <c r="N439" s="48" t="s">
        <v>22</v>
      </c>
      <c r="O439" s="48" t="s">
        <v>17189</v>
      </c>
      <c r="P439" s="60" t="s">
        <v>871</v>
      </c>
      <c r="Q439" s="48" t="s">
        <v>3956</v>
      </c>
      <c r="R439" s="48" t="s">
        <v>468</v>
      </c>
      <c r="S439" s="49" t="s">
        <v>74</v>
      </c>
      <c r="T439" s="48" t="s">
        <v>75</v>
      </c>
      <c r="U439" s="49" t="s">
        <v>3678</v>
      </c>
      <c r="V439" s="7" t="s">
        <v>214</v>
      </c>
      <c r="W439" s="49" t="s">
        <v>214</v>
      </c>
      <c r="X439" s="49" t="s">
        <v>214</v>
      </c>
      <c r="Y439" s="49" t="s">
        <v>214</v>
      </c>
      <c r="Z439" s="55" t="s">
        <v>214</v>
      </c>
      <c r="AA439" s="48" t="s">
        <v>214</v>
      </c>
      <c r="AB439" s="84" t="s">
        <v>17189</v>
      </c>
      <c r="AC439" s="53" t="str">
        <f t="shared" si="249"/>
        <v>Link</v>
      </c>
      <c r="AD439" s="42">
        <v>6013</v>
      </c>
      <c r="AE439" s="55"/>
      <c r="AF439" s="55"/>
      <c r="AG439" s="85"/>
      <c r="AH439" s="85"/>
      <c r="AI439" s="85"/>
    </row>
    <row r="440" spans="1:37" ht="15" x14ac:dyDescent="0.2">
      <c r="A440" s="64" t="s">
        <v>1354</v>
      </c>
      <c r="B440" s="33" t="s">
        <v>12632</v>
      </c>
      <c r="C440" s="7" t="s">
        <v>17199</v>
      </c>
      <c r="D440" s="112">
        <v>5</v>
      </c>
      <c r="E440" s="7"/>
      <c r="F440" s="112"/>
      <c r="G440" s="2" t="s">
        <v>17182</v>
      </c>
      <c r="H440" s="2" t="s">
        <v>17200</v>
      </c>
      <c r="I440" s="2"/>
      <c r="J440" s="7"/>
      <c r="K440" s="2"/>
      <c r="L440" s="2"/>
      <c r="M440" s="45" t="str">
        <f t="shared" si="248"/>
        <v>@GHCSoftball</v>
      </c>
      <c r="N440" s="48" t="s">
        <v>22</v>
      </c>
      <c r="O440" s="48" t="s">
        <v>17189</v>
      </c>
      <c r="P440" s="60" t="s">
        <v>871</v>
      </c>
      <c r="Q440" s="48" t="s">
        <v>3956</v>
      </c>
      <c r="R440" s="48" t="s">
        <v>468</v>
      </c>
      <c r="S440" s="49" t="s">
        <v>74</v>
      </c>
      <c r="T440" s="48" t="s">
        <v>75</v>
      </c>
      <c r="U440" s="49" t="s">
        <v>3678</v>
      </c>
      <c r="V440" s="7" t="s">
        <v>214</v>
      </c>
      <c r="W440" s="49" t="s">
        <v>214</v>
      </c>
      <c r="X440" s="49" t="s">
        <v>214</v>
      </c>
      <c r="Y440" s="49" t="s">
        <v>214</v>
      </c>
      <c r="Z440" s="55" t="s">
        <v>214</v>
      </c>
      <c r="AA440" s="48" t="s">
        <v>214</v>
      </c>
      <c r="AB440" s="84" t="s">
        <v>17189</v>
      </c>
      <c r="AC440" s="53" t="str">
        <f t="shared" si="249"/>
        <v>Link</v>
      </c>
      <c r="AD440" s="42">
        <v>6013</v>
      </c>
      <c r="AE440" s="55"/>
      <c r="AF440" s="55"/>
      <c r="AG440" s="7"/>
      <c r="AH440" s="7"/>
      <c r="AI440" s="7"/>
    </row>
    <row r="441" spans="1:37" ht="15" x14ac:dyDescent="0.2">
      <c r="A441" s="64" t="s">
        <v>1354</v>
      </c>
      <c r="B441" s="33" t="s">
        <v>12632</v>
      </c>
      <c r="C441" s="7" t="s">
        <v>17199</v>
      </c>
      <c r="D441" s="112">
        <v>5</v>
      </c>
      <c r="E441" s="7"/>
      <c r="F441" s="112"/>
      <c r="G441" s="2" t="s">
        <v>17182</v>
      </c>
      <c r="H441" s="2" t="s">
        <v>421</v>
      </c>
      <c r="I441" s="2"/>
      <c r="J441" s="7" t="s">
        <v>48</v>
      </c>
      <c r="K441" s="2"/>
      <c r="L441" s="2"/>
      <c r="M441" s="45" t="str">
        <f t="shared" si="248"/>
        <v>@GHCSoftball</v>
      </c>
      <c r="N441" s="48" t="s">
        <v>22</v>
      </c>
      <c r="O441" s="48" t="s">
        <v>17189</v>
      </c>
      <c r="P441" s="60" t="s">
        <v>871</v>
      </c>
      <c r="Q441" s="48" t="s">
        <v>3956</v>
      </c>
      <c r="R441" s="48" t="s">
        <v>468</v>
      </c>
      <c r="S441" s="49" t="s">
        <v>74</v>
      </c>
      <c r="T441" s="48" t="s">
        <v>75</v>
      </c>
      <c r="U441" s="49" t="s">
        <v>3678</v>
      </c>
      <c r="V441" s="7" t="s">
        <v>214</v>
      </c>
      <c r="W441" s="49" t="s">
        <v>214</v>
      </c>
      <c r="X441" s="49" t="s">
        <v>214</v>
      </c>
      <c r="Y441" s="49" t="s">
        <v>214</v>
      </c>
      <c r="Z441" s="55" t="s">
        <v>214</v>
      </c>
      <c r="AA441" s="48" t="s">
        <v>214</v>
      </c>
      <c r="AB441" s="84" t="s">
        <v>17189</v>
      </c>
      <c r="AC441" s="53" t="str">
        <f t="shared" si="249"/>
        <v>Link</v>
      </c>
      <c r="AD441" s="42">
        <v>6013</v>
      </c>
      <c r="AE441" s="55"/>
      <c r="AF441" s="55"/>
      <c r="AG441" s="7"/>
      <c r="AH441" s="7"/>
      <c r="AI441" s="7"/>
    </row>
    <row r="442" spans="1:37" ht="15" x14ac:dyDescent="0.2">
      <c r="A442" s="64" t="s">
        <v>1354</v>
      </c>
      <c r="B442" s="33" t="s">
        <v>12632</v>
      </c>
      <c r="C442" s="7" t="s">
        <v>17206</v>
      </c>
      <c r="D442" s="112">
        <v>5</v>
      </c>
      <c r="E442" s="7"/>
      <c r="F442" s="112"/>
      <c r="G442" s="2" t="s">
        <v>17207</v>
      </c>
      <c r="H442" s="2" t="s">
        <v>981</v>
      </c>
      <c r="I442" s="2" t="s">
        <v>17208</v>
      </c>
      <c r="J442" s="2" t="s">
        <v>48</v>
      </c>
      <c r="K442" s="2" t="s">
        <v>17209</v>
      </c>
      <c r="L442" s="2" t="s">
        <v>17211</v>
      </c>
      <c r="M442" s="45" t="str">
        <f t="shared" ref="M442:M443" si="250">HYPERLINK("twitter.com/gmcjcsb","@gmcjcsb")</f>
        <v>@gmcjcsb</v>
      </c>
      <c r="N442" s="48" t="s">
        <v>22</v>
      </c>
      <c r="O442" s="48" t="s">
        <v>17213</v>
      </c>
      <c r="P442" s="60" t="s">
        <v>871</v>
      </c>
      <c r="Q442" s="60" t="s">
        <v>3823</v>
      </c>
      <c r="R442" s="48" t="s">
        <v>172</v>
      </c>
      <c r="S442" s="49" t="s">
        <v>74</v>
      </c>
      <c r="T442" s="48" t="s">
        <v>75</v>
      </c>
      <c r="U442" s="49" t="s">
        <v>3678</v>
      </c>
      <c r="V442" s="7" t="s">
        <v>214</v>
      </c>
      <c r="W442" s="49" t="s">
        <v>214</v>
      </c>
      <c r="X442" s="49" t="s">
        <v>214</v>
      </c>
      <c r="Y442" s="49" t="s">
        <v>214</v>
      </c>
      <c r="Z442" s="55" t="s">
        <v>214</v>
      </c>
      <c r="AA442" s="39">
        <v>17552</v>
      </c>
      <c r="AB442" s="84" t="s">
        <v>17213</v>
      </c>
      <c r="AC442" s="53" t="str">
        <f t="shared" ref="AC442:AC443" si="251">HYPERLINK("https://www.gmc.edu/academic-programs/overview.cms","Link")</f>
        <v>Link</v>
      </c>
      <c r="AD442" s="42">
        <v>8234</v>
      </c>
      <c r="AE442" s="55"/>
      <c r="AF442" s="55"/>
      <c r="AG442" s="56">
        <v>139904</v>
      </c>
      <c r="AH442" s="56"/>
      <c r="AI442" s="56"/>
    </row>
    <row r="443" spans="1:37" ht="15" x14ac:dyDescent="0.2">
      <c r="A443" s="64" t="s">
        <v>1354</v>
      </c>
      <c r="B443" s="33" t="s">
        <v>12632</v>
      </c>
      <c r="C443" s="7" t="s">
        <v>17220</v>
      </c>
      <c r="D443" s="112">
        <v>5</v>
      </c>
      <c r="E443" s="7"/>
      <c r="F443" s="112"/>
      <c r="G443" s="2" t="s">
        <v>17207</v>
      </c>
      <c r="H443" s="2" t="s">
        <v>15501</v>
      </c>
      <c r="I443" s="2" t="s">
        <v>11692</v>
      </c>
      <c r="J443" s="2" t="s">
        <v>55</v>
      </c>
      <c r="K443" s="2" t="s">
        <v>17221</v>
      </c>
      <c r="L443" s="2" t="s">
        <v>17223</v>
      </c>
      <c r="M443" s="45" t="str">
        <f t="shared" si="250"/>
        <v>@gmcjcsb</v>
      </c>
      <c r="N443" s="48" t="s">
        <v>22</v>
      </c>
      <c r="O443" s="48" t="s">
        <v>17213</v>
      </c>
      <c r="P443" s="60" t="s">
        <v>871</v>
      </c>
      <c r="Q443" s="60" t="s">
        <v>3823</v>
      </c>
      <c r="R443" s="48" t="s">
        <v>172</v>
      </c>
      <c r="S443" s="49" t="s">
        <v>74</v>
      </c>
      <c r="T443" s="48" t="s">
        <v>75</v>
      </c>
      <c r="U443" s="49" t="s">
        <v>3678</v>
      </c>
      <c r="V443" s="7" t="s">
        <v>214</v>
      </c>
      <c r="W443" s="49" t="s">
        <v>214</v>
      </c>
      <c r="X443" s="49" t="s">
        <v>214</v>
      </c>
      <c r="Y443" s="49" t="s">
        <v>214</v>
      </c>
      <c r="Z443" s="55" t="s">
        <v>214</v>
      </c>
      <c r="AA443" s="39">
        <v>17552</v>
      </c>
      <c r="AB443" s="84" t="s">
        <v>17213</v>
      </c>
      <c r="AC443" s="53" t="str">
        <f t="shared" si="251"/>
        <v>Link</v>
      </c>
      <c r="AD443" s="42">
        <v>8234</v>
      </c>
      <c r="AE443" s="55"/>
      <c r="AF443" s="55"/>
      <c r="AG443" s="56">
        <v>139904</v>
      </c>
      <c r="AH443" s="56"/>
      <c r="AI443" s="56"/>
    </row>
    <row r="444" spans="1:37" ht="15" x14ac:dyDescent="0.2">
      <c r="A444" s="64" t="s">
        <v>1354</v>
      </c>
      <c r="B444" s="33" t="s">
        <v>12632</v>
      </c>
      <c r="C444" s="7" t="s">
        <v>17228</v>
      </c>
      <c r="D444" s="112">
        <v>5</v>
      </c>
      <c r="E444" s="7"/>
      <c r="F444" s="112"/>
      <c r="G444" s="2" t="s">
        <v>17229</v>
      </c>
      <c r="H444" s="2" t="s">
        <v>5749</v>
      </c>
      <c r="I444" s="2" t="s">
        <v>17230</v>
      </c>
      <c r="J444" s="2" t="s">
        <v>48</v>
      </c>
      <c r="K444" s="2" t="s">
        <v>17231</v>
      </c>
      <c r="L444" s="2" t="s">
        <v>17232</v>
      </c>
      <c r="M444" s="45" t="str">
        <f t="shared" ref="M444:M445" si="252">HYPERLINK("twitter.com/gscsoftball","@gscsoftball")</f>
        <v>@gscsoftball</v>
      </c>
      <c r="N444" s="48" t="s">
        <v>22</v>
      </c>
      <c r="O444" s="48" t="s">
        <v>17235</v>
      </c>
      <c r="P444" s="60" t="s">
        <v>871</v>
      </c>
      <c r="Q444" s="48" t="s">
        <v>17236</v>
      </c>
      <c r="R444" s="60" t="s">
        <v>205</v>
      </c>
      <c r="S444" s="49" t="s">
        <v>74</v>
      </c>
      <c r="T444" s="48" t="s">
        <v>75</v>
      </c>
      <c r="U444" s="49" t="s">
        <v>3678</v>
      </c>
      <c r="V444" s="7" t="s">
        <v>214</v>
      </c>
      <c r="W444" s="49" t="s">
        <v>5178</v>
      </c>
      <c r="X444" s="49" t="s">
        <v>8237</v>
      </c>
      <c r="Y444" s="49" t="s">
        <v>17237</v>
      </c>
      <c r="Z444" s="65">
        <v>0.54</v>
      </c>
      <c r="AA444" s="48" t="s">
        <v>17238</v>
      </c>
      <c r="AB444" s="84" t="s">
        <v>17235</v>
      </c>
      <c r="AC444" s="53" t="str">
        <f t="shared" ref="AC444:AC445" si="253">HYPERLINK("http://www.gordonstate.edu/catalog/degree-programs","Link")</f>
        <v>Link</v>
      </c>
      <c r="AD444" s="42">
        <v>3901</v>
      </c>
      <c r="AE444" s="55"/>
      <c r="AF444" s="55"/>
      <c r="AG444" s="56">
        <v>139968</v>
      </c>
      <c r="AH444" s="56"/>
      <c r="AI444" s="56"/>
    </row>
    <row r="445" spans="1:37" ht="15" x14ac:dyDescent="0.2">
      <c r="A445" s="64" t="s">
        <v>1354</v>
      </c>
      <c r="B445" s="33" t="s">
        <v>12632</v>
      </c>
      <c r="C445" s="7" t="s">
        <v>17243</v>
      </c>
      <c r="D445" s="112">
        <v>5</v>
      </c>
      <c r="E445" s="7"/>
      <c r="F445" s="112"/>
      <c r="G445" s="2" t="s">
        <v>17229</v>
      </c>
      <c r="H445" s="2" t="s">
        <v>4603</v>
      </c>
      <c r="I445" s="2" t="s">
        <v>17245</v>
      </c>
      <c r="J445" s="2" t="s">
        <v>55</v>
      </c>
      <c r="K445" s="2" t="s">
        <v>17247</v>
      </c>
      <c r="L445" s="2" t="s">
        <v>17232</v>
      </c>
      <c r="M445" s="45" t="str">
        <f t="shared" si="252"/>
        <v>@gscsoftball</v>
      </c>
      <c r="N445" s="48" t="s">
        <v>22</v>
      </c>
      <c r="O445" s="48" t="s">
        <v>17235</v>
      </c>
      <c r="P445" s="60" t="s">
        <v>871</v>
      </c>
      <c r="Q445" s="48" t="s">
        <v>17236</v>
      </c>
      <c r="R445" s="60" t="s">
        <v>205</v>
      </c>
      <c r="S445" s="49" t="s">
        <v>74</v>
      </c>
      <c r="T445" s="48" t="s">
        <v>75</v>
      </c>
      <c r="U445" s="49" t="s">
        <v>3678</v>
      </c>
      <c r="V445" s="7" t="s">
        <v>214</v>
      </c>
      <c r="W445" s="49" t="s">
        <v>5178</v>
      </c>
      <c r="X445" s="49" t="s">
        <v>8237</v>
      </c>
      <c r="Y445" s="49" t="s">
        <v>17237</v>
      </c>
      <c r="Z445" s="65">
        <v>0.54</v>
      </c>
      <c r="AA445" s="48" t="s">
        <v>17238</v>
      </c>
      <c r="AB445" s="84" t="s">
        <v>17235</v>
      </c>
      <c r="AC445" s="53" t="str">
        <f t="shared" si="253"/>
        <v>Link</v>
      </c>
      <c r="AD445" s="42">
        <v>3901</v>
      </c>
      <c r="AE445" s="55"/>
      <c r="AF445" s="55"/>
      <c r="AG445" s="56">
        <v>139968</v>
      </c>
      <c r="AH445" s="56"/>
      <c r="AI445" s="56"/>
    </row>
    <row r="446" spans="1:37" ht="15" x14ac:dyDescent="0.2">
      <c r="A446" s="64" t="s">
        <v>1354</v>
      </c>
      <c r="B446" s="33" t="s">
        <v>12632</v>
      </c>
      <c r="C446" s="7" t="s">
        <v>17253</v>
      </c>
      <c r="D446" s="112">
        <v>5</v>
      </c>
      <c r="E446" s="7"/>
      <c r="F446" s="112"/>
      <c r="G446" s="2" t="s">
        <v>17254</v>
      </c>
      <c r="H446" s="2" t="s">
        <v>94</v>
      </c>
      <c r="I446" s="2" t="s">
        <v>17255</v>
      </c>
      <c r="J446" s="2" t="s">
        <v>48</v>
      </c>
      <c r="K446" s="2" t="s">
        <v>17256</v>
      </c>
      <c r="L446" s="2" t="s">
        <v>17257</v>
      </c>
      <c r="M446" s="48"/>
      <c r="N446" s="45" t="str">
        <f t="shared" ref="N446:N447" si="254">HYPERLINK("http://www.sgsc.edu/athletics/baseball_softball_questionnaire.cms","Questionnaire")</f>
        <v>Questionnaire</v>
      </c>
      <c r="O446" s="48" t="s">
        <v>17260</v>
      </c>
      <c r="P446" s="60" t="s">
        <v>871</v>
      </c>
      <c r="Q446" s="48" t="s">
        <v>14249</v>
      </c>
      <c r="R446" s="48" t="s">
        <v>172</v>
      </c>
      <c r="S446" s="49" t="s">
        <v>74</v>
      </c>
      <c r="T446" s="48" t="s">
        <v>75</v>
      </c>
      <c r="U446" s="49"/>
      <c r="V446" s="37">
        <v>3.4</v>
      </c>
      <c r="W446" s="49" t="s">
        <v>214</v>
      </c>
      <c r="X446" s="49" t="s">
        <v>214</v>
      </c>
      <c r="Y446" s="49" t="s">
        <v>214</v>
      </c>
      <c r="Z446" s="55" t="s">
        <v>214</v>
      </c>
      <c r="AA446" s="48" t="s">
        <v>17262</v>
      </c>
      <c r="AB446" s="84" t="s">
        <v>17260</v>
      </c>
      <c r="AC446" s="53" t="str">
        <f t="shared" ref="AC446:AC447" si="255">HYPERLINK("http://www.sgsc.edu/becoming-a-hawk/programs-of-study.cms","Link")</f>
        <v>Link</v>
      </c>
      <c r="AD446" s="42">
        <v>2542</v>
      </c>
      <c r="AE446" s="55"/>
      <c r="AF446" s="55"/>
      <c r="AG446" s="56">
        <v>140997</v>
      </c>
      <c r="AH446" s="56"/>
      <c r="AI446" s="56"/>
    </row>
    <row r="447" spans="1:37" ht="15" x14ac:dyDescent="0.2">
      <c r="A447" s="64" t="s">
        <v>1354</v>
      </c>
      <c r="B447" s="33" t="s">
        <v>12632</v>
      </c>
      <c r="C447" s="7" t="s">
        <v>17264</v>
      </c>
      <c r="D447" s="112">
        <v>5</v>
      </c>
      <c r="E447" s="7"/>
      <c r="F447" s="112"/>
      <c r="G447" s="2" t="s">
        <v>17254</v>
      </c>
      <c r="H447" s="2" t="s">
        <v>17266</v>
      </c>
      <c r="I447" s="2" t="s">
        <v>17255</v>
      </c>
      <c r="J447" s="2" t="s">
        <v>55</v>
      </c>
      <c r="K447" s="2" t="s">
        <v>17267</v>
      </c>
      <c r="L447" s="2"/>
      <c r="M447" s="48"/>
      <c r="N447" s="45" t="str">
        <f t="shared" si="254"/>
        <v>Questionnaire</v>
      </c>
      <c r="O447" s="48" t="s">
        <v>17260</v>
      </c>
      <c r="P447" s="60" t="s">
        <v>871</v>
      </c>
      <c r="Q447" s="48" t="s">
        <v>14249</v>
      </c>
      <c r="R447" s="48" t="s">
        <v>172</v>
      </c>
      <c r="S447" s="49" t="s">
        <v>74</v>
      </c>
      <c r="T447" s="48" t="s">
        <v>75</v>
      </c>
      <c r="U447" s="49"/>
      <c r="V447" s="37">
        <v>3.4</v>
      </c>
      <c r="W447" s="49" t="s">
        <v>214</v>
      </c>
      <c r="X447" s="49" t="s">
        <v>214</v>
      </c>
      <c r="Y447" s="49" t="s">
        <v>214</v>
      </c>
      <c r="Z447" s="55" t="s">
        <v>214</v>
      </c>
      <c r="AA447" s="48" t="s">
        <v>17262</v>
      </c>
      <c r="AB447" s="84" t="s">
        <v>17260</v>
      </c>
      <c r="AC447" s="53" t="str">
        <f t="shared" si="255"/>
        <v>Link</v>
      </c>
      <c r="AD447" s="42">
        <v>2542</v>
      </c>
      <c r="AE447" s="55"/>
      <c r="AF447" s="55"/>
      <c r="AG447" s="56">
        <v>140997</v>
      </c>
      <c r="AH447" s="56"/>
      <c r="AI447" s="56"/>
    </row>
    <row r="448" spans="1:37" ht="15" x14ac:dyDescent="0.2">
      <c r="A448" s="31" t="s">
        <v>4302</v>
      </c>
      <c r="B448" s="33" t="s">
        <v>12632</v>
      </c>
      <c r="C448" s="7"/>
      <c r="D448" s="112">
        <v>5</v>
      </c>
      <c r="E448" s="7"/>
      <c r="F448" s="112"/>
      <c r="G448" s="2" t="s">
        <v>17268</v>
      </c>
      <c r="H448" s="2" t="s">
        <v>17269</v>
      </c>
      <c r="I448" s="2" t="s">
        <v>17271</v>
      </c>
      <c r="J448" s="2" t="s">
        <v>48</v>
      </c>
      <c r="K448" s="2" t="s">
        <v>17272</v>
      </c>
      <c r="L448" s="2" t="s">
        <v>17274</v>
      </c>
      <c r="M448" s="45" t="str">
        <f t="shared" ref="M448:M450" si="256">HYPERLINK("twitter.com/nic_softball","@nic_softball")</f>
        <v>@nic_softball</v>
      </c>
      <c r="N448" s="48" t="s">
        <v>22</v>
      </c>
      <c r="O448" s="48" t="s">
        <v>17278</v>
      </c>
      <c r="P448" s="60" t="s">
        <v>3457</v>
      </c>
      <c r="Q448" s="48" t="s">
        <v>17279</v>
      </c>
      <c r="R448" s="48" t="s">
        <v>186</v>
      </c>
      <c r="S448" s="49" t="s">
        <v>74</v>
      </c>
      <c r="T448" s="48" t="s">
        <v>75</v>
      </c>
      <c r="U448" s="49" t="s">
        <v>3678</v>
      </c>
      <c r="V448" s="7" t="s">
        <v>214</v>
      </c>
      <c r="W448" s="49" t="s">
        <v>214</v>
      </c>
      <c r="X448" s="49" t="s">
        <v>214</v>
      </c>
      <c r="Y448" s="49" t="s">
        <v>214</v>
      </c>
      <c r="Z448" s="55" t="s">
        <v>214</v>
      </c>
      <c r="AA448" s="48" t="s">
        <v>17280</v>
      </c>
      <c r="AB448" s="84" t="s">
        <v>17278</v>
      </c>
      <c r="AC448" s="53" t="str">
        <f t="shared" ref="AC448:AC450" si="257">HYPERLINK("http://www.nic.edu/programs/degrees.aspx","Link")</f>
        <v>Link</v>
      </c>
      <c r="AD448" s="42">
        <v>5344</v>
      </c>
      <c r="AE448" s="55"/>
      <c r="AF448" s="55"/>
      <c r="AG448" s="56">
        <v>142443</v>
      </c>
      <c r="AH448" s="7" t="s">
        <v>2459</v>
      </c>
      <c r="AI448" s="7"/>
      <c r="AJ448" s="7"/>
      <c r="AK448" s="7"/>
    </row>
    <row r="449" spans="1:37" ht="15" x14ac:dyDescent="0.2">
      <c r="A449" s="31" t="s">
        <v>4302</v>
      </c>
      <c r="B449" s="33" t="s">
        <v>12632</v>
      </c>
      <c r="C449" s="7"/>
      <c r="D449" s="112">
        <v>5</v>
      </c>
      <c r="E449" s="7"/>
      <c r="F449" s="112"/>
      <c r="G449" s="2" t="s">
        <v>17268</v>
      </c>
      <c r="H449" s="2" t="s">
        <v>17283</v>
      </c>
      <c r="I449" s="2" t="s">
        <v>17284</v>
      </c>
      <c r="J449" s="2" t="s">
        <v>55</v>
      </c>
      <c r="K449" s="2" t="s">
        <v>17285</v>
      </c>
      <c r="L449" s="2" t="s">
        <v>17286</v>
      </c>
      <c r="M449" s="45" t="str">
        <f t="shared" si="256"/>
        <v>@nic_softball</v>
      </c>
      <c r="N449" s="48" t="s">
        <v>22</v>
      </c>
      <c r="O449" s="48" t="s">
        <v>17278</v>
      </c>
      <c r="P449" s="60" t="s">
        <v>3457</v>
      </c>
      <c r="Q449" s="48" t="s">
        <v>17279</v>
      </c>
      <c r="R449" s="48" t="s">
        <v>186</v>
      </c>
      <c r="S449" s="49" t="s">
        <v>74</v>
      </c>
      <c r="T449" s="48" t="s">
        <v>75</v>
      </c>
      <c r="U449" s="49" t="s">
        <v>3678</v>
      </c>
      <c r="V449" s="7" t="s">
        <v>214</v>
      </c>
      <c r="W449" s="49" t="s">
        <v>214</v>
      </c>
      <c r="X449" s="49" t="s">
        <v>214</v>
      </c>
      <c r="Y449" s="49" t="s">
        <v>214</v>
      </c>
      <c r="Z449" s="55" t="s">
        <v>214</v>
      </c>
      <c r="AA449" s="48" t="s">
        <v>17280</v>
      </c>
      <c r="AB449" s="84" t="s">
        <v>17278</v>
      </c>
      <c r="AC449" s="53" t="str">
        <f t="shared" si="257"/>
        <v>Link</v>
      </c>
      <c r="AD449" s="42">
        <v>5344</v>
      </c>
      <c r="AE449" s="55"/>
      <c r="AF449" s="55"/>
      <c r="AG449" s="56">
        <v>142443</v>
      </c>
      <c r="AH449" s="7" t="s">
        <v>2459</v>
      </c>
      <c r="AI449" s="7"/>
      <c r="AJ449" s="7"/>
      <c r="AK449" s="7"/>
    </row>
    <row r="450" spans="1:37" ht="15" x14ac:dyDescent="0.2">
      <c r="A450" s="31" t="s">
        <v>4302</v>
      </c>
      <c r="B450" s="33" t="s">
        <v>12632</v>
      </c>
      <c r="C450" s="7"/>
      <c r="D450" s="112">
        <v>5</v>
      </c>
      <c r="E450" s="7"/>
      <c r="F450" s="112"/>
      <c r="G450" s="2" t="s">
        <v>17268</v>
      </c>
      <c r="H450" s="2" t="s">
        <v>161</v>
      </c>
      <c r="I450" s="2" t="s">
        <v>17289</v>
      </c>
      <c r="J450" s="2" t="s">
        <v>139</v>
      </c>
      <c r="K450" s="2"/>
      <c r="L450" s="2"/>
      <c r="M450" s="45" t="str">
        <f t="shared" si="256"/>
        <v>@nic_softball</v>
      </c>
      <c r="N450" s="48" t="s">
        <v>22</v>
      </c>
      <c r="O450" s="48" t="s">
        <v>17278</v>
      </c>
      <c r="P450" s="60" t="s">
        <v>3457</v>
      </c>
      <c r="Q450" s="48" t="s">
        <v>17279</v>
      </c>
      <c r="R450" s="48" t="s">
        <v>186</v>
      </c>
      <c r="S450" s="49" t="s">
        <v>74</v>
      </c>
      <c r="T450" s="48" t="s">
        <v>75</v>
      </c>
      <c r="U450" s="49" t="s">
        <v>3678</v>
      </c>
      <c r="V450" s="7" t="s">
        <v>214</v>
      </c>
      <c r="W450" s="49" t="s">
        <v>214</v>
      </c>
      <c r="X450" s="49" t="s">
        <v>214</v>
      </c>
      <c r="Y450" s="49" t="s">
        <v>214</v>
      </c>
      <c r="Z450" s="55" t="s">
        <v>214</v>
      </c>
      <c r="AA450" s="48" t="s">
        <v>17280</v>
      </c>
      <c r="AB450" s="84" t="s">
        <v>17278</v>
      </c>
      <c r="AC450" s="53" t="str">
        <f t="shared" si="257"/>
        <v>Link</v>
      </c>
      <c r="AD450" s="42">
        <v>5344</v>
      </c>
      <c r="AE450" s="55"/>
      <c r="AF450" s="55"/>
      <c r="AG450" s="56">
        <v>142443</v>
      </c>
      <c r="AH450" s="7" t="s">
        <v>2459</v>
      </c>
      <c r="AI450" s="7"/>
      <c r="AJ450" s="7"/>
      <c r="AK450" s="7"/>
    </row>
    <row r="451" spans="1:37" ht="15" x14ac:dyDescent="0.2">
      <c r="A451" s="64" t="s">
        <v>4302</v>
      </c>
      <c r="B451" s="33" t="s">
        <v>12632</v>
      </c>
      <c r="C451" s="7" t="s">
        <v>17295</v>
      </c>
      <c r="D451" s="112">
        <v>5</v>
      </c>
      <c r="E451" s="7"/>
      <c r="F451" s="112"/>
      <c r="G451" s="2" t="s">
        <v>17296</v>
      </c>
      <c r="H451" s="2" t="s">
        <v>3444</v>
      </c>
      <c r="I451" s="2" t="s">
        <v>17297</v>
      </c>
      <c r="J451" s="2" t="s">
        <v>48</v>
      </c>
      <c r="K451" s="2" t="s">
        <v>17298</v>
      </c>
      <c r="L451" s="2" t="s">
        <v>17299</v>
      </c>
      <c r="M451" s="45" t="str">
        <f t="shared" ref="M451:M452" si="258">HYPERLINK("twitter.com/csisoftball","@csisoftball")</f>
        <v>@csisoftball</v>
      </c>
      <c r="N451" s="45" t="str">
        <f t="shared" ref="N451:N452" si="259">HYPERLINK("https://athletics.csi.edu/sb_output.aspx?form=3","Questionnaire")</f>
        <v>Questionnaire</v>
      </c>
      <c r="O451" s="60" t="s">
        <v>17301</v>
      </c>
      <c r="P451" s="60" t="s">
        <v>3457</v>
      </c>
      <c r="Q451" s="48" t="s">
        <v>17302</v>
      </c>
      <c r="R451" s="48" t="s">
        <v>468</v>
      </c>
      <c r="S451" s="49" t="s">
        <v>74</v>
      </c>
      <c r="T451" s="48" t="s">
        <v>75</v>
      </c>
      <c r="U451" s="49" t="s">
        <v>3678</v>
      </c>
      <c r="V451" s="7" t="s">
        <v>214</v>
      </c>
      <c r="W451" s="49" t="s">
        <v>214</v>
      </c>
      <c r="X451" s="49" t="s">
        <v>214</v>
      </c>
      <c r="Y451" s="49" t="s">
        <v>214</v>
      </c>
      <c r="Z451" s="55" t="s">
        <v>214</v>
      </c>
      <c r="AA451" s="48" t="s">
        <v>17305</v>
      </c>
      <c r="AB451" s="90" t="s">
        <v>17301</v>
      </c>
      <c r="AC451" s="53" t="str">
        <f t="shared" ref="AC451:AC452" si="260">HYPERLINK("http://csi.smartcatalogiq.com/2017-2018/Catalog/Degree-and-Certification-Requirements/Majors","Link")</f>
        <v>Link</v>
      </c>
      <c r="AD451" s="42">
        <v>7053</v>
      </c>
      <c r="AE451" s="55"/>
      <c r="AF451" s="55"/>
      <c r="AG451" s="56">
        <v>142559</v>
      </c>
      <c r="AH451" s="56"/>
      <c r="AI451" s="56"/>
    </row>
    <row r="452" spans="1:37" ht="15" x14ac:dyDescent="0.2">
      <c r="A452" s="64" t="s">
        <v>4302</v>
      </c>
      <c r="B452" s="33" t="s">
        <v>12632</v>
      </c>
      <c r="C452" s="7" t="s">
        <v>17310</v>
      </c>
      <c r="D452" s="112">
        <v>5</v>
      </c>
      <c r="E452" s="7"/>
      <c r="F452" s="112"/>
      <c r="G452" s="2" t="s">
        <v>17296</v>
      </c>
      <c r="H452" s="2" t="s">
        <v>1075</v>
      </c>
      <c r="I452" s="2" t="s">
        <v>3810</v>
      </c>
      <c r="J452" s="2" t="s">
        <v>55</v>
      </c>
      <c r="K452" s="2"/>
      <c r="L452" s="2"/>
      <c r="M452" s="45" t="str">
        <f t="shared" si="258"/>
        <v>@csisoftball</v>
      </c>
      <c r="N452" s="45" t="str">
        <f t="shared" si="259"/>
        <v>Questionnaire</v>
      </c>
      <c r="O452" s="60" t="s">
        <v>17301</v>
      </c>
      <c r="P452" s="60" t="s">
        <v>3457</v>
      </c>
      <c r="Q452" s="48" t="s">
        <v>17302</v>
      </c>
      <c r="R452" s="48" t="s">
        <v>468</v>
      </c>
      <c r="S452" s="49" t="s">
        <v>74</v>
      </c>
      <c r="T452" s="48" t="s">
        <v>75</v>
      </c>
      <c r="U452" s="49" t="s">
        <v>3678</v>
      </c>
      <c r="V452" s="7" t="s">
        <v>214</v>
      </c>
      <c r="W452" s="49" t="s">
        <v>214</v>
      </c>
      <c r="X452" s="49" t="s">
        <v>214</v>
      </c>
      <c r="Y452" s="49" t="s">
        <v>214</v>
      </c>
      <c r="Z452" s="55" t="s">
        <v>214</v>
      </c>
      <c r="AA452" s="48" t="s">
        <v>17305</v>
      </c>
      <c r="AB452" s="90" t="s">
        <v>17301</v>
      </c>
      <c r="AC452" s="53" t="str">
        <f t="shared" si="260"/>
        <v>Link</v>
      </c>
      <c r="AD452" s="42">
        <v>7053</v>
      </c>
      <c r="AE452" s="55"/>
      <c r="AF452" s="55"/>
      <c r="AG452" s="56">
        <v>142559</v>
      </c>
      <c r="AH452" s="56"/>
      <c r="AI452" s="56"/>
    </row>
    <row r="453" spans="1:37" ht="15" x14ac:dyDescent="0.2">
      <c r="A453" s="31" t="s">
        <v>1705</v>
      </c>
      <c r="B453" s="33" t="s">
        <v>12632</v>
      </c>
      <c r="C453" s="7"/>
      <c r="D453" s="112">
        <v>5</v>
      </c>
      <c r="E453" s="7"/>
      <c r="F453" s="112"/>
      <c r="G453" s="2" t="s">
        <v>17312</v>
      </c>
      <c r="H453" s="2" t="s">
        <v>1046</v>
      </c>
      <c r="I453" s="2" t="s">
        <v>17314</v>
      </c>
      <c r="J453" s="2" t="s">
        <v>48</v>
      </c>
      <c r="K453" s="2" t="s">
        <v>17315</v>
      </c>
      <c r="L453" s="2" t="s">
        <v>17316</v>
      </c>
      <c r="M453" s="45" t="str">
        <f t="shared" ref="M453:M456" si="261">HYPERLINK("twitter.com/bhcsoftball","@bhcsoftball")</f>
        <v>@bhcsoftball</v>
      </c>
      <c r="N453" s="45" t="str">
        <f t="shared" ref="N453:N456" si="262">HYPERLINK("https://www.bhc.edu/athletics/softball/recruit-me/","Questionnaire")</f>
        <v>Questionnaire</v>
      </c>
      <c r="O453" s="108" t="s">
        <v>17318</v>
      </c>
      <c r="P453" s="60" t="s">
        <v>1721</v>
      </c>
      <c r="Q453" s="48" t="s">
        <v>17319</v>
      </c>
      <c r="R453" s="48" t="s">
        <v>468</v>
      </c>
      <c r="S453" s="49" t="s">
        <v>74</v>
      </c>
      <c r="T453" s="48" t="s">
        <v>75</v>
      </c>
      <c r="U453" s="49" t="s">
        <v>3678</v>
      </c>
      <c r="V453" s="7" t="s">
        <v>214</v>
      </c>
      <c r="W453" s="49" t="s">
        <v>214</v>
      </c>
      <c r="X453" s="49" t="s">
        <v>214</v>
      </c>
      <c r="Y453" s="49" t="s">
        <v>214</v>
      </c>
      <c r="Z453" s="55" t="s">
        <v>214</v>
      </c>
      <c r="AA453" s="48" t="s">
        <v>17320</v>
      </c>
      <c r="AB453" s="52" t="s">
        <v>17318</v>
      </c>
      <c r="AC453" s="53" t="str">
        <f t="shared" ref="AC453:AC456" si="263">HYPERLINK("https://www.bhc.edu/academics/career-programs/","Link")</f>
        <v>Link</v>
      </c>
      <c r="AD453" s="42">
        <v>5613</v>
      </c>
      <c r="AE453" s="55"/>
      <c r="AF453" s="55"/>
      <c r="AG453" s="56">
        <v>143279</v>
      </c>
      <c r="AH453" s="7" t="s">
        <v>2459</v>
      </c>
      <c r="AI453" s="7"/>
      <c r="AJ453" s="7"/>
      <c r="AK453" s="7"/>
    </row>
    <row r="454" spans="1:37" ht="15" x14ac:dyDescent="0.2">
      <c r="A454" s="31" t="s">
        <v>1705</v>
      </c>
      <c r="B454" s="33" t="s">
        <v>12632</v>
      </c>
      <c r="C454" s="7"/>
      <c r="D454" s="112">
        <v>5</v>
      </c>
      <c r="E454" s="7"/>
      <c r="F454" s="112"/>
      <c r="G454" s="2" t="s">
        <v>17312</v>
      </c>
      <c r="H454" s="2" t="s">
        <v>981</v>
      </c>
      <c r="I454" s="2" t="s">
        <v>10657</v>
      </c>
      <c r="J454" s="2" t="s">
        <v>55</v>
      </c>
      <c r="K454" s="2"/>
      <c r="L454" s="2"/>
      <c r="M454" s="45" t="str">
        <f t="shared" si="261"/>
        <v>@bhcsoftball</v>
      </c>
      <c r="N454" s="45" t="str">
        <f t="shared" si="262"/>
        <v>Questionnaire</v>
      </c>
      <c r="O454" s="108" t="s">
        <v>17318</v>
      </c>
      <c r="P454" s="60" t="s">
        <v>1721</v>
      </c>
      <c r="Q454" s="48" t="s">
        <v>17319</v>
      </c>
      <c r="R454" s="48" t="s">
        <v>468</v>
      </c>
      <c r="S454" s="49" t="s">
        <v>74</v>
      </c>
      <c r="T454" s="48" t="s">
        <v>75</v>
      </c>
      <c r="U454" s="49" t="s">
        <v>3678</v>
      </c>
      <c r="V454" s="7" t="s">
        <v>214</v>
      </c>
      <c r="W454" s="49" t="s">
        <v>214</v>
      </c>
      <c r="X454" s="49" t="s">
        <v>214</v>
      </c>
      <c r="Y454" s="49" t="s">
        <v>214</v>
      </c>
      <c r="Z454" s="55" t="s">
        <v>214</v>
      </c>
      <c r="AA454" s="48" t="s">
        <v>17320</v>
      </c>
      <c r="AB454" s="52" t="s">
        <v>17318</v>
      </c>
      <c r="AC454" s="53" t="str">
        <f t="shared" si="263"/>
        <v>Link</v>
      </c>
      <c r="AD454" s="42">
        <v>5613</v>
      </c>
      <c r="AE454" s="55"/>
      <c r="AF454" s="55"/>
      <c r="AG454" s="56">
        <v>143279</v>
      </c>
      <c r="AH454" s="7" t="s">
        <v>2459</v>
      </c>
      <c r="AI454" s="7"/>
      <c r="AJ454" s="7"/>
      <c r="AK454" s="7"/>
    </row>
    <row r="455" spans="1:37" ht="15" x14ac:dyDescent="0.2">
      <c r="A455" s="31" t="s">
        <v>1705</v>
      </c>
      <c r="B455" s="33" t="s">
        <v>12632</v>
      </c>
      <c r="C455" s="7"/>
      <c r="D455" s="112">
        <v>5</v>
      </c>
      <c r="E455" s="7"/>
      <c r="F455" s="112"/>
      <c r="G455" s="2" t="s">
        <v>17312</v>
      </c>
      <c r="H455" s="2" t="s">
        <v>3966</v>
      </c>
      <c r="I455" s="2" t="s">
        <v>1981</v>
      </c>
      <c r="J455" s="2" t="s">
        <v>55</v>
      </c>
      <c r="K455" s="2"/>
      <c r="L455" s="2"/>
      <c r="M455" s="45" t="str">
        <f t="shared" si="261"/>
        <v>@bhcsoftball</v>
      </c>
      <c r="N455" s="45" t="str">
        <f t="shared" si="262"/>
        <v>Questionnaire</v>
      </c>
      <c r="O455" s="108" t="s">
        <v>17318</v>
      </c>
      <c r="P455" s="60" t="s">
        <v>1721</v>
      </c>
      <c r="Q455" s="48" t="s">
        <v>17319</v>
      </c>
      <c r="R455" s="48" t="s">
        <v>468</v>
      </c>
      <c r="S455" s="49" t="s">
        <v>74</v>
      </c>
      <c r="T455" s="48" t="s">
        <v>75</v>
      </c>
      <c r="U455" s="49" t="s">
        <v>3678</v>
      </c>
      <c r="V455" s="7" t="s">
        <v>214</v>
      </c>
      <c r="W455" s="49" t="s">
        <v>214</v>
      </c>
      <c r="X455" s="49" t="s">
        <v>214</v>
      </c>
      <c r="Y455" s="49" t="s">
        <v>214</v>
      </c>
      <c r="Z455" s="55" t="s">
        <v>214</v>
      </c>
      <c r="AA455" s="48" t="s">
        <v>17320</v>
      </c>
      <c r="AB455" s="52" t="s">
        <v>17318</v>
      </c>
      <c r="AC455" s="53" t="str">
        <f t="shared" si="263"/>
        <v>Link</v>
      </c>
      <c r="AD455" s="42">
        <v>5613</v>
      </c>
      <c r="AE455" s="55"/>
      <c r="AF455" s="55"/>
      <c r="AG455" s="56">
        <v>143279</v>
      </c>
      <c r="AH455" s="7" t="s">
        <v>2459</v>
      </c>
      <c r="AI455" s="7"/>
      <c r="AJ455" s="7"/>
      <c r="AK455" s="7"/>
    </row>
    <row r="456" spans="1:37" ht="15" x14ac:dyDescent="0.2">
      <c r="A456" s="31" t="s">
        <v>1705</v>
      </c>
      <c r="B456" s="33" t="s">
        <v>12632</v>
      </c>
      <c r="C456" s="7"/>
      <c r="D456" s="112">
        <v>5</v>
      </c>
      <c r="E456" s="7"/>
      <c r="F456" s="112"/>
      <c r="G456" s="2" t="s">
        <v>17312</v>
      </c>
      <c r="H456" s="2" t="s">
        <v>1124</v>
      </c>
      <c r="I456" s="2" t="s">
        <v>17329</v>
      </c>
      <c r="J456" s="2" t="s">
        <v>55</v>
      </c>
      <c r="K456" s="2"/>
      <c r="L456" s="2"/>
      <c r="M456" s="45" t="str">
        <f t="shared" si="261"/>
        <v>@bhcsoftball</v>
      </c>
      <c r="N456" s="45" t="str">
        <f t="shared" si="262"/>
        <v>Questionnaire</v>
      </c>
      <c r="O456" s="108" t="s">
        <v>17318</v>
      </c>
      <c r="P456" s="60" t="s">
        <v>1721</v>
      </c>
      <c r="Q456" s="48" t="s">
        <v>17319</v>
      </c>
      <c r="R456" s="48" t="s">
        <v>468</v>
      </c>
      <c r="S456" s="49" t="s">
        <v>74</v>
      </c>
      <c r="T456" s="48" t="s">
        <v>75</v>
      </c>
      <c r="U456" s="49" t="s">
        <v>3678</v>
      </c>
      <c r="V456" s="7" t="s">
        <v>214</v>
      </c>
      <c r="W456" s="49" t="s">
        <v>214</v>
      </c>
      <c r="X456" s="49" t="s">
        <v>214</v>
      </c>
      <c r="Y456" s="49" t="s">
        <v>214</v>
      </c>
      <c r="Z456" s="55" t="s">
        <v>214</v>
      </c>
      <c r="AA456" s="48" t="s">
        <v>17320</v>
      </c>
      <c r="AB456" s="52" t="s">
        <v>17318</v>
      </c>
      <c r="AC456" s="53" t="str">
        <f t="shared" si="263"/>
        <v>Link</v>
      </c>
      <c r="AD456" s="42">
        <v>5613</v>
      </c>
      <c r="AE456" s="55"/>
      <c r="AF456" s="55"/>
      <c r="AG456" s="56">
        <v>143279</v>
      </c>
      <c r="AH456" s="7" t="s">
        <v>2459</v>
      </c>
      <c r="AI456" s="7"/>
      <c r="AJ456" s="7"/>
      <c r="AK456" s="7"/>
    </row>
    <row r="457" spans="1:37" ht="15" x14ac:dyDescent="0.2">
      <c r="A457" s="31" t="s">
        <v>1705</v>
      </c>
      <c r="B457" s="33" t="s">
        <v>12632</v>
      </c>
      <c r="C457" s="7"/>
      <c r="D457" s="112">
        <v>5</v>
      </c>
      <c r="E457" s="7"/>
      <c r="F457" s="112"/>
      <c r="G457" s="2" t="s">
        <v>17333</v>
      </c>
      <c r="H457" s="2" t="s">
        <v>2200</v>
      </c>
      <c r="I457" s="2" t="s">
        <v>1987</v>
      </c>
      <c r="J457" s="2" t="s">
        <v>48</v>
      </c>
      <c r="K457" s="2" t="s">
        <v>17335</v>
      </c>
      <c r="L457" s="2" t="s">
        <v>17336</v>
      </c>
      <c r="M457" s="45" t="str">
        <f>HYPERLINK("twitter.com/sandburgsftball","@sandburgsftball")</f>
        <v>@sandburgsftball</v>
      </c>
      <c r="N457" s="45" t="str">
        <f>HYPERLINK("http://sandburg.edu/Athletics/Recruit-Me.html","Questionnaire")</f>
        <v>Questionnaire</v>
      </c>
      <c r="O457" s="6" t="s">
        <v>17338</v>
      </c>
      <c r="P457" s="60" t="s">
        <v>1721</v>
      </c>
      <c r="Q457" s="48" t="s">
        <v>2241</v>
      </c>
      <c r="R457" s="48" t="s">
        <v>468</v>
      </c>
      <c r="S457" s="5" t="s">
        <v>74</v>
      </c>
      <c r="T457" s="48" t="s">
        <v>75</v>
      </c>
      <c r="U457" s="49" t="s">
        <v>3678</v>
      </c>
      <c r="V457" s="7" t="s">
        <v>214</v>
      </c>
      <c r="W457" s="49" t="s">
        <v>214</v>
      </c>
      <c r="X457" s="49" t="s">
        <v>214</v>
      </c>
      <c r="Y457" s="49" t="s">
        <v>214</v>
      </c>
      <c r="Z457" s="55" t="s">
        <v>214</v>
      </c>
      <c r="AA457" s="48" t="s">
        <v>17341</v>
      </c>
      <c r="AB457" s="90" t="s">
        <v>17342</v>
      </c>
      <c r="AC457" s="53" t="str">
        <f>HYPERLINK("http://catalog.sandburg.edu/degreesprogramsandcertificates/","Link")</f>
        <v>Link</v>
      </c>
      <c r="AD457" s="42">
        <v>1927</v>
      </c>
      <c r="AE457" s="55"/>
      <c r="AF457" s="55"/>
      <c r="AG457" s="56">
        <v>143613</v>
      </c>
      <c r="AH457" s="7" t="s">
        <v>2459</v>
      </c>
      <c r="AI457" s="7"/>
      <c r="AJ457" s="7"/>
      <c r="AK457" s="7"/>
    </row>
    <row r="458" spans="1:37" ht="15" x14ac:dyDescent="0.2">
      <c r="A458" s="64" t="s">
        <v>1705</v>
      </c>
      <c r="B458" s="33" t="s">
        <v>12632</v>
      </c>
      <c r="C458" s="7" t="s">
        <v>17346</v>
      </c>
      <c r="D458" s="44">
        <v>5</v>
      </c>
      <c r="E458" s="7" t="s">
        <v>116</v>
      </c>
      <c r="F458" s="7"/>
      <c r="G458" s="2" t="s">
        <v>17348</v>
      </c>
      <c r="H458" s="7" t="s">
        <v>17349</v>
      </c>
      <c r="I458" s="7" t="s">
        <v>263</v>
      </c>
      <c r="J458" s="7" t="s">
        <v>139</v>
      </c>
      <c r="K458" s="7"/>
      <c r="L458" s="7"/>
      <c r="M458" s="45" t="str">
        <f t="shared" ref="M458:M461" si="264">HYPERLINK("twitter.com/daccwsb","@daccwsb")</f>
        <v>@daccwsb</v>
      </c>
      <c r="N458" s="45" t="str">
        <f t="shared" ref="N458:N461" si="265">HYPERLINK("https://danvillejaguars.com/sb_output.aspx?form=3","Questionnaire")</f>
        <v>Questionnaire</v>
      </c>
      <c r="O458" s="48" t="s">
        <v>17351</v>
      </c>
      <c r="P458" s="60" t="s">
        <v>1721</v>
      </c>
      <c r="Q458" s="48" t="s">
        <v>3452</v>
      </c>
      <c r="R458" s="48" t="s">
        <v>468</v>
      </c>
      <c r="S458" s="49" t="s">
        <v>74</v>
      </c>
      <c r="T458" s="48" t="s">
        <v>75</v>
      </c>
      <c r="U458" s="49" t="s">
        <v>3678</v>
      </c>
      <c r="V458" s="7" t="s">
        <v>214</v>
      </c>
      <c r="W458" s="49" t="s">
        <v>214</v>
      </c>
      <c r="X458" s="49" t="s">
        <v>214</v>
      </c>
      <c r="Y458" s="49" t="s">
        <v>214</v>
      </c>
      <c r="Z458" s="55" t="s">
        <v>214</v>
      </c>
      <c r="AA458" s="48" t="s">
        <v>17352</v>
      </c>
      <c r="AB458" s="84" t="s">
        <v>17351</v>
      </c>
      <c r="AC458" s="53" t="str">
        <f t="shared" ref="AC458:AC461" si="266">HYPERLINK("https://www.dacc.edu/degree-cert","Link")</f>
        <v>Link</v>
      </c>
      <c r="AD458" s="42">
        <v>2666</v>
      </c>
      <c r="AE458" s="55"/>
      <c r="AF458" s="55"/>
      <c r="AG458" s="56">
        <v>144564</v>
      </c>
      <c r="AH458" s="56"/>
      <c r="AI458" s="56"/>
    </row>
    <row r="459" spans="1:37" ht="15" x14ac:dyDescent="0.2">
      <c r="A459" s="64" t="s">
        <v>1705</v>
      </c>
      <c r="B459" s="33" t="s">
        <v>12632</v>
      </c>
      <c r="C459" s="7" t="s">
        <v>17355</v>
      </c>
      <c r="D459" s="112">
        <v>5</v>
      </c>
      <c r="E459" s="7"/>
      <c r="F459" s="112"/>
      <c r="G459" s="2" t="s">
        <v>17348</v>
      </c>
      <c r="H459" s="2" t="s">
        <v>644</v>
      </c>
      <c r="I459" s="2" t="s">
        <v>11813</v>
      </c>
      <c r="J459" s="2" t="s">
        <v>48</v>
      </c>
      <c r="K459" s="2" t="s">
        <v>17357</v>
      </c>
      <c r="L459" s="2" t="s">
        <v>17358</v>
      </c>
      <c r="M459" s="45" t="str">
        <f t="shared" si="264"/>
        <v>@daccwsb</v>
      </c>
      <c r="N459" s="45" t="str">
        <f t="shared" si="265"/>
        <v>Questionnaire</v>
      </c>
      <c r="O459" s="48" t="s">
        <v>17351</v>
      </c>
      <c r="P459" s="60" t="s">
        <v>1721</v>
      </c>
      <c r="Q459" s="48" t="s">
        <v>3452</v>
      </c>
      <c r="R459" s="48" t="s">
        <v>468</v>
      </c>
      <c r="S459" s="49" t="s">
        <v>74</v>
      </c>
      <c r="T459" s="48" t="s">
        <v>75</v>
      </c>
      <c r="U459" s="49" t="s">
        <v>3678</v>
      </c>
      <c r="V459" s="7" t="s">
        <v>214</v>
      </c>
      <c r="W459" s="49" t="s">
        <v>214</v>
      </c>
      <c r="X459" s="49" t="s">
        <v>214</v>
      </c>
      <c r="Y459" s="49" t="s">
        <v>214</v>
      </c>
      <c r="Z459" s="55" t="s">
        <v>214</v>
      </c>
      <c r="AA459" s="48" t="s">
        <v>17352</v>
      </c>
      <c r="AB459" s="84" t="s">
        <v>17351</v>
      </c>
      <c r="AC459" s="53" t="str">
        <f t="shared" si="266"/>
        <v>Link</v>
      </c>
      <c r="AD459" s="42">
        <v>2666</v>
      </c>
      <c r="AE459" s="55"/>
      <c r="AF459" s="55"/>
      <c r="AG459" s="56">
        <v>144564</v>
      </c>
      <c r="AH459" s="56"/>
      <c r="AI459" s="56"/>
    </row>
    <row r="460" spans="1:37" ht="15" x14ac:dyDescent="0.2">
      <c r="A460" s="64" t="s">
        <v>1705</v>
      </c>
      <c r="B460" s="33" t="s">
        <v>12632</v>
      </c>
      <c r="C460" s="7" t="s">
        <v>17364</v>
      </c>
      <c r="D460" s="112">
        <v>5</v>
      </c>
      <c r="E460" s="7"/>
      <c r="F460" s="112"/>
      <c r="G460" s="2" t="s">
        <v>17348</v>
      </c>
      <c r="H460" s="2" t="s">
        <v>6634</v>
      </c>
      <c r="I460" s="2" t="s">
        <v>11813</v>
      </c>
      <c r="J460" s="2" t="s">
        <v>55</v>
      </c>
      <c r="K460" s="2" t="s">
        <v>17365</v>
      </c>
      <c r="L460" s="2" t="s">
        <v>17366</v>
      </c>
      <c r="M460" s="45" t="str">
        <f t="shared" si="264"/>
        <v>@daccwsb</v>
      </c>
      <c r="N460" s="45" t="str">
        <f t="shared" si="265"/>
        <v>Questionnaire</v>
      </c>
      <c r="O460" s="48" t="s">
        <v>17351</v>
      </c>
      <c r="P460" s="60" t="s">
        <v>1721</v>
      </c>
      <c r="Q460" s="48" t="s">
        <v>3452</v>
      </c>
      <c r="R460" s="48" t="s">
        <v>468</v>
      </c>
      <c r="S460" s="49" t="s">
        <v>74</v>
      </c>
      <c r="T460" s="48" t="s">
        <v>75</v>
      </c>
      <c r="U460" s="49" t="s">
        <v>3678</v>
      </c>
      <c r="V460" s="7" t="s">
        <v>214</v>
      </c>
      <c r="W460" s="49" t="s">
        <v>214</v>
      </c>
      <c r="X460" s="49" t="s">
        <v>214</v>
      </c>
      <c r="Y460" s="49" t="s">
        <v>214</v>
      </c>
      <c r="Z460" s="55" t="s">
        <v>214</v>
      </c>
      <c r="AA460" s="48" t="s">
        <v>17352</v>
      </c>
      <c r="AB460" s="84" t="s">
        <v>17351</v>
      </c>
      <c r="AC460" s="53" t="str">
        <f t="shared" si="266"/>
        <v>Link</v>
      </c>
      <c r="AD460" s="42">
        <v>2666</v>
      </c>
      <c r="AE460" s="55"/>
      <c r="AF460" s="55"/>
      <c r="AG460" s="56">
        <v>144564</v>
      </c>
      <c r="AH460" s="56"/>
      <c r="AI460" s="56"/>
    </row>
    <row r="461" spans="1:37" ht="15" x14ac:dyDescent="0.2">
      <c r="A461" s="64" t="s">
        <v>1705</v>
      </c>
      <c r="B461" s="33" t="s">
        <v>12632</v>
      </c>
      <c r="C461" s="7" t="s">
        <v>17368</v>
      </c>
      <c r="D461" s="112">
        <v>5</v>
      </c>
      <c r="E461" s="7"/>
      <c r="F461" s="112"/>
      <c r="G461" s="2" t="s">
        <v>17348</v>
      </c>
      <c r="H461" s="2" t="s">
        <v>904</v>
      </c>
      <c r="I461" s="2" t="s">
        <v>17369</v>
      </c>
      <c r="J461" s="2" t="s">
        <v>55</v>
      </c>
      <c r="K461" s="2"/>
      <c r="L461" s="2" t="s">
        <v>17358</v>
      </c>
      <c r="M461" s="45" t="str">
        <f t="shared" si="264"/>
        <v>@daccwsb</v>
      </c>
      <c r="N461" s="45" t="str">
        <f t="shared" si="265"/>
        <v>Questionnaire</v>
      </c>
      <c r="O461" s="48" t="s">
        <v>17351</v>
      </c>
      <c r="P461" s="60" t="s">
        <v>1721</v>
      </c>
      <c r="Q461" s="48" t="s">
        <v>3452</v>
      </c>
      <c r="R461" s="48" t="s">
        <v>468</v>
      </c>
      <c r="S461" s="49" t="s">
        <v>74</v>
      </c>
      <c r="T461" s="48" t="s">
        <v>75</v>
      </c>
      <c r="U461" s="49" t="s">
        <v>3678</v>
      </c>
      <c r="V461" s="7" t="s">
        <v>214</v>
      </c>
      <c r="W461" s="49" t="s">
        <v>214</v>
      </c>
      <c r="X461" s="49" t="s">
        <v>214</v>
      </c>
      <c r="Y461" s="49" t="s">
        <v>214</v>
      </c>
      <c r="Z461" s="55" t="s">
        <v>214</v>
      </c>
      <c r="AA461" s="48" t="s">
        <v>17352</v>
      </c>
      <c r="AB461" s="84" t="s">
        <v>17351</v>
      </c>
      <c r="AC461" s="53" t="str">
        <f t="shared" si="266"/>
        <v>Link</v>
      </c>
      <c r="AD461" s="42">
        <v>2666</v>
      </c>
      <c r="AE461" s="55"/>
      <c r="AF461" s="55"/>
      <c r="AG461" s="56">
        <v>144564</v>
      </c>
      <c r="AH461" s="56"/>
      <c r="AI461" s="56"/>
    </row>
    <row r="462" spans="1:37" ht="15" x14ac:dyDescent="0.2">
      <c r="A462" s="64" t="s">
        <v>1705</v>
      </c>
      <c r="B462" s="33" t="s">
        <v>12632</v>
      </c>
      <c r="C462" s="7" t="s">
        <v>17378</v>
      </c>
      <c r="D462" s="44">
        <v>5</v>
      </c>
      <c r="E462" s="7" t="s">
        <v>116</v>
      </c>
      <c r="F462" s="7"/>
      <c r="G462" s="2" t="s">
        <v>17379</v>
      </c>
      <c r="H462" s="7" t="s">
        <v>3030</v>
      </c>
      <c r="I462" s="7" t="s">
        <v>16353</v>
      </c>
      <c r="J462" s="7" t="s">
        <v>55</v>
      </c>
      <c r="K462" s="7" t="s">
        <v>17380</v>
      </c>
      <c r="L462" s="7" t="s">
        <v>17381</v>
      </c>
      <c r="M462" s="45" t="str">
        <f t="shared" ref="M462:M465" si="267">HYPERLINK("twitter.com/codsoftball","@codsoftball")</f>
        <v>@codsoftball</v>
      </c>
      <c r="N462" s="45" t="str">
        <f t="shared" ref="N462:N465" si="268">HYPERLINK("https://gochapsgo.com/sb_output.aspx?form=3","Questionnaire")</f>
        <v>Questionnaire</v>
      </c>
      <c r="O462" s="48" t="s">
        <v>17385</v>
      </c>
      <c r="P462" s="60" t="s">
        <v>1721</v>
      </c>
      <c r="Q462" s="48" t="s">
        <v>17387</v>
      </c>
      <c r="R462" s="48" t="s">
        <v>468</v>
      </c>
      <c r="S462" s="49" t="s">
        <v>74</v>
      </c>
      <c r="T462" s="48" t="s">
        <v>75</v>
      </c>
      <c r="U462" s="49" t="s">
        <v>3678</v>
      </c>
      <c r="V462" s="7" t="s">
        <v>214</v>
      </c>
      <c r="W462" s="49" t="s">
        <v>214</v>
      </c>
      <c r="X462" s="49" t="s">
        <v>214</v>
      </c>
      <c r="Y462" s="49" t="s">
        <v>214</v>
      </c>
      <c r="Z462" s="55" t="s">
        <v>214</v>
      </c>
      <c r="AA462" s="48" t="s">
        <v>17390</v>
      </c>
      <c r="AB462" s="84" t="s">
        <v>17385</v>
      </c>
      <c r="AC462" s="53" t="str">
        <f t="shared" ref="AC462:AC465" si="269">HYPERLINK("http://www.cod.edu/programs/","Link")</f>
        <v>Link</v>
      </c>
      <c r="AD462" s="42">
        <v>26901</v>
      </c>
      <c r="AE462" s="55"/>
      <c r="AF462" s="55"/>
      <c r="AG462" s="56">
        <v>144865</v>
      </c>
      <c r="AH462" s="56"/>
      <c r="AI462" s="56"/>
    </row>
    <row r="463" spans="1:37" ht="15" x14ac:dyDescent="0.2">
      <c r="A463" s="64" t="s">
        <v>1705</v>
      </c>
      <c r="B463" s="33" t="s">
        <v>12632</v>
      </c>
      <c r="C463" s="7" t="s">
        <v>17393</v>
      </c>
      <c r="D463" s="112">
        <v>5</v>
      </c>
      <c r="E463" s="7"/>
      <c r="F463" s="112"/>
      <c r="G463" s="2" t="s">
        <v>17379</v>
      </c>
      <c r="H463" s="2" t="s">
        <v>2316</v>
      </c>
      <c r="I463" s="2" t="s">
        <v>17394</v>
      </c>
      <c r="J463" s="2" t="s">
        <v>48</v>
      </c>
      <c r="K463" s="2" t="s">
        <v>17395</v>
      </c>
      <c r="L463" s="2" t="s">
        <v>17396</v>
      </c>
      <c r="M463" s="45" t="str">
        <f t="shared" si="267"/>
        <v>@codsoftball</v>
      </c>
      <c r="N463" s="45" t="str">
        <f t="shared" si="268"/>
        <v>Questionnaire</v>
      </c>
      <c r="O463" s="48" t="s">
        <v>17385</v>
      </c>
      <c r="P463" s="60" t="s">
        <v>1721</v>
      </c>
      <c r="Q463" s="48" t="s">
        <v>17387</v>
      </c>
      <c r="R463" s="48" t="s">
        <v>468</v>
      </c>
      <c r="S463" s="49" t="s">
        <v>74</v>
      </c>
      <c r="T463" s="48" t="s">
        <v>75</v>
      </c>
      <c r="U463" s="49" t="s">
        <v>3678</v>
      </c>
      <c r="V463" s="7" t="s">
        <v>214</v>
      </c>
      <c r="W463" s="49" t="s">
        <v>214</v>
      </c>
      <c r="X463" s="49" t="s">
        <v>214</v>
      </c>
      <c r="Y463" s="49" t="s">
        <v>214</v>
      </c>
      <c r="Z463" s="55" t="s">
        <v>214</v>
      </c>
      <c r="AA463" s="48" t="s">
        <v>17390</v>
      </c>
      <c r="AB463" s="84" t="s">
        <v>17385</v>
      </c>
      <c r="AC463" s="53" t="str">
        <f t="shared" si="269"/>
        <v>Link</v>
      </c>
      <c r="AD463" s="42">
        <v>26901</v>
      </c>
      <c r="AE463" s="55"/>
      <c r="AF463" s="55"/>
      <c r="AG463" s="56">
        <v>144865</v>
      </c>
      <c r="AH463" s="56"/>
      <c r="AI463" s="56"/>
    </row>
    <row r="464" spans="1:37" ht="15" x14ac:dyDescent="0.2">
      <c r="A464" s="64" t="s">
        <v>1705</v>
      </c>
      <c r="B464" s="33" t="s">
        <v>12632</v>
      </c>
      <c r="C464" s="7" t="s">
        <v>17398</v>
      </c>
      <c r="D464" s="112">
        <v>5</v>
      </c>
      <c r="E464" s="7"/>
      <c r="F464" s="112"/>
      <c r="G464" s="2" t="s">
        <v>17379</v>
      </c>
      <c r="H464" s="2" t="s">
        <v>3642</v>
      </c>
      <c r="I464" s="2" t="s">
        <v>17400</v>
      </c>
      <c r="J464" s="2" t="s">
        <v>55</v>
      </c>
      <c r="K464" s="2" t="s">
        <v>17402</v>
      </c>
      <c r="L464" s="2" t="s">
        <v>17396</v>
      </c>
      <c r="M464" s="45" t="str">
        <f t="shared" si="267"/>
        <v>@codsoftball</v>
      </c>
      <c r="N464" s="45" t="str">
        <f t="shared" si="268"/>
        <v>Questionnaire</v>
      </c>
      <c r="O464" s="48" t="s">
        <v>17385</v>
      </c>
      <c r="P464" s="60" t="s">
        <v>1721</v>
      </c>
      <c r="Q464" s="48" t="s">
        <v>17387</v>
      </c>
      <c r="R464" s="48" t="s">
        <v>468</v>
      </c>
      <c r="S464" s="49" t="s">
        <v>74</v>
      </c>
      <c r="T464" s="48" t="s">
        <v>75</v>
      </c>
      <c r="U464" s="49" t="s">
        <v>3678</v>
      </c>
      <c r="V464" s="7" t="s">
        <v>214</v>
      </c>
      <c r="W464" s="49" t="s">
        <v>214</v>
      </c>
      <c r="X464" s="49" t="s">
        <v>214</v>
      </c>
      <c r="Y464" s="49" t="s">
        <v>214</v>
      </c>
      <c r="Z464" s="55" t="s">
        <v>214</v>
      </c>
      <c r="AA464" s="48" t="s">
        <v>17390</v>
      </c>
      <c r="AB464" s="84" t="s">
        <v>17385</v>
      </c>
      <c r="AC464" s="53" t="str">
        <f t="shared" si="269"/>
        <v>Link</v>
      </c>
      <c r="AD464" s="42">
        <v>26901</v>
      </c>
      <c r="AE464" s="55"/>
      <c r="AF464" s="55"/>
      <c r="AG464" s="56">
        <v>144865</v>
      </c>
      <c r="AH464" s="56"/>
      <c r="AI464" s="56"/>
    </row>
    <row r="465" spans="1:37" ht="15" x14ac:dyDescent="0.2">
      <c r="A465" s="64" t="s">
        <v>1705</v>
      </c>
      <c r="B465" s="33" t="s">
        <v>12632</v>
      </c>
      <c r="C465" s="7" t="s">
        <v>17403</v>
      </c>
      <c r="D465" s="112">
        <v>5</v>
      </c>
      <c r="E465" s="7"/>
      <c r="F465" s="112"/>
      <c r="G465" s="2" t="s">
        <v>17379</v>
      </c>
      <c r="H465" s="2" t="s">
        <v>17404</v>
      </c>
      <c r="I465" s="2" t="s">
        <v>17405</v>
      </c>
      <c r="J465" s="2" t="s">
        <v>55</v>
      </c>
      <c r="K465" s="2" t="s">
        <v>17406</v>
      </c>
      <c r="L465" s="2" t="s">
        <v>17396</v>
      </c>
      <c r="M465" s="45" t="str">
        <f t="shared" si="267"/>
        <v>@codsoftball</v>
      </c>
      <c r="N465" s="45" t="str">
        <f t="shared" si="268"/>
        <v>Questionnaire</v>
      </c>
      <c r="O465" s="48" t="s">
        <v>17385</v>
      </c>
      <c r="P465" s="60" t="s">
        <v>1721</v>
      </c>
      <c r="Q465" s="48" t="s">
        <v>17387</v>
      </c>
      <c r="R465" s="48" t="s">
        <v>468</v>
      </c>
      <c r="S465" s="49" t="s">
        <v>74</v>
      </c>
      <c r="T465" s="48" t="s">
        <v>75</v>
      </c>
      <c r="U465" s="49" t="s">
        <v>3678</v>
      </c>
      <c r="V465" s="7" t="s">
        <v>214</v>
      </c>
      <c r="W465" s="49" t="s">
        <v>214</v>
      </c>
      <c r="X465" s="49" t="s">
        <v>214</v>
      </c>
      <c r="Y465" s="49" t="s">
        <v>214</v>
      </c>
      <c r="Z465" s="55" t="s">
        <v>214</v>
      </c>
      <c r="AA465" s="48" t="s">
        <v>17390</v>
      </c>
      <c r="AB465" s="84" t="s">
        <v>17385</v>
      </c>
      <c r="AC465" s="53" t="str">
        <f t="shared" si="269"/>
        <v>Link</v>
      </c>
      <c r="AD465" s="42">
        <v>26901</v>
      </c>
      <c r="AE465" s="55"/>
      <c r="AF465" s="55"/>
      <c r="AG465" s="56">
        <v>144865</v>
      </c>
      <c r="AH465" s="56"/>
      <c r="AI465" s="56"/>
    </row>
    <row r="466" spans="1:37" ht="15" x14ac:dyDescent="0.2">
      <c r="A466" s="31" t="s">
        <v>1705</v>
      </c>
      <c r="B466" s="33" t="s">
        <v>12632</v>
      </c>
      <c r="C466" s="7"/>
      <c r="D466" s="112">
        <v>5</v>
      </c>
      <c r="E466" s="7"/>
      <c r="F466" s="112"/>
      <c r="G466" s="2" t="s">
        <v>17407</v>
      </c>
      <c r="H466" s="2" t="s">
        <v>1541</v>
      </c>
      <c r="I466" s="2" t="s">
        <v>17408</v>
      </c>
      <c r="J466" s="2" t="s">
        <v>48</v>
      </c>
      <c r="K466" s="2" t="s">
        <v>17409</v>
      </c>
      <c r="L466" s="2" t="s">
        <v>17410</v>
      </c>
      <c r="M466" s="48"/>
      <c r="N466" s="45" t="str">
        <f>HYPERLINK("https://elgin.edu/life-at-ecc/athletics/join-a-team/","Questionnaire")</f>
        <v>Questionnaire</v>
      </c>
      <c r="O466" s="48" t="s">
        <v>17411</v>
      </c>
      <c r="P466" s="60" t="s">
        <v>1721</v>
      </c>
      <c r="Q466" s="48" t="s">
        <v>16560</v>
      </c>
      <c r="R466" s="48" t="s">
        <v>238</v>
      </c>
      <c r="S466" s="49" t="s">
        <v>74</v>
      </c>
      <c r="T466" s="48" t="s">
        <v>75</v>
      </c>
      <c r="U466" s="49" t="s">
        <v>3678</v>
      </c>
      <c r="V466" s="7" t="s">
        <v>214</v>
      </c>
      <c r="W466" s="49" t="s">
        <v>214</v>
      </c>
      <c r="X466" s="49" t="s">
        <v>214</v>
      </c>
      <c r="Y466" s="49" t="s">
        <v>214</v>
      </c>
      <c r="Z466" s="55" t="s">
        <v>214</v>
      </c>
      <c r="AA466" s="48" t="s">
        <v>17412</v>
      </c>
      <c r="AB466" s="84" t="s">
        <v>17411</v>
      </c>
      <c r="AC466" s="53" t="str">
        <f>HYPERLINK("https://elgin.edu/academics/degrees-certificates/","Link")</f>
        <v>Link</v>
      </c>
      <c r="AD466" s="42">
        <v>9918</v>
      </c>
      <c r="AE466" s="55"/>
      <c r="AF466" s="55"/>
      <c r="AG466" s="56">
        <v>144944</v>
      </c>
      <c r="AH466" s="7" t="s">
        <v>2459</v>
      </c>
      <c r="AI466" s="7"/>
      <c r="AJ466" s="7"/>
      <c r="AK466" s="7"/>
    </row>
    <row r="467" spans="1:37" ht="15" x14ac:dyDescent="0.2">
      <c r="A467" s="64" t="s">
        <v>1705</v>
      </c>
      <c r="B467" s="33" t="s">
        <v>12632</v>
      </c>
      <c r="C467" s="7" t="s">
        <v>17418</v>
      </c>
      <c r="D467" s="44">
        <v>5</v>
      </c>
      <c r="E467" s="7"/>
      <c r="F467" s="44"/>
      <c r="G467" s="2" t="s">
        <v>17419</v>
      </c>
      <c r="H467" s="7" t="s">
        <v>17420</v>
      </c>
      <c r="I467" s="7" t="s">
        <v>17421</v>
      </c>
      <c r="J467" s="7" t="s">
        <v>55</v>
      </c>
      <c r="K467" s="7"/>
      <c r="L467" s="7"/>
      <c r="M467" s="45" t="str">
        <f t="shared" ref="M467:M470" si="270">HYPERLINK("twitter.com/harper_softball","@harper_softball")</f>
        <v>@harper_softball</v>
      </c>
      <c r="N467" s="45" t="str">
        <f t="shared" ref="N467:N470" si="271">HYPERLINK("https://www.harperhawks.net/sb_output.aspx?form=3","Questionnaire")</f>
        <v>Questionnaire</v>
      </c>
      <c r="O467" s="48" t="s">
        <v>17426</v>
      </c>
      <c r="P467" s="60" t="s">
        <v>1721</v>
      </c>
      <c r="Q467" s="48" t="s">
        <v>17428</v>
      </c>
      <c r="R467" s="48" t="s">
        <v>186</v>
      </c>
      <c r="S467" s="49" t="s">
        <v>74</v>
      </c>
      <c r="T467" s="48" t="s">
        <v>75</v>
      </c>
      <c r="U467" s="49" t="s">
        <v>3678</v>
      </c>
      <c r="V467" s="7" t="s">
        <v>214</v>
      </c>
      <c r="W467" s="49" t="s">
        <v>214</v>
      </c>
      <c r="X467" s="49" t="s">
        <v>214</v>
      </c>
      <c r="Y467" s="49" t="s">
        <v>214</v>
      </c>
      <c r="Z467" s="55" t="s">
        <v>214</v>
      </c>
      <c r="AA467" s="48" t="s">
        <v>17430</v>
      </c>
      <c r="AB467" s="84" t="s">
        <v>17426</v>
      </c>
      <c r="AC467" s="53" t="str">
        <f t="shared" ref="AC467:AC470" si="272">HYPERLINK("https://www.harpercollege.edu/academics/subject.php","Link")</f>
        <v>Link</v>
      </c>
      <c r="AD467" s="55" t="s">
        <v>214</v>
      </c>
      <c r="AE467" s="55"/>
      <c r="AF467" s="55"/>
      <c r="AG467" s="56">
        <v>149842</v>
      </c>
      <c r="AH467" s="56"/>
      <c r="AI467" s="56"/>
    </row>
    <row r="468" spans="1:37" ht="15" x14ac:dyDescent="0.2">
      <c r="A468" s="64" t="s">
        <v>1705</v>
      </c>
      <c r="B468" s="33" t="s">
        <v>12632</v>
      </c>
      <c r="C468" s="7" t="s">
        <v>17434</v>
      </c>
      <c r="D468" s="44">
        <v>5</v>
      </c>
      <c r="E468" s="7"/>
      <c r="F468" s="44"/>
      <c r="G468" s="2" t="s">
        <v>17419</v>
      </c>
      <c r="H468" s="7" t="s">
        <v>4159</v>
      </c>
      <c r="I468" s="7" t="s">
        <v>17435</v>
      </c>
      <c r="J468" s="7" t="s">
        <v>48</v>
      </c>
      <c r="K468" s="7" t="s">
        <v>17436</v>
      </c>
      <c r="L468" s="7" t="s">
        <v>17437</v>
      </c>
      <c r="M468" s="45" t="str">
        <f t="shared" si="270"/>
        <v>@harper_softball</v>
      </c>
      <c r="N468" s="45" t="str">
        <f t="shared" si="271"/>
        <v>Questionnaire</v>
      </c>
      <c r="O468" s="48" t="s">
        <v>17426</v>
      </c>
      <c r="P468" s="60" t="s">
        <v>1721</v>
      </c>
      <c r="Q468" s="48" t="s">
        <v>17428</v>
      </c>
      <c r="R468" s="48" t="s">
        <v>186</v>
      </c>
      <c r="S468" s="49" t="s">
        <v>74</v>
      </c>
      <c r="T468" s="48" t="s">
        <v>75</v>
      </c>
      <c r="U468" s="49" t="s">
        <v>3678</v>
      </c>
      <c r="V468" s="7" t="s">
        <v>214</v>
      </c>
      <c r="W468" s="49" t="s">
        <v>214</v>
      </c>
      <c r="X468" s="49" t="s">
        <v>214</v>
      </c>
      <c r="Y468" s="49" t="s">
        <v>214</v>
      </c>
      <c r="Z468" s="55" t="s">
        <v>214</v>
      </c>
      <c r="AA468" s="48" t="s">
        <v>17430</v>
      </c>
      <c r="AB468" s="84" t="s">
        <v>17426</v>
      </c>
      <c r="AC468" s="53" t="str">
        <f t="shared" si="272"/>
        <v>Link</v>
      </c>
      <c r="AD468" s="55" t="s">
        <v>214</v>
      </c>
      <c r="AE468" s="55"/>
      <c r="AF468" s="55"/>
      <c r="AG468" s="56">
        <v>149842</v>
      </c>
      <c r="AH468" s="56"/>
      <c r="AI468" s="56"/>
    </row>
    <row r="469" spans="1:37" ht="15" x14ac:dyDescent="0.2">
      <c r="A469" s="64" t="s">
        <v>1705</v>
      </c>
      <c r="B469" s="33" t="s">
        <v>12632</v>
      </c>
      <c r="C469" s="7" t="s">
        <v>17443</v>
      </c>
      <c r="D469" s="112">
        <v>5</v>
      </c>
      <c r="E469" s="7"/>
      <c r="F469" s="112"/>
      <c r="G469" s="2" t="s">
        <v>17419</v>
      </c>
      <c r="H469" s="2" t="s">
        <v>421</v>
      </c>
      <c r="I469" s="2"/>
      <c r="J469" s="2" t="s">
        <v>48</v>
      </c>
      <c r="K469" s="2"/>
      <c r="L469" s="2"/>
      <c r="M469" s="45" t="str">
        <f t="shared" si="270"/>
        <v>@harper_softball</v>
      </c>
      <c r="N469" s="45" t="str">
        <f t="shared" si="271"/>
        <v>Questionnaire</v>
      </c>
      <c r="O469" s="48" t="s">
        <v>17426</v>
      </c>
      <c r="P469" s="60" t="s">
        <v>1721</v>
      </c>
      <c r="Q469" s="48" t="s">
        <v>17428</v>
      </c>
      <c r="R469" s="48" t="s">
        <v>186</v>
      </c>
      <c r="S469" s="49" t="s">
        <v>74</v>
      </c>
      <c r="T469" s="48" t="s">
        <v>75</v>
      </c>
      <c r="U469" s="49" t="s">
        <v>3678</v>
      </c>
      <c r="V469" s="7" t="s">
        <v>214</v>
      </c>
      <c r="W469" s="49" t="s">
        <v>214</v>
      </c>
      <c r="X469" s="49" t="s">
        <v>214</v>
      </c>
      <c r="Y469" s="49" t="s">
        <v>214</v>
      </c>
      <c r="Z469" s="55" t="s">
        <v>214</v>
      </c>
      <c r="AA469" s="48" t="s">
        <v>17430</v>
      </c>
      <c r="AB469" s="84" t="s">
        <v>17426</v>
      </c>
      <c r="AC469" s="53" t="str">
        <f t="shared" si="272"/>
        <v>Link</v>
      </c>
      <c r="AD469" s="55" t="s">
        <v>214</v>
      </c>
      <c r="AE469" s="55"/>
      <c r="AF469" s="55"/>
      <c r="AG469" s="56">
        <v>149842</v>
      </c>
      <c r="AH469" s="56"/>
      <c r="AI469" s="56"/>
    </row>
    <row r="470" spans="1:37" ht="15" x14ac:dyDescent="0.2">
      <c r="A470" s="64" t="s">
        <v>1705</v>
      </c>
      <c r="B470" s="33" t="s">
        <v>12632</v>
      </c>
      <c r="C470" s="7" t="s">
        <v>17450</v>
      </c>
      <c r="D470" s="112">
        <v>5</v>
      </c>
      <c r="E470" s="7"/>
      <c r="F470" s="112"/>
      <c r="G470" s="2" t="s">
        <v>17419</v>
      </c>
      <c r="H470" s="2" t="s">
        <v>17451</v>
      </c>
      <c r="I470" s="2"/>
      <c r="J470" s="2"/>
      <c r="K470" s="2"/>
      <c r="L470" s="2"/>
      <c r="M470" s="45" t="str">
        <f t="shared" si="270"/>
        <v>@harper_softball</v>
      </c>
      <c r="N470" s="45" t="str">
        <f t="shared" si="271"/>
        <v>Questionnaire</v>
      </c>
      <c r="O470" s="48" t="s">
        <v>17426</v>
      </c>
      <c r="P470" s="60" t="s">
        <v>1721</v>
      </c>
      <c r="Q470" s="48" t="s">
        <v>17428</v>
      </c>
      <c r="R470" s="48" t="s">
        <v>186</v>
      </c>
      <c r="S470" s="49" t="s">
        <v>74</v>
      </c>
      <c r="T470" s="48" t="s">
        <v>75</v>
      </c>
      <c r="U470" s="49" t="s">
        <v>3678</v>
      </c>
      <c r="V470" s="7" t="s">
        <v>214</v>
      </c>
      <c r="W470" s="49" t="s">
        <v>214</v>
      </c>
      <c r="X470" s="49" t="s">
        <v>214</v>
      </c>
      <c r="Y470" s="49" t="s">
        <v>214</v>
      </c>
      <c r="Z470" s="55" t="s">
        <v>214</v>
      </c>
      <c r="AA470" s="48" t="s">
        <v>17430</v>
      </c>
      <c r="AB470" s="84" t="s">
        <v>17426</v>
      </c>
      <c r="AC470" s="53" t="str">
        <f t="shared" si="272"/>
        <v>Link</v>
      </c>
      <c r="AD470" s="55" t="s">
        <v>214</v>
      </c>
      <c r="AE470" s="55"/>
      <c r="AF470" s="55"/>
      <c r="AG470" s="56">
        <v>149842</v>
      </c>
      <c r="AH470" s="56"/>
      <c r="AI470" s="56"/>
    </row>
    <row r="471" spans="1:37" ht="15" x14ac:dyDescent="0.2">
      <c r="A471" s="64" t="s">
        <v>1705</v>
      </c>
      <c r="B471" s="7" t="s">
        <v>12632</v>
      </c>
      <c r="C471" s="7" t="s">
        <v>17455</v>
      </c>
      <c r="D471" s="112">
        <v>5</v>
      </c>
      <c r="E471" s="7"/>
      <c r="F471" s="112"/>
      <c r="G471" s="2" t="s">
        <v>17456</v>
      </c>
      <c r="H471" s="2" t="s">
        <v>363</v>
      </c>
      <c r="I471" s="2" t="s">
        <v>17457</v>
      </c>
      <c r="J471" s="2" t="s">
        <v>48</v>
      </c>
      <c r="K471" s="2" t="s">
        <v>17458</v>
      </c>
      <c r="L471" s="2"/>
      <c r="M471" s="45" t="str">
        <f t="shared" ref="M471:M474" si="273">HYPERLINK("twitter.com/hcc_softball","@hcc_softball")</f>
        <v>@hcc_softball</v>
      </c>
      <c r="N471" s="48" t="s">
        <v>22</v>
      </c>
      <c r="O471" s="48" t="s">
        <v>17463</v>
      </c>
      <c r="P471" s="47" t="s">
        <v>1721</v>
      </c>
      <c r="Q471" s="48" t="s">
        <v>9119</v>
      </c>
      <c r="R471" s="48" t="s">
        <v>186</v>
      </c>
      <c r="S471" s="49" t="s">
        <v>74</v>
      </c>
      <c r="T471" s="49" t="s">
        <v>75</v>
      </c>
      <c r="U471" s="7" t="s">
        <v>3678</v>
      </c>
      <c r="V471" s="7" t="s">
        <v>214</v>
      </c>
      <c r="W471" s="49" t="s">
        <v>214</v>
      </c>
      <c r="X471" s="49" t="s">
        <v>214</v>
      </c>
      <c r="Y471" s="49" t="s">
        <v>214</v>
      </c>
      <c r="Z471" s="55" t="s">
        <v>214</v>
      </c>
      <c r="AA471" s="48" t="s">
        <v>17468</v>
      </c>
      <c r="AB471" s="62" t="s">
        <v>17463</v>
      </c>
      <c r="AC471" s="53" t="str">
        <f t="shared" ref="AC471:AC474" si="274">HYPERLINK("http://www.heartland.edu/catalog/","Link")</f>
        <v>Link</v>
      </c>
      <c r="AD471" s="54">
        <v>5282</v>
      </c>
      <c r="AE471" s="55"/>
      <c r="AF471" s="7"/>
      <c r="AG471" s="56">
        <v>384342</v>
      </c>
      <c r="AH471" s="56"/>
      <c r="AI471" s="56"/>
    </row>
    <row r="472" spans="1:37" ht="15" x14ac:dyDescent="0.2">
      <c r="A472" s="64" t="s">
        <v>1705</v>
      </c>
      <c r="B472" s="7" t="s">
        <v>12632</v>
      </c>
      <c r="C472" s="7" t="s">
        <v>17469</v>
      </c>
      <c r="D472" s="112">
        <v>5</v>
      </c>
      <c r="E472" s="7"/>
      <c r="F472" s="112"/>
      <c r="G472" s="2" t="s">
        <v>17456</v>
      </c>
      <c r="H472" s="2" t="s">
        <v>111</v>
      </c>
      <c r="I472" s="2" t="s">
        <v>17472</v>
      </c>
      <c r="J472" s="2" t="s">
        <v>55</v>
      </c>
      <c r="K472" s="2" t="s">
        <v>17473</v>
      </c>
      <c r="L472" s="2" t="s">
        <v>17474</v>
      </c>
      <c r="M472" s="45" t="str">
        <f t="shared" si="273"/>
        <v>@hcc_softball</v>
      </c>
      <c r="N472" s="48" t="s">
        <v>22</v>
      </c>
      <c r="O472" s="48" t="s">
        <v>17463</v>
      </c>
      <c r="P472" s="47" t="s">
        <v>1721</v>
      </c>
      <c r="Q472" s="48" t="s">
        <v>9119</v>
      </c>
      <c r="R472" s="48" t="s">
        <v>186</v>
      </c>
      <c r="S472" s="49" t="s">
        <v>74</v>
      </c>
      <c r="T472" s="49" t="s">
        <v>75</v>
      </c>
      <c r="U472" s="7" t="s">
        <v>3678</v>
      </c>
      <c r="V472" s="7" t="s">
        <v>214</v>
      </c>
      <c r="W472" s="49" t="s">
        <v>214</v>
      </c>
      <c r="X472" s="49" t="s">
        <v>214</v>
      </c>
      <c r="Y472" s="49" t="s">
        <v>214</v>
      </c>
      <c r="Z472" s="55" t="s">
        <v>214</v>
      </c>
      <c r="AA472" s="48" t="s">
        <v>17468</v>
      </c>
      <c r="AB472" s="62" t="s">
        <v>17463</v>
      </c>
      <c r="AC472" s="53" t="str">
        <f t="shared" si="274"/>
        <v>Link</v>
      </c>
      <c r="AD472" s="54">
        <v>5282</v>
      </c>
      <c r="AE472" s="55"/>
      <c r="AF472" s="7"/>
      <c r="AG472" s="56">
        <v>384342</v>
      </c>
      <c r="AH472" s="56"/>
      <c r="AI472" s="56"/>
    </row>
    <row r="473" spans="1:37" ht="15" x14ac:dyDescent="0.2">
      <c r="A473" s="64" t="s">
        <v>1705</v>
      </c>
      <c r="B473" s="7" t="s">
        <v>12632</v>
      </c>
      <c r="C473" s="7" t="s">
        <v>17477</v>
      </c>
      <c r="D473" s="112">
        <v>5</v>
      </c>
      <c r="E473" s="7"/>
      <c r="F473" s="112"/>
      <c r="G473" s="2" t="s">
        <v>17456</v>
      </c>
      <c r="H473" s="2" t="s">
        <v>2200</v>
      </c>
      <c r="I473" s="2" t="s">
        <v>17472</v>
      </c>
      <c r="J473" s="2" t="s">
        <v>55</v>
      </c>
      <c r="K473" s="2"/>
      <c r="L473" s="2"/>
      <c r="M473" s="45" t="str">
        <f t="shared" si="273"/>
        <v>@hcc_softball</v>
      </c>
      <c r="N473" s="48" t="s">
        <v>22</v>
      </c>
      <c r="O473" s="48" t="s">
        <v>17463</v>
      </c>
      <c r="P473" s="47" t="s">
        <v>1721</v>
      </c>
      <c r="Q473" s="48" t="s">
        <v>9119</v>
      </c>
      <c r="R473" s="48" t="s">
        <v>186</v>
      </c>
      <c r="S473" s="49" t="s">
        <v>74</v>
      </c>
      <c r="T473" s="49" t="s">
        <v>75</v>
      </c>
      <c r="U473" s="7" t="s">
        <v>3678</v>
      </c>
      <c r="V473" s="7" t="s">
        <v>214</v>
      </c>
      <c r="W473" s="49" t="s">
        <v>214</v>
      </c>
      <c r="X473" s="49" t="s">
        <v>214</v>
      </c>
      <c r="Y473" s="49" t="s">
        <v>214</v>
      </c>
      <c r="Z473" s="55" t="s">
        <v>214</v>
      </c>
      <c r="AA473" s="48" t="s">
        <v>17468</v>
      </c>
      <c r="AB473" s="62" t="s">
        <v>17463</v>
      </c>
      <c r="AC473" s="53" t="str">
        <f t="shared" si="274"/>
        <v>Link</v>
      </c>
      <c r="AD473" s="54">
        <v>5282</v>
      </c>
      <c r="AE473" s="55"/>
      <c r="AF473" s="7"/>
      <c r="AG473" s="56">
        <v>384342</v>
      </c>
      <c r="AH473" s="56"/>
      <c r="AI473" s="56"/>
    </row>
    <row r="474" spans="1:37" ht="15" x14ac:dyDescent="0.2">
      <c r="A474" s="64" t="s">
        <v>1705</v>
      </c>
      <c r="B474" s="7" t="s">
        <v>12632</v>
      </c>
      <c r="C474" s="7" t="s">
        <v>17481</v>
      </c>
      <c r="D474" s="112">
        <v>5</v>
      </c>
      <c r="E474" s="7"/>
      <c r="F474" s="112"/>
      <c r="G474" s="2" t="s">
        <v>17456</v>
      </c>
      <c r="H474" s="2" t="s">
        <v>17482</v>
      </c>
      <c r="I474" s="2" t="s">
        <v>17483</v>
      </c>
      <c r="J474" s="2" t="s">
        <v>55</v>
      </c>
      <c r="K474" s="2"/>
      <c r="L474" s="2"/>
      <c r="M474" s="45" t="str">
        <f t="shared" si="273"/>
        <v>@hcc_softball</v>
      </c>
      <c r="N474" s="48" t="s">
        <v>22</v>
      </c>
      <c r="O474" s="48" t="s">
        <v>17463</v>
      </c>
      <c r="P474" s="47" t="s">
        <v>1721</v>
      </c>
      <c r="Q474" s="48" t="s">
        <v>9119</v>
      </c>
      <c r="R474" s="48" t="s">
        <v>186</v>
      </c>
      <c r="S474" s="49" t="s">
        <v>74</v>
      </c>
      <c r="T474" s="49" t="s">
        <v>75</v>
      </c>
      <c r="U474" s="7" t="s">
        <v>3678</v>
      </c>
      <c r="V474" s="7" t="s">
        <v>214</v>
      </c>
      <c r="W474" s="49" t="s">
        <v>214</v>
      </c>
      <c r="X474" s="49" t="s">
        <v>214</v>
      </c>
      <c r="Y474" s="49" t="s">
        <v>214</v>
      </c>
      <c r="Z474" s="55" t="s">
        <v>214</v>
      </c>
      <c r="AA474" s="48" t="s">
        <v>17468</v>
      </c>
      <c r="AB474" s="62" t="s">
        <v>17463</v>
      </c>
      <c r="AC474" s="53" t="str">
        <f t="shared" si="274"/>
        <v>Link</v>
      </c>
      <c r="AD474" s="54">
        <v>5282</v>
      </c>
      <c r="AE474" s="55"/>
      <c r="AF474" s="7"/>
      <c r="AG474" s="56">
        <v>384342</v>
      </c>
      <c r="AH474" s="56"/>
      <c r="AI474" s="56"/>
    </row>
    <row r="475" spans="1:37" ht="15" x14ac:dyDescent="0.2">
      <c r="A475" s="64" t="s">
        <v>1705</v>
      </c>
      <c r="B475" s="33" t="s">
        <v>12632</v>
      </c>
      <c r="C475" s="7" t="s">
        <v>17489</v>
      </c>
      <c r="D475" s="112">
        <v>5</v>
      </c>
      <c r="E475" s="7"/>
      <c r="F475" s="112"/>
      <c r="G475" s="2" t="s">
        <v>17490</v>
      </c>
      <c r="H475" s="2" t="s">
        <v>10730</v>
      </c>
      <c r="I475" s="2" t="s">
        <v>17492</v>
      </c>
      <c r="J475" s="2" t="s">
        <v>48</v>
      </c>
      <c r="K475" s="2" t="s">
        <v>17493</v>
      </c>
      <c r="L475" s="2" t="s">
        <v>17494</v>
      </c>
      <c r="M475" s="48"/>
      <c r="N475" s="45" t="str">
        <f>HYPERLINK("https://scottieathletics.com/sb_output.aspx?form=3","Questionnaire")</f>
        <v>Questionnaire</v>
      </c>
      <c r="O475" s="48" t="s">
        <v>17496</v>
      </c>
      <c r="P475" s="60" t="s">
        <v>1721</v>
      </c>
      <c r="Q475" s="48" t="s">
        <v>17497</v>
      </c>
      <c r="R475" s="48" t="s">
        <v>172</v>
      </c>
      <c r="S475" s="49" t="s">
        <v>74</v>
      </c>
      <c r="T475" s="48" t="s">
        <v>75</v>
      </c>
      <c r="U475" s="49" t="s">
        <v>3678</v>
      </c>
      <c r="V475" s="7" t="s">
        <v>214</v>
      </c>
      <c r="W475" s="49" t="s">
        <v>214</v>
      </c>
      <c r="X475" s="49" t="s">
        <v>214</v>
      </c>
      <c r="Y475" s="49" t="s">
        <v>214</v>
      </c>
      <c r="Z475" s="55" t="s">
        <v>214</v>
      </c>
      <c r="AA475" s="48" t="s">
        <v>17499</v>
      </c>
      <c r="AB475" s="84" t="s">
        <v>17496</v>
      </c>
      <c r="AC475" s="53" t="str">
        <f>HYPERLINK("http://highland.edu/hcc_academics/","Link")</f>
        <v>Link</v>
      </c>
      <c r="AD475" s="42">
        <v>1857</v>
      </c>
      <c r="AE475" s="55"/>
      <c r="AF475" s="55"/>
      <c r="AG475" s="56">
        <v>145521</v>
      </c>
      <c r="AH475" s="56"/>
      <c r="AI475" s="56"/>
    </row>
    <row r="476" spans="1:37" ht="15" x14ac:dyDescent="0.2">
      <c r="A476" s="64" t="s">
        <v>1705</v>
      </c>
      <c r="B476" s="33" t="s">
        <v>12632</v>
      </c>
      <c r="C476" s="7" t="s">
        <v>17501</v>
      </c>
      <c r="D476" s="112">
        <v>5</v>
      </c>
      <c r="E476" s="7"/>
      <c r="F476" s="112"/>
      <c r="G476" s="2" t="s">
        <v>17502</v>
      </c>
      <c r="H476" s="2" t="s">
        <v>1132</v>
      </c>
      <c r="I476" s="2" t="s">
        <v>9279</v>
      </c>
      <c r="J476" s="2" t="s">
        <v>48</v>
      </c>
      <c r="K476" s="2" t="s">
        <v>17503</v>
      </c>
      <c r="L476" s="2" t="s">
        <v>17504</v>
      </c>
      <c r="M476" s="48"/>
      <c r="N476" s="45" t="str">
        <f t="shared" ref="N476:N478" si="275">HYPERLINK("https://icc.edu/athletics/recruitment/","Questionnaire")</f>
        <v>Questionnaire</v>
      </c>
      <c r="O476" s="48" t="s">
        <v>17505</v>
      </c>
      <c r="P476" s="60" t="s">
        <v>1721</v>
      </c>
      <c r="Q476" s="48" t="s">
        <v>17506</v>
      </c>
      <c r="R476" s="48" t="s">
        <v>172</v>
      </c>
      <c r="S476" s="49" t="s">
        <v>74</v>
      </c>
      <c r="T476" s="48" t="s">
        <v>75</v>
      </c>
      <c r="U476" s="49" t="s">
        <v>3678</v>
      </c>
      <c r="V476" s="7" t="s">
        <v>214</v>
      </c>
      <c r="W476" s="49" t="s">
        <v>214</v>
      </c>
      <c r="X476" s="49" t="s">
        <v>214</v>
      </c>
      <c r="Y476" s="49" t="s">
        <v>214</v>
      </c>
      <c r="Z476" s="55" t="s">
        <v>214</v>
      </c>
      <c r="AA476" s="48" t="s">
        <v>17508</v>
      </c>
      <c r="AB476" s="84" t="s">
        <v>17505</v>
      </c>
      <c r="AC476" s="53" t="str">
        <f t="shared" ref="AC476:AC478" si="276">HYPERLINK("https://icc.edu/academics/catalog/view-all-programs/","Link")</f>
        <v>Link</v>
      </c>
      <c r="AD476" s="42">
        <v>9290</v>
      </c>
      <c r="AE476" s="55"/>
      <c r="AF476" s="55"/>
      <c r="AG476" s="56">
        <v>145682</v>
      </c>
      <c r="AH476" s="56"/>
      <c r="AI476" s="56"/>
    </row>
    <row r="477" spans="1:37" ht="15" x14ac:dyDescent="0.2">
      <c r="A477" s="64" t="s">
        <v>1705</v>
      </c>
      <c r="B477" s="33" t="s">
        <v>12632</v>
      </c>
      <c r="C477" s="7" t="s">
        <v>17511</v>
      </c>
      <c r="D477" s="112">
        <v>5</v>
      </c>
      <c r="E477" s="7"/>
      <c r="F477" s="112"/>
      <c r="G477" s="2" t="s">
        <v>17502</v>
      </c>
      <c r="H477" s="2" t="s">
        <v>1827</v>
      </c>
      <c r="I477" s="2" t="s">
        <v>17512</v>
      </c>
      <c r="J477" s="2" t="s">
        <v>55</v>
      </c>
      <c r="K477" s="2"/>
      <c r="L477" s="2"/>
      <c r="M477" s="48"/>
      <c r="N477" s="45" t="str">
        <f t="shared" si="275"/>
        <v>Questionnaire</v>
      </c>
      <c r="O477" s="48" t="s">
        <v>17505</v>
      </c>
      <c r="P477" s="60" t="s">
        <v>1721</v>
      </c>
      <c r="Q477" s="48" t="s">
        <v>17506</v>
      </c>
      <c r="R477" s="48" t="s">
        <v>172</v>
      </c>
      <c r="S477" s="49" t="s">
        <v>74</v>
      </c>
      <c r="T477" s="48" t="s">
        <v>75</v>
      </c>
      <c r="U477" s="49" t="s">
        <v>3678</v>
      </c>
      <c r="V477" s="7" t="s">
        <v>214</v>
      </c>
      <c r="W477" s="49" t="s">
        <v>214</v>
      </c>
      <c r="X477" s="49" t="s">
        <v>214</v>
      </c>
      <c r="Y477" s="49" t="s">
        <v>214</v>
      </c>
      <c r="Z477" s="55" t="s">
        <v>214</v>
      </c>
      <c r="AA477" s="48" t="s">
        <v>17508</v>
      </c>
      <c r="AB477" s="84" t="s">
        <v>17505</v>
      </c>
      <c r="AC477" s="53" t="str">
        <f t="shared" si="276"/>
        <v>Link</v>
      </c>
      <c r="AD477" s="42">
        <v>9290</v>
      </c>
      <c r="AE477" s="55"/>
      <c r="AF477" s="55"/>
      <c r="AG477" s="56">
        <v>145682</v>
      </c>
      <c r="AH477" s="56"/>
      <c r="AI477" s="56"/>
    </row>
    <row r="478" spans="1:37" ht="15" x14ac:dyDescent="0.2">
      <c r="A478" s="64" t="s">
        <v>1705</v>
      </c>
      <c r="B478" s="33" t="s">
        <v>12632</v>
      </c>
      <c r="C478" s="7" t="s">
        <v>17515</v>
      </c>
      <c r="D478" s="112">
        <v>5</v>
      </c>
      <c r="E478" s="7"/>
      <c r="F478" s="112"/>
      <c r="G478" s="2" t="s">
        <v>17502</v>
      </c>
      <c r="H478" s="2" t="s">
        <v>4894</v>
      </c>
      <c r="I478" s="2" t="s">
        <v>2919</v>
      </c>
      <c r="J478" s="2" t="s">
        <v>55</v>
      </c>
      <c r="K478" s="2"/>
      <c r="L478" s="7"/>
      <c r="M478" s="48"/>
      <c r="N478" s="45" t="str">
        <f t="shared" si="275"/>
        <v>Questionnaire</v>
      </c>
      <c r="O478" s="48" t="s">
        <v>17505</v>
      </c>
      <c r="P478" s="60" t="s">
        <v>1721</v>
      </c>
      <c r="Q478" s="48" t="s">
        <v>17506</v>
      </c>
      <c r="R478" s="48" t="s">
        <v>172</v>
      </c>
      <c r="S478" s="49" t="s">
        <v>74</v>
      </c>
      <c r="T478" s="48" t="s">
        <v>75</v>
      </c>
      <c r="U478" s="49" t="s">
        <v>3678</v>
      </c>
      <c r="V478" s="7" t="s">
        <v>214</v>
      </c>
      <c r="W478" s="49" t="s">
        <v>214</v>
      </c>
      <c r="X478" s="49" t="s">
        <v>214</v>
      </c>
      <c r="Y478" s="49" t="s">
        <v>214</v>
      </c>
      <c r="Z478" s="55" t="s">
        <v>214</v>
      </c>
      <c r="AA478" s="48" t="s">
        <v>17508</v>
      </c>
      <c r="AB478" s="84" t="s">
        <v>17505</v>
      </c>
      <c r="AC478" s="53" t="str">
        <f t="shared" si="276"/>
        <v>Link</v>
      </c>
      <c r="AD478" s="42">
        <v>9290</v>
      </c>
      <c r="AE478" s="55"/>
      <c r="AF478" s="55"/>
      <c r="AG478" s="56">
        <v>145682</v>
      </c>
      <c r="AH478" s="56"/>
      <c r="AI478" s="56"/>
    </row>
    <row r="479" spans="1:37" ht="15" x14ac:dyDescent="0.2">
      <c r="A479" s="64" t="s">
        <v>1705</v>
      </c>
      <c r="B479" s="33" t="s">
        <v>12632</v>
      </c>
      <c r="C479" s="7" t="s">
        <v>17520</v>
      </c>
      <c r="D479" s="112">
        <v>5</v>
      </c>
      <c r="E479" s="7"/>
      <c r="F479" s="112"/>
      <c r="G479" s="2" t="s">
        <v>17521</v>
      </c>
      <c r="H479" s="2" t="s">
        <v>17522</v>
      </c>
      <c r="I479" s="2" t="s">
        <v>17523</v>
      </c>
      <c r="J479" s="2" t="s">
        <v>48</v>
      </c>
      <c r="K479" s="2" t="s">
        <v>17524</v>
      </c>
      <c r="L479" s="2" t="s">
        <v>17525</v>
      </c>
      <c r="M479" s="48"/>
      <c r="N479" s="48" t="s">
        <v>22</v>
      </c>
      <c r="O479" s="48" t="s">
        <v>17526</v>
      </c>
      <c r="P479" s="60" t="s">
        <v>1721</v>
      </c>
      <c r="Q479" s="48" t="s">
        <v>17527</v>
      </c>
      <c r="R479" s="60" t="s">
        <v>205</v>
      </c>
      <c r="S479" s="49" t="s">
        <v>74</v>
      </c>
      <c r="T479" s="48" t="s">
        <v>75</v>
      </c>
      <c r="U479" s="49" t="s">
        <v>3678</v>
      </c>
      <c r="V479" s="7" t="s">
        <v>214</v>
      </c>
      <c r="W479" s="49" t="s">
        <v>214</v>
      </c>
      <c r="X479" s="49" t="s">
        <v>214</v>
      </c>
      <c r="Y479" s="49" t="s">
        <v>214</v>
      </c>
      <c r="Z479" s="55" t="s">
        <v>214</v>
      </c>
      <c r="AA479" s="48" t="s">
        <v>17529</v>
      </c>
      <c r="AB479" s="84" t="s">
        <v>17526</v>
      </c>
      <c r="AC479" s="53" t="str">
        <f>HYPERLINK("http://catalog.ivcc.edu/guidesheet/","Link")</f>
        <v>Link</v>
      </c>
      <c r="AD479" s="42">
        <v>3206</v>
      </c>
      <c r="AE479" s="55"/>
      <c r="AF479" s="55"/>
      <c r="AG479" s="56">
        <v>145831</v>
      </c>
      <c r="AH479" s="56"/>
      <c r="AI479" s="56"/>
    </row>
    <row r="480" spans="1:37" ht="15" x14ac:dyDescent="0.2">
      <c r="A480" s="64" t="s">
        <v>1705</v>
      </c>
      <c r="B480" s="33" t="s">
        <v>12632</v>
      </c>
      <c r="C480" s="7" t="s">
        <v>17530</v>
      </c>
      <c r="D480" s="112">
        <v>5</v>
      </c>
      <c r="E480" s="7"/>
      <c r="F480" s="112"/>
      <c r="G480" s="2" t="s">
        <v>17531</v>
      </c>
      <c r="H480" s="2" t="s">
        <v>1124</v>
      </c>
      <c r="I480" s="2" t="s">
        <v>9115</v>
      </c>
      <c r="J480" s="2" t="s">
        <v>48</v>
      </c>
      <c r="K480" s="2" t="s">
        <v>17533</v>
      </c>
      <c r="L480" s="2" t="s">
        <v>17534</v>
      </c>
      <c r="M480" s="45" t="str">
        <f>HYPERLINK("twitter.com/jalc_softball","@jalc_softball")</f>
        <v>@jalc_softball</v>
      </c>
      <c r="N480" s="45" t="str">
        <f>HYPERLINK("https://www.loganvols.com/recruiting","Questionnaire")</f>
        <v>Questionnaire</v>
      </c>
      <c r="O480" s="48" t="s">
        <v>17539</v>
      </c>
      <c r="P480" s="60" t="s">
        <v>1721</v>
      </c>
      <c r="Q480" s="48" t="s">
        <v>17540</v>
      </c>
      <c r="R480" s="60" t="s">
        <v>205</v>
      </c>
      <c r="S480" s="49" t="s">
        <v>74</v>
      </c>
      <c r="T480" s="48" t="s">
        <v>75</v>
      </c>
      <c r="U480" s="49" t="s">
        <v>3678</v>
      </c>
      <c r="V480" s="7" t="s">
        <v>214</v>
      </c>
      <c r="W480" s="49" t="s">
        <v>214</v>
      </c>
      <c r="X480" s="49" t="s">
        <v>214</v>
      </c>
      <c r="Y480" s="49" t="s">
        <v>214</v>
      </c>
      <c r="Z480" s="55" t="s">
        <v>214</v>
      </c>
      <c r="AA480" s="48" t="s">
        <v>17542</v>
      </c>
      <c r="AB480" s="84" t="s">
        <v>17539</v>
      </c>
      <c r="AC480" s="53" t="str">
        <f>HYPERLINK("https://www.jalc.edu/departments-and-programs","Link")</f>
        <v>Link</v>
      </c>
      <c r="AD480" s="42">
        <v>4424</v>
      </c>
      <c r="AE480" s="55"/>
      <c r="AF480" s="55"/>
      <c r="AG480" s="56">
        <v>146205</v>
      </c>
      <c r="AH480" s="56"/>
      <c r="AI480" s="56"/>
    </row>
    <row r="481" spans="1:37" ht="15" x14ac:dyDescent="0.2">
      <c r="A481" s="31" t="s">
        <v>1705</v>
      </c>
      <c r="B481" s="33" t="s">
        <v>12632</v>
      </c>
      <c r="C481" s="7"/>
      <c r="D481" s="112">
        <v>5</v>
      </c>
      <c r="E481" s="7"/>
      <c r="F481" s="112"/>
      <c r="G481" s="2" t="s">
        <v>17544</v>
      </c>
      <c r="H481" s="2" t="s">
        <v>17545</v>
      </c>
      <c r="I481" s="2" t="s">
        <v>812</v>
      </c>
      <c r="J481" s="2" t="s">
        <v>48</v>
      </c>
      <c r="K481" s="2" t="s">
        <v>17546</v>
      </c>
      <c r="L481" s="2" t="s">
        <v>17547</v>
      </c>
      <c r="M481" s="48"/>
      <c r="N481" s="48" t="s">
        <v>22</v>
      </c>
      <c r="O481" s="48" t="s">
        <v>17548</v>
      </c>
      <c r="P481" s="60" t="s">
        <v>1721</v>
      </c>
      <c r="Q481" s="48" t="s">
        <v>4499</v>
      </c>
      <c r="R481" s="48" t="s">
        <v>468</v>
      </c>
      <c r="S481" s="49" t="s">
        <v>74</v>
      </c>
      <c r="T481" s="48" t="s">
        <v>75</v>
      </c>
      <c r="U481" s="49" t="s">
        <v>3678</v>
      </c>
      <c r="V481" s="7" t="s">
        <v>214</v>
      </c>
      <c r="W481" s="49" t="s">
        <v>214</v>
      </c>
      <c r="X481" s="49" t="s">
        <v>214</v>
      </c>
      <c r="Y481" s="49" t="s">
        <v>214</v>
      </c>
      <c r="Z481" s="55" t="s">
        <v>214</v>
      </c>
      <c r="AA481" s="48" t="s">
        <v>17552</v>
      </c>
      <c r="AB481" s="84" t="s">
        <v>17548</v>
      </c>
      <c r="AC481" s="53" t="str">
        <f t="shared" ref="AC481:AC482" si="277">HYPERLINK("https://www.jwcc.edu/academics/degrees/","Link")</f>
        <v>Link</v>
      </c>
      <c r="AD481" s="42">
        <v>1968</v>
      </c>
      <c r="AE481" s="55"/>
      <c r="AF481" s="55"/>
      <c r="AG481" s="56">
        <v>146278</v>
      </c>
      <c r="AH481" s="7" t="s">
        <v>2459</v>
      </c>
      <c r="AI481" s="7"/>
      <c r="AJ481" s="7"/>
      <c r="AK481" s="7"/>
    </row>
    <row r="482" spans="1:37" ht="15" x14ac:dyDescent="0.2">
      <c r="A482" s="31" t="s">
        <v>1705</v>
      </c>
      <c r="B482" s="33" t="s">
        <v>12632</v>
      </c>
      <c r="C482" s="7"/>
      <c r="D482" s="112">
        <v>5</v>
      </c>
      <c r="E482" s="7"/>
      <c r="F482" s="112"/>
      <c r="G482" s="2" t="s">
        <v>17544</v>
      </c>
      <c r="H482" s="2" t="s">
        <v>6787</v>
      </c>
      <c r="I482" s="2" t="s">
        <v>2919</v>
      </c>
      <c r="J482" s="2" t="s">
        <v>55</v>
      </c>
      <c r="K482" s="2"/>
      <c r="L482" s="2" t="s">
        <v>17547</v>
      </c>
      <c r="M482" s="48"/>
      <c r="N482" s="48" t="s">
        <v>22</v>
      </c>
      <c r="O482" s="48" t="s">
        <v>17548</v>
      </c>
      <c r="P482" s="60" t="s">
        <v>1721</v>
      </c>
      <c r="Q482" s="48" t="s">
        <v>4499</v>
      </c>
      <c r="R482" s="48" t="s">
        <v>468</v>
      </c>
      <c r="S482" s="49" t="s">
        <v>74</v>
      </c>
      <c r="T482" s="48" t="s">
        <v>75</v>
      </c>
      <c r="U482" s="49" t="s">
        <v>3678</v>
      </c>
      <c r="V482" s="7" t="s">
        <v>214</v>
      </c>
      <c r="W482" s="49" t="s">
        <v>214</v>
      </c>
      <c r="X482" s="49" t="s">
        <v>214</v>
      </c>
      <c r="Y482" s="49" t="s">
        <v>214</v>
      </c>
      <c r="Z482" s="55" t="s">
        <v>214</v>
      </c>
      <c r="AA482" s="48" t="s">
        <v>17552</v>
      </c>
      <c r="AB482" s="84" t="s">
        <v>17548</v>
      </c>
      <c r="AC482" s="53" t="str">
        <f t="shared" si="277"/>
        <v>Link</v>
      </c>
      <c r="AD482" s="42">
        <v>1968</v>
      </c>
      <c r="AE482" s="55"/>
      <c r="AF482" s="55"/>
      <c r="AG482" s="56">
        <v>146278</v>
      </c>
      <c r="AH482" s="7" t="s">
        <v>2459</v>
      </c>
      <c r="AI482" s="7"/>
      <c r="AJ482" s="7"/>
      <c r="AK482" s="7"/>
    </row>
    <row r="483" spans="1:37" ht="15" x14ac:dyDescent="0.2">
      <c r="A483" s="64" t="s">
        <v>1705</v>
      </c>
      <c r="B483" s="33" t="s">
        <v>12632</v>
      </c>
      <c r="C483" s="7" t="s">
        <v>17557</v>
      </c>
      <c r="D483" s="44">
        <v>5</v>
      </c>
      <c r="E483" s="7" t="s">
        <v>116</v>
      </c>
      <c r="F483" s="7"/>
      <c r="G483" s="2" t="s">
        <v>17558</v>
      </c>
      <c r="H483" s="7" t="s">
        <v>143</v>
      </c>
      <c r="I483" s="7" t="s">
        <v>8960</v>
      </c>
      <c r="J483" s="7" t="s">
        <v>48</v>
      </c>
      <c r="K483" s="7" t="s">
        <v>17559</v>
      </c>
      <c r="L483" s="7" t="s">
        <v>17560</v>
      </c>
      <c r="M483" s="48"/>
      <c r="N483" s="45" t="str">
        <f t="shared" ref="N483:N486" si="278">HYPERLINK("https://jjcwolves.com/sb_output.aspx?form=3","Questionnaire")</f>
        <v>Questionnaire</v>
      </c>
      <c r="O483" s="48" t="s">
        <v>17561</v>
      </c>
      <c r="P483" s="60" t="s">
        <v>1721</v>
      </c>
      <c r="Q483" s="48" t="s">
        <v>16707</v>
      </c>
      <c r="R483" s="48" t="s">
        <v>238</v>
      </c>
      <c r="S483" s="5" t="s">
        <v>74</v>
      </c>
      <c r="T483" s="48" t="s">
        <v>75</v>
      </c>
      <c r="U483" s="49" t="s">
        <v>3678</v>
      </c>
      <c r="V483" s="7" t="s">
        <v>214</v>
      </c>
      <c r="W483" s="49" t="s">
        <v>214</v>
      </c>
      <c r="X483" s="49" t="s">
        <v>214</v>
      </c>
      <c r="Y483" s="49" t="s">
        <v>214</v>
      </c>
      <c r="Z483" s="55" t="s">
        <v>214</v>
      </c>
      <c r="AA483" s="48" t="s">
        <v>17562</v>
      </c>
      <c r="AB483" s="84" t="s">
        <v>17561</v>
      </c>
      <c r="AC483" s="53" t="str">
        <f t="shared" ref="AC483:AC486" si="279">HYPERLINK("http://www.jjc.edu/academics/degrees-certificates","Link")</f>
        <v>Link</v>
      </c>
      <c r="AD483" s="42">
        <v>15383</v>
      </c>
      <c r="AE483" s="55"/>
      <c r="AF483" s="55"/>
      <c r="AG483" s="56">
        <v>146296</v>
      </c>
      <c r="AH483" s="56"/>
      <c r="AI483" s="56"/>
    </row>
    <row r="484" spans="1:37" ht="15" x14ac:dyDescent="0.2">
      <c r="A484" s="64" t="s">
        <v>1705</v>
      </c>
      <c r="B484" s="33" t="s">
        <v>12632</v>
      </c>
      <c r="C484" s="7" t="s">
        <v>17566</v>
      </c>
      <c r="D484" s="112">
        <v>5</v>
      </c>
      <c r="E484" s="7"/>
      <c r="F484" s="112"/>
      <c r="G484" s="2" t="s">
        <v>17558</v>
      </c>
      <c r="H484" s="2" t="s">
        <v>9338</v>
      </c>
      <c r="I484" s="2" t="s">
        <v>17567</v>
      </c>
      <c r="J484" s="2" t="s">
        <v>48</v>
      </c>
      <c r="K484" s="2" t="s">
        <v>17568</v>
      </c>
      <c r="L484" s="2" t="s">
        <v>17569</v>
      </c>
      <c r="M484" s="48"/>
      <c r="N484" s="45" t="str">
        <f t="shared" si="278"/>
        <v>Questionnaire</v>
      </c>
      <c r="O484" s="48" t="s">
        <v>17561</v>
      </c>
      <c r="P484" s="60" t="s">
        <v>1721</v>
      </c>
      <c r="Q484" s="48" t="s">
        <v>16707</v>
      </c>
      <c r="R484" s="48" t="s">
        <v>238</v>
      </c>
      <c r="S484" s="5" t="s">
        <v>74</v>
      </c>
      <c r="T484" s="48" t="s">
        <v>75</v>
      </c>
      <c r="U484" s="49" t="s">
        <v>3678</v>
      </c>
      <c r="V484" s="7" t="s">
        <v>214</v>
      </c>
      <c r="W484" s="49" t="s">
        <v>214</v>
      </c>
      <c r="X484" s="49" t="s">
        <v>214</v>
      </c>
      <c r="Y484" s="49" t="s">
        <v>214</v>
      </c>
      <c r="Z484" s="55" t="s">
        <v>214</v>
      </c>
      <c r="AA484" s="48" t="s">
        <v>17562</v>
      </c>
      <c r="AB484" s="84" t="s">
        <v>17561</v>
      </c>
      <c r="AC484" s="53" t="str">
        <f t="shared" si="279"/>
        <v>Link</v>
      </c>
      <c r="AD484" s="42">
        <v>15383</v>
      </c>
      <c r="AE484" s="55"/>
      <c r="AF484" s="55"/>
      <c r="AG484" s="56">
        <v>146296</v>
      </c>
      <c r="AH484" s="56"/>
      <c r="AI484" s="56"/>
    </row>
    <row r="485" spans="1:37" ht="15" x14ac:dyDescent="0.2">
      <c r="A485" s="64" t="s">
        <v>1705</v>
      </c>
      <c r="B485" s="33" t="s">
        <v>12632</v>
      </c>
      <c r="C485" s="7" t="s">
        <v>17571</v>
      </c>
      <c r="D485" s="112">
        <v>5</v>
      </c>
      <c r="E485" s="7"/>
      <c r="F485" s="112" t="s">
        <v>126</v>
      </c>
      <c r="G485" s="2" t="s">
        <v>17558</v>
      </c>
      <c r="H485" s="2" t="s">
        <v>17572</v>
      </c>
      <c r="I485" s="2"/>
      <c r="J485" s="2"/>
      <c r="K485" s="2"/>
      <c r="L485" s="2"/>
      <c r="M485" s="48"/>
      <c r="N485" s="45" t="str">
        <f t="shared" si="278"/>
        <v>Questionnaire</v>
      </c>
      <c r="O485" s="48" t="s">
        <v>17561</v>
      </c>
      <c r="P485" s="60" t="s">
        <v>1721</v>
      </c>
      <c r="Q485" s="48" t="s">
        <v>16707</v>
      </c>
      <c r="R485" s="48" t="s">
        <v>238</v>
      </c>
      <c r="S485" s="5" t="s">
        <v>74</v>
      </c>
      <c r="T485" s="48" t="s">
        <v>75</v>
      </c>
      <c r="U485" s="49" t="s">
        <v>3678</v>
      </c>
      <c r="V485" s="7" t="s">
        <v>214</v>
      </c>
      <c r="W485" s="49" t="s">
        <v>214</v>
      </c>
      <c r="X485" s="49" t="s">
        <v>214</v>
      </c>
      <c r="Y485" s="49" t="s">
        <v>214</v>
      </c>
      <c r="Z485" s="55" t="s">
        <v>214</v>
      </c>
      <c r="AA485" s="48" t="s">
        <v>17562</v>
      </c>
      <c r="AB485" s="84" t="s">
        <v>17561</v>
      </c>
      <c r="AC485" s="53" t="str">
        <f t="shared" si="279"/>
        <v>Link</v>
      </c>
      <c r="AD485" s="42">
        <v>15383</v>
      </c>
      <c r="AE485" s="55"/>
      <c r="AF485" s="55"/>
      <c r="AG485" s="56">
        <v>146296</v>
      </c>
      <c r="AH485" s="56"/>
      <c r="AI485" s="56"/>
    </row>
    <row r="486" spans="1:37" ht="15" x14ac:dyDescent="0.2">
      <c r="A486" s="64" t="s">
        <v>1705</v>
      </c>
      <c r="B486" s="33" t="s">
        <v>12632</v>
      </c>
      <c r="C486" s="7" t="s">
        <v>17573</v>
      </c>
      <c r="D486" s="112">
        <v>5</v>
      </c>
      <c r="E486" s="7"/>
      <c r="F486" s="112" t="s">
        <v>126</v>
      </c>
      <c r="G486" s="2" t="s">
        <v>17558</v>
      </c>
      <c r="H486" s="2" t="s">
        <v>17577</v>
      </c>
      <c r="I486" s="2"/>
      <c r="J486" s="2"/>
      <c r="K486" s="2"/>
      <c r="L486" s="2"/>
      <c r="M486" s="48"/>
      <c r="N486" s="45" t="str">
        <f t="shared" si="278"/>
        <v>Questionnaire</v>
      </c>
      <c r="O486" s="48" t="s">
        <v>17561</v>
      </c>
      <c r="P486" s="60" t="s">
        <v>1721</v>
      </c>
      <c r="Q486" s="48" t="s">
        <v>16707</v>
      </c>
      <c r="R486" s="48" t="s">
        <v>238</v>
      </c>
      <c r="S486" s="5" t="s">
        <v>74</v>
      </c>
      <c r="T486" s="48" t="s">
        <v>75</v>
      </c>
      <c r="U486" s="49" t="s">
        <v>3678</v>
      </c>
      <c r="V486" s="7" t="s">
        <v>214</v>
      </c>
      <c r="W486" s="49" t="s">
        <v>214</v>
      </c>
      <c r="X486" s="49" t="s">
        <v>214</v>
      </c>
      <c r="Y486" s="49" t="s">
        <v>214</v>
      </c>
      <c r="Z486" s="55" t="s">
        <v>214</v>
      </c>
      <c r="AA486" s="48" t="s">
        <v>17562</v>
      </c>
      <c r="AB486" s="84" t="s">
        <v>17561</v>
      </c>
      <c r="AC486" s="53" t="str">
        <f t="shared" si="279"/>
        <v>Link</v>
      </c>
      <c r="AD486" s="42">
        <v>15383</v>
      </c>
      <c r="AE486" s="55"/>
      <c r="AF486" s="55"/>
      <c r="AG486" s="56">
        <v>146296</v>
      </c>
      <c r="AH486" s="56"/>
      <c r="AI486" s="56"/>
    </row>
    <row r="487" spans="1:37" ht="15" x14ac:dyDescent="0.2">
      <c r="A487" s="31" t="s">
        <v>1705</v>
      </c>
      <c r="B487" s="33" t="s">
        <v>12632</v>
      </c>
      <c r="C487" s="7"/>
      <c r="D487" s="112">
        <v>5</v>
      </c>
      <c r="E487" s="7"/>
      <c r="F487" s="112"/>
      <c r="G487" s="2" t="s">
        <v>17581</v>
      </c>
      <c r="H487" s="2" t="s">
        <v>3026</v>
      </c>
      <c r="I487" s="2" t="s">
        <v>256</v>
      </c>
      <c r="J487" s="2" t="s">
        <v>48</v>
      </c>
      <c r="K487" s="2" t="s">
        <v>17582</v>
      </c>
      <c r="L487" s="2" t="s">
        <v>17583</v>
      </c>
      <c r="M487" s="45" t="str">
        <f>HYPERLINK("twitter.com/kcc_softball","@kcc_softball")</f>
        <v>@kcc_softball</v>
      </c>
      <c r="N487" s="45" t="str">
        <f>HYPERLINK("https://athletics.kcc.edu/recruitment/","Questionnaire")</f>
        <v>Questionnaire</v>
      </c>
      <c r="O487" s="48" t="s">
        <v>17588</v>
      </c>
      <c r="P487" s="60" t="s">
        <v>1721</v>
      </c>
      <c r="Q487" s="48" t="s">
        <v>17589</v>
      </c>
      <c r="R487" s="48" t="s">
        <v>468</v>
      </c>
      <c r="S487" s="5" t="s">
        <v>74</v>
      </c>
      <c r="T487" s="48" t="s">
        <v>75</v>
      </c>
      <c r="U487" s="49" t="s">
        <v>3678</v>
      </c>
      <c r="V487" s="7" t="s">
        <v>214</v>
      </c>
      <c r="W487" s="49" t="s">
        <v>214</v>
      </c>
      <c r="X487" s="49" t="s">
        <v>214</v>
      </c>
      <c r="Y487" s="49" t="s">
        <v>214</v>
      </c>
      <c r="Z487" s="55" t="s">
        <v>214</v>
      </c>
      <c r="AA487" s="48" t="s">
        <v>17590</v>
      </c>
      <c r="AB487" s="84" t="s">
        <v>17588</v>
      </c>
      <c r="AC487" s="53" t="str">
        <f>HYPERLINK("http://www.kcc.edu/future/choosing/Pages/default.aspx","Link")</f>
        <v>Link</v>
      </c>
      <c r="AD487" s="42">
        <v>3078</v>
      </c>
      <c r="AE487" s="55"/>
      <c r="AF487" s="55"/>
      <c r="AG487" s="56">
        <v>146348</v>
      </c>
      <c r="AH487" s="7" t="s">
        <v>2459</v>
      </c>
      <c r="AI487" s="7"/>
      <c r="AJ487" s="7"/>
      <c r="AK487" s="7"/>
    </row>
    <row r="488" spans="1:37" ht="15" x14ac:dyDescent="0.2">
      <c r="A488" s="64" t="s">
        <v>1705</v>
      </c>
      <c r="B488" s="33" t="s">
        <v>12632</v>
      </c>
      <c r="C488" s="7" t="s">
        <v>17593</v>
      </c>
      <c r="D488" s="112">
        <v>5</v>
      </c>
      <c r="E488" s="7"/>
      <c r="F488" s="112"/>
      <c r="G488" s="2" t="s">
        <v>17594</v>
      </c>
      <c r="H488" s="2" t="s">
        <v>658</v>
      </c>
      <c r="I488" s="2" t="s">
        <v>3729</v>
      </c>
      <c r="J488" s="2" t="s">
        <v>48</v>
      </c>
      <c r="K488" s="2" t="s">
        <v>17595</v>
      </c>
      <c r="L488" s="7" t="s">
        <v>17596</v>
      </c>
      <c r="M488" s="48"/>
      <c r="N488" s="45" t="str">
        <f>HYPERLINK("https://www.kaskaskiaathletics.com/recruits/index","Questionnaire")</f>
        <v>Questionnaire</v>
      </c>
      <c r="O488" s="48" t="s">
        <v>17599</v>
      </c>
      <c r="P488" s="60" t="s">
        <v>1721</v>
      </c>
      <c r="Q488" s="48" t="s">
        <v>17600</v>
      </c>
      <c r="R488" s="48" t="s">
        <v>172</v>
      </c>
      <c r="S488" s="5" t="s">
        <v>74</v>
      </c>
      <c r="T488" s="48" t="s">
        <v>75</v>
      </c>
      <c r="U488" s="49" t="s">
        <v>3678</v>
      </c>
      <c r="V488" s="7" t="s">
        <v>214</v>
      </c>
      <c r="W488" s="49" t="s">
        <v>214</v>
      </c>
      <c r="X488" s="49" t="s">
        <v>214</v>
      </c>
      <c r="Y488" s="49" t="s">
        <v>214</v>
      </c>
      <c r="Z488" s="55" t="s">
        <v>214</v>
      </c>
      <c r="AA488" s="48" t="s">
        <v>17603</v>
      </c>
      <c r="AB488" s="84" t="s">
        <v>17599</v>
      </c>
      <c r="AC488" s="53" t="str">
        <f>HYPERLINK("http://www.kaskaskia.edu/CareerTech/Programs.aspx","Link")</f>
        <v>Link</v>
      </c>
      <c r="AD488" s="42">
        <v>3665</v>
      </c>
      <c r="AE488" s="55"/>
      <c r="AF488" s="55"/>
      <c r="AG488" s="56">
        <v>146366</v>
      </c>
      <c r="AH488" s="56"/>
      <c r="AI488" s="56"/>
    </row>
    <row r="489" spans="1:37" ht="15" x14ac:dyDescent="0.2">
      <c r="A489" s="64" t="s">
        <v>1705</v>
      </c>
      <c r="B489" s="33" t="s">
        <v>12632</v>
      </c>
      <c r="C489" s="7" t="s">
        <v>17609</v>
      </c>
      <c r="D489" s="112">
        <v>5</v>
      </c>
      <c r="E489" s="7"/>
      <c r="F489" s="112"/>
      <c r="G489" s="2" t="s">
        <v>17610</v>
      </c>
      <c r="H489" s="2" t="s">
        <v>513</v>
      </c>
      <c r="I489" s="2" t="s">
        <v>17611</v>
      </c>
      <c r="J489" s="2" t="s">
        <v>48</v>
      </c>
      <c r="K489" s="2" t="s">
        <v>17612</v>
      </c>
      <c r="L489" s="2" t="s">
        <v>17613</v>
      </c>
      <c r="M489" s="45" t="str">
        <f t="shared" ref="M489:M490" si="280">HYPERLINK("twitter.com/KishSoftball","@KishSoftball")</f>
        <v>@KishSoftball</v>
      </c>
      <c r="N489" s="45" t="str">
        <f t="shared" ref="N489:N490" si="281">HYPERLINK("https://www.kishkougars.com/sports/sball/recruit_questionnaire-softball","Questionnaire")</f>
        <v>Questionnaire</v>
      </c>
      <c r="O489" s="48" t="s">
        <v>17617</v>
      </c>
      <c r="P489" s="60" t="s">
        <v>1721</v>
      </c>
      <c r="Q489" s="48" t="s">
        <v>17618</v>
      </c>
      <c r="R489" s="60" t="s">
        <v>205</v>
      </c>
      <c r="S489" s="49" t="s">
        <v>74</v>
      </c>
      <c r="T489" s="48" t="s">
        <v>75</v>
      </c>
      <c r="U489" s="49" t="s">
        <v>3678</v>
      </c>
      <c r="V489" s="7" t="s">
        <v>214</v>
      </c>
      <c r="W489" s="49" t="s">
        <v>214</v>
      </c>
      <c r="X489" s="49" t="s">
        <v>214</v>
      </c>
      <c r="Y489" s="49" t="s">
        <v>214</v>
      </c>
      <c r="Z489" s="55" t="s">
        <v>214</v>
      </c>
      <c r="AA489" s="48" t="s">
        <v>17619</v>
      </c>
      <c r="AB489" s="84" t="s">
        <v>17617</v>
      </c>
      <c r="AC489" s="53" t="str">
        <f t="shared" ref="AC489:AC490" si="282">HYPERLINK("https://www.kish.edu/divisions-and-programs/degrees-certificates","Link")</f>
        <v>Link</v>
      </c>
      <c r="AD489" s="42">
        <v>3775</v>
      </c>
      <c r="AE489" s="55"/>
      <c r="AF489" s="55"/>
      <c r="AG489" s="56">
        <v>146418</v>
      </c>
      <c r="AH489" s="56"/>
      <c r="AI489" s="56"/>
    </row>
    <row r="490" spans="1:37" ht="15" x14ac:dyDescent="0.2">
      <c r="A490" s="64" t="s">
        <v>1705</v>
      </c>
      <c r="B490" s="33" t="s">
        <v>12632</v>
      </c>
      <c r="C490" s="7" t="s">
        <v>17621</v>
      </c>
      <c r="D490" s="112">
        <v>5</v>
      </c>
      <c r="E490" s="7"/>
      <c r="F490" s="112" t="s">
        <v>126</v>
      </c>
      <c r="G490" s="2" t="s">
        <v>17610</v>
      </c>
      <c r="H490" s="2" t="s">
        <v>17624</v>
      </c>
      <c r="I490" s="2"/>
      <c r="J490" s="2"/>
      <c r="K490" s="2"/>
      <c r="L490" s="2"/>
      <c r="M490" s="45" t="str">
        <f t="shared" si="280"/>
        <v>@KishSoftball</v>
      </c>
      <c r="N490" s="45" t="str">
        <f t="shared" si="281"/>
        <v>Questionnaire</v>
      </c>
      <c r="O490" s="48" t="s">
        <v>17617</v>
      </c>
      <c r="P490" s="60" t="s">
        <v>1721</v>
      </c>
      <c r="Q490" s="48" t="s">
        <v>17618</v>
      </c>
      <c r="R490" s="60" t="s">
        <v>205</v>
      </c>
      <c r="S490" s="49" t="s">
        <v>74</v>
      </c>
      <c r="T490" s="48" t="s">
        <v>75</v>
      </c>
      <c r="U490" s="49" t="s">
        <v>3678</v>
      </c>
      <c r="V490" s="7" t="s">
        <v>214</v>
      </c>
      <c r="W490" s="49" t="s">
        <v>214</v>
      </c>
      <c r="X490" s="49" t="s">
        <v>214</v>
      </c>
      <c r="Y490" s="49" t="s">
        <v>214</v>
      </c>
      <c r="Z490" s="55" t="s">
        <v>214</v>
      </c>
      <c r="AA490" s="48" t="s">
        <v>17619</v>
      </c>
      <c r="AB490" s="84" t="s">
        <v>17617</v>
      </c>
      <c r="AC490" s="53" t="str">
        <f t="shared" si="282"/>
        <v>Link</v>
      </c>
      <c r="AD490" s="42">
        <v>3775</v>
      </c>
      <c r="AE490" s="55"/>
      <c r="AF490" s="55"/>
      <c r="AG490" s="56">
        <v>146418</v>
      </c>
      <c r="AH490" s="56"/>
      <c r="AI490" s="56"/>
    </row>
    <row r="491" spans="1:37" ht="15" x14ac:dyDescent="0.2">
      <c r="A491" s="64" t="s">
        <v>1705</v>
      </c>
      <c r="B491" s="33" t="s">
        <v>12632</v>
      </c>
      <c r="C491" s="7" t="s">
        <v>17626</v>
      </c>
      <c r="D491" s="44">
        <v>5</v>
      </c>
      <c r="E491" s="7"/>
      <c r="F491" s="44"/>
      <c r="G491" s="2" t="s">
        <v>17628</v>
      </c>
      <c r="H491" s="7" t="s">
        <v>14130</v>
      </c>
      <c r="I491" s="7" t="s">
        <v>17630</v>
      </c>
      <c r="J491" s="7" t="s">
        <v>48</v>
      </c>
      <c r="K491" s="7" t="s">
        <v>17632</v>
      </c>
      <c r="L491" s="7" t="s">
        <v>17633</v>
      </c>
      <c r="M491" s="48"/>
      <c r="N491" s="45" t="str">
        <f t="shared" ref="N491:N492" si="283">HYPERLINK("http://www.clclancers.com/recruitme","Questionnaire")</f>
        <v>Questionnaire</v>
      </c>
      <c r="O491" s="48" t="s">
        <v>17634</v>
      </c>
      <c r="P491" s="60" t="s">
        <v>1721</v>
      </c>
      <c r="Q491" s="48" t="s">
        <v>17635</v>
      </c>
      <c r="R491" s="48" t="s">
        <v>172</v>
      </c>
      <c r="S491" s="49" t="s">
        <v>74</v>
      </c>
      <c r="T491" s="48" t="s">
        <v>75</v>
      </c>
      <c r="U491" s="49" t="s">
        <v>3678</v>
      </c>
      <c r="V491" s="7" t="s">
        <v>214</v>
      </c>
      <c r="W491" s="49" t="s">
        <v>214</v>
      </c>
      <c r="X491" s="49" t="s">
        <v>214</v>
      </c>
      <c r="Y491" s="49" t="s">
        <v>214</v>
      </c>
      <c r="Z491" s="55" t="s">
        <v>214</v>
      </c>
      <c r="AA491" s="48" t="s">
        <v>17636</v>
      </c>
      <c r="AB491" s="84" t="s">
        <v>17634</v>
      </c>
      <c r="AC491" s="53" t="str">
        <f t="shared" ref="AC491:AC492" si="284">HYPERLINK("http://www.clcillinois.edu/programs-and-classes/degrees-and-certificates","Link")</f>
        <v>Link</v>
      </c>
      <c r="AD491" s="42">
        <v>14768</v>
      </c>
      <c r="AE491" s="55"/>
      <c r="AF491" s="55"/>
      <c r="AG491" s="56">
        <v>146472</v>
      </c>
      <c r="AH491" s="56"/>
      <c r="AI491" s="56"/>
    </row>
    <row r="492" spans="1:37" ht="15" x14ac:dyDescent="0.2">
      <c r="A492" s="64" t="s">
        <v>1705</v>
      </c>
      <c r="B492" s="33" t="s">
        <v>12632</v>
      </c>
      <c r="C492" s="7" t="s">
        <v>17639</v>
      </c>
      <c r="D492" s="112">
        <v>5</v>
      </c>
      <c r="E492" s="7"/>
      <c r="F492" s="112"/>
      <c r="G492" s="2" t="s">
        <v>17628</v>
      </c>
      <c r="H492" s="2" t="s">
        <v>17640</v>
      </c>
      <c r="I492" s="2"/>
      <c r="J492" s="2"/>
      <c r="K492" s="2"/>
      <c r="L492" s="2"/>
      <c r="M492" s="48"/>
      <c r="N492" s="45" t="str">
        <f t="shared" si="283"/>
        <v>Questionnaire</v>
      </c>
      <c r="O492" s="48" t="s">
        <v>17634</v>
      </c>
      <c r="P492" s="60" t="s">
        <v>1721</v>
      </c>
      <c r="Q492" s="48" t="s">
        <v>17635</v>
      </c>
      <c r="R492" s="48" t="s">
        <v>172</v>
      </c>
      <c r="S492" s="49" t="s">
        <v>74</v>
      </c>
      <c r="T492" s="48" t="s">
        <v>75</v>
      </c>
      <c r="U492" s="49" t="s">
        <v>3678</v>
      </c>
      <c r="V492" s="7" t="s">
        <v>214</v>
      </c>
      <c r="W492" s="49" t="s">
        <v>214</v>
      </c>
      <c r="X492" s="49" t="s">
        <v>214</v>
      </c>
      <c r="Y492" s="49" t="s">
        <v>214</v>
      </c>
      <c r="Z492" s="55" t="s">
        <v>214</v>
      </c>
      <c r="AA492" s="48" t="s">
        <v>17636</v>
      </c>
      <c r="AB492" s="84" t="s">
        <v>17634</v>
      </c>
      <c r="AC492" s="53" t="str">
        <f t="shared" si="284"/>
        <v>Link</v>
      </c>
      <c r="AD492" s="42">
        <v>14768</v>
      </c>
      <c r="AE492" s="55"/>
      <c r="AF492" s="55"/>
      <c r="AG492" s="56">
        <v>146472</v>
      </c>
      <c r="AH492" s="56"/>
      <c r="AI492" s="56"/>
    </row>
    <row r="493" spans="1:37" ht="15" x14ac:dyDescent="0.2">
      <c r="A493" s="31" t="s">
        <v>1705</v>
      </c>
      <c r="B493" s="33" t="s">
        <v>12632</v>
      </c>
      <c r="C493" s="7"/>
      <c r="D493" s="112">
        <v>5</v>
      </c>
      <c r="E493" s="7"/>
      <c r="F493" s="112"/>
      <c r="G493" s="2" t="s">
        <v>17641</v>
      </c>
      <c r="H493" s="2" t="s">
        <v>17642</v>
      </c>
      <c r="I493" s="2" t="s">
        <v>17643</v>
      </c>
      <c r="J493" s="2" t="s">
        <v>48</v>
      </c>
      <c r="K493" s="2" t="s">
        <v>17644</v>
      </c>
      <c r="L493" s="2" t="s">
        <v>17645</v>
      </c>
      <c r="M493" s="45" t="str">
        <f>HYPERLINK("twitter.com/MuskiesSB","@MuskiesSB")</f>
        <v>@MuskiesSB</v>
      </c>
      <c r="N493" s="45" t="str">
        <f>HYPERLINK("https://www.lakelandcollege.edu/athletics/athletic-interest/","Questionnaire")</f>
        <v>Questionnaire</v>
      </c>
      <c r="O493" s="108" t="s">
        <v>17651</v>
      </c>
      <c r="P493" s="60" t="s">
        <v>1721</v>
      </c>
      <c r="Q493" s="48" t="s">
        <v>17652</v>
      </c>
      <c r="R493" s="48" t="s">
        <v>172</v>
      </c>
      <c r="S493" s="49" t="s">
        <v>74</v>
      </c>
      <c r="T493" s="48" t="s">
        <v>75</v>
      </c>
      <c r="U493" s="49" t="s">
        <v>3678</v>
      </c>
      <c r="V493" s="7" t="s">
        <v>214</v>
      </c>
      <c r="W493" s="49" t="s">
        <v>214</v>
      </c>
      <c r="X493" s="49" t="s">
        <v>214</v>
      </c>
      <c r="Y493" s="49" t="s">
        <v>214</v>
      </c>
      <c r="Z493" s="55" t="s">
        <v>214</v>
      </c>
      <c r="AA493" s="48" t="s">
        <v>214</v>
      </c>
      <c r="AB493" s="52" t="s">
        <v>17651</v>
      </c>
      <c r="AC493" s="53" t="str">
        <f>HYPERLINK("https://www.lakelandcollege.edu/academic-programs/","Link")</f>
        <v>Link</v>
      </c>
      <c r="AD493" s="42">
        <v>5107</v>
      </c>
      <c r="AE493" s="55"/>
      <c r="AF493" s="55"/>
      <c r="AG493" s="56">
        <v>146506</v>
      </c>
      <c r="AH493" s="7" t="s">
        <v>2459</v>
      </c>
      <c r="AI493" s="7"/>
      <c r="AJ493" s="7"/>
      <c r="AK493" s="7"/>
    </row>
    <row r="494" spans="1:37" ht="15" x14ac:dyDescent="0.2">
      <c r="A494" s="31" t="s">
        <v>1705</v>
      </c>
      <c r="B494" s="33" t="s">
        <v>12632</v>
      </c>
      <c r="C494" s="7"/>
      <c r="D494" s="112">
        <v>5</v>
      </c>
      <c r="E494" s="7"/>
      <c r="F494" s="112"/>
      <c r="G494" s="2" t="s">
        <v>17654</v>
      </c>
      <c r="H494" s="2" t="s">
        <v>17655</v>
      </c>
      <c r="I494" s="2" t="s">
        <v>509</v>
      </c>
      <c r="J494" s="2" t="s">
        <v>48</v>
      </c>
      <c r="K494" s="2" t="s">
        <v>17656</v>
      </c>
      <c r="L494" s="2" t="s">
        <v>17657</v>
      </c>
      <c r="M494" s="48"/>
      <c r="N494" s="48" t="s">
        <v>22</v>
      </c>
      <c r="O494" s="48" t="s">
        <v>17658</v>
      </c>
      <c r="P494" s="60" t="s">
        <v>1721</v>
      </c>
      <c r="Q494" s="48" t="s">
        <v>17659</v>
      </c>
      <c r="R494" s="48" t="s">
        <v>172</v>
      </c>
      <c r="S494" s="49" t="s">
        <v>74</v>
      </c>
      <c r="T494" s="48" t="s">
        <v>75</v>
      </c>
      <c r="U494" s="49" t="s">
        <v>3678</v>
      </c>
      <c r="V494" s="7" t="s">
        <v>214</v>
      </c>
      <c r="W494" s="49" t="s">
        <v>214</v>
      </c>
      <c r="X494" s="49" t="s">
        <v>214</v>
      </c>
      <c r="Y494" s="49" t="s">
        <v>214</v>
      </c>
      <c r="Z494" s="55" t="s">
        <v>214</v>
      </c>
      <c r="AA494" s="48" t="s">
        <v>17660</v>
      </c>
      <c r="AB494" s="84" t="s">
        <v>17658</v>
      </c>
      <c r="AC494" s="53" t="str">
        <f>HYPERLINK("http://www.lc.edu/credit-programs/","Link")</f>
        <v>Link</v>
      </c>
      <c r="AD494" s="42">
        <v>7272</v>
      </c>
      <c r="AE494" s="55"/>
      <c r="AF494" s="55"/>
      <c r="AG494" s="56">
        <v>146603</v>
      </c>
      <c r="AH494" s="7" t="s">
        <v>2459</v>
      </c>
      <c r="AI494" s="7"/>
      <c r="AJ494" s="7"/>
      <c r="AK494" s="7"/>
    </row>
    <row r="495" spans="1:37" ht="15" x14ac:dyDescent="0.2">
      <c r="A495" s="64" t="s">
        <v>1705</v>
      </c>
      <c r="B495" s="33" t="s">
        <v>12632</v>
      </c>
      <c r="C495" s="7" t="s">
        <v>17661</v>
      </c>
      <c r="D495" s="112">
        <v>5</v>
      </c>
      <c r="E495" s="7"/>
      <c r="F495" s="112"/>
      <c r="G495" s="2" t="s">
        <v>17662</v>
      </c>
      <c r="H495" s="2" t="s">
        <v>537</v>
      </c>
      <c r="I495" s="2" t="s">
        <v>17663</v>
      </c>
      <c r="J495" s="2" t="s">
        <v>48</v>
      </c>
      <c r="K495" s="2" t="s">
        <v>17664</v>
      </c>
      <c r="L495" s="2" t="s">
        <v>17665</v>
      </c>
      <c r="M495" s="48"/>
      <c r="N495" s="45" t="str">
        <f>HYPERLINK("https://lincolnlandloggers.com/sb_output.aspx?form=3&amp;path=general","Questionnaire")</f>
        <v>Questionnaire</v>
      </c>
      <c r="O495" s="48" t="s">
        <v>17666</v>
      </c>
      <c r="P495" s="60" t="s">
        <v>1721</v>
      </c>
      <c r="Q495" s="48" t="s">
        <v>4357</v>
      </c>
      <c r="R495" s="48" t="s">
        <v>238</v>
      </c>
      <c r="S495" s="49" t="s">
        <v>74</v>
      </c>
      <c r="T495" s="48" t="s">
        <v>75</v>
      </c>
      <c r="U495" s="49" t="s">
        <v>3678</v>
      </c>
      <c r="V495" s="7" t="s">
        <v>214</v>
      </c>
      <c r="W495" s="49" t="s">
        <v>214</v>
      </c>
      <c r="X495" s="49" t="s">
        <v>214</v>
      </c>
      <c r="Y495" s="49" t="s">
        <v>214</v>
      </c>
      <c r="Z495" s="55" t="s">
        <v>214</v>
      </c>
      <c r="AA495" s="48" t="s">
        <v>17667</v>
      </c>
      <c r="AB495" s="84" t="s">
        <v>17666</v>
      </c>
      <c r="AC495" s="53" t="str">
        <f>HYPERLINK("http://www.llcc.edu/academics/academic-departments/","Link")</f>
        <v>Link</v>
      </c>
      <c r="AD495" s="42">
        <v>5744</v>
      </c>
      <c r="AE495" s="55"/>
      <c r="AF495" s="55"/>
      <c r="AG495" s="56">
        <v>146685</v>
      </c>
      <c r="AH495" s="56"/>
      <c r="AI495" s="56"/>
    </row>
    <row r="496" spans="1:37" ht="15" x14ac:dyDescent="0.2">
      <c r="A496" s="31" t="s">
        <v>1705</v>
      </c>
      <c r="B496" s="33" t="s">
        <v>12632</v>
      </c>
      <c r="C496" s="7"/>
      <c r="D496" s="112">
        <v>5</v>
      </c>
      <c r="E496" s="7"/>
      <c r="F496" s="112"/>
      <c r="G496" s="2" t="s">
        <v>17669</v>
      </c>
      <c r="H496" s="2" t="s">
        <v>811</v>
      </c>
      <c r="I496" s="2" t="s">
        <v>1863</v>
      </c>
      <c r="J496" s="2" t="s">
        <v>48</v>
      </c>
      <c r="K496" s="2" t="s">
        <v>17670</v>
      </c>
      <c r="L496" s="2" t="s">
        <v>17671</v>
      </c>
      <c r="M496" s="48"/>
      <c r="N496" s="48" t="s">
        <v>22</v>
      </c>
      <c r="O496" s="48" t="s">
        <v>17672</v>
      </c>
      <c r="P496" s="60" t="s">
        <v>1721</v>
      </c>
      <c r="Q496" s="48" t="s">
        <v>578</v>
      </c>
      <c r="R496" s="60" t="s">
        <v>205</v>
      </c>
      <c r="S496" s="49" t="s">
        <v>74</v>
      </c>
      <c r="T496" s="48" t="s">
        <v>75</v>
      </c>
      <c r="U496" s="49" t="s">
        <v>3678</v>
      </c>
      <c r="V496" s="7" t="s">
        <v>214</v>
      </c>
      <c r="W496" s="49" t="s">
        <v>214</v>
      </c>
      <c r="X496" s="49" t="s">
        <v>214</v>
      </c>
      <c r="Y496" s="49" t="s">
        <v>214</v>
      </c>
      <c r="Z496" s="55" t="s">
        <v>214</v>
      </c>
      <c r="AA496" s="48" t="s">
        <v>17673</v>
      </c>
      <c r="AB496" s="84" t="s">
        <v>17672</v>
      </c>
      <c r="AC496" s="53" t="str">
        <f>HYPERLINK("https://www.iecc.edu/page.php?page=ACAD_DISTWIDE&amp;acad=list","Link")</f>
        <v>Link</v>
      </c>
      <c r="AD496" s="42">
        <v>934</v>
      </c>
      <c r="AE496" s="55"/>
      <c r="AF496" s="55"/>
      <c r="AG496" s="56">
        <v>403478</v>
      </c>
      <c r="AH496" s="7" t="s">
        <v>2459</v>
      </c>
      <c r="AI496" s="7"/>
      <c r="AJ496" s="7"/>
      <c r="AK496" s="7"/>
    </row>
    <row r="497" spans="1:37" ht="15" x14ac:dyDescent="0.2">
      <c r="A497" s="31" t="s">
        <v>1705</v>
      </c>
      <c r="B497" s="33" t="s">
        <v>12632</v>
      </c>
      <c r="C497" s="7"/>
      <c r="D497" s="112">
        <v>5</v>
      </c>
      <c r="E497" s="7"/>
      <c r="F497" s="112"/>
      <c r="G497" s="2" t="s">
        <v>17675</v>
      </c>
      <c r="H497" s="2" t="s">
        <v>12408</v>
      </c>
      <c r="I497" s="2" t="s">
        <v>12333</v>
      </c>
      <c r="J497" s="2" t="s">
        <v>48</v>
      </c>
      <c r="K497" s="2" t="s">
        <v>17676</v>
      </c>
      <c r="L497" s="2"/>
      <c r="M497" s="45" t="str">
        <f t="shared" ref="M497:M498" si="285">HYPERLINK("twitter.com/softballmchenry","@softballmchenry")</f>
        <v>@softballmchenry</v>
      </c>
      <c r="N497" s="48" t="s">
        <v>22</v>
      </c>
      <c r="O497" s="48" t="s">
        <v>17677</v>
      </c>
      <c r="P497" s="60" t="s">
        <v>1721</v>
      </c>
      <c r="Q497" s="48" t="s">
        <v>17678</v>
      </c>
      <c r="R497" s="48" t="s">
        <v>468</v>
      </c>
      <c r="S497" s="49" t="s">
        <v>74</v>
      </c>
      <c r="T497" s="48" t="s">
        <v>75</v>
      </c>
      <c r="U497" s="49" t="s">
        <v>3678</v>
      </c>
      <c r="V497" s="7" t="s">
        <v>214</v>
      </c>
      <c r="W497" s="49" t="s">
        <v>214</v>
      </c>
      <c r="X497" s="49" t="s">
        <v>214</v>
      </c>
      <c r="Y497" s="49" t="s">
        <v>214</v>
      </c>
      <c r="Z497" s="55" t="s">
        <v>214</v>
      </c>
      <c r="AA497" s="48" t="s">
        <v>17679</v>
      </c>
      <c r="AB497" s="84" t="s">
        <v>17677</v>
      </c>
      <c r="AC497" s="53" t="str">
        <f t="shared" ref="AC497:AC498" si="286">HYPERLINK("http://www.mchenry.edu/atc/degreeinfo.asp","Link")</f>
        <v>Link</v>
      </c>
      <c r="AD497" s="42">
        <v>6371</v>
      </c>
      <c r="AE497" s="55"/>
      <c r="AF497" s="55"/>
      <c r="AG497" s="56">
        <v>147004</v>
      </c>
      <c r="AH497" s="7" t="s">
        <v>2459</v>
      </c>
      <c r="AI497" s="7"/>
      <c r="AJ497" s="7"/>
      <c r="AK497" s="7"/>
    </row>
    <row r="498" spans="1:37" ht="15" x14ac:dyDescent="0.2">
      <c r="A498" s="31" t="s">
        <v>1705</v>
      </c>
      <c r="B498" s="33" t="s">
        <v>12632</v>
      </c>
      <c r="C498" s="7"/>
      <c r="D498" s="112">
        <v>5</v>
      </c>
      <c r="E498" s="7"/>
      <c r="F498" s="112"/>
      <c r="G498" s="2" t="s">
        <v>17675</v>
      </c>
      <c r="H498" s="2" t="s">
        <v>1075</v>
      </c>
      <c r="I498" s="2" t="s">
        <v>17683</v>
      </c>
      <c r="J498" s="2" t="s">
        <v>55</v>
      </c>
      <c r="K498" s="2" t="s">
        <v>17684</v>
      </c>
      <c r="L498" s="2"/>
      <c r="M498" s="45" t="str">
        <f t="shared" si="285"/>
        <v>@softballmchenry</v>
      </c>
      <c r="N498" s="48" t="s">
        <v>22</v>
      </c>
      <c r="O498" s="48" t="s">
        <v>17677</v>
      </c>
      <c r="P498" s="60" t="s">
        <v>1721</v>
      </c>
      <c r="Q498" s="48" t="s">
        <v>17678</v>
      </c>
      <c r="R498" s="48" t="s">
        <v>468</v>
      </c>
      <c r="S498" s="49" t="s">
        <v>74</v>
      </c>
      <c r="T498" s="48" t="s">
        <v>75</v>
      </c>
      <c r="U498" s="49" t="s">
        <v>3678</v>
      </c>
      <c r="V498" s="7" t="s">
        <v>214</v>
      </c>
      <c r="W498" s="49" t="s">
        <v>214</v>
      </c>
      <c r="X498" s="49" t="s">
        <v>214</v>
      </c>
      <c r="Y498" s="49" t="s">
        <v>214</v>
      </c>
      <c r="Z498" s="55" t="s">
        <v>214</v>
      </c>
      <c r="AA498" s="48" t="s">
        <v>17679</v>
      </c>
      <c r="AB498" s="84" t="s">
        <v>17677</v>
      </c>
      <c r="AC498" s="53" t="str">
        <f t="shared" si="286"/>
        <v>Link</v>
      </c>
      <c r="AD498" s="42">
        <v>6371</v>
      </c>
      <c r="AE498" s="55"/>
      <c r="AF498" s="55"/>
      <c r="AG498" s="56">
        <v>147004</v>
      </c>
      <c r="AH498" s="7" t="s">
        <v>2459</v>
      </c>
      <c r="AI498" s="7"/>
      <c r="AJ498" s="7"/>
      <c r="AK498" s="7"/>
    </row>
    <row r="499" spans="1:37" ht="15" x14ac:dyDescent="0.2">
      <c r="A499" s="64" t="s">
        <v>1705</v>
      </c>
      <c r="B499" s="33" t="s">
        <v>12632</v>
      </c>
      <c r="C499" s="7" t="s">
        <v>17687</v>
      </c>
      <c r="D499" s="112">
        <v>5</v>
      </c>
      <c r="E499" s="7"/>
      <c r="F499" s="112"/>
      <c r="G499" s="2" t="s">
        <v>17688</v>
      </c>
      <c r="H499" s="2" t="s">
        <v>2031</v>
      </c>
      <c r="I499" s="2" t="s">
        <v>17689</v>
      </c>
      <c r="J499" s="2" t="s">
        <v>48</v>
      </c>
      <c r="K499" s="2" t="s">
        <v>17690</v>
      </c>
      <c r="L499" s="2" t="s">
        <v>17691</v>
      </c>
      <c r="M499" s="45" t="str">
        <f t="shared" ref="M499:M501" si="287">HYPERLINK("twitter.com/morainesoftball","@morainesoftball")</f>
        <v>@morainesoftball</v>
      </c>
      <c r="N499" s="45" t="str">
        <f t="shared" ref="N499:N501" si="288">HYPERLINK("http://mvcyclones.com/general/Information_request","Questionnaire")</f>
        <v>Questionnaire</v>
      </c>
      <c r="O499" s="48" t="s">
        <v>17693</v>
      </c>
      <c r="P499" s="60" t="s">
        <v>1721</v>
      </c>
      <c r="Q499" s="48" t="s">
        <v>17694</v>
      </c>
      <c r="R499" s="48" t="s">
        <v>172</v>
      </c>
      <c r="S499" s="49" t="s">
        <v>74</v>
      </c>
      <c r="T499" s="48" t="s">
        <v>75</v>
      </c>
      <c r="U499" s="49" t="s">
        <v>3678</v>
      </c>
      <c r="V499" s="7" t="s">
        <v>214</v>
      </c>
      <c r="W499" s="49" t="s">
        <v>214</v>
      </c>
      <c r="X499" s="49" t="s">
        <v>214</v>
      </c>
      <c r="Y499" s="49" t="s">
        <v>214</v>
      </c>
      <c r="Z499" s="55" t="s">
        <v>214</v>
      </c>
      <c r="AA499" s="48" t="s">
        <v>17699</v>
      </c>
      <c r="AB499" s="84" t="s">
        <v>17693</v>
      </c>
      <c r="AC499" s="53" t="str">
        <f t="shared" ref="AC499:AC501" si="289">HYPERLINK("https://www.morainevalley.edu/academics/academic-programs/","Link")</f>
        <v>Link</v>
      </c>
      <c r="AD499" s="42">
        <v>16117</v>
      </c>
      <c r="AE499" s="55"/>
      <c r="AF499" s="55"/>
      <c r="AG499" s="56">
        <v>147378</v>
      </c>
      <c r="AH499" s="56"/>
      <c r="AI499" s="56"/>
    </row>
    <row r="500" spans="1:37" ht="15" x14ac:dyDescent="0.2">
      <c r="A500" s="64" t="s">
        <v>1705</v>
      </c>
      <c r="B500" s="33" t="s">
        <v>12632</v>
      </c>
      <c r="C500" s="7" t="s">
        <v>17700</v>
      </c>
      <c r="D500" s="112">
        <v>5</v>
      </c>
      <c r="E500" s="7"/>
      <c r="F500" s="112"/>
      <c r="G500" s="2" t="s">
        <v>17688</v>
      </c>
      <c r="H500" s="2" t="s">
        <v>5307</v>
      </c>
      <c r="I500" s="2" t="s">
        <v>17701</v>
      </c>
      <c r="J500" s="2" t="s">
        <v>55</v>
      </c>
      <c r="K500" s="2"/>
      <c r="L500" s="7" t="s">
        <v>17702</v>
      </c>
      <c r="M500" s="45" t="str">
        <f t="shared" si="287"/>
        <v>@morainesoftball</v>
      </c>
      <c r="N500" s="45" t="str">
        <f t="shared" si="288"/>
        <v>Questionnaire</v>
      </c>
      <c r="O500" s="48" t="s">
        <v>17693</v>
      </c>
      <c r="P500" s="60" t="s">
        <v>1721</v>
      </c>
      <c r="Q500" s="48" t="s">
        <v>17694</v>
      </c>
      <c r="R500" s="48" t="s">
        <v>172</v>
      </c>
      <c r="S500" s="49" t="s">
        <v>74</v>
      </c>
      <c r="T500" s="48" t="s">
        <v>75</v>
      </c>
      <c r="U500" s="49" t="s">
        <v>3678</v>
      </c>
      <c r="V500" s="7" t="s">
        <v>214</v>
      </c>
      <c r="W500" s="49" t="s">
        <v>214</v>
      </c>
      <c r="X500" s="49" t="s">
        <v>214</v>
      </c>
      <c r="Y500" s="49" t="s">
        <v>214</v>
      </c>
      <c r="Z500" s="55" t="s">
        <v>214</v>
      </c>
      <c r="AA500" s="48" t="s">
        <v>17699</v>
      </c>
      <c r="AB500" s="84" t="s">
        <v>17693</v>
      </c>
      <c r="AC500" s="53" t="str">
        <f t="shared" si="289"/>
        <v>Link</v>
      </c>
      <c r="AD500" s="42">
        <v>16117</v>
      </c>
      <c r="AE500" s="55"/>
      <c r="AF500" s="55"/>
      <c r="AG500" s="56">
        <v>147378</v>
      </c>
      <c r="AH500" s="56"/>
      <c r="AI500" s="56"/>
    </row>
    <row r="501" spans="1:37" ht="15" x14ac:dyDescent="0.2">
      <c r="A501" s="64" t="s">
        <v>1705</v>
      </c>
      <c r="B501" s="33" t="s">
        <v>12632</v>
      </c>
      <c r="C501" s="7" t="s">
        <v>17705</v>
      </c>
      <c r="D501" s="112">
        <v>5</v>
      </c>
      <c r="E501" s="7"/>
      <c r="F501" s="112"/>
      <c r="G501" s="2" t="s">
        <v>17688</v>
      </c>
      <c r="H501" s="2" t="s">
        <v>1092</v>
      </c>
      <c r="I501" s="2" t="s">
        <v>17706</v>
      </c>
      <c r="J501" s="2" t="s">
        <v>55</v>
      </c>
      <c r="K501" s="2"/>
      <c r="L501" s="7"/>
      <c r="M501" s="45" t="str">
        <f t="shared" si="287"/>
        <v>@morainesoftball</v>
      </c>
      <c r="N501" s="45" t="str">
        <f t="shared" si="288"/>
        <v>Questionnaire</v>
      </c>
      <c r="O501" s="48" t="s">
        <v>17693</v>
      </c>
      <c r="P501" s="60" t="s">
        <v>1721</v>
      </c>
      <c r="Q501" s="48" t="s">
        <v>17694</v>
      </c>
      <c r="R501" s="48" t="s">
        <v>172</v>
      </c>
      <c r="S501" s="49" t="s">
        <v>74</v>
      </c>
      <c r="T501" s="48" t="s">
        <v>75</v>
      </c>
      <c r="U501" s="49" t="s">
        <v>3678</v>
      </c>
      <c r="V501" s="7" t="s">
        <v>214</v>
      </c>
      <c r="W501" s="49" t="s">
        <v>214</v>
      </c>
      <c r="X501" s="49" t="s">
        <v>214</v>
      </c>
      <c r="Y501" s="49" t="s">
        <v>214</v>
      </c>
      <c r="Z501" s="55" t="s">
        <v>214</v>
      </c>
      <c r="AA501" s="48" t="s">
        <v>17699</v>
      </c>
      <c r="AB501" s="84" t="s">
        <v>17693</v>
      </c>
      <c r="AC501" s="53" t="str">
        <f t="shared" si="289"/>
        <v>Link</v>
      </c>
      <c r="AD501" s="42">
        <v>16117</v>
      </c>
      <c r="AE501" s="55"/>
      <c r="AF501" s="55"/>
      <c r="AG501" s="56">
        <v>147378</v>
      </c>
      <c r="AH501" s="56"/>
      <c r="AI501" s="56"/>
    </row>
    <row r="502" spans="1:37" ht="15" x14ac:dyDescent="0.2">
      <c r="A502" s="64" t="s">
        <v>1705</v>
      </c>
      <c r="B502" s="33" t="s">
        <v>12632</v>
      </c>
      <c r="C502" s="7" t="s">
        <v>17713</v>
      </c>
      <c r="D502" s="44">
        <v>5</v>
      </c>
      <c r="E502" s="7" t="s">
        <v>116</v>
      </c>
      <c r="F502" s="7"/>
      <c r="G502" s="2" t="s">
        <v>17714</v>
      </c>
      <c r="H502" s="7" t="s">
        <v>658</v>
      </c>
      <c r="I502" s="7" t="s">
        <v>17715</v>
      </c>
      <c r="J502" s="7" t="s">
        <v>55</v>
      </c>
      <c r="K502" s="7"/>
      <c r="L502" s="7"/>
      <c r="M502" s="48"/>
      <c r="N502" s="45" t="str">
        <f t="shared" ref="N502:N504" si="290">HYPERLINK("https://gomcpanthers.com/sb_output.aspx?form=3","Questionnaire")</f>
        <v>Questionnaire</v>
      </c>
      <c r="O502" s="48" t="s">
        <v>17716</v>
      </c>
      <c r="P502" s="60" t="s">
        <v>1721</v>
      </c>
      <c r="Q502" s="48" t="s">
        <v>17717</v>
      </c>
      <c r="R502" s="48" t="s">
        <v>238</v>
      </c>
      <c r="S502" s="49" t="s">
        <v>74</v>
      </c>
      <c r="T502" s="48" t="s">
        <v>75</v>
      </c>
      <c r="U502" s="49" t="s">
        <v>3678</v>
      </c>
      <c r="V502" s="7" t="s">
        <v>214</v>
      </c>
      <c r="W502" s="49" t="s">
        <v>214</v>
      </c>
      <c r="X502" s="49" t="s">
        <v>214</v>
      </c>
      <c r="Y502" s="49" t="s">
        <v>214</v>
      </c>
      <c r="Z502" s="55" t="s">
        <v>214</v>
      </c>
      <c r="AA502" s="48" t="s">
        <v>17721</v>
      </c>
      <c r="AB502" s="84" t="s">
        <v>17716</v>
      </c>
      <c r="AC502" s="53" t="str">
        <f t="shared" ref="AC502:AC504" si="291">HYPERLINK("http://www.morton.edu/career-programs/","Link")</f>
        <v>Link</v>
      </c>
      <c r="AD502" s="42">
        <v>4397</v>
      </c>
      <c r="AE502" s="55"/>
      <c r="AF502" s="55"/>
      <c r="AG502" s="56">
        <v>147411</v>
      </c>
      <c r="AH502" s="56"/>
      <c r="AI502" s="56"/>
    </row>
    <row r="503" spans="1:37" ht="15" x14ac:dyDescent="0.2">
      <c r="A503" s="64" t="s">
        <v>1705</v>
      </c>
      <c r="B503" s="33" t="s">
        <v>12632</v>
      </c>
      <c r="C503" s="7" t="s">
        <v>17725</v>
      </c>
      <c r="D503" s="44">
        <v>5</v>
      </c>
      <c r="E503" s="7" t="s">
        <v>116</v>
      </c>
      <c r="F503" s="7"/>
      <c r="G503" s="2" t="s">
        <v>17714</v>
      </c>
      <c r="H503" s="7" t="s">
        <v>597</v>
      </c>
      <c r="I503" s="7" t="s">
        <v>5558</v>
      </c>
      <c r="J503" s="7" t="s">
        <v>919</v>
      </c>
      <c r="K503" s="7"/>
      <c r="L503" s="7"/>
      <c r="M503" s="48"/>
      <c r="N503" s="45" t="str">
        <f t="shared" si="290"/>
        <v>Questionnaire</v>
      </c>
      <c r="O503" s="48" t="s">
        <v>17716</v>
      </c>
      <c r="P503" s="60" t="s">
        <v>1721</v>
      </c>
      <c r="Q503" s="48" t="s">
        <v>17717</v>
      </c>
      <c r="R503" s="48" t="s">
        <v>238</v>
      </c>
      <c r="S503" s="49" t="s">
        <v>74</v>
      </c>
      <c r="T503" s="48" t="s">
        <v>75</v>
      </c>
      <c r="U503" s="49" t="s">
        <v>3678</v>
      </c>
      <c r="V503" s="7" t="s">
        <v>214</v>
      </c>
      <c r="W503" s="49" t="s">
        <v>214</v>
      </c>
      <c r="X503" s="49" t="s">
        <v>214</v>
      </c>
      <c r="Y503" s="49" t="s">
        <v>214</v>
      </c>
      <c r="Z503" s="55" t="s">
        <v>214</v>
      </c>
      <c r="AA503" s="48" t="s">
        <v>17721</v>
      </c>
      <c r="AB503" s="84" t="s">
        <v>17716</v>
      </c>
      <c r="AC503" s="53" t="str">
        <f t="shared" si="291"/>
        <v>Link</v>
      </c>
      <c r="AD503" s="42">
        <v>4397</v>
      </c>
      <c r="AE503" s="55"/>
      <c r="AF503" s="55"/>
      <c r="AG503" s="56">
        <v>147411</v>
      </c>
      <c r="AH503" s="56"/>
      <c r="AI503" s="56"/>
    </row>
    <row r="504" spans="1:37" ht="15" x14ac:dyDescent="0.2">
      <c r="A504" s="64" t="s">
        <v>1705</v>
      </c>
      <c r="B504" s="33" t="s">
        <v>12632</v>
      </c>
      <c r="C504" s="7" t="s">
        <v>17728</v>
      </c>
      <c r="D504" s="112">
        <v>5</v>
      </c>
      <c r="E504" s="7"/>
      <c r="F504" s="112"/>
      <c r="G504" s="2" t="s">
        <v>17714</v>
      </c>
      <c r="H504" s="2" t="s">
        <v>2599</v>
      </c>
      <c r="I504" s="2" t="s">
        <v>17730</v>
      </c>
      <c r="J504" s="2" t="s">
        <v>48</v>
      </c>
      <c r="K504" s="2" t="s">
        <v>17731</v>
      </c>
      <c r="L504" s="2" t="s">
        <v>17732</v>
      </c>
      <c r="M504" s="48"/>
      <c r="N504" s="45" t="str">
        <f t="shared" si="290"/>
        <v>Questionnaire</v>
      </c>
      <c r="O504" s="48" t="s">
        <v>17716</v>
      </c>
      <c r="P504" s="60" t="s">
        <v>1721</v>
      </c>
      <c r="Q504" s="48" t="s">
        <v>17717</v>
      </c>
      <c r="R504" s="48" t="s">
        <v>238</v>
      </c>
      <c r="S504" s="49" t="s">
        <v>74</v>
      </c>
      <c r="T504" s="48" t="s">
        <v>75</v>
      </c>
      <c r="U504" s="49" t="s">
        <v>3678</v>
      </c>
      <c r="V504" s="7" t="s">
        <v>214</v>
      </c>
      <c r="W504" s="49" t="s">
        <v>214</v>
      </c>
      <c r="X504" s="49" t="s">
        <v>214</v>
      </c>
      <c r="Y504" s="49" t="s">
        <v>214</v>
      </c>
      <c r="Z504" s="55" t="s">
        <v>214</v>
      </c>
      <c r="AA504" s="48" t="s">
        <v>17721</v>
      </c>
      <c r="AB504" s="84" t="s">
        <v>17716</v>
      </c>
      <c r="AC504" s="53" t="str">
        <f t="shared" si="291"/>
        <v>Link</v>
      </c>
      <c r="AD504" s="42">
        <v>4397</v>
      </c>
      <c r="AE504" s="55"/>
      <c r="AF504" s="55"/>
      <c r="AG504" s="56">
        <v>147411</v>
      </c>
      <c r="AH504" s="56"/>
      <c r="AI504" s="56"/>
    </row>
    <row r="505" spans="1:37" ht="15" x14ac:dyDescent="0.2">
      <c r="A505" s="31" t="s">
        <v>1705</v>
      </c>
      <c r="B505" s="33" t="s">
        <v>12632</v>
      </c>
      <c r="C505" s="7"/>
      <c r="D505" s="112">
        <v>5</v>
      </c>
      <c r="E505" s="7"/>
      <c r="F505" s="112"/>
      <c r="G505" s="2" t="s">
        <v>17734</v>
      </c>
      <c r="H505" s="2" t="s">
        <v>17735</v>
      </c>
      <c r="I505" s="2" t="s">
        <v>17736</v>
      </c>
      <c r="J505" s="2" t="s">
        <v>48</v>
      </c>
      <c r="K505" s="2" t="s">
        <v>17737</v>
      </c>
      <c r="L505" s="2"/>
      <c r="M505" s="48"/>
      <c r="N505" s="45" t="str">
        <f>HYPERLINK("https://www.oakton.edu/studentlife/athletics/intercollegiate/recruit_form/index.php","Questionnaire")</f>
        <v>Questionnaire</v>
      </c>
      <c r="O505" s="48" t="s">
        <v>17738</v>
      </c>
      <c r="P505" s="60" t="s">
        <v>1721</v>
      </c>
      <c r="Q505" s="48" t="s">
        <v>17739</v>
      </c>
      <c r="R505" s="48" t="s">
        <v>186</v>
      </c>
      <c r="S505" s="49" t="s">
        <v>74</v>
      </c>
      <c r="T505" s="48" t="s">
        <v>75</v>
      </c>
      <c r="U505" s="49" t="s">
        <v>3678</v>
      </c>
      <c r="V505" s="7" t="s">
        <v>214</v>
      </c>
      <c r="W505" s="49" t="s">
        <v>214</v>
      </c>
      <c r="X505" s="49" t="s">
        <v>214</v>
      </c>
      <c r="Y505" s="49" t="s">
        <v>214</v>
      </c>
      <c r="Z505" s="55" t="s">
        <v>214</v>
      </c>
      <c r="AA505" s="48" t="s">
        <v>17740</v>
      </c>
      <c r="AB505" s="84" t="s">
        <v>17738</v>
      </c>
      <c r="AC505" s="53" t="str">
        <f>HYPERLINK("https://www.oakton.edu/academics/degree/","Link")</f>
        <v>Link</v>
      </c>
      <c r="AD505" s="42">
        <v>9443</v>
      </c>
      <c r="AE505" s="55"/>
      <c r="AF505" s="55"/>
      <c r="AG505" s="56">
        <v>147800</v>
      </c>
      <c r="AH505" s="7" t="s">
        <v>2459</v>
      </c>
      <c r="AI505" s="7"/>
      <c r="AJ505" s="7"/>
      <c r="AK505" s="7"/>
    </row>
    <row r="506" spans="1:37" ht="15" x14ac:dyDescent="0.2">
      <c r="A506" s="64" t="s">
        <v>1705</v>
      </c>
      <c r="B506" s="33" t="s">
        <v>12632</v>
      </c>
      <c r="C506" s="7" t="s">
        <v>17744</v>
      </c>
      <c r="D506" s="112">
        <v>5</v>
      </c>
      <c r="E506" s="7"/>
      <c r="F506" s="112"/>
      <c r="G506" s="2" t="s">
        <v>17745</v>
      </c>
      <c r="H506" s="2" t="s">
        <v>3444</v>
      </c>
      <c r="I506" s="2" t="s">
        <v>17746</v>
      </c>
      <c r="J506" s="2" t="s">
        <v>48</v>
      </c>
      <c r="K506" s="2" t="s">
        <v>17747</v>
      </c>
      <c r="L506" s="2" t="s">
        <v>17748</v>
      </c>
      <c r="M506" s="48"/>
      <c r="N506" s="48" t="s">
        <v>22</v>
      </c>
      <c r="O506" s="48" t="s">
        <v>17749</v>
      </c>
      <c r="P506" s="60" t="s">
        <v>1721</v>
      </c>
      <c r="Q506" s="48" t="s">
        <v>15274</v>
      </c>
      <c r="R506" s="60" t="s">
        <v>205</v>
      </c>
      <c r="S506" s="49" t="s">
        <v>74</v>
      </c>
      <c r="T506" s="48" t="s">
        <v>75</v>
      </c>
      <c r="U506" s="49" t="s">
        <v>3678</v>
      </c>
      <c r="V506" s="7" t="s">
        <v>214</v>
      </c>
      <c r="W506" s="49" t="s">
        <v>214</v>
      </c>
      <c r="X506" s="49" t="s">
        <v>214</v>
      </c>
      <c r="Y506" s="49" t="s">
        <v>214</v>
      </c>
      <c r="Z506" s="49" t="s">
        <v>214</v>
      </c>
      <c r="AA506" s="48" t="s">
        <v>17753</v>
      </c>
      <c r="AB506" s="84" t="s">
        <v>17749</v>
      </c>
      <c r="AC506" s="53" t="str">
        <f t="shared" ref="AC506:AC508" si="292">HYPERLINK("https://www.iecc.edu/page.php?page=ACAD_DISTWIDE&amp;acad=list","Link")</f>
        <v>Link</v>
      </c>
      <c r="AD506" s="42">
        <v>1198</v>
      </c>
      <c r="AE506" s="55"/>
      <c r="AF506" s="55"/>
      <c r="AG506" s="56">
        <v>145707</v>
      </c>
      <c r="AH506" s="56"/>
      <c r="AI506" s="56"/>
    </row>
    <row r="507" spans="1:37" ht="15" x14ac:dyDescent="0.2">
      <c r="A507" s="64" t="s">
        <v>1705</v>
      </c>
      <c r="B507" s="33" t="s">
        <v>12632</v>
      </c>
      <c r="C507" s="7" t="s">
        <v>17754</v>
      </c>
      <c r="D507" s="112">
        <v>5</v>
      </c>
      <c r="E507" s="7"/>
      <c r="F507" s="112"/>
      <c r="G507" s="2" t="s">
        <v>17745</v>
      </c>
      <c r="H507" s="2" t="s">
        <v>767</v>
      </c>
      <c r="I507" s="2" t="s">
        <v>9150</v>
      </c>
      <c r="J507" s="2" t="s">
        <v>55</v>
      </c>
      <c r="K507" s="2"/>
      <c r="L507" s="2"/>
      <c r="M507" s="48"/>
      <c r="N507" s="48" t="s">
        <v>22</v>
      </c>
      <c r="O507" s="48" t="s">
        <v>17749</v>
      </c>
      <c r="P507" s="60" t="s">
        <v>1721</v>
      </c>
      <c r="Q507" s="48" t="s">
        <v>15274</v>
      </c>
      <c r="R507" s="60" t="s">
        <v>205</v>
      </c>
      <c r="S507" s="49" t="s">
        <v>74</v>
      </c>
      <c r="T507" s="48" t="s">
        <v>75</v>
      </c>
      <c r="U507" s="49" t="s">
        <v>3678</v>
      </c>
      <c r="V507" s="7" t="s">
        <v>214</v>
      </c>
      <c r="W507" s="49" t="s">
        <v>214</v>
      </c>
      <c r="X507" s="49" t="s">
        <v>214</v>
      </c>
      <c r="Y507" s="49" t="s">
        <v>214</v>
      </c>
      <c r="Z507" s="49" t="s">
        <v>214</v>
      </c>
      <c r="AA507" s="48" t="s">
        <v>17753</v>
      </c>
      <c r="AB507" s="84" t="s">
        <v>17749</v>
      </c>
      <c r="AC507" s="53" t="str">
        <f t="shared" si="292"/>
        <v>Link</v>
      </c>
      <c r="AD507" s="42">
        <v>1198</v>
      </c>
      <c r="AE507" s="55"/>
      <c r="AF507" s="55"/>
      <c r="AG507" s="56">
        <v>145707</v>
      </c>
      <c r="AH507" s="56"/>
      <c r="AI507" s="56"/>
    </row>
    <row r="508" spans="1:37" ht="15" x14ac:dyDescent="0.2">
      <c r="A508" s="64" t="s">
        <v>1705</v>
      </c>
      <c r="B508" s="33" t="s">
        <v>12632</v>
      </c>
      <c r="C508" s="7" t="s">
        <v>17760</v>
      </c>
      <c r="D508" s="112">
        <v>5</v>
      </c>
      <c r="E508" s="7"/>
      <c r="F508" s="112"/>
      <c r="G508" s="2" t="s">
        <v>17745</v>
      </c>
      <c r="H508" s="2" t="s">
        <v>17761</v>
      </c>
      <c r="I508" s="2" t="s">
        <v>17762</v>
      </c>
      <c r="J508" s="2" t="s">
        <v>55</v>
      </c>
      <c r="K508" s="2"/>
      <c r="L508" s="2"/>
      <c r="M508" s="48"/>
      <c r="N508" s="48" t="s">
        <v>22</v>
      </c>
      <c r="O508" s="48" t="s">
        <v>17749</v>
      </c>
      <c r="P508" s="60" t="s">
        <v>1721</v>
      </c>
      <c r="Q508" s="48" t="s">
        <v>15274</v>
      </c>
      <c r="R508" s="60" t="s">
        <v>205</v>
      </c>
      <c r="S508" s="49" t="s">
        <v>74</v>
      </c>
      <c r="T508" s="48" t="s">
        <v>75</v>
      </c>
      <c r="U508" s="49" t="s">
        <v>3678</v>
      </c>
      <c r="V508" s="7" t="s">
        <v>214</v>
      </c>
      <c r="W508" s="49" t="s">
        <v>214</v>
      </c>
      <c r="X508" s="49" t="s">
        <v>214</v>
      </c>
      <c r="Y508" s="49" t="s">
        <v>214</v>
      </c>
      <c r="Z508" s="49" t="s">
        <v>214</v>
      </c>
      <c r="AA508" s="48" t="s">
        <v>17753</v>
      </c>
      <c r="AB508" s="84" t="s">
        <v>17749</v>
      </c>
      <c r="AC508" s="53" t="str">
        <f t="shared" si="292"/>
        <v>Link</v>
      </c>
      <c r="AD508" s="42">
        <v>1198</v>
      </c>
      <c r="AE508" s="55"/>
      <c r="AF508" s="55"/>
      <c r="AG508" s="56">
        <v>145707</v>
      </c>
      <c r="AH508" s="56"/>
      <c r="AI508" s="56"/>
    </row>
    <row r="509" spans="1:37" ht="15" x14ac:dyDescent="0.2">
      <c r="A509" s="64" t="s">
        <v>1705</v>
      </c>
      <c r="B509" s="33" t="s">
        <v>12632</v>
      </c>
      <c r="C509" s="7" t="s">
        <v>17765</v>
      </c>
      <c r="D509" s="112">
        <v>5</v>
      </c>
      <c r="E509" s="7"/>
      <c r="F509" s="112"/>
      <c r="G509" s="2" t="s">
        <v>17766</v>
      </c>
      <c r="H509" s="2" t="s">
        <v>2465</v>
      </c>
      <c r="I509" s="2" t="s">
        <v>17767</v>
      </c>
      <c r="J509" s="2" t="s">
        <v>17768</v>
      </c>
      <c r="K509" s="2" t="s">
        <v>17769</v>
      </c>
      <c r="L509" s="2" t="s">
        <v>17770</v>
      </c>
      <c r="M509" s="48"/>
      <c r="N509" s="45" t="str">
        <f t="shared" ref="N509:N510" si="293">HYPERLINK("https://athletics.parkland.edu/sb_output.aspx?form=3","Questionnaire")</f>
        <v>Questionnaire</v>
      </c>
      <c r="O509" s="48" t="s">
        <v>17771</v>
      </c>
      <c r="P509" s="60" t="s">
        <v>1721</v>
      </c>
      <c r="Q509" s="48" t="s">
        <v>4271</v>
      </c>
      <c r="R509" s="48" t="s">
        <v>238</v>
      </c>
      <c r="S509" s="49" t="s">
        <v>74</v>
      </c>
      <c r="T509" s="48" t="s">
        <v>75</v>
      </c>
      <c r="U509" s="49" t="s">
        <v>3678</v>
      </c>
      <c r="V509" s="7" t="s">
        <v>214</v>
      </c>
      <c r="W509" s="49" t="s">
        <v>214</v>
      </c>
      <c r="X509" s="49" t="s">
        <v>214</v>
      </c>
      <c r="Y509" s="49" t="s">
        <v>214</v>
      </c>
      <c r="Z509" s="55" t="s">
        <v>214</v>
      </c>
      <c r="AA509" s="48" t="s">
        <v>17774</v>
      </c>
      <c r="AB509" s="84" t="s">
        <v>17771</v>
      </c>
      <c r="AC509" s="53" t="str">
        <f t="shared" ref="AC509:AC510" si="294">HYPERLINK("https://www.parkland.edu/Main/Academics","Link")</f>
        <v>Link</v>
      </c>
      <c r="AD509" s="42">
        <v>7569</v>
      </c>
      <c r="AE509" s="55"/>
      <c r="AF509" s="55"/>
      <c r="AG509" s="56">
        <v>147916</v>
      </c>
      <c r="AH509" s="56"/>
      <c r="AI509" s="56"/>
    </row>
    <row r="510" spans="1:37" ht="15" x14ac:dyDescent="0.2">
      <c r="A510" s="64" t="s">
        <v>1705</v>
      </c>
      <c r="B510" s="33" t="s">
        <v>12632</v>
      </c>
      <c r="C510" s="7" t="s">
        <v>17777</v>
      </c>
      <c r="D510" s="112">
        <v>5</v>
      </c>
      <c r="E510" s="7"/>
      <c r="F510" s="112"/>
      <c r="G510" s="2" t="s">
        <v>17766</v>
      </c>
      <c r="H510" s="2" t="s">
        <v>531</v>
      </c>
      <c r="I510" s="2" t="s">
        <v>17767</v>
      </c>
      <c r="J510" s="2" t="s">
        <v>17768</v>
      </c>
      <c r="K510" s="7" t="s">
        <v>17778</v>
      </c>
      <c r="L510" s="2" t="s">
        <v>17770</v>
      </c>
      <c r="M510" s="48"/>
      <c r="N510" s="45" t="str">
        <f t="shared" si="293"/>
        <v>Questionnaire</v>
      </c>
      <c r="O510" s="48" t="s">
        <v>17771</v>
      </c>
      <c r="P510" s="60" t="s">
        <v>1721</v>
      </c>
      <c r="Q510" s="48" t="s">
        <v>4271</v>
      </c>
      <c r="R510" s="48" t="s">
        <v>238</v>
      </c>
      <c r="S510" s="49" t="s">
        <v>74</v>
      </c>
      <c r="T510" s="48" t="s">
        <v>75</v>
      </c>
      <c r="U510" s="49" t="s">
        <v>3678</v>
      </c>
      <c r="V510" s="7" t="s">
        <v>214</v>
      </c>
      <c r="W510" s="49" t="s">
        <v>214</v>
      </c>
      <c r="X510" s="49" t="s">
        <v>214</v>
      </c>
      <c r="Y510" s="49" t="s">
        <v>214</v>
      </c>
      <c r="Z510" s="55" t="s">
        <v>214</v>
      </c>
      <c r="AA510" s="48" t="s">
        <v>17774</v>
      </c>
      <c r="AB510" s="84" t="s">
        <v>17771</v>
      </c>
      <c r="AC510" s="53" t="str">
        <f t="shared" si="294"/>
        <v>Link</v>
      </c>
      <c r="AD510" s="42">
        <v>7569</v>
      </c>
      <c r="AE510" s="55"/>
      <c r="AF510" s="55"/>
      <c r="AG510" s="56">
        <v>147916</v>
      </c>
      <c r="AH510" s="56"/>
      <c r="AI510" s="56"/>
    </row>
    <row r="511" spans="1:37" ht="15" x14ac:dyDescent="0.2">
      <c r="A511" s="64" t="s">
        <v>1705</v>
      </c>
      <c r="B511" s="33" t="s">
        <v>12632</v>
      </c>
      <c r="C511" s="7" t="s">
        <v>17783</v>
      </c>
      <c r="D511" s="112">
        <v>5</v>
      </c>
      <c r="E511" s="7"/>
      <c r="F511" s="112"/>
      <c r="G511" s="2" t="s">
        <v>17784</v>
      </c>
      <c r="H511" s="2" t="s">
        <v>17785</v>
      </c>
      <c r="I511" s="2" t="s">
        <v>263</v>
      </c>
      <c r="J511" s="2" t="s">
        <v>55</v>
      </c>
      <c r="K511" s="2"/>
      <c r="L511" s="2"/>
      <c r="M511" s="45" t="str">
        <f t="shared" ref="M511:M512" si="295">HYPERLINK("twitter.com/prairiehawksb","@prairiehawksb")</f>
        <v>@prairiehawksb</v>
      </c>
      <c r="N511" s="45" t="str">
        <f t="shared" ref="N511:N512" si="296">HYPERLINK("https://prairiestate.edu/student-life/athletics/prospective-student-athlete-forms/index.aspx","Questionnaire")</f>
        <v>Questionnaire</v>
      </c>
      <c r="O511" s="48" t="s">
        <v>17789</v>
      </c>
      <c r="P511" s="60" t="s">
        <v>1721</v>
      </c>
      <c r="Q511" s="48" t="s">
        <v>17791</v>
      </c>
      <c r="R511" s="48" t="s">
        <v>468</v>
      </c>
      <c r="S511" s="49" t="s">
        <v>74</v>
      </c>
      <c r="T511" s="48" t="s">
        <v>75</v>
      </c>
      <c r="U511" s="49" t="s">
        <v>3678</v>
      </c>
      <c r="V511" s="7" t="s">
        <v>214</v>
      </c>
      <c r="W511" s="49" t="s">
        <v>214</v>
      </c>
      <c r="X511" s="49" t="s">
        <v>214</v>
      </c>
      <c r="Y511" s="49" t="s">
        <v>214</v>
      </c>
      <c r="Z511" s="55" t="s">
        <v>214</v>
      </c>
      <c r="AA511" s="48" t="s">
        <v>17793</v>
      </c>
      <c r="AB511" s="84" t="s">
        <v>17789</v>
      </c>
      <c r="AC511" s="53" t="str">
        <f t="shared" ref="AC511:AC512" si="297">HYPERLINK("http://prairiestate.edu/apply-reg-pay/how-to-enroll/degrees-and-certificates.aspx","Link")</f>
        <v>Link</v>
      </c>
      <c r="AD511" s="42">
        <v>4484</v>
      </c>
      <c r="AE511" s="55"/>
      <c r="AF511" s="55"/>
      <c r="AG511" s="56">
        <v>148007</v>
      </c>
      <c r="AH511" s="56"/>
      <c r="AI511" s="56"/>
    </row>
    <row r="512" spans="1:37" ht="15" x14ac:dyDescent="0.2">
      <c r="A512" s="64" t="s">
        <v>1705</v>
      </c>
      <c r="B512" s="33" t="s">
        <v>12632</v>
      </c>
      <c r="C512" s="7" t="s">
        <v>17783</v>
      </c>
      <c r="D512" s="112">
        <v>5</v>
      </c>
      <c r="E512" s="7"/>
      <c r="F512" s="112"/>
      <c r="G512" s="2" t="s">
        <v>17784</v>
      </c>
      <c r="H512" s="2" t="s">
        <v>2570</v>
      </c>
      <c r="I512" s="2" t="s">
        <v>16366</v>
      </c>
      <c r="J512" s="2" t="s">
        <v>48</v>
      </c>
      <c r="K512" s="2" t="s">
        <v>17796</v>
      </c>
      <c r="L512" s="2" t="s">
        <v>17797</v>
      </c>
      <c r="M512" s="45" t="str">
        <f t="shared" si="295"/>
        <v>@prairiehawksb</v>
      </c>
      <c r="N512" s="45" t="str">
        <f t="shared" si="296"/>
        <v>Questionnaire</v>
      </c>
      <c r="O512" s="48" t="s">
        <v>17789</v>
      </c>
      <c r="P512" s="60" t="s">
        <v>1721</v>
      </c>
      <c r="Q512" s="48" t="s">
        <v>17791</v>
      </c>
      <c r="R512" s="48" t="s">
        <v>468</v>
      </c>
      <c r="S512" s="49" t="s">
        <v>74</v>
      </c>
      <c r="T512" s="48" t="s">
        <v>75</v>
      </c>
      <c r="U512" s="49" t="s">
        <v>3678</v>
      </c>
      <c r="V512" s="7" t="s">
        <v>214</v>
      </c>
      <c r="W512" s="49" t="s">
        <v>214</v>
      </c>
      <c r="X512" s="49" t="s">
        <v>214</v>
      </c>
      <c r="Y512" s="49" t="s">
        <v>214</v>
      </c>
      <c r="Z512" s="55" t="s">
        <v>214</v>
      </c>
      <c r="AA512" s="48" t="s">
        <v>17793</v>
      </c>
      <c r="AB512" s="84" t="s">
        <v>17789</v>
      </c>
      <c r="AC512" s="53" t="str">
        <f t="shared" si="297"/>
        <v>Link</v>
      </c>
      <c r="AD512" s="42">
        <v>4484</v>
      </c>
      <c r="AE512" s="55"/>
      <c r="AF512" s="55"/>
      <c r="AG512" s="56">
        <v>148007</v>
      </c>
      <c r="AH512" s="56"/>
      <c r="AI512" s="56"/>
    </row>
    <row r="513" spans="1:37" ht="15" x14ac:dyDescent="0.2">
      <c r="A513" s="64" t="s">
        <v>1705</v>
      </c>
      <c r="B513" s="33" t="s">
        <v>12632</v>
      </c>
      <c r="C513" s="7" t="s">
        <v>17798</v>
      </c>
      <c r="D513" s="112">
        <v>5</v>
      </c>
      <c r="E513" s="7"/>
      <c r="F513" s="112"/>
      <c r="G513" s="2" t="s">
        <v>17799</v>
      </c>
      <c r="H513" s="2" t="s">
        <v>329</v>
      </c>
      <c r="I513" s="2" t="s">
        <v>17800</v>
      </c>
      <c r="J513" s="2" t="s">
        <v>48</v>
      </c>
      <c r="K513" s="2" t="s">
        <v>17802</v>
      </c>
      <c r="L513" s="2" t="s">
        <v>17803</v>
      </c>
      <c r="M513" s="48"/>
      <c r="N513" s="48" t="s">
        <v>22</v>
      </c>
      <c r="O513" s="48" t="s">
        <v>17804</v>
      </c>
      <c r="P513" s="60" t="s">
        <v>1721</v>
      </c>
      <c r="Q513" s="48" t="s">
        <v>17806</v>
      </c>
      <c r="R513" s="60" t="s">
        <v>205</v>
      </c>
      <c r="S513" s="49" t="s">
        <v>74</v>
      </c>
      <c r="T513" s="48" t="s">
        <v>75</v>
      </c>
      <c r="U513" s="49" t="s">
        <v>3678</v>
      </c>
      <c r="V513" s="7" t="s">
        <v>214</v>
      </c>
      <c r="W513" s="49" t="s">
        <v>214</v>
      </c>
      <c r="X513" s="49" t="s">
        <v>214</v>
      </c>
      <c r="Y513" s="49" t="s">
        <v>214</v>
      </c>
      <c r="Z513" s="55" t="s">
        <v>214</v>
      </c>
      <c r="AA513" s="48" t="s">
        <v>17808</v>
      </c>
      <c r="AB513" s="84" t="s">
        <v>17804</v>
      </c>
      <c r="AC513" s="53" t="str">
        <f t="shared" ref="AC513:AC514" si="298">HYPERLINK("https://www.rlc.edu/programs-degrees","Link")</f>
        <v>Link</v>
      </c>
      <c r="AD513" s="42">
        <v>2489</v>
      </c>
      <c r="AE513" s="55"/>
      <c r="AF513" s="55"/>
      <c r="AG513" s="56">
        <v>148256</v>
      </c>
      <c r="AH513" s="56"/>
      <c r="AI513" s="56"/>
    </row>
    <row r="514" spans="1:37" ht="15" x14ac:dyDescent="0.2">
      <c r="A514" s="64" t="s">
        <v>1705</v>
      </c>
      <c r="B514" s="33" t="s">
        <v>12632</v>
      </c>
      <c r="C514" s="7" t="s">
        <v>17809</v>
      </c>
      <c r="D514" s="112">
        <v>5</v>
      </c>
      <c r="E514" s="7"/>
      <c r="F514" s="112"/>
      <c r="G514" s="2" t="s">
        <v>17799</v>
      </c>
      <c r="H514" s="2" t="s">
        <v>143</v>
      </c>
      <c r="I514" s="2" t="s">
        <v>17810</v>
      </c>
      <c r="J514" s="2" t="s">
        <v>55</v>
      </c>
      <c r="K514" s="95" t="s">
        <v>17811</v>
      </c>
      <c r="L514" s="2" t="s">
        <v>17812</v>
      </c>
      <c r="M514" s="48"/>
      <c r="N514" s="48" t="s">
        <v>22</v>
      </c>
      <c r="O514" s="48" t="s">
        <v>17804</v>
      </c>
      <c r="P514" s="60" t="s">
        <v>1721</v>
      </c>
      <c r="Q514" s="48" t="s">
        <v>17806</v>
      </c>
      <c r="R514" s="60" t="s">
        <v>205</v>
      </c>
      <c r="S514" s="49" t="s">
        <v>74</v>
      </c>
      <c r="T514" s="48" t="s">
        <v>75</v>
      </c>
      <c r="U514" s="49" t="s">
        <v>3678</v>
      </c>
      <c r="V514" s="7" t="s">
        <v>214</v>
      </c>
      <c r="W514" s="49" t="s">
        <v>214</v>
      </c>
      <c r="X514" s="49" t="s">
        <v>214</v>
      </c>
      <c r="Y514" s="49" t="s">
        <v>214</v>
      </c>
      <c r="Z514" s="55" t="s">
        <v>214</v>
      </c>
      <c r="AA514" s="48" t="s">
        <v>17808</v>
      </c>
      <c r="AB514" s="84" t="s">
        <v>17804</v>
      </c>
      <c r="AC514" s="53" t="str">
        <f t="shared" si="298"/>
        <v>Link</v>
      </c>
      <c r="AD514" s="42">
        <v>2489</v>
      </c>
      <c r="AE514" s="55"/>
      <c r="AF514" s="55"/>
      <c r="AG514" s="56">
        <v>148256</v>
      </c>
      <c r="AH514" s="56"/>
      <c r="AI514" s="56"/>
    </row>
    <row r="515" spans="1:37" ht="15" x14ac:dyDescent="0.2">
      <c r="A515" s="64" t="s">
        <v>1705</v>
      </c>
      <c r="B515" s="33" t="s">
        <v>12632</v>
      </c>
      <c r="C515" s="7" t="s">
        <v>17816</v>
      </c>
      <c r="D515" s="112">
        <v>5</v>
      </c>
      <c r="E515" s="7"/>
      <c r="F515" s="112"/>
      <c r="G515" s="2" t="s">
        <v>17817</v>
      </c>
      <c r="H515" s="2" t="s">
        <v>17818</v>
      </c>
      <c r="I515" s="2" t="s">
        <v>6439</v>
      </c>
      <c r="J515" s="2" t="s">
        <v>48</v>
      </c>
      <c r="K515" s="2" t="s">
        <v>17819</v>
      </c>
      <c r="L515" s="2" t="s">
        <v>17820</v>
      </c>
      <c r="M515" s="45" t="str">
        <f>HYPERLINK("twitter.com/coachmonroe9","@coachmonroe9")</f>
        <v>@coachmonroe9</v>
      </c>
      <c r="N515" s="48" t="s">
        <v>22</v>
      </c>
      <c r="O515" s="60" t="s">
        <v>17821</v>
      </c>
      <c r="P515" s="60" t="s">
        <v>1721</v>
      </c>
      <c r="Q515" s="48" t="s">
        <v>2527</v>
      </c>
      <c r="R515" s="48" t="s">
        <v>238</v>
      </c>
      <c r="S515" s="49" t="s">
        <v>74</v>
      </c>
      <c r="T515" s="48" t="s">
        <v>75</v>
      </c>
      <c r="U515" s="49" t="s">
        <v>3678</v>
      </c>
      <c r="V515" s="7" t="s">
        <v>214</v>
      </c>
      <c r="W515" s="49" t="s">
        <v>214</v>
      </c>
      <c r="X515" s="49" t="s">
        <v>214</v>
      </c>
      <c r="Y515" s="49" t="s">
        <v>214</v>
      </c>
      <c r="Z515" s="55" t="s">
        <v>214</v>
      </c>
      <c r="AA515" s="48" t="s">
        <v>17823</v>
      </c>
      <c r="AB515" s="90" t="s">
        <v>17821</v>
      </c>
      <c r="AC515" s="53" t="str">
        <f t="shared" ref="AC515:AC517" si="299">HYPERLINK("https://www.rockvalleycollege.edu/Courses/Programs/index.cfm","Link")</f>
        <v>Link</v>
      </c>
      <c r="AD515" s="42">
        <v>7699</v>
      </c>
      <c r="AE515" s="55"/>
      <c r="AF515" s="55"/>
      <c r="AG515" s="56">
        <v>148380</v>
      </c>
      <c r="AH515" s="56"/>
      <c r="AI515" s="56"/>
    </row>
    <row r="516" spans="1:37" ht="15" x14ac:dyDescent="0.2">
      <c r="A516" s="64" t="s">
        <v>1705</v>
      </c>
      <c r="B516" s="33" t="s">
        <v>12632</v>
      </c>
      <c r="C516" s="7" t="s">
        <v>17824</v>
      </c>
      <c r="D516" s="112">
        <v>5</v>
      </c>
      <c r="E516" s="7"/>
      <c r="F516" s="112"/>
      <c r="G516" s="2" t="s">
        <v>17817</v>
      </c>
      <c r="H516" s="2" t="s">
        <v>17825</v>
      </c>
      <c r="I516" s="2" t="s">
        <v>263</v>
      </c>
      <c r="J516" s="2" t="s">
        <v>4562</v>
      </c>
      <c r="K516" s="2" t="s">
        <v>17826</v>
      </c>
      <c r="L516" s="2" t="s">
        <v>17827</v>
      </c>
      <c r="M516" s="48"/>
      <c r="N516" s="48" t="s">
        <v>22</v>
      </c>
      <c r="O516" s="60" t="s">
        <v>17821</v>
      </c>
      <c r="P516" s="60" t="s">
        <v>1721</v>
      </c>
      <c r="Q516" s="48" t="s">
        <v>2527</v>
      </c>
      <c r="R516" s="48" t="s">
        <v>238</v>
      </c>
      <c r="S516" s="49" t="s">
        <v>74</v>
      </c>
      <c r="T516" s="48" t="s">
        <v>75</v>
      </c>
      <c r="U516" s="49" t="s">
        <v>3678</v>
      </c>
      <c r="V516" s="7" t="s">
        <v>214</v>
      </c>
      <c r="W516" s="49" t="s">
        <v>214</v>
      </c>
      <c r="X516" s="49" t="s">
        <v>214</v>
      </c>
      <c r="Y516" s="49" t="s">
        <v>214</v>
      </c>
      <c r="Z516" s="55" t="s">
        <v>214</v>
      </c>
      <c r="AA516" s="48" t="s">
        <v>17823</v>
      </c>
      <c r="AB516" s="90" t="s">
        <v>17821</v>
      </c>
      <c r="AC516" s="53" t="str">
        <f t="shared" si="299"/>
        <v>Link</v>
      </c>
      <c r="AD516" s="42">
        <v>7699</v>
      </c>
      <c r="AE516" s="55"/>
      <c r="AF516" s="55"/>
      <c r="AG516" s="56">
        <v>148380</v>
      </c>
      <c r="AH516" s="56"/>
      <c r="AI516" s="56"/>
    </row>
    <row r="517" spans="1:37" ht="15" x14ac:dyDescent="0.2">
      <c r="A517" s="64" t="s">
        <v>1705</v>
      </c>
      <c r="B517" s="33" t="s">
        <v>12632</v>
      </c>
      <c r="C517" s="7" t="s">
        <v>17828</v>
      </c>
      <c r="D517" s="112">
        <v>5</v>
      </c>
      <c r="E517" s="7"/>
      <c r="F517" s="112"/>
      <c r="G517" s="2" t="s">
        <v>17817</v>
      </c>
      <c r="H517" s="2" t="s">
        <v>17829</v>
      </c>
      <c r="I517" s="2" t="s">
        <v>17830</v>
      </c>
      <c r="J517" s="2" t="s">
        <v>55</v>
      </c>
      <c r="K517" s="2" t="s">
        <v>17831</v>
      </c>
      <c r="L517" s="2" t="s">
        <v>17832</v>
      </c>
      <c r="M517" s="48"/>
      <c r="N517" s="48" t="s">
        <v>22</v>
      </c>
      <c r="O517" s="60" t="s">
        <v>17821</v>
      </c>
      <c r="P517" s="60" t="s">
        <v>1721</v>
      </c>
      <c r="Q517" s="48" t="s">
        <v>2527</v>
      </c>
      <c r="R517" s="48" t="s">
        <v>238</v>
      </c>
      <c r="S517" s="49" t="s">
        <v>74</v>
      </c>
      <c r="T517" s="48" t="s">
        <v>75</v>
      </c>
      <c r="U517" s="49" t="s">
        <v>3678</v>
      </c>
      <c r="V517" s="7" t="s">
        <v>214</v>
      </c>
      <c r="W517" s="49" t="s">
        <v>214</v>
      </c>
      <c r="X517" s="49" t="s">
        <v>214</v>
      </c>
      <c r="Y517" s="49" t="s">
        <v>214</v>
      </c>
      <c r="Z517" s="55" t="s">
        <v>214</v>
      </c>
      <c r="AA517" s="48" t="s">
        <v>17823</v>
      </c>
      <c r="AB517" s="90" t="s">
        <v>17821</v>
      </c>
      <c r="AC517" s="53" t="str">
        <f t="shared" si="299"/>
        <v>Link</v>
      </c>
      <c r="AD517" s="42">
        <v>7699</v>
      </c>
      <c r="AE517" s="55"/>
      <c r="AF517" s="55"/>
      <c r="AG517" s="56">
        <v>148380</v>
      </c>
      <c r="AH517" s="56"/>
      <c r="AI517" s="56"/>
    </row>
    <row r="518" spans="1:37" ht="15" x14ac:dyDescent="0.2">
      <c r="A518" s="64" t="s">
        <v>1705</v>
      </c>
      <c r="B518" s="33" t="s">
        <v>12632</v>
      </c>
      <c r="C518" s="7" t="s">
        <v>17833</v>
      </c>
      <c r="D518" s="112">
        <v>5</v>
      </c>
      <c r="E518" s="7"/>
      <c r="F518" s="112"/>
      <c r="G518" s="2" t="s">
        <v>17834</v>
      </c>
      <c r="H518" s="2" t="s">
        <v>683</v>
      </c>
      <c r="I518" s="2" t="s">
        <v>5378</v>
      </c>
      <c r="J518" s="2" t="s">
        <v>3999</v>
      </c>
      <c r="K518" s="2" t="s">
        <v>17835</v>
      </c>
      <c r="L518" s="2"/>
      <c r="M518" s="48"/>
      <c r="N518" s="48" t="s">
        <v>22</v>
      </c>
      <c r="O518" s="48" t="s">
        <v>17836</v>
      </c>
      <c r="P518" s="60" t="s">
        <v>1721</v>
      </c>
      <c r="Q518" s="48" t="s">
        <v>963</v>
      </c>
      <c r="R518" s="48" t="s">
        <v>172</v>
      </c>
      <c r="S518" s="49" t="s">
        <v>74</v>
      </c>
      <c r="T518" s="48" t="s">
        <v>75</v>
      </c>
      <c r="U518" s="49" t="s">
        <v>3678</v>
      </c>
      <c r="V518" s="7" t="s">
        <v>214</v>
      </c>
      <c r="W518" s="49" t="s">
        <v>214</v>
      </c>
      <c r="X518" s="49" t="s">
        <v>214</v>
      </c>
      <c r="Y518" s="49" t="s">
        <v>214</v>
      </c>
      <c r="Z518" s="55" t="s">
        <v>214</v>
      </c>
      <c r="AA518" s="48" t="s">
        <v>17837</v>
      </c>
      <c r="AB518" s="84" t="s">
        <v>17836</v>
      </c>
      <c r="AC518" s="53" t="str">
        <f t="shared" ref="AC518:AC519" si="300">HYPERLINK("https://www.svcc.edu/academics/programs/individual/","Link")</f>
        <v>Link</v>
      </c>
      <c r="AD518" s="42">
        <v>1892</v>
      </c>
      <c r="AE518" s="55"/>
      <c r="AF518" s="55"/>
      <c r="AG518" s="56">
        <v>148672</v>
      </c>
      <c r="AH518" s="56"/>
      <c r="AI518" s="56"/>
    </row>
    <row r="519" spans="1:37" ht="15" x14ac:dyDescent="0.2">
      <c r="A519" s="64" t="s">
        <v>1705</v>
      </c>
      <c r="B519" s="33" t="s">
        <v>12632</v>
      </c>
      <c r="C519" s="7" t="s">
        <v>17838</v>
      </c>
      <c r="D519" s="112">
        <v>5</v>
      </c>
      <c r="E519" s="7"/>
      <c r="F519" s="112"/>
      <c r="G519" s="2" t="s">
        <v>17834</v>
      </c>
      <c r="H519" s="2" t="s">
        <v>852</v>
      </c>
      <c r="I519" s="2" t="s">
        <v>853</v>
      </c>
      <c r="J519" s="2" t="s">
        <v>3999</v>
      </c>
      <c r="K519" s="2" t="s">
        <v>17839</v>
      </c>
      <c r="L519" s="2"/>
      <c r="M519" s="48"/>
      <c r="N519" s="48" t="s">
        <v>22</v>
      </c>
      <c r="O519" s="48" t="s">
        <v>17836</v>
      </c>
      <c r="P519" s="60" t="s">
        <v>1721</v>
      </c>
      <c r="Q519" s="48" t="s">
        <v>963</v>
      </c>
      <c r="R519" s="48" t="s">
        <v>172</v>
      </c>
      <c r="S519" s="49" t="s">
        <v>74</v>
      </c>
      <c r="T519" s="48" t="s">
        <v>75</v>
      </c>
      <c r="U519" s="49" t="s">
        <v>3678</v>
      </c>
      <c r="V519" s="7" t="s">
        <v>214</v>
      </c>
      <c r="W519" s="49" t="s">
        <v>214</v>
      </c>
      <c r="X519" s="49" t="s">
        <v>214</v>
      </c>
      <c r="Y519" s="49" t="s">
        <v>214</v>
      </c>
      <c r="Z519" s="55" t="s">
        <v>214</v>
      </c>
      <c r="AA519" s="48" t="s">
        <v>17837</v>
      </c>
      <c r="AB519" s="84" t="s">
        <v>17836</v>
      </c>
      <c r="AC519" s="53" t="str">
        <f t="shared" si="300"/>
        <v>Link</v>
      </c>
      <c r="AD519" s="42">
        <v>1892</v>
      </c>
      <c r="AE519" s="55"/>
      <c r="AF519" s="55"/>
      <c r="AG519" s="56">
        <v>148672</v>
      </c>
      <c r="AH519" s="56"/>
      <c r="AI519" s="56"/>
    </row>
    <row r="520" spans="1:37" ht="15" x14ac:dyDescent="0.2">
      <c r="A520" s="31" t="s">
        <v>1705</v>
      </c>
      <c r="B520" s="33" t="s">
        <v>12632</v>
      </c>
      <c r="C520" s="7"/>
      <c r="D520" s="112">
        <v>5</v>
      </c>
      <c r="E520" s="7"/>
      <c r="F520" s="112"/>
      <c r="G520" s="2" t="s">
        <v>17841</v>
      </c>
      <c r="H520" s="2" t="s">
        <v>1610</v>
      </c>
      <c r="I520" s="2" t="s">
        <v>17842</v>
      </c>
      <c r="J520" s="2" t="s">
        <v>48</v>
      </c>
      <c r="K520" s="2" t="s">
        <v>17843</v>
      </c>
      <c r="L520" s="2" t="s">
        <v>17844</v>
      </c>
      <c r="M520" s="45" t="str">
        <f t="shared" ref="M520:M522" si="301">HYPERLINK("twitter.com/ladysaintssball","@ladysaintssball")</f>
        <v>@ladysaintssball</v>
      </c>
      <c r="N520" s="48" t="s">
        <v>22</v>
      </c>
      <c r="O520" s="48" t="s">
        <v>17848</v>
      </c>
      <c r="P520" s="60" t="s">
        <v>1721</v>
      </c>
      <c r="Q520" s="48" t="s">
        <v>17849</v>
      </c>
      <c r="R520" s="60" t="s">
        <v>205</v>
      </c>
      <c r="S520" s="49" t="s">
        <v>74</v>
      </c>
      <c r="T520" s="48" t="s">
        <v>75</v>
      </c>
      <c r="U520" s="49" t="s">
        <v>3678</v>
      </c>
      <c r="V520" s="7" t="s">
        <v>214</v>
      </c>
      <c r="W520" s="49" t="s">
        <v>214</v>
      </c>
      <c r="X520" s="49" t="s">
        <v>214</v>
      </c>
      <c r="Y520" s="49" t="s">
        <v>214</v>
      </c>
      <c r="Z520" s="55" t="s">
        <v>214</v>
      </c>
      <c r="AA520" s="48" t="s">
        <v>17850</v>
      </c>
      <c r="AB520" s="84" t="s">
        <v>17848</v>
      </c>
      <c r="AC520" s="53" t="str">
        <f t="shared" ref="AC520:AC522" si="302">HYPERLINK("http://www.shawneecc.edu/academics/Default.asp","Link")</f>
        <v>Link</v>
      </c>
      <c r="AD520" s="42">
        <v>1824</v>
      </c>
      <c r="AE520" s="55"/>
      <c r="AF520" s="55"/>
      <c r="AG520" s="56">
        <v>148821</v>
      </c>
      <c r="AH520" s="7" t="s">
        <v>2459</v>
      </c>
      <c r="AI520" s="7"/>
      <c r="AJ520" s="7"/>
      <c r="AK520" s="7"/>
    </row>
    <row r="521" spans="1:37" ht="15" x14ac:dyDescent="0.2">
      <c r="A521" s="31" t="s">
        <v>1705</v>
      </c>
      <c r="B521" s="33" t="s">
        <v>12632</v>
      </c>
      <c r="C521" s="7"/>
      <c r="D521" s="112">
        <v>5</v>
      </c>
      <c r="E521" s="7"/>
      <c r="F521" s="112"/>
      <c r="G521" s="2" t="s">
        <v>17841</v>
      </c>
      <c r="H521" s="2" t="s">
        <v>5663</v>
      </c>
      <c r="I521" s="2" t="s">
        <v>263</v>
      </c>
      <c r="J521" s="2" t="s">
        <v>55</v>
      </c>
      <c r="K521" s="2"/>
      <c r="L521" s="2"/>
      <c r="M521" s="45" t="str">
        <f t="shared" si="301"/>
        <v>@ladysaintssball</v>
      </c>
      <c r="N521" s="48" t="s">
        <v>22</v>
      </c>
      <c r="O521" s="48" t="s">
        <v>17848</v>
      </c>
      <c r="P521" s="60" t="s">
        <v>1721</v>
      </c>
      <c r="Q521" s="48" t="s">
        <v>17849</v>
      </c>
      <c r="R521" s="60" t="s">
        <v>205</v>
      </c>
      <c r="S521" s="49" t="s">
        <v>74</v>
      </c>
      <c r="T521" s="48" t="s">
        <v>75</v>
      </c>
      <c r="U521" s="49" t="s">
        <v>3678</v>
      </c>
      <c r="V521" s="7" t="s">
        <v>214</v>
      </c>
      <c r="W521" s="49" t="s">
        <v>214</v>
      </c>
      <c r="X521" s="49" t="s">
        <v>214</v>
      </c>
      <c r="Y521" s="49" t="s">
        <v>214</v>
      </c>
      <c r="Z521" s="55" t="s">
        <v>214</v>
      </c>
      <c r="AA521" s="48" t="s">
        <v>17850</v>
      </c>
      <c r="AB521" s="84" t="s">
        <v>17848</v>
      </c>
      <c r="AC521" s="53" t="str">
        <f t="shared" si="302"/>
        <v>Link</v>
      </c>
      <c r="AD521" s="42">
        <v>1824</v>
      </c>
      <c r="AE521" s="55"/>
      <c r="AF521" s="55"/>
      <c r="AG521" s="56">
        <v>148821</v>
      </c>
      <c r="AH521" s="7" t="s">
        <v>2459</v>
      </c>
      <c r="AI521" s="7"/>
      <c r="AJ521" s="7"/>
      <c r="AK521" s="7"/>
    </row>
    <row r="522" spans="1:37" ht="15" x14ac:dyDescent="0.2">
      <c r="A522" s="31" t="s">
        <v>1705</v>
      </c>
      <c r="B522" s="33" t="s">
        <v>12632</v>
      </c>
      <c r="C522" s="7"/>
      <c r="D522" s="112">
        <v>5</v>
      </c>
      <c r="E522" s="7"/>
      <c r="F522" s="112"/>
      <c r="G522" s="2" t="s">
        <v>17841</v>
      </c>
      <c r="H522" s="2" t="s">
        <v>1492</v>
      </c>
      <c r="I522" s="2" t="s">
        <v>17854</v>
      </c>
      <c r="J522" s="2" t="s">
        <v>55</v>
      </c>
      <c r="K522" s="2"/>
      <c r="L522" s="2"/>
      <c r="M522" s="45" t="str">
        <f t="shared" si="301"/>
        <v>@ladysaintssball</v>
      </c>
      <c r="N522" s="48" t="s">
        <v>22</v>
      </c>
      <c r="O522" s="48" t="s">
        <v>17848</v>
      </c>
      <c r="P522" s="60" t="s">
        <v>1721</v>
      </c>
      <c r="Q522" s="48" t="s">
        <v>17849</v>
      </c>
      <c r="R522" s="60" t="s">
        <v>205</v>
      </c>
      <c r="S522" s="49" t="s">
        <v>74</v>
      </c>
      <c r="T522" s="48" t="s">
        <v>75</v>
      </c>
      <c r="U522" s="49" t="s">
        <v>3678</v>
      </c>
      <c r="V522" s="7" t="s">
        <v>214</v>
      </c>
      <c r="W522" s="49" t="s">
        <v>214</v>
      </c>
      <c r="X522" s="49" t="s">
        <v>214</v>
      </c>
      <c r="Y522" s="49" t="s">
        <v>214</v>
      </c>
      <c r="Z522" s="55" t="s">
        <v>214</v>
      </c>
      <c r="AA522" s="48" t="s">
        <v>17850</v>
      </c>
      <c r="AB522" s="84" t="s">
        <v>17848</v>
      </c>
      <c r="AC522" s="53" t="str">
        <f t="shared" si="302"/>
        <v>Link</v>
      </c>
      <c r="AD522" s="42">
        <v>1824</v>
      </c>
      <c r="AE522" s="55"/>
      <c r="AF522" s="55"/>
      <c r="AG522" s="56">
        <v>148821</v>
      </c>
      <c r="AH522" s="7" t="s">
        <v>2459</v>
      </c>
      <c r="AI522" s="7"/>
      <c r="AJ522" s="7"/>
      <c r="AK522" s="7"/>
    </row>
    <row r="523" spans="1:37" ht="15" x14ac:dyDescent="0.2">
      <c r="A523" s="31" t="s">
        <v>1705</v>
      </c>
      <c r="B523" s="33" t="s">
        <v>12632</v>
      </c>
      <c r="C523" s="7"/>
      <c r="D523" s="112">
        <v>5</v>
      </c>
      <c r="E523" s="7"/>
      <c r="F523" s="112"/>
      <c r="G523" s="2" t="s">
        <v>17857</v>
      </c>
      <c r="H523" s="2" t="s">
        <v>402</v>
      </c>
      <c r="I523" s="2" t="s">
        <v>17858</v>
      </c>
      <c r="J523" s="2" t="s">
        <v>48</v>
      </c>
      <c r="K523" s="2" t="s">
        <v>17859</v>
      </c>
      <c r="L523" s="2" t="s">
        <v>17860</v>
      </c>
      <c r="M523" s="48"/>
      <c r="N523" s="45" t="str">
        <f t="shared" ref="N523:N525" si="303">HYPERLINK("https://www.ssc.edu/athletics/prospective-athlete-form/","Questionnaire")</f>
        <v>Questionnaire</v>
      </c>
      <c r="O523" s="48" t="s">
        <v>17863</v>
      </c>
      <c r="P523" s="60" t="s">
        <v>1721</v>
      </c>
      <c r="Q523" s="48" t="s">
        <v>17864</v>
      </c>
      <c r="R523" s="48" t="s">
        <v>172</v>
      </c>
      <c r="S523" s="49" t="s">
        <v>74</v>
      </c>
      <c r="T523" s="48" t="s">
        <v>75</v>
      </c>
      <c r="U523" s="49" t="s">
        <v>3678</v>
      </c>
      <c r="V523" s="7" t="s">
        <v>214</v>
      </c>
      <c r="W523" s="49" t="s">
        <v>214</v>
      </c>
      <c r="X523" s="49" t="s">
        <v>214</v>
      </c>
      <c r="Y523" s="49" t="s">
        <v>214</v>
      </c>
      <c r="Z523" s="55" t="s">
        <v>214</v>
      </c>
      <c r="AA523" s="48" t="s">
        <v>17865</v>
      </c>
      <c r="AB523" s="84" t="s">
        <v>17863</v>
      </c>
      <c r="AC523" s="53" t="str">
        <f t="shared" ref="AC523:AC525" si="304">HYPERLINK("https://www.ssc.edu/academics/programs-of-study/","Link")</f>
        <v>Link</v>
      </c>
      <c r="AD523" s="42">
        <v>3703</v>
      </c>
      <c r="AE523" s="55"/>
      <c r="AF523" s="55"/>
      <c r="AG523" s="56">
        <v>149365</v>
      </c>
      <c r="AH523" s="7" t="s">
        <v>2459</v>
      </c>
      <c r="AI523" s="7"/>
      <c r="AJ523" s="7"/>
      <c r="AK523" s="7"/>
    </row>
    <row r="524" spans="1:37" ht="15" x14ac:dyDescent="0.2">
      <c r="A524" s="31" t="s">
        <v>1705</v>
      </c>
      <c r="B524" s="33" t="s">
        <v>12632</v>
      </c>
      <c r="C524" s="7"/>
      <c r="D524" s="112">
        <v>5</v>
      </c>
      <c r="E524" s="7"/>
      <c r="F524" s="112"/>
      <c r="G524" s="2" t="s">
        <v>17857</v>
      </c>
      <c r="H524" s="2" t="s">
        <v>234</v>
      </c>
      <c r="I524" s="2" t="s">
        <v>17858</v>
      </c>
      <c r="J524" s="2" t="s">
        <v>55</v>
      </c>
      <c r="K524" s="2"/>
      <c r="L524" s="2"/>
      <c r="M524" s="48"/>
      <c r="N524" s="45" t="str">
        <f t="shared" si="303"/>
        <v>Questionnaire</v>
      </c>
      <c r="O524" s="48" t="s">
        <v>17863</v>
      </c>
      <c r="P524" s="60" t="s">
        <v>1721</v>
      </c>
      <c r="Q524" s="48" t="s">
        <v>17864</v>
      </c>
      <c r="R524" s="48" t="s">
        <v>172</v>
      </c>
      <c r="S524" s="49" t="s">
        <v>74</v>
      </c>
      <c r="T524" s="48" t="s">
        <v>75</v>
      </c>
      <c r="U524" s="49" t="s">
        <v>3678</v>
      </c>
      <c r="V524" s="7" t="s">
        <v>214</v>
      </c>
      <c r="W524" s="49" t="s">
        <v>214</v>
      </c>
      <c r="X524" s="49" t="s">
        <v>214</v>
      </c>
      <c r="Y524" s="49" t="s">
        <v>214</v>
      </c>
      <c r="Z524" s="55" t="s">
        <v>214</v>
      </c>
      <c r="AA524" s="48" t="s">
        <v>17865</v>
      </c>
      <c r="AB524" s="84" t="s">
        <v>17863</v>
      </c>
      <c r="AC524" s="53" t="str">
        <f t="shared" si="304"/>
        <v>Link</v>
      </c>
      <c r="AD524" s="42">
        <v>3703</v>
      </c>
      <c r="AE524" s="55"/>
      <c r="AF524" s="55"/>
      <c r="AG524" s="56">
        <v>149365</v>
      </c>
      <c r="AH524" s="7" t="s">
        <v>2459</v>
      </c>
      <c r="AI524" s="7"/>
      <c r="AJ524" s="7"/>
      <c r="AK524" s="7"/>
    </row>
    <row r="525" spans="1:37" ht="15" x14ac:dyDescent="0.2">
      <c r="A525" s="31" t="s">
        <v>1705</v>
      </c>
      <c r="B525" s="33" t="s">
        <v>12632</v>
      </c>
      <c r="C525" s="7"/>
      <c r="D525" s="112">
        <v>5</v>
      </c>
      <c r="E525" s="7"/>
      <c r="F525" s="112"/>
      <c r="G525" s="2" t="s">
        <v>17857</v>
      </c>
      <c r="H525" s="2" t="s">
        <v>17868</v>
      </c>
      <c r="I525" s="2" t="s">
        <v>17869</v>
      </c>
      <c r="J525" s="2" t="s">
        <v>55</v>
      </c>
      <c r="K525" s="2"/>
      <c r="L525" s="2"/>
      <c r="M525" s="48"/>
      <c r="N525" s="45" t="str">
        <f t="shared" si="303"/>
        <v>Questionnaire</v>
      </c>
      <c r="O525" s="48" t="s">
        <v>17863</v>
      </c>
      <c r="P525" s="60" t="s">
        <v>1721</v>
      </c>
      <c r="Q525" s="48" t="s">
        <v>17864</v>
      </c>
      <c r="R525" s="48" t="s">
        <v>172</v>
      </c>
      <c r="S525" s="49" t="s">
        <v>74</v>
      </c>
      <c r="T525" s="48" t="s">
        <v>75</v>
      </c>
      <c r="U525" s="49" t="s">
        <v>3678</v>
      </c>
      <c r="V525" s="7" t="s">
        <v>214</v>
      </c>
      <c r="W525" s="49" t="s">
        <v>214</v>
      </c>
      <c r="X525" s="49" t="s">
        <v>214</v>
      </c>
      <c r="Y525" s="49" t="s">
        <v>214</v>
      </c>
      <c r="Z525" s="55" t="s">
        <v>214</v>
      </c>
      <c r="AA525" s="48" t="s">
        <v>17865</v>
      </c>
      <c r="AB525" s="84" t="s">
        <v>17863</v>
      </c>
      <c r="AC525" s="53" t="str">
        <f t="shared" si="304"/>
        <v>Link</v>
      </c>
      <c r="AD525" s="42">
        <v>3703</v>
      </c>
      <c r="AE525" s="55"/>
      <c r="AF525" s="55"/>
      <c r="AG525" s="56">
        <v>149365</v>
      </c>
      <c r="AH525" s="7" t="s">
        <v>2459</v>
      </c>
      <c r="AI525" s="7"/>
      <c r="AJ525" s="7"/>
      <c r="AK525" s="7"/>
    </row>
    <row r="526" spans="1:37" ht="15" x14ac:dyDescent="0.2">
      <c r="A526" s="64" t="s">
        <v>1705</v>
      </c>
      <c r="B526" s="33" t="s">
        <v>12632</v>
      </c>
      <c r="C526" s="7" t="s">
        <v>17871</v>
      </c>
      <c r="D526" s="44">
        <v>5</v>
      </c>
      <c r="E526" s="7" t="s">
        <v>116</v>
      </c>
      <c r="F526" s="7"/>
      <c r="G526" s="2" t="s">
        <v>17872</v>
      </c>
      <c r="H526" s="7" t="s">
        <v>1163</v>
      </c>
      <c r="I526" s="7" t="s">
        <v>17873</v>
      </c>
      <c r="J526" s="7" t="s">
        <v>55</v>
      </c>
      <c r="K526" s="7"/>
      <c r="L526" s="7"/>
      <c r="M526" s="48"/>
      <c r="N526" s="45" t="str">
        <f t="shared" ref="N526:N527" si="305">HYPERLINK("https://www.sic.edu/student-activities/athletics/recruit-me","Questionnaire")</f>
        <v>Questionnaire</v>
      </c>
      <c r="O526" s="48" t="s">
        <v>17879</v>
      </c>
      <c r="P526" s="60" t="s">
        <v>1721</v>
      </c>
      <c r="Q526" s="48" t="s">
        <v>17880</v>
      </c>
      <c r="R526" s="60" t="s">
        <v>205</v>
      </c>
      <c r="S526" s="49" t="s">
        <v>74</v>
      </c>
      <c r="T526" s="48" t="s">
        <v>75</v>
      </c>
      <c r="U526" s="49" t="s">
        <v>3678</v>
      </c>
      <c r="V526" s="7" t="s">
        <v>214</v>
      </c>
      <c r="W526" s="49" t="s">
        <v>214</v>
      </c>
      <c r="X526" s="49" t="s">
        <v>214</v>
      </c>
      <c r="Y526" s="49" t="s">
        <v>214</v>
      </c>
      <c r="Z526" s="55" t="s">
        <v>214</v>
      </c>
      <c r="AA526" s="48" t="s">
        <v>17881</v>
      </c>
      <c r="AB526" s="84" t="s">
        <v>17879</v>
      </c>
      <c r="AC526" s="53" t="str">
        <f t="shared" ref="AC526:AC527" si="306">HYPERLINK("http://www.sic.edu/academics","Link")</f>
        <v>Link</v>
      </c>
      <c r="AD526" s="42">
        <v>1820</v>
      </c>
      <c r="AE526" s="55"/>
      <c r="AF526" s="55"/>
      <c r="AG526" s="56">
        <v>148937</v>
      </c>
      <c r="AH526" s="56"/>
      <c r="AI526" s="56"/>
    </row>
    <row r="527" spans="1:37" ht="15" x14ac:dyDescent="0.2">
      <c r="A527" s="64" t="s">
        <v>1705</v>
      </c>
      <c r="B527" s="33" t="s">
        <v>12632</v>
      </c>
      <c r="C527" s="7" t="s">
        <v>17883</v>
      </c>
      <c r="D527" s="112">
        <v>5</v>
      </c>
      <c r="E527" s="7" t="s">
        <v>116</v>
      </c>
      <c r="F527" s="112"/>
      <c r="G527" s="2" t="s">
        <v>17872</v>
      </c>
      <c r="H527" s="2" t="s">
        <v>266</v>
      </c>
      <c r="I527" s="2" t="s">
        <v>17884</v>
      </c>
      <c r="J527" s="2" t="s">
        <v>48</v>
      </c>
      <c r="K527" s="2" t="s">
        <v>17885</v>
      </c>
      <c r="L527" s="2" t="s">
        <v>17886</v>
      </c>
      <c r="M527" s="48"/>
      <c r="N527" s="45" t="str">
        <f t="shared" si="305"/>
        <v>Questionnaire</v>
      </c>
      <c r="O527" s="48" t="s">
        <v>17879</v>
      </c>
      <c r="P527" s="60" t="s">
        <v>1721</v>
      </c>
      <c r="Q527" s="48" t="s">
        <v>17880</v>
      </c>
      <c r="R527" s="60" t="s">
        <v>205</v>
      </c>
      <c r="S527" s="49" t="s">
        <v>74</v>
      </c>
      <c r="T527" s="48" t="s">
        <v>75</v>
      </c>
      <c r="U527" s="49" t="s">
        <v>3678</v>
      </c>
      <c r="V527" s="7" t="s">
        <v>214</v>
      </c>
      <c r="W527" s="49" t="s">
        <v>214</v>
      </c>
      <c r="X527" s="49" t="s">
        <v>214</v>
      </c>
      <c r="Y527" s="49" t="s">
        <v>214</v>
      </c>
      <c r="Z527" s="55" t="s">
        <v>214</v>
      </c>
      <c r="AA527" s="48" t="s">
        <v>17881</v>
      </c>
      <c r="AB527" s="84" t="s">
        <v>17879</v>
      </c>
      <c r="AC527" s="53" t="str">
        <f t="shared" si="306"/>
        <v>Link</v>
      </c>
      <c r="AD527" s="42">
        <v>1820</v>
      </c>
      <c r="AE527" s="55"/>
      <c r="AF527" s="55"/>
      <c r="AG527" s="56">
        <v>148937</v>
      </c>
      <c r="AH527" s="56"/>
      <c r="AI527" s="56"/>
    </row>
    <row r="528" spans="1:37" ht="15" x14ac:dyDescent="0.2">
      <c r="A528" s="64" t="s">
        <v>1705</v>
      </c>
      <c r="B528" s="33" t="s">
        <v>12632</v>
      </c>
      <c r="C528" s="7" t="s">
        <v>17887</v>
      </c>
      <c r="D528" s="112">
        <v>5</v>
      </c>
      <c r="E528" s="7"/>
      <c r="F528" s="112"/>
      <c r="G528" s="2" t="s">
        <v>17888</v>
      </c>
      <c r="H528" s="2" t="s">
        <v>754</v>
      </c>
      <c r="I528" s="2" t="s">
        <v>17890</v>
      </c>
      <c r="J528" s="2" t="s">
        <v>48</v>
      </c>
      <c r="K528" s="2" t="s">
        <v>17891</v>
      </c>
      <c r="L528" s="2" t="s">
        <v>17892</v>
      </c>
      <c r="M528" s="48"/>
      <c r="N528" s="48" t="s">
        <v>22</v>
      </c>
      <c r="O528" s="48" t="s">
        <v>17895</v>
      </c>
      <c r="P528" s="60" t="s">
        <v>1721</v>
      </c>
      <c r="Q528" s="48" t="s">
        <v>16605</v>
      </c>
      <c r="R528" s="48" t="s">
        <v>468</v>
      </c>
      <c r="S528" s="49" t="s">
        <v>74</v>
      </c>
      <c r="T528" s="48" t="s">
        <v>75</v>
      </c>
      <c r="U528" s="49" t="s">
        <v>3678</v>
      </c>
      <c r="V528" s="7" t="s">
        <v>214</v>
      </c>
      <c r="W528" s="49" t="s">
        <v>214</v>
      </c>
      <c r="X528" s="49" t="s">
        <v>214</v>
      </c>
      <c r="Y528" s="49" t="s">
        <v>214</v>
      </c>
      <c r="Z528" s="49" t="s">
        <v>214</v>
      </c>
      <c r="AA528" s="48" t="s">
        <v>17896</v>
      </c>
      <c r="AB528" s="84" t="s">
        <v>17895</v>
      </c>
      <c r="AC528" s="53" t="str">
        <f t="shared" ref="AC528:AC529" si="307">HYPERLINK("https://www.swic.edu/academics/","Link")</f>
        <v>Link</v>
      </c>
      <c r="AD528" s="42">
        <v>9515</v>
      </c>
      <c r="AE528" s="55"/>
      <c r="AF528" s="55"/>
      <c r="AG528" s="56">
        <v>143215</v>
      </c>
      <c r="AH528" s="56"/>
      <c r="AI528" s="56"/>
    </row>
    <row r="529" spans="1:37" ht="15" x14ac:dyDescent="0.2">
      <c r="A529" s="64" t="s">
        <v>1705</v>
      </c>
      <c r="B529" s="33" t="s">
        <v>12632</v>
      </c>
      <c r="C529" s="7" t="s">
        <v>17900</v>
      </c>
      <c r="D529" s="112">
        <v>5</v>
      </c>
      <c r="E529" s="7"/>
      <c r="F529" s="112"/>
      <c r="G529" s="2" t="s">
        <v>17888</v>
      </c>
      <c r="H529" s="2" t="s">
        <v>94</v>
      </c>
      <c r="I529" s="2" t="s">
        <v>17890</v>
      </c>
      <c r="J529" s="2" t="s">
        <v>55</v>
      </c>
      <c r="K529" s="2"/>
      <c r="L529" s="2"/>
      <c r="M529" s="48"/>
      <c r="N529" s="48" t="s">
        <v>22</v>
      </c>
      <c r="O529" s="48" t="s">
        <v>17895</v>
      </c>
      <c r="P529" s="60" t="s">
        <v>1721</v>
      </c>
      <c r="Q529" s="48" t="s">
        <v>16605</v>
      </c>
      <c r="R529" s="48" t="s">
        <v>468</v>
      </c>
      <c r="S529" s="49" t="s">
        <v>74</v>
      </c>
      <c r="T529" s="48" t="s">
        <v>75</v>
      </c>
      <c r="U529" s="49" t="s">
        <v>3678</v>
      </c>
      <c r="V529" s="7" t="s">
        <v>214</v>
      </c>
      <c r="W529" s="49" t="s">
        <v>214</v>
      </c>
      <c r="X529" s="49" t="s">
        <v>214</v>
      </c>
      <c r="Y529" s="49" t="s">
        <v>214</v>
      </c>
      <c r="Z529" s="49" t="s">
        <v>214</v>
      </c>
      <c r="AA529" s="48" t="s">
        <v>17896</v>
      </c>
      <c r="AB529" s="84" t="s">
        <v>17895</v>
      </c>
      <c r="AC529" s="53" t="str">
        <f t="shared" si="307"/>
        <v>Link</v>
      </c>
      <c r="AD529" s="42">
        <v>9515</v>
      </c>
      <c r="AE529" s="55"/>
      <c r="AF529" s="55"/>
      <c r="AG529" s="56">
        <v>143215</v>
      </c>
      <c r="AH529" s="56"/>
      <c r="AI529" s="56"/>
    </row>
    <row r="530" spans="1:37" ht="15" x14ac:dyDescent="0.2">
      <c r="A530" s="31" t="s">
        <v>1705</v>
      </c>
      <c r="B530" s="33" t="s">
        <v>12632</v>
      </c>
      <c r="C530" s="7"/>
      <c r="D530" s="112">
        <v>5</v>
      </c>
      <c r="E530" s="7"/>
      <c r="F530" s="112"/>
      <c r="G530" s="2" t="s">
        <v>17903</v>
      </c>
      <c r="H530" s="2" t="s">
        <v>658</v>
      </c>
      <c r="I530" s="2" t="s">
        <v>17905</v>
      </c>
      <c r="J530" s="2" t="s">
        <v>48</v>
      </c>
      <c r="K530" s="2" t="s">
        <v>17907</v>
      </c>
      <c r="L530" s="2" t="s">
        <v>17908</v>
      </c>
      <c r="M530" s="45" t="str">
        <f>HYPERLINK("twitter.com/state_sjr","@state_sjr")</f>
        <v>@state_sjr</v>
      </c>
      <c r="N530" s="48" t="s">
        <v>22</v>
      </c>
      <c r="O530" s="48" t="s">
        <v>17910</v>
      </c>
      <c r="P530" s="60" t="s">
        <v>1721</v>
      </c>
      <c r="Q530" s="48" t="s">
        <v>8508</v>
      </c>
      <c r="R530" s="48" t="s">
        <v>172</v>
      </c>
      <c r="S530" s="49" t="s">
        <v>74</v>
      </c>
      <c r="T530" s="48" t="s">
        <v>75</v>
      </c>
      <c r="U530" s="49" t="s">
        <v>3678</v>
      </c>
      <c r="V530" s="7" t="s">
        <v>214</v>
      </c>
      <c r="W530" s="49" t="s">
        <v>214</v>
      </c>
      <c r="X530" s="49" t="s">
        <v>214</v>
      </c>
      <c r="Y530" s="49" t="s">
        <v>214</v>
      </c>
      <c r="Z530" s="55" t="s">
        <v>214</v>
      </c>
      <c r="AA530" s="48" t="s">
        <v>17911</v>
      </c>
      <c r="AB530" s="84" t="s">
        <v>17910</v>
      </c>
      <c r="AC530" s="53" t="str">
        <f>HYPERLINK("https://www.src.edu/academics/Pages/default.aspx","Link")</f>
        <v>Link</v>
      </c>
      <c r="AD530" s="42">
        <v>1560</v>
      </c>
      <c r="AE530" s="55"/>
      <c r="AF530" s="55"/>
      <c r="AG530" s="56">
        <v>148991</v>
      </c>
      <c r="AH530" s="7" t="s">
        <v>2459</v>
      </c>
      <c r="AI530" s="7"/>
      <c r="AJ530" s="7"/>
      <c r="AK530" s="7"/>
    </row>
    <row r="531" spans="1:37" ht="15" x14ac:dyDescent="0.2">
      <c r="A531" s="64" t="s">
        <v>1705</v>
      </c>
      <c r="B531" s="33" t="s">
        <v>12632</v>
      </c>
      <c r="C531" s="7" t="s">
        <v>17916</v>
      </c>
      <c r="D531" s="112">
        <v>5</v>
      </c>
      <c r="E531" s="7"/>
      <c r="F531" s="112"/>
      <c r="G531" s="2" t="s">
        <v>17917</v>
      </c>
      <c r="H531" s="2" t="s">
        <v>3905</v>
      </c>
      <c r="I531" s="2" t="s">
        <v>194</v>
      </c>
      <c r="J531" s="2" t="s">
        <v>48</v>
      </c>
      <c r="K531" s="2" t="s">
        <v>17918</v>
      </c>
      <c r="L531" s="2" t="s">
        <v>17919</v>
      </c>
      <c r="M531" s="45" t="str">
        <f t="shared" ref="M531:M534" si="308">HYPERLINK("twitter.com/tritonsoftball_","@tritonsoftball_")</f>
        <v>@tritonsoftball_</v>
      </c>
      <c r="N531" s="45" t="str">
        <f t="shared" ref="N531:N534" si="309">HYPERLINK("https://tritonathletics.com/sb_output.aspx?form=3","Questionnaire")</f>
        <v>Questionnaire</v>
      </c>
      <c r="O531" s="48" t="s">
        <v>17923</v>
      </c>
      <c r="P531" s="60" t="s">
        <v>1721</v>
      </c>
      <c r="Q531" s="48" t="s">
        <v>17924</v>
      </c>
      <c r="R531" s="48" t="s">
        <v>172</v>
      </c>
      <c r="S531" s="49" t="s">
        <v>74</v>
      </c>
      <c r="T531" s="48" t="s">
        <v>75</v>
      </c>
      <c r="U531" s="49" t="s">
        <v>3678</v>
      </c>
      <c r="V531" s="7" t="s">
        <v>214</v>
      </c>
      <c r="W531" s="49" t="s">
        <v>214</v>
      </c>
      <c r="X531" s="49" t="s">
        <v>214</v>
      </c>
      <c r="Y531" s="49" t="s">
        <v>214</v>
      </c>
      <c r="Z531" s="55" t="s">
        <v>214</v>
      </c>
      <c r="AA531" s="48" t="s">
        <v>17925</v>
      </c>
      <c r="AB531" s="84" t="s">
        <v>17923</v>
      </c>
      <c r="AC531" s="53" t="str">
        <f t="shared" ref="AC531:AC534" si="310">HYPERLINK("http://www.triton.edu/degrees/","Link")</f>
        <v>Link</v>
      </c>
      <c r="AD531" s="42">
        <v>11386</v>
      </c>
      <c r="AE531" s="55"/>
      <c r="AF531" s="55"/>
      <c r="AG531" s="56">
        <v>149532</v>
      </c>
      <c r="AH531" s="56"/>
      <c r="AI531" s="56"/>
    </row>
    <row r="532" spans="1:37" ht="15" x14ac:dyDescent="0.2">
      <c r="A532" s="64" t="s">
        <v>1705</v>
      </c>
      <c r="B532" s="33" t="s">
        <v>12632</v>
      </c>
      <c r="C532" s="7" t="s">
        <v>17928</v>
      </c>
      <c r="D532" s="112">
        <v>5</v>
      </c>
      <c r="E532" s="7"/>
      <c r="F532" s="112"/>
      <c r="G532" s="2" t="s">
        <v>17917</v>
      </c>
      <c r="H532" s="2" t="s">
        <v>1629</v>
      </c>
      <c r="I532" s="2" t="s">
        <v>977</v>
      </c>
      <c r="J532" s="2" t="s">
        <v>55</v>
      </c>
      <c r="K532" s="2"/>
      <c r="L532" s="2" t="s">
        <v>17919</v>
      </c>
      <c r="M532" s="45" t="str">
        <f t="shared" si="308"/>
        <v>@tritonsoftball_</v>
      </c>
      <c r="N532" s="45" t="str">
        <f t="shared" si="309"/>
        <v>Questionnaire</v>
      </c>
      <c r="O532" s="48" t="s">
        <v>17923</v>
      </c>
      <c r="P532" s="60" t="s">
        <v>1721</v>
      </c>
      <c r="Q532" s="48" t="s">
        <v>17924</v>
      </c>
      <c r="R532" s="48" t="s">
        <v>172</v>
      </c>
      <c r="S532" s="49" t="s">
        <v>74</v>
      </c>
      <c r="T532" s="48" t="s">
        <v>75</v>
      </c>
      <c r="U532" s="49" t="s">
        <v>3678</v>
      </c>
      <c r="V532" s="7" t="s">
        <v>214</v>
      </c>
      <c r="W532" s="49" t="s">
        <v>214</v>
      </c>
      <c r="X532" s="49" t="s">
        <v>214</v>
      </c>
      <c r="Y532" s="49" t="s">
        <v>214</v>
      </c>
      <c r="Z532" s="55" t="s">
        <v>214</v>
      </c>
      <c r="AA532" s="48" t="s">
        <v>17925</v>
      </c>
      <c r="AB532" s="84" t="s">
        <v>17923</v>
      </c>
      <c r="AC532" s="53" t="str">
        <f t="shared" si="310"/>
        <v>Link</v>
      </c>
      <c r="AD532" s="42">
        <v>11386</v>
      </c>
      <c r="AE532" s="55"/>
      <c r="AF532" s="55"/>
      <c r="AG532" s="56">
        <v>149532</v>
      </c>
      <c r="AH532" s="56"/>
      <c r="AI532" s="56"/>
    </row>
    <row r="533" spans="1:37" ht="15" x14ac:dyDescent="0.2">
      <c r="A533" s="64" t="s">
        <v>1705</v>
      </c>
      <c r="B533" s="33" t="s">
        <v>12632</v>
      </c>
      <c r="C533" s="7" t="s">
        <v>17932</v>
      </c>
      <c r="D533" s="112">
        <v>5</v>
      </c>
      <c r="E533" s="7"/>
      <c r="F533" s="112"/>
      <c r="G533" s="2" t="s">
        <v>17917</v>
      </c>
      <c r="H533" s="2" t="s">
        <v>5606</v>
      </c>
      <c r="I533" s="2" t="s">
        <v>14423</v>
      </c>
      <c r="J533" s="2" t="s">
        <v>55</v>
      </c>
      <c r="K533" s="2"/>
      <c r="L533" s="2" t="s">
        <v>17919</v>
      </c>
      <c r="M533" s="45" t="str">
        <f t="shared" si="308"/>
        <v>@tritonsoftball_</v>
      </c>
      <c r="N533" s="45" t="str">
        <f t="shared" si="309"/>
        <v>Questionnaire</v>
      </c>
      <c r="O533" s="48" t="s">
        <v>17923</v>
      </c>
      <c r="P533" s="60" t="s">
        <v>1721</v>
      </c>
      <c r="Q533" s="48" t="s">
        <v>17924</v>
      </c>
      <c r="R533" s="48" t="s">
        <v>172</v>
      </c>
      <c r="S533" s="49" t="s">
        <v>74</v>
      </c>
      <c r="T533" s="48" t="s">
        <v>75</v>
      </c>
      <c r="U533" s="49" t="s">
        <v>3678</v>
      </c>
      <c r="V533" s="7" t="s">
        <v>214</v>
      </c>
      <c r="W533" s="49" t="s">
        <v>214</v>
      </c>
      <c r="X533" s="49" t="s">
        <v>214</v>
      </c>
      <c r="Y533" s="49" t="s">
        <v>214</v>
      </c>
      <c r="Z533" s="55" t="s">
        <v>214</v>
      </c>
      <c r="AA533" s="48" t="s">
        <v>17925</v>
      </c>
      <c r="AB533" s="84" t="s">
        <v>17923</v>
      </c>
      <c r="AC533" s="53" t="str">
        <f t="shared" si="310"/>
        <v>Link</v>
      </c>
      <c r="AD533" s="42">
        <v>11386</v>
      </c>
      <c r="AE533" s="55"/>
      <c r="AF533" s="55"/>
      <c r="AG533" s="56">
        <v>149532</v>
      </c>
      <c r="AH533" s="56"/>
      <c r="AI533" s="56"/>
    </row>
    <row r="534" spans="1:37" ht="15" x14ac:dyDescent="0.2">
      <c r="A534" s="64" t="s">
        <v>1705</v>
      </c>
      <c r="B534" s="33" t="s">
        <v>12632</v>
      </c>
      <c r="C534" s="7" t="s">
        <v>17938</v>
      </c>
      <c r="D534" s="112">
        <v>5</v>
      </c>
      <c r="E534" s="7"/>
      <c r="F534" s="112"/>
      <c r="G534" s="2" t="s">
        <v>17917</v>
      </c>
      <c r="H534" s="2" t="s">
        <v>17939</v>
      </c>
      <c r="I534" s="2" t="s">
        <v>17940</v>
      </c>
      <c r="J534" s="2" t="s">
        <v>55</v>
      </c>
      <c r="K534" s="2"/>
      <c r="L534" s="2" t="s">
        <v>17919</v>
      </c>
      <c r="M534" s="45" t="str">
        <f t="shared" si="308"/>
        <v>@tritonsoftball_</v>
      </c>
      <c r="N534" s="45" t="str">
        <f t="shared" si="309"/>
        <v>Questionnaire</v>
      </c>
      <c r="O534" s="48" t="s">
        <v>17923</v>
      </c>
      <c r="P534" s="60" t="s">
        <v>1721</v>
      </c>
      <c r="Q534" s="48" t="s">
        <v>17924</v>
      </c>
      <c r="R534" s="48" t="s">
        <v>172</v>
      </c>
      <c r="S534" s="49" t="s">
        <v>74</v>
      </c>
      <c r="T534" s="48" t="s">
        <v>75</v>
      </c>
      <c r="U534" s="49" t="s">
        <v>3678</v>
      </c>
      <c r="V534" s="7" t="s">
        <v>214</v>
      </c>
      <c r="W534" s="49" t="s">
        <v>214</v>
      </c>
      <c r="X534" s="49" t="s">
        <v>214</v>
      </c>
      <c r="Y534" s="49" t="s">
        <v>214</v>
      </c>
      <c r="Z534" s="55" t="s">
        <v>214</v>
      </c>
      <c r="AA534" s="48" t="s">
        <v>17925</v>
      </c>
      <c r="AB534" s="84" t="s">
        <v>17923</v>
      </c>
      <c r="AC534" s="53" t="str">
        <f t="shared" si="310"/>
        <v>Link</v>
      </c>
      <c r="AD534" s="42">
        <v>11386</v>
      </c>
      <c r="AE534" s="55"/>
      <c r="AF534" s="55"/>
      <c r="AG534" s="56">
        <v>149532</v>
      </c>
      <c r="AH534" s="56"/>
      <c r="AI534" s="56"/>
    </row>
    <row r="535" spans="1:37" ht="15" x14ac:dyDescent="0.2">
      <c r="A535" s="64" t="s">
        <v>1705</v>
      </c>
      <c r="B535" s="33" t="s">
        <v>12632</v>
      </c>
      <c r="C535" s="7" t="s">
        <v>17942</v>
      </c>
      <c r="D535" s="44">
        <v>5</v>
      </c>
      <c r="E535" s="7" t="s">
        <v>116</v>
      </c>
      <c r="F535" s="7"/>
      <c r="G535" s="2" t="s">
        <v>17943</v>
      </c>
      <c r="H535" s="7" t="s">
        <v>728</v>
      </c>
      <c r="I535" s="7" t="s">
        <v>2993</v>
      </c>
      <c r="J535" s="7" t="s">
        <v>55</v>
      </c>
      <c r="K535" s="7"/>
      <c r="L535" s="7"/>
      <c r="M535" s="48"/>
      <c r="N535" s="48" t="s">
        <v>22</v>
      </c>
      <c r="O535" s="48" t="s">
        <v>17944</v>
      </c>
      <c r="P535" s="60" t="s">
        <v>1721</v>
      </c>
      <c r="Q535" s="48" t="s">
        <v>17945</v>
      </c>
      <c r="R535" s="60" t="s">
        <v>205</v>
      </c>
      <c r="S535" s="49" t="s">
        <v>74</v>
      </c>
      <c r="T535" s="48" t="s">
        <v>75</v>
      </c>
      <c r="U535" s="49" t="s">
        <v>3678</v>
      </c>
      <c r="V535" s="7" t="s">
        <v>214</v>
      </c>
      <c r="W535" s="49" t="s">
        <v>214</v>
      </c>
      <c r="X535" s="49" t="s">
        <v>214</v>
      </c>
      <c r="Y535" s="49" t="s">
        <v>214</v>
      </c>
      <c r="Z535" s="55" t="s">
        <v>214</v>
      </c>
      <c r="AA535" s="48" t="s">
        <v>17673</v>
      </c>
      <c r="AB535" s="84" t="s">
        <v>17944</v>
      </c>
      <c r="AC535" s="53" t="str">
        <f t="shared" ref="AC535:AC539" si="311">HYPERLINK("https://www.iecc.edu/page.php?page=WVCH_PRGM&amp;acad=list&amp;acadc=wvc","Link")</f>
        <v>Link</v>
      </c>
      <c r="AD535" s="42">
        <v>4330</v>
      </c>
      <c r="AE535" s="55"/>
      <c r="AF535" s="55"/>
      <c r="AG535" s="56">
        <v>403487</v>
      </c>
      <c r="AH535" s="56"/>
      <c r="AI535" s="56"/>
    </row>
    <row r="536" spans="1:37" ht="15" x14ac:dyDescent="0.2">
      <c r="A536" s="64" t="s">
        <v>1705</v>
      </c>
      <c r="B536" s="33" t="s">
        <v>12632</v>
      </c>
      <c r="C536" s="7" t="s">
        <v>17949</v>
      </c>
      <c r="D536" s="44">
        <v>5</v>
      </c>
      <c r="E536" s="7" t="s">
        <v>116</v>
      </c>
      <c r="F536" s="7"/>
      <c r="G536" s="2" t="s">
        <v>17943</v>
      </c>
      <c r="H536" s="7" t="s">
        <v>143</v>
      </c>
      <c r="I536" s="7" t="s">
        <v>17951</v>
      </c>
      <c r="J536" s="7" t="s">
        <v>55</v>
      </c>
      <c r="K536" s="7"/>
      <c r="L536" s="7"/>
      <c r="M536" s="48"/>
      <c r="N536" s="48" t="s">
        <v>22</v>
      </c>
      <c r="O536" s="48" t="s">
        <v>17944</v>
      </c>
      <c r="P536" s="60" t="s">
        <v>1721</v>
      </c>
      <c r="Q536" s="48" t="s">
        <v>17945</v>
      </c>
      <c r="R536" s="60" t="s">
        <v>205</v>
      </c>
      <c r="S536" s="49" t="s">
        <v>74</v>
      </c>
      <c r="T536" s="48" t="s">
        <v>75</v>
      </c>
      <c r="U536" s="49" t="s">
        <v>3678</v>
      </c>
      <c r="V536" s="7" t="s">
        <v>214</v>
      </c>
      <c r="W536" s="49" t="s">
        <v>214</v>
      </c>
      <c r="X536" s="49" t="s">
        <v>214</v>
      </c>
      <c r="Y536" s="49" t="s">
        <v>214</v>
      </c>
      <c r="Z536" s="55" t="s">
        <v>214</v>
      </c>
      <c r="AA536" s="48" t="s">
        <v>17673</v>
      </c>
      <c r="AB536" s="84" t="s">
        <v>17944</v>
      </c>
      <c r="AC536" s="53" t="str">
        <f t="shared" si="311"/>
        <v>Link</v>
      </c>
      <c r="AD536" s="42">
        <v>4330</v>
      </c>
      <c r="AE536" s="55"/>
      <c r="AF536" s="55"/>
      <c r="AG536" s="56">
        <v>403487</v>
      </c>
      <c r="AH536" s="56"/>
      <c r="AI536" s="56"/>
    </row>
    <row r="537" spans="1:37" ht="15" x14ac:dyDescent="0.2">
      <c r="A537" s="64" t="s">
        <v>1705</v>
      </c>
      <c r="B537" s="33" t="s">
        <v>12632</v>
      </c>
      <c r="C537" s="7" t="s">
        <v>17954</v>
      </c>
      <c r="D537" s="112">
        <v>5</v>
      </c>
      <c r="E537" s="7" t="s">
        <v>116</v>
      </c>
      <c r="F537" s="7"/>
      <c r="G537" s="2" t="s">
        <v>17943</v>
      </c>
      <c r="H537" s="7" t="s">
        <v>2599</v>
      </c>
      <c r="I537" s="7" t="s">
        <v>17955</v>
      </c>
      <c r="J537" s="7" t="s">
        <v>55</v>
      </c>
      <c r="K537" s="7" t="s">
        <v>17956</v>
      </c>
      <c r="L537" s="7" t="s">
        <v>17958</v>
      </c>
      <c r="M537" s="48"/>
      <c r="N537" s="48" t="s">
        <v>22</v>
      </c>
      <c r="O537" s="48" t="s">
        <v>17944</v>
      </c>
      <c r="P537" s="60" t="s">
        <v>1721</v>
      </c>
      <c r="Q537" s="48" t="s">
        <v>17945</v>
      </c>
      <c r="R537" s="60" t="s">
        <v>205</v>
      </c>
      <c r="S537" s="49" t="s">
        <v>74</v>
      </c>
      <c r="T537" s="48" t="s">
        <v>75</v>
      </c>
      <c r="U537" s="49" t="s">
        <v>3678</v>
      </c>
      <c r="V537" s="7" t="s">
        <v>214</v>
      </c>
      <c r="W537" s="49" t="s">
        <v>214</v>
      </c>
      <c r="X537" s="49" t="s">
        <v>214</v>
      </c>
      <c r="Y537" s="49" t="s">
        <v>214</v>
      </c>
      <c r="Z537" s="55" t="s">
        <v>214</v>
      </c>
      <c r="AA537" s="48" t="s">
        <v>17673</v>
      </c>
      <c r="AB537" s="84" t="s">
        <v>17944</v>
      </c>
      <c r="AC537" s="53" t="str">
        <f t="shared" si="311"/>
        <v>Link</v>
      </c>
      <c r="AD537" s="42">
        <v>4330</v>
      </c>
      <c r="AE537" s="55"/>
      <c r="AF537" s="55"/>
      <c r="AG537" s="56">
        <v>403487</v>
      </c>
      <c r="AH537" s="56"/>
      <c r="AI537" s="56"/>
    </row>
    <row r="538" spans="1:37" ht="15" x14ac:dyDescent="0.2">
      <c r="A538" s="64" t="s">
        <v>1705</v>
      </c>
      <c r="B538" s="33" t="s">
        <v>12632</v>
      </c>
      <c r="C538" s="7" t="s">
        <v>17960</v>
      </c>
      <c r="D538" s="112">
        <v>5</v>
      </c>
      <c r="E538" s="7" t="s">
        <v>116</v>
      </c>
      <c r="F538" s="7"/>
      <c r="G538" s="2" t="s">
        <v>17943</v>
      </c>
      <c r="H538" s="7" t="s">
        <v>17961</v>
      </c>
      <c r="I538" s="7" t="s">
        <v>17962</v>
      </c>
      <c r="J538" s="7" t="s">
        <v>48</v>
      </c>
      <c r="K538" s="7" t="s">
        <v>17963</v>
      </c>
      <c r="L538" s="7" t="s">
        <v>17964</v>
      </c>
      <c r="M538" s="48"/>
      <c r="N538" s="48" t="s">
        <v>22</v>
      </c>
      <c r="O538" s="48" t="s">
        <v>17944</v>
      </c>
      <c r="P538" s="60" t="s">
        <v>1721</v>
      </c>
      <c r="Q538" s="48" t="s">
        <v>17945</v>
      </c>
      <c r="R538" s="60" t="s">
        <v>205</v>
      </c>
      <c r="S538" s="49" t="s">
        <v>74</v>
      </c>
      <c r="T538" s="48" t="s">
        <v>75</v>
      </c>
      <c r="U538" s="49" t="s">
        <v>3678</v>
      </c>
      <c r="V538" s="7" t="s">
        <v>214</v>
      </c>
      <c r="W538" s="49" t="s">
        <v>214</v>
      </c>
      <c r="X538" s="49" t="s">
        <v>214</v>
      </c>
      <c r="Y538" s="49" t="s">
        <v>214</v>
      </c>
      <c r="Z538" s="55" t="s">
        <v>214</v>
      </c>
      <c r="AA538" s="48" t="s">
        <v>17673</v>
      </c>
      <c r="AB538" s="84" t="s">
        <v>17944</v>
      </c>
      <c r="AC538" s="53" t="str">
        <f t="shared" si="311"/>
        <v>Link</v>
      </c>
      <c r="AD538" s="42">
        <v>4330</v>
      </c>
      <c r="AE538" s="55"/>
      <c r="AF538" s="55"/>
      <c r="AG538" s="56">
        <v>403487</v>
      </c>
      <c r="AH538" s="56"/>
      <c r="AI538" s="56"/>
    </row>
    <row r="539" spans="1:37" ht="15" x14ac:dyDescent="0.2">
      <c r="A539" s="64" t="s">
        <v>1705</v>
      </c>
      <c r="B539" s="33" t="s">
        <v>12632</v>
      </c>
      <c r="C539" s="7" t="s">
        <v>17966</v>
      </c>
      <c r="D539" s="112">
        <v>5</v>
      </c>
      <c r="E539" s="7"/>
      <c r="F539" s="112"/>
      <c r="G539" s="2" t="s">
        <v>17943</v>
      </c>
      <c r="H539" s="2" t="s">
        <v>904</v>
      </c>
      <c r="I539" s="2" t="s">
        <v>17968</v>
      </c>
      <c r="J539" s="2" t="s">
        <v>55</v>
      </c>
      <c r="K539" s="7" t="s">
        <v>17970</v>
      </c>
      <c r="L539" s="2" t="s">
        <v>17958</v>
      </c>
      <c r="M539" s="48"/>
      <c r="N539" s="48" t="s">
        <v>22</v>
      </c>
      <c r="O539" s="48" t="s">
        <v>17944</v>
      </c>
      <c r="P539" s="60" t="s">
        <v>1721</v>
      </c>
      <c r="Q539" s="48" t="s">
        <v>17945</v>
      </c>
      <c r="R539" s="60" t="s">
        <v>205</v>
      </c>
      <c r="S539" s="49" t="s">
        <v>74</v>
      </c>
      <c r="T539" s="48" t="s">
        <v>75</v>
      </c>
      <c r="U539" s="49" t="s">
        <v>3678</v>
      </c>
      <c r="V539" s="7" t="s">
        <v>214</v>
      </c>
      <c r="W539" s="49" t="s">
        <v>214</v>
      </c>
      <c r="X539" s="49" t="s">
        <v>214</v>
      </c>
      <c r="Y539" s="49" t="s">
        <v>214</v>
      </c>
      <c r="Z539" s="55" t="s">
        <v>214</v>
      </c>
      <c r="AA539" s="48" t="s">
        <v>17673</v>
      </c>
      <c r="AB539" s="84" t="s">
        <v>17944</v>
      </c>
      <c r="AC539" s="53" t="str">
        <f t="shared" si="311"/>
        <v>Link</v>
      </c>
      <c r="AD539" s="42">
        <v>4330</v>
      </c>
      <c r="AE539" s="55"/>
      <c r="AF539" s="55"/>
      <c r="AG539" s="56">
        <v>403487</v>
      </c>
      <c r="AH539" s="56"/>
      <c r="AI539" s="56"/>
    </row>
    <row r="540" spans="1:37" ht="15" x14ac:dyDescent="0.2">
      <c r="A540" s="64" t="s">
        <v>1705</v>
      </c>
      <c r="B540" s="33" t="s">
        <v>12632</v>
      </c>
      <c r="C540" s="7" t="s">
        <v>17973</v>
      </c>
      <c r="D540" s="112">
        <v>5</v>
      </c>
      <c r="E540" s="7"/>
      <c r="F540" s="112"/>
      <c r="G540" s="2" t="s">
        <v>17975</v>
      </c>
      <c r="H540" s="2" t="s">
        <v>435</v>
      </c>
      <c r="I540" s="2" t="s">
        <v>17976</v>
      </c>
      <c r="J540" s="2" t="s">
        <v>48</v>
      </c>
      <c r="K540" s="2" t="s">
        <v>17977</v>
      </c>
      <c r="L540" s="2" t="s">
        <v>17979</v>
      </c>
      <c r="M540" s="45" t="str">
        <f t="shared" ref="M540:M543" si="312">HYPERLINK("twitter.com/WCCchiefsSB","@WCCchiefsSB")</f>
        <v>@WCCchiefsSB</v>
      </c>
      <c r="N540" s="45" t="str">
        <f t="shared" ref="N540:N543" si="313">HYPERLINK("http://www.gochiefs.com/SB_Questionnaire","Questionnaire")</f>
        <v>Questionnaire</v>
      </c>
      <c r="O540" s="48" t="s">
        <v>17984</v>
      </c>
      <c r="P540" s="60" t="s">
        <v>1721</v>
      </c>
      <c r="Q540" s="48" t="s">
        <v>17985</v>
      </c>
      <c r="R540" s="60" t="s">
        <v>205</v>
      </c>
      <c r="S540" s="49" t="s">
        <v>74</v>
      </c>
      <c r="T540" s="48" t="s">
        <v>75</v>
      </c>
      <c r="U540" s="49" t="s">
        <v>3678</v>
      </c>
      <c r="V540" s="7" t="s">
        <v>214</v>
      </c>
      <c r="W540" s="49" t="s">
        <v>214</v>
      </c>
      <c r="X540" s="49" t="s">
        <v>214</v>
      </c>
      <c r="Y540" s="49" t="s">
        <v>214</v>
      </c>
      <c r="Z540" s="55" t="s">
        <v>214</v>
      </c>
      <c r="AA540" s="48" t="s">
        <v>17986</v>
      </c>
      <c r="AB540" s="84" t="s">
        <v>17984</v>
      </c>
      <c r="AC540" s="53" t="str">
        <f t="shared" ref="AC540:AC543" si="314">HYPERLINK("https://www.waubonsee.edu/programs-courses/career-programs","Link")</f>
        <v>Link</v>
      </c>
      <c r="AD540" s="42">
        <v>10081</v>
      </c>
      <c r="AE540" s="55"/>
      <c r="AF540" s="55"/>
      <c r="AG540" s="56">
        <v>149727</v>
      </c>
      <c r="AH540" s="56"/>
      <c r="AI540" s="56"/>
    </row>
    <row r="541" spans="1:37" ht="15" x14ac:dyDescent="0.2">
      <c r="A541" s="64" t="s">
        <v>1705</v>
      </c>
      <c r="B541" s="33" t="s">
        <v>12632</v>
      </c>
      <c r="C541" s="7" t="s">
        <v>17988</v>
      </c>
      <c r="D541" s="112">
        <v>5</v>
      </c>
      <c r="E541" s="7"/>
      <c r="F541" s="112"/>
      <c r="G541" s="2" t="s">
        <v>17975</v>
      </c>
      <c r="H541" s="2" t="s">
        <v>1541</v>
      </c>
      <c r="I541" s="2" t="s">
        <v>17989</v>
      </c>
      <c r="J541" s="2" t="s">
        <v>55</v>
      </c>
      <c r="K541" s="7" t="s">
        <v>17990</v>
      </c>
      <c r="L541" s="2" t="s">
        <v>17991</v>
      </c>
      <c r="M541" s="45" t="str">
        <f t="shared" si="312"/>
        <v>@WCCchiefsSB</v>
      </c>
      <c r="N541" s="45" t="str">
        <f t="shared" si="313"/>
        <v>Questionnaire</v>
      </c>
      <c r="O541" s="48" t="s">
        <v>17984</v>
      </c>
      <c r="P541" s="60" t="s">
        <v>1721</v>
      </c>
      <c r="Q541" s="48" t="s">
        <v>17985</v>
      </c>
      <c r="R541" s="60" t="s">
        <v>205</v>
      </c>
      <c r="S541" s="49" t="s">
        <v>74</v>
      </c>
      <c r="T541" s="48" t="s">
        <v>75</v>
      </c>
      <c r="U541" s="49" t="s">
        <v>3678</v>
      </c>
      <c r="V541" s="7" t="s">
        <v>214</v>
      </c>
      <c r="W541" s="49" t="s">
        <v>214</v>
      </c>
      <c r="X541" s="49" t="s">
        <v>214</v>
      </c>
      <c r="Y541" s="49" t="s">
        <v>214</v>
      </c>
      <c r="Z541" s="55" t="s">
        <v>214</v>
      </c>
      <c r="AA541" s="48" t="s">
        <v>17986</v>
      </c>
      <c r="AB541" s="84" t="s">
        <v>17984</v>
      </c>
      <c r="AC541" s="53" t="str">
        <f t="shared" si="314"/>
        <v>Link</v>
      </c>
      <c r="AD541" s="42">
        <v>10081</v>
      </c>
      <c r="AE541" s="55"/>
      <c r="AF541" s="55"/>
      <c r="AG541" s="56">
        <v>149727</v>
      </c>
      <c r="AH541" s="56"/>
      <c r="AI541" s="56"/>
    </row>
    <row r="542" spans="1:37" ht="15" x14ac:dyDescent="0.2">
      <c r="A542" s="64" t="s">
        <v>1705</v>
      </c>
      <c r="B542" s="33" t="s">
        <v>12632</v>
      </c>
      <c r="C542" s="7" t="s">
        <v>17997</v>
      </c>
      <c r="D542" s="112">
        <v>5</v>
      </c>
      <c r="E542" s="7"/>
      <c r="F542" s="112"/>
      <c r="G542" s="2" t="s">
        <v>17975</v>
      </c>
      <c r="H542" s="2" t="s">
        <v>767</v>
      </c>
      <c r="I542" s="2" t="s">
        <v>3206</v>
      </c>
      <c r="J542" s="2" t="s">
        <v>139</v>
      </c>
      <c r="K542" s="2"/>
      <c r="L542" s="2" t="s">
        <v>17991</v>
      </c>
      <c r="M542" s="45" t="str">
        <f t="shared" si="312"/>
        <v>@WCCchiefsSB</v>
      </c>
      <c r="N542" s="45" t="str">
        <f t="shared" si="313"/>
        <v>Questionnaire</v>
      </c>
      <c r="O542" s="48" t="s">
        <v>17984</v>
      </c>
      <c r="P542" s="60" t="s">
        <v>1721</v>
      </c>
      <c r="Q542" s="48" t="s">
        <v>17985</v>
      </c>
      <c r="R542" s="60" t="s">
        <v>205</v>
      </c>
      <c r="S542" s="49" t="s">
        <v>74</v>
      </c>
      <c r="T542" s="48" t="s">
        <v>75</v>
      </c>
      <c r="U542" s="49" t="s">
        <v>3678</v>
      </c>
      <c r="V542" s="7" t="s">
        <v>214</v>
      </c>
      <c r="W542" s="49" t="s">
        <v>214</v>
      </c>
      <c r="X542" s="49" t="s">
        <v>214</v>
      </c>
      <c r="Y542" s="49" t="s">
        <v>214</v>
      </c>
      <c r="Z542" s="55" t="s">
        <v>214</v>
      </c>
      <c r="AA542" s="48" t="s">
        <v>17986</v>
      </c>
      <c r="AB542" s="84" t="s">
        <v>17984</v>
      </c>
      <c r="AC542" s="53" t="str">
        <f t="shared" si="314"/>
        <v>Link</v>
      </c>
      <c r="AD542" s="42">
        <v>10081</v>
      </c>
      <c r="AE542" s="55"/>
      <c r="AF542" s="55"/>
      <c r="AG542" s="56">
        <v>149727</v>
      </c>
      <c r="AH542" s="56"/>
      <c r="AI542" s="56"/>
    </row>
    <row r="543" spans="1:37" ht="15" x14ac:dyDescent="0.2">
      <c r="A543" s="64" t="s">
        <v>1705</v>
      </c>
      <c r="B543" s="33" t="s">
        <v>12632</v>
      </c>
      <c r="C543" s="7" t="s">
        <v>18003</v>
      </c>
      <c r="D543" s="112">
        <v>5</v>
      </c>
      <c r="E543" s="7"/>
      <c r="F543" s="112"/>
      <c r="G543" s="2" t="s">
        <v>17975</v>
      </c>
      <c r="H543" s="2" t="s">
        <v>5749</v>
      </c>
      <c r="I543" s="2" t="s">
        <v>977</v>
      </c>
      <c r="J543" s="2" t="s">
        <v>139</v>
      </c>
      <c r="K543" s="2"/>
      <c r="L543" s="2" t="s">
        <v>17991</v>
      </c>
      <c r="M543" s="45" t="str">
        <f t="shared" si="312"/>
        <v>@WCCchiefsSB</v>
      </c>
      <c r="N543" s="45" t="str">
        <f t="shared" si="313"/>
        <v>Questionnaire</v>
      </c>
      <c r="O543" s="48" t="s">
        <v>17984</v>
      </c>
      <c r="P543" s="60" t="s">
        <v>1721</v>
      </c>
      <c r="Q543" s="48" t="s">
        <v>17985</v>
      </c>
      <c r="R543" s="60" t="s">
        <v>205</v>
      </c>
      <c r="S543" s="49" t="s">
        <v>74</v>
      </c>
      <c r="T543" s="48" t="s">
        <v>75</v>
      </c>
      <c r="U543" s="49" t="s">
        <v>3678</v>
      </c>
      <c r="V543" s="7" t="s">
        <v>214</v>
      </c>
      <c r="W543" s="49" t="s">
        <v>214</v>
      </c>
      <c r="X543" s="49" t="s">
        <v>214</v>
      </c>
      <c r="Y543" s="49" t="s">
        <v>214</v>
      </c>
      <c r="Z543" s="55" t="s">
        <v>214</v>
      </c>
      <c r="AA543" s="48" t="s">
        <v>17986</v>
      </c>
      <c r="AB543" s="84" t="s">
        <v>17984</v>
      </c>
      <c r="AC543" s="53" t="str">
        <f t="shared" si="314"/>
        <v>Link</v>
      </c>
      <c r="AD543" s="42">
        <v>10081</v>
      </c>
      <c r="AE543" s="55"/>
      <c r="AF543" s="55"/>
      <c r="AG543" s="56">
        <v>149727</v>
      </c>
      <c r="AH543" s="56"/>
      <c r="AI543" s="56"/>
    </row>
    <row r="544" spans="1:37" ht="15" x14ac:dyDescent="0.2">
      <c r="A544" s="88" t="s">
        <v>2602</v>
      </c>
      <c r="B544" s="33" t="s">
        <v>12632</v>
      </c>
      <c r="C544" s="7" t="s">
        <v>18007</v>
      </c>
      <c r="D544" s="112">
        <v>5</v>
      </c>
      <c r="E544" s="7"/>
      <c r="F544" s="112"/>
      <c r="G544" s="2" t="s">
        <v>18008</v>
      </c>
      <c r="H544" s="2" t="s">
        <v>930</v>
      </c>
      <c r="I544" s="2" t="s">
        <v>18009</v>
      </c>
      <c r="J544" s="2" t="s">
        <v>48</v>
      </c>
      <c r="K544" s="2" t="s">
        <v>18011</v>
      </c>
      <c r="L544" s="2"/>
      <c r="M544" s="45" t="str">
        <f>HYPERLINK("twitter.com/ancillasoftball","@ancillasoftball")</f>
        <v>@ancillasoftball</v>
      </c>
      <c r="N544" s="45" t="str">
        <f>HYPERLINK("http://www.ancillachargers.com/recruiting.php","Questionnaire")</f>
        <v>Questionnaire</v>
      </c>
      <c r="O544" s="60" t="s">
        <v>18012</v>
      </c>
      <c r="P544" s="60" t="s">
        <v>1151</v>
      </c>
      <c r="Q544" s="48" t="s">
        <v>14825</v>
      </c>
      <c r="R544" s="60" t="s">
        <v>205</v>
      </c>
      <c r="S544" s="49" t="s">
        <v>63</v>
      </c>
      <c r="T544" s="48" t="s">
        <v>343</v>
      </c>
      <c r="U544" s="49"/>
      <c r="V544" s="7" t="s">
        <v>214</v>
      </c>
      <c r="W544" s="49" t="s">
        <v>214</v>
      </c>
      <c r="X544" s="49" t="s">
        <v>214</v>
      </c>
      <c r="Y544" s="49" t="s">
        <v>214</v>
      </c>
      <c r="Z544" s="55" t="s">
        <v>214</v>
      </c>
      <c r="AA544" s="39">
        <v>26710</v>
      </c>
      <c r="AB544" s="90" t="s">
        <v>18012</v>
      </c>
      <c r="AC544" s="53" t="str">
        <f>HYPERLINK("https://www.ancilla.edu/academics/majors-minors/","Link")</f>
        <v>Link</v>
      </c>
      <c r="AD544" s="42">
        <v>582</v>
      </c>
      <c r="AE544" s="55"/>
      <c r="AF544" s="55"/>
      <c r="AG544" s="56">
        <v>150048</v>
      </c>
      <c r="AH544" s="56"/>
      <c r="AI544" s="56"/>
    </row>
    <row r="545" spans="1:35" ht="15" x14ac:dyDescent="0.2">
      <c r="A545" s="64" t="s">
        <v>2926</v>
      </c>
      <c r="B545" s="33" t="s">
        <v>12632</v>
      </c>
      <c r="C545" s="7" t="s">
        <v>18013</v>
      </c>
      <c r="D545" s="112">
        <v>5</v>
      </c>
      <c r="E545" s="7"/>
      <c r="F545" s="112"/>
      <c r="G545" s="2" t="s">
        <v>18014</v>
      </c>
      <c r="H545" s="2" t="s">
        <v>481</v>
      </c>
      <c r="I545" s="2" t="s">
        <v>18016</v>
      </c>
      <c r="J545" s="2" t="s">
        <v>48</v>
      </c>
      <c r="K545" s="7" t="s">
        <v>18017</v>
      </c>
      <c r="L545" s="2" t="s">
        <v>18018</v>
      </c>
      <c r="M545" s="45" t="str">
        <f t="shared" ref="M545:M548" si="315">HYPERLINK("twitter.com/dmaccsoftball","@dmaccsoftball")</f>
        <v>@dmaccsoftball</v>
      </c>
      <c r="N545" s="45" t="str">
        <f t="shared" ref="N545:N548" si="316">HYPERLINK("http://www.dmaccbears.com/information/SB_Recruit","Questionnaire")</f>
        <v>Questionnaire</v>
      </c>
      <c r="O545" s="48" t="s">
        <v>18020</v>
      </c>
      <c r="P545" s="60" t="s">
        <v>2663</v>
      </c>
      <c r="Q545" s="48" t="s">
        <v>9045</v>
      </c>
      <c r="R545" s="48" t="s">
        <v>62</v>
      </c>
      <c r="S545" s="49" t="s">
        <v>74</v>
      </c>
      <c r="T545" s="48" t="s">
        <v>75</v>
      </c>
      <c r="U545" s="49" t="s">
        <v>3678</v>
      </c>
      <c r="V545" s="7" t="s">
        <v>214</v>
      </c>
      <c r="W545" s="49" t="s">
        <v>214</v>
      </c>
      <c r="X545" s="49" t="s">
        <v>214</v>
      </c>
      <c r="Y545" s="49" t="s">
        <v>214</v>
      </c>
      <c r="Z545" s="55" t="s">
        <v>214</v>
      </c>
      <c r="AA545" s="48" t="s">
        <v>18026</v>
      </c>
      <c r="AB545" s="84" t="s">
        <v>18020</v>
      </c>
      <c r="AC545" s="53" t="str">
        <f t="shared" ref="AC545:AC548" si="317">HYPERLINK("https://www.dmacc.edu/programs/Pages/welcome.aspx","Link")</f>
        <v>Link</v>
      </c>
      <c r="AD545" s="42">
        <v>22446</v>
      </c>
      <c r="AE545" s="55"/>
      <c r="AF545" s="55"/>
      <c r="AG545" s="56">
        <v>153214</v>
      </c>
      <c r="AH545" s="56"/>
      <c r="AI545" s="56"/>
    </row>
    <row r="546" spans="1:35" ht="15" x14ac:dyDescent="0.2">
      <c r="A546" s="64" t="s">
        <v>2926</v>
      </c>
      <c r="B546" s="33" t="s">
        <v>12632</v>
      </c>
      <c r="C546" s="7" t="s">
        <v>18027</v>
      </c>
      <c r="D546" s="112">
        <v>5</v>
      </c>
      <c r="E546" s="7"/>
      <c r="F546" s="112"/>
      <c r="G546" s="2" t="s">
        <v>18014</v>
      </c>
      <c r="H546" s="2" t="s">
        <v>18028</v>
      </c>
      <c r="I546" s="2" t="s">
        <v>18029</v>
      </c>
      <c r="J546" s="2" t="s">
        <v>55</v>
      </c>
      <c r="K546" s="7" t="s">
        <v>18030</v>
      </c>
      <c r="L546" s="2" t="s">
        <v>18031</v>
      </c>
      <c r="M546" s="45" t="str">
        <f t="shared" si="315"/>
        <v>@dmaccsoftball</v>
      </c>
      <c r="N546" s="45" t="str">
        <f t="shared" si="316"/>
        <v>Questionnaire</v>
      </c>
      <c r="O546" s="48" t="s">
        <v>18020</v>
      </c>
      <c r="P546" s="60" t="s">
        <v>2663</v>
      </c>
      <c r="Q546" s="48" t="s">
        <v>9045</v>
      </c>
      <c r="R546" s="48" t="s">
        <v>62</v>
      </c>
      <c r="S546" s="49" t="s">
        <v>74</v>
      </c>
      <c r="T546" s="48" t="s">
        <v>75</v>
      </c>
      <c r="U546" s="49" t="s">
        <v>3678</v>
      </c>
      <c r="V546" s="7" t="s">
        <v>214</v>
      </c>
      <c r="W546" s="49" t="s">
        <v>214</v>
      </c>
      <c r="X546" s="49" t="s">
        <v>214</v>
      </c>
      <c r="Y546" s="49" t="s">
        <v>214</v>
      </c>
      <c r="Z546" s="55" t="s">
        <v>214</v>
      </c>
      <c r="AA546" s="48" t="s">
        <v>18026</v>
      </c>
      <c r="AB546" s="84" t="s">
        <v>18020</v>
      </c>
      <c r="AC546" s="53" t="str">
        <f t="shared" si="317"/>
        <v>Link</v>
      </c>
      <c r="AD546" s="42">
        <v>22446</v>
      </c>
      <c r="AE546" s="55"/>
      <c r="AF546" s="55"/>
      <c r="AG546" s="56">
        <v>153214</v>
      </c>
      <c r="AH546" s="56"/>
      <c r="AI546" s="56"/>
    </row>
    <row r="547" spans="1:35" ht="15" x14ac:dyDescent="0.2">
      <c r="A547" s="64" t="s">
        <v>2926</v>
      </c>
      <c r="B547" s="33" t="s">
        <v>12632</v>
      </c>
      <c r="C547" s="7" t="s">
        <v>18033</v>
      </c>
      <c r="D547" s="112">
        <v>5</v>
      </c>
      <c r="E547" s="7"/>
      <c r="F547" s="112"/>
      <c r="G547" s="2" t="s">
        <v>18014</v>
      </c>
      <c r="H547" s="2" t="s">
        <v>658</v>
      </c>
      <c r="I547" s="2" t="s">
        <v>1117</v>
      </c>
      <c r="J547" s="2" t="s">
        <v>55</v>
      </c>
      <c r="K547" s="2"/>
      <c r="L547" s="2"/>
      <c r="M547" s="45" t="str">
        <f t="shared" si="315"/>
        <v>@dmaccsoftball</v>
      </c>
      <c r="N547" s="45" t="str">
        <f t="shared" si="316"/>
        <v>Questionnaire</v>
      </c>
      <c r="O547" s="48" t="s">
        <v>18020</v>
      </c>
      <c r="P547" s="60" t="s">
        <v>2663</v>
      </c>
      <c r="Q547" s="48" t="s">
        <v>9045</v>
      </c>
      <c r="R547" s="48" t="s">
        <v>62</v>
      </c>
      <c r="S547" s="49" t="s">
        <v>74</v>
      </c>
      <c r="T547" s="48" t="s">
        <v>75</v>
      </c>
      <c r="U547" s="49" t="s">
        <v>3678</v>
      </c>
      <c r="V547" s="7" t="s">
        <v>214</v>
      </c>
      <c r="W547" s="49" t="s">
        <v>214</v>
      </c>
      <c r="X547" s="49" t="s">
        <v>214</v>
      </c>
      <c r="Y547" s="49" t="s">
        <v>214</v>
      </c>
      <c r="Z547" s="55" t="s">
        <v>214</v>
      </c>
      <c r="AA547" s="48" t="s">
        <v>18026</v>
      </c>
      <c r="AB547" s="84" t="s">
        <v>18020</v>
      </c>
      <c r="AC547" s="53" t="str">
        <f t="shared" si="317"/>
        <v>Link</v>
      </c>
      <c r="AD547" s="42">
        <v>22446</v>
      </c>
      <c r="AE547" s="55"/>
      <c r="AF547" s="55"/>
      <c r="AG547" s="56">
        <v>153214</v>
      </c>
      <c r="AH547" s="56"/>
      <c r="AI547" s="56"/>
    </row>
    <row r="548" spans="1:35" ht="15" x14ac:dyDescent="0.2">
      <c r="A548" s="64" t="s">
        <v>2926</v>
      </c>
      <c r="B548" s="33" t="s">
        <v>12632</v>
      </c>
      <c r="C548" s="7" t="s">
        <v>18039</v>
      </c>
      <c r="D548" s="112">
        <v>5</v>
      </c>
      <c r="E548" s="7"/>
      <c r="F548" s="112"/>
      <c r="G548" s="2" t="s">
        <v>18014</v>
      </c>
      <c r="H548" s="2" t="s">
        <v>1056</v>
      </c>
      <c r="I548" s="2" t="s">
        <v>18040</v>
      </c>
      <c r="J548" s="2" t="s">
        <v>55</v>
      </c>
      <c r="K548" s="2" t="s">
        <v>18041</v>
      </c>
      <c r="L548" s="2" t="s">
        <v>18042</v>
      </c>
      <c r="M548" s="45" t="str">
        <f t="shared" si="315"/>
        <v>@dmaccsoftball</v>
      </c>
      <c r="N548" s="45" t="str">
        <f t="shared" si="316"/>
        <v>Questionnaire</v>
      </c>
      <c r="O548" s="48" t="s">
        <v>18020</v>
      </c>
      <c r="P548" s="60" t="s">
        <v>2663</v>
      </c>
      <c r="Q548" s="48" t="s">
        <v>9045</v>
      </c>
      <c r="R548" s="48" t="s">
        <v>62</v>
      </c>
      <c r="S548" s="49" t="s">
        <v>74</v>
      </c>
      <c r="T548" s="48" t="s">
        <v>75</v>
      </c>
      <c r="U548" s="49" t="s">
        <v>3678</v>
      </c>
      <c r="V548" s="7" t="s">
        <v>214</v>
      </c>
      <c r="W548" s="49" t="s">
        <v>214</v>
      </c>
      <c r="X548" s="49" t="s">
        <v>214</v>
      </c>
      <c r="Y548" s="49" t="s">
        <v>214</v>
      </c>
      <c r="Z548" s="55" t="s">
        <v>214</v>
      </c>
      <c r="AA548" s="48" t="s">
        <v>18026</v>
      </c>
      <c r="AB548" s="84" t="s">
        <v>18020</v>
      </c>
      <c r="AC548" s="53" t="str">
        <f t="shared" si="317"/>
        <v>Link</v>
      </c>
      <c r="AD548" s="42">
        <v>22446</v>
      </c>
      <c r="AE548" s="55"/>
      <c r="AF548" s="55"/>
      <c r="AG548" s="56">
        <v>153214</v>
      </c>
      <c r="AH548" s="56"/>
      <c r="AI548" s="56"/>
    </row>
    <row r="549" spans="1:35" ht="15" x14ac:dyDescent="0.2">
      <c r="A549" s="64" t="s">
        <v>2926</v>
      </c>
      <c r="B549" s="33" t="s">
        <v>12632</v>
      </c>
      <c r="C549" s="7" t="s">
        <v>18044</v>
      </c>
      <c r="D549" s="112">
        <v>5</v>
      </c>
      <c r="E549" s="7"/>
      <c r="F549" s="112"/>
      <c r="G549" s="2" t="s">
        <v>18045</v>
      </c>
      <c r="H549" s="2" t="s">
        <v>8906</v>
      </c>
      <c r="I549" s="2" t="s">
        <v>18046</v>
      </c>
      <c r="J549" s="2" t="s">
        <v>48</v>
      </c>
      <c r="K549" s="2" t="s">
        <v>18047</v>
      </c>
      <c r="L549" s="2" t="s">
        <v>18048</v>
      </c>
      <c r="M549" s="48"/>
      <c r="N549" s="45" t="str">
        <f t="shared" ref="N549:N551" si="318">HYPERLINK("https://www.eccathletics.com/recruits/index","Questionnaire")</f>
        <v>Questionnaire</v>
      </c>
      <c r="O549" s="48" t="s">
        <v>18049</v>
      </c>
      <c r="P549" s="60" t="s">
        <v>2663</v>
      </c>
      <c r="Q549" s="48" t="s">
        <v>18051</v>
      </c>
      <c r="R549" s="60" t="s">
        <v>205</v>
      </c>
      <c r="S549" s="49" t="s">
        <v>74</v>
      </c>
      <c r="T549" s="48" t="s">
        <v>75</v>
      </c>
      <c r="U549" s="49" t="s">
        <v>3678</v>
      </c>
      <c r="V549" s="7" t="s">
        <v>214</v>
      </c>
      <c r="W549" s="49" t="s">
        <v>214</v>
      </c>
      <c r="X549" s="49" t="s">
        <v>214</v>
      </c>
      <c r="Y549" s="49" t="s">
        <v>214</v>
      </c>
      <c r="Z549" s="55" t="s">
        <v>214</v>
      </c>
      <c r="AA549" s="48" t="s">
        <v>18053</v>
      </c>
      <c r="AB549" s="84" t="s">
        <v>18049</v>
      </c>
      <c r="AC549" s="53" t="str">
        <f t="shared" ref="AC549:AC551" si="319">HYPERLINK("https://ecc.iavalley.edu/academics/degree-programs/","Link")</f>
        <v>Link</v>
      </c>
      <c r="AD549" s="42">
        <v>846</v>
      </c>
      <c r="AE549" s="55"/>
      <c r="AF549" s="55"/>
      <c r="AG549" s="56">
        <v>153296</v>
      </c>
      <c r="AH549" s="56"/>
      <c r="AI549" s="56"/>
    </row>
    <row r="550" spans="1:35" ht="15" x14ac:dyDescent="0.2">
      <c r="A550" s="64" t="s">
        <v>2926</v>
      </c>
      <c r="B550" s="33" t="s">
        <v>12632</v>
      </c>
      <c r="C550" s="7" t="s">
        <v>18055</v>
      </c>
      <c r="D550" s="112">
        <v>5</v>
      </c>
      <c r="E550" s="7"/>
      <c r="F550" s="112"/>
      <c r="G550" s="2" t="s">
        <v>18045</v>
      </c>
      <c r="H550" s="2" t="s">
        <v>11255</v>
      </c>
      <c r="I550" s="2" t="s">
        <v>18057</v>
      </c>
      <c r="J550" s="2" t="s">
        <v>55</v>
      </c>
      <c r="K550" s="6" t="s">
        <v>18058</v>
      </c>
      <c r="L550" s="2" t="s">
        <v>18059</v>
      </c>
      <c r="M550" s="7"/>
      <c r="N550" s="45" t="str">
        <f t="shared" si="318"/>
        <v>Questionnaire</v>
      </c>
      <c r="O550" s="48" t="s">
        <v>18049</v>
      </c>
      <c r="P550" s="60" t="s">
        <v>2663</v>
      </c>
      <c r="Q550" s="48" t="s">
        <v>18051</v>
      </c>
      <c r="R550" s="60" t="s">
        <v>205</v>
      </c>
      <c r="S550" s="49" t="s">
        <v>74</v>
      </c>
      <c r="T550" s="48" t="s">
        <v>75</v>
      </c>
      <c r="U550" s="49" t="s">
        <v>3678</v>
      </c>
      <c r="V550" s="7" t="s">
        <v>214</v>
      </c>
      <c r="W550" s="49" t="s">
        <v>214</v>
      </c>
      <c r="X550" s="49" t="s">
        <v>214</v>
      </c>
      <c r="Y550" s="49" t="s">
        <v>214</v>
      </c>
      <c r="Z550" s="55" t="s">
        <v>214</v>
      </c>
      <c r="AA550" s="48" t="s">
        <v>18053</v>
      </c>
      <c r="AB550" s="84" t="s">
        <v>18049</v>
      </c>
      <c r="AC550" s="53" t="str">
        <f t="shared" si="319"/>
        <v>Link</v>
      </c>
      <c r="AD550" s="42">
        <v>846</v>
      </c>
      <c r="AE550" s="55"/>
      <c r="AF550" s="55"/>
      <c r="AG550" s="56">
        <v>153296</v>
      </c>
      <c r="AH550" s="56"/>
      <c r="AI550" s="56"/>
    </row>
    <row r="551" spans="1:35" ht="15" x14ac:dyDescent="0.2">
      <c r="A551" s="64" t="s">
        <v>2926</v>
      </c>
      <c r="B551" s="33" t="s">
        <v>12632</v>
      </c>
      <c r="C551" s="7" t="s">
        <v>18060</v>
      </c>
      <c r="D551" s="112">
        <v>5</v>
      </c>
      <c r="E551" s="7"/>
      <c r="F551" s="112"/>
      <c r="G551" s="2" t="s">
        <v>18045</v>
      </c>
      <c r="H551" s="2" t="s">
        <v>306</v>
      </c>
      <c r="I551" s="2" t="s">
        <v>18061</v>
      </c>
      <c r="J551" s="2" t="s">
        <v>919</v>
      </c>
      <c r="K551" s="2"/>
      <c r="L551" s="2"/>
      <c r="M551" s="48"/>
      <c r="N551" s="45" t="str">
        <f t="shared" si="318"/>
        <v>Questionnaire</v>
      </c>
      <c r="O551" s="48" t="s">
        <v>18049</v>
      </c>
      <c r="P551" s="60" t="s">
        <v>2663</v>
      </c>
      <c r="Q551" s="48" t="s">
        <v>18051</v>
      </c>
      <c r="R551" s="60" t="s">
        <v>205</v>
      </c>
      <c r="S551" s="49" t="s">
        <v>74</v>
      </c>
      <c r="T551" s="48" t="s">
        <v>75</v>
      </c>
      <c r="U551" s="49" t="s">
        <v>3678</v>
      </c>
      <c r="V551" s="7" t="s">
        <v>214</v>
      </c>
      <c r="W551" s="49" t="s">
        <v>214</v>
      </c>
      <c r="X551" s="49" t="s">
        <v>214</v>
      </c>
      <c r="Y551" s="49" t="s">
        <v>214</v>
      </c>
      <c r="Z551" s="55" t="s">
        <v>214</v>
      </c>
      <c r="AA551" s="48" t="s">
        <v>18053</v>
      </c>
      <c r="AB551" s="84" t="s">
        <v>18049</v>
      </c>
      <c r="AC551" s="53" t="str">
        <f t="shared" si="319"/>
        <v>Link</v>
      </c>
      <c r="AD551" s="42">
        <v>846</v>
      </c>
      <c r="AE551" s="55"/>
      <c r="AF551" s="55"/>
      <c r="AG551" s="56">
        <v>153296</v>
      </c>
      <c r="AH551" s="56"/>
      <c r="AI551" s="56"/>
    </row>
    <row r="552" spans="1:35" ht="15" x14ac:dyDescent="0.2">
      <c r="A552" s="64" t="s">
        <v>2926</v>
      </c>
      <c r="B552" s="33" t="s">
        <v>12632</v>
      </c>
      <c r="C552" s="7" t="s">
        <v>18063</v>
      </c>
      <c r="D552" s="44">
        <v>5</v>
      </c>
      <c r="E552" s="7" t="s">
        <v>116</v>
      </c>
      <c r="F552" s="7"/>
      <c r="G552" s="2" t="s">
        <v>18064</v>
      </c>
      <c r="H552" s="7" t="s">
        <v>1080</v>
      </c>
      <c r="I552" s="7" t="s">
        <v>2428</v>
      </c>
      <c r="J552" s="7" t="s">
        <v>55</v>
      </c>
      <c r="K552" s="7" t="s">
        <v>18065</v>
      </c>
      <c r="L552" s="7" t="s">
        <v>18066</v>
      </c>
      <c r="M552" s="45" t="str">
        <f t="shared" ref="M552:M554" si="320">HYPERLINK("twitter.com/warriorsoftball","@warriorsoftball")</f>
        <v>@warriorsoftball</v>
      </c>
      <c r="N552" s="45" t="str">
        <f t="shared" ref="N552:N554" si="321">HYPERLINK("https://indianhills.prestosports.com/recruit_me","Questionnaire")</f>
        <v>Questionnaire</v>
      </c>
      <c r="O552" s="48" t="s">
        <v>18067</v>
      </c>
      <c r="P552" s="60" t="s">
        <v>2663</v>
      </c>
      <c r="Q552" s="48" t="s">
        <v>18068</v>
      </c>
      <c r="R552" s="48" t="s">
        <v>172</v>
      </c>
      <c r="S552" s="49" t="s">
        <v>74</v>
      </c>
      <c r="T552" s="48" t="s">
        <v>75</v>
      </c>
      <c r="U552" s="49" t="s">
        <v>3678</v>
      </c>
      <c r="V552" s="7" t="s">
        <v>214</v>
      </c>
      <c r="W552" s="49" t="s">
        <v>214</v>
      </c>
      <c r="X552" s="49" t="s">
        <v>214</v>
      </c>
      <c r="Y552" s="49" t="s">
        <v>214</v>
      </c>
      <c r="Z552" s="55" t="s">
        <v>214</v>
      </c>
      <c r="AA552" s="48" t="s">
        <v>18069</v>
      </c>
      <c r="AB552" s="84" t="s">
        <v>18067</v>
      </c>
      <c r="AC552" s="53" t="str">
        <f t="shared" ref="AC552:AC554" si="322">HYPERLINK("http://www.indianhills.edu/academics/index.php","Link")</f>
        <v>Link</v>
      </c>
      <c r="AD552" s="42">
        <v>4366</v>
      </c>
      <c r="AE552" s="55"/>
      <c r="AF552" s="55"/>
      <c r="AG552" s="56">
        <v>153472</v>
      </c>
      <c r="AH552" s="56"/>
      <c r="AI552" s="56"/>
    </row>
    <row r="553" spans="1:35" ht="15" x14ac:dyDescent="0.2">
      <c r="A553" s="64" t="s">
        <v>2926</v>
      </c>
      <c r="B553" s="33" t="s">
        <v>12632</v>
      </c>
      <c r="C553" s="7" t="s">
        <v>18070</v>
      </c>
      <c r="D553" s="112">
        <v>5</v>
      </c>
      <c r="E553" s="7"/>
      <c r="F553" s="112"/>
      <c r="G553" s="2" t="s">
        <v>18064</v>
      </c>
      <c r="H553" s="2" t="s">
        <v>294</v>
      </c>
      <c r="I553" s="2" t="s">
        <v>12860</v>
      </c>
      <c r="J553" s="2" t="s">
        <v>48</v>
      </c>
      <c r="K553" s="2" t="s">
        <v>18071</v>
      </c>
      <c r="L553" s="2" t="s">
        <v>18072</v>
      </c>
      <c r="M553" s="45" t="str">
        <f t="shared" si="320"/>
        <v>@warriorsoftball</v>
      </c>
      <c r="N553" s="45" t="str">
        <f t="shared" si="321"/>
        <v>Questionnaire</v>
      </c>
      <c r="O553" s="48" t="s">
        <v>18067</v>
      </c>
      <c r="P553" s="60" t="s">
        <v>2663</v>
      </c>
      <c r="Q553" s="48" t="s">
        <v>18068</v>
      </c>
      <c r="R553" s="48" t="s">
        <v>172</v>
      </c>
      <c r="S553" s="49" t="s">
        <v>74</v>
      </c>
      <c r="T553" s="48" t="s">
        <v>75</v>
      </c>
      <c r="U553" s="49" t="s">
        <v>3678</v>
      </c>
      <c r="V553" s="7" t="s">
        <v>214</v>
      </c>
      <c r="W553" s="49" t="s">
        <v>214</v>
      </c>
      <c r="X553" s="49" t="s">
        <v>214</v>
      </c>
      <c r="Y553" s="49" t="s">
        <v>214</v>
      </c>
      <c r="Z553" s="55" t="s">
        <v>214</v>
      </c>
      <c r="AA553" s="48" t="s">
        <v>18069</v>
      </c>
      <c r="AB553" s="84" t="s">
        <v>18067</v>
      </c>
      <c r="AC553" s="53" t="str">
        <f t="shared" si="322"/>
        <v>Link</v>
      </c>
      <c r="AD553" s="42">
        <v>4366</v>
      </c>
      <c r="AE553" s="55"/>
      <c r="AF553" s="55"/>
      <c r="AG553" s="56">
        <v>153472</v>
      </c>
      <c r="AH553" s="56"/>
      <c r="AI553" s="56"/>
    </row>
    <row r="554" spans="1:35" ht="15" x14ac:dyDescent="0.2">
      <c r="A554" s="64" t="s">
        <v>2926</v>
      </c>
      <c r="B554" s="33" t="s">
        <v>12632</v>
      </c>
      <c r="C554" s="7" t="s">
        <v>18075</v>
      </c>
      <c r="D554" s="112">
        <v>5</v>
      </c>
      <c r="E554" s="7"/>
      <c r="F554" s="112"/>
      <c r="G554" s="2" t="s">
        <v>18064</v>
      </c>
      <c r="H554" s="2" t="s">
        <v>2122</v>
      </c>
      <c r="I554" s="2" t="s">
        <v>18076</v>
      </c>
      <c r="J554" s="2" t="s">
        <v>55</v>
      </c>
      <c r="K554" s="2" t="s">
        <v>18077</v>
      </c>
      <c r="L554" s="2" t="s">
        <v>18078</v>
      </c>
      <c r="M554" s="45" t="str">
        <f t="shared" si="320"/>
        <v>@warriorsoftball</v>
      </c>
      <c r="N554" s="45" t="str">
        <f t="shared" si="321"/>
        <v>Questionnaire</v>
      </c>
      <c r="O554" s="48" t="s">
        <v>18067</v>
      </c>
      <c r="P554" s="60" t="s">
        <v>2663</v>
      </c>
      <c r="Q554" s="48" t="s">
        <v>18068</v>
      </c>
      <c r="R554" s="48" t="s">
        <v>172</v>
      </c>
      <c r="S554" s="49" t="s">
        <v>74</v>
      </c>
      <c r="T554" s="48" t="s">
        <v>75</v>
      </c>
      <c r="U554" s="49" t="s">
        <v>3678</v>
      </c>
      <c r="V554" s="7" t="s">
        <v>214</v>
      </c>
      <c r="W554" s="49" t="s">
        <v>214</v>
      </c>
      <c r="X554" s="49" t="s">
        <v>214</v>
      </c>
      <c r="Y554" s="49" t="s">
        <v>214</v>
      </c>
      <c r="Z554" s="55" t="s">
        <v>214</v>
      </c>
      <c r="AA554" s="48" t="s">
        <v>18069</v>
      </c>
      <c r="AB554" s="84" t="s">
        <v>18067</v>
      </c>
      <c r="AC554" s="53" t="str">
        <f t="shared" si="322"/>
        <v>Link</v>
      </c>
      <c r="AD554" s="42">
        <v>4366</v>
      </c>
      <c r="AE554" s="55"/>
      <c r="AF554" s="55"/>
      <c r="AG554" s="56">
        <v>153472</v>
      </c>
      <c r="AH554" s="56"/>
      <c r="AI554" s="56"/>
    </row>
    <row r="555" spans="1:35" ht="15" x14ac:dyDescent="0.2">
      <c r="A555" s="64" t="s">
        <v>2926</v>
      </c>
      <c r="B555" s="33" t="s">
        <v>12632</v>
      </c>
      <c r="C555" s="7" t="s">
        <v>18083</v>
      </c>
      <c r="D555" s="112">
        <v>5</v>
      </c>
      <c r="E555" s="7"/>
      <c r="F555" s="112"/>
      <c r="G555" s="2" t="s">
        <v>18084</v>
      </c>
      <c r="H555" s="2" t="s">
        <v>3899</v>
      </c>
      <c r="I555" s="2" t="s">
        <v>18085</v>
      </c>
      <c r="J555" s="2" t="s">
        <v>48</v>
      </c>
      <c r="K555" s="2" t="s">
        <v>18086</v>
      </c>
      <c r="L555" s="2" t="s">
        <v>18087</v>
      </c>
      <c r="M555" s="45" t="str">
        <f t="shared" ref="M555:M558" si="323">HYPERLINK("twitter.com/@icccsoftball","@icccsoftball")</f>
        <v>@icccsoftball</v>
      </c>
      <c r="N555" s="48" t="s">
        <v>22</v>
      </c>
      <c r="O555" s="48" t="s">
        <v>18090</v>
      </c>
      <c r="P555" s="60" t="s">
        <v>2663</v>
      </c>
      <c r="Q555" s="48" t="s">
        <v>18091</v>
      </c>
      <c r="R555" s="48" t="s">
        <v>172</v>
      </c>
      <c r="S555" s="49" t="s">
        <v>74</v>
      </c>
      <c r="T555" s="48" t="s">
        <v>75</v>
      </c>
      <c r="U555" s="49" t="s">
        <v>3678</v>
      </c>
      <c r="V555" s="7" t="s">
        <v>214</v>
      </c>
      <c r="W555" s="49" t="s">
        <v>214</v>
      </c>
      <c r="X555" s="49" t="s">
        <v>214</v>
      </c>
      <c r="Y555" s="49" t="s">
        <v>214</v>
      </c>
      <c r="Z555" s="55" t="s">
        <v>214</v>
      </c>
      <c r="AA555" s="48" t="s">
        <v>18092</v>
      </c>
      <c r="AB555" s="84" t="s">
        <v>18090</v>
      </c>
      <c r="AC555" s="53" t="str">
        <f t="shared" ref="AC555:AC558" si="324">HYPERLINK("http://www.iowacentral.edu/students/degrees.asp","Link")</f>
        <v>Link</v>
      </c>
      <c r="AD555" s="42">
        <v>5712</v>
      </c>
      <c r="AE555" s="55"/>
      <c r="AF555" s="55"/>
      <c r="AG555" s="56">
        <v>153524</v>
      </c>
      <c r="AH555" s="56"/>
      <c r="AI555" s="56"/>
    </row>
    <row r="556" spans="1:35" ht="15" x14ac:dyDescent="0.2">
      <c r="A556" s="64" t="s">
        <v>2926</v>
      </c>
      <c r="B556" s="33" t="s">
        <v>12632</v>
      </c>
      <c r="C556" s="7" t="s">
        <v>18096</v>
      </c>
      <c r="D556" s="112">
        <v>5</v>
      </c>
      <c r="E556" s="7"/>
      <c r="F556" s="112"/>
      <c r="G556" s="2" t="s">
        <v>18084</v>
      </c>
      <c r="H556" s="2" t="s">
        <v>18097</v>
      </c>
      <c r="I556" s="2" t="s">
        <v>18098</v>
      </c>
      <c r="J556" s="2" t="s">
        <v>55</v>
      </c>
      <c r="K556" s="7" t="s">
        <v>18100</v>
      </c>
      <c r="L556" s="2" t="s">
        <v>18101</v>
      </c>
      <c r="M556" s="45" t="str">
        <f t="shared" si="323"/>
        <v>@icccsoftball</v>
      </c>
      <c r="N556" s="48" t="s">
        <v>22</v>
      </c>
      <c r="O556" s="48" t="s">
        <v>18090</v>
      </c>
      <c r="P556" s="60" t="s">
        <v>2663</v>
      </c>
      <c r="Q556" s="48" t="s">
        <v>18091</v>
      </c>
      <c r="R556" s="48" t="s">
        <v>172</v>
      </c>
      <c r="S556" s="49" t="s">
        <v>74</v>
      </c>
      <c r="T556" s="48" t="s">
        <v>75</v>
      </c>
      <c r="U556" s="49" t="s">
        <v>3678</v>
      </c>
      <c r="V556" s="7" t="s">
        <v>214</v>
      </c>
      <c r="W556" s="49" t="s">
        <v>214</v>
      </c>
      <c r="X556" s="49" t="s">
        <v>214</v>
      </c>
      <c r="Y556" s="49" t="s">
        <v>214</v>
      </c>
      <c r="Z556" s="55" t="s">
        <v>214</v>
      </c>
      <c r="AA556" s="48" t="s">
        <v>18092</v>
      </c>
      <c r="AB556" s="84" t="s">
        <v>18090</v>
      </c>
      <c r="AC556" s="53" t="str">
        <f t="shared" si="324"/>
        <v>Link</v>
      </c>
      <c r="AD556" s="42">
        <v>5712</v>
      </c>
      <c r="AE556" s="55"/>
      <c r="AF556" s="55"/>
      <c r="AG556" s="56">
        <v>153524</v>
      </c>
      <c r="AH556" s="56"/>
      <c r="AI556" s="56"/>
    </row>
    <row r="557" spans="1:35" ht="15" x14ac:dyDescent="0.2">
      <c r="A557" s="64" t="s">
        <v>2926</v>
      </c>
      <c r="B557" s="33" t="s">
        <v>12632</v>
      </c>
      <c r="C557" s="7" t="s">
        <v>18104</v>
      </c>
      <c r="D557" s="112">
        <v>5</v>
      </c>
      <c r="E557" s="7"/>
      <c r="F557" s="112"/>
      <c r="G557" s="2" t="s">
        <v>18084</v>
      </c>
      <c r="H557" s="2" t="s">
        <v>9286</v>
      </c>
      <c r="I557" s="2" t="s">
        <v>18105</v>
      </c>
      <c r="J557" s="2" t="s">
        <v>55</v>
      </c>
      <c r="K557" s="2"/>
      <c r="L557" s="2"/>
      <c r="M557" s="45" t="str">
        <f t="shared" si="323"/>
        <v>@icccsoftball</v>
      </c>
      <c r="N557" s="48" t="s">
        <v>22</v>
      </c>
      <c r="O557" s="48" t="s">
        <v>18090</v>
      </c>
      <c r="P557" s="60" t="s">
        <v>2663</v>
      </c>
      <c r="Q557" s="48" t="s">
        <v>18091</v>
      </c>
      <c r="R557" s="48" t="s">
        <v>172</v>
      </c>
      <c r="S557" s="49" t="s">
        <v>74</v>
      </c>
      <c r="T557" s="48" t="s">
        <v>75</v>
      </c>
      <c r="U557" s="49" t="s">
        <v>3678</v>
      </c>
      <c r="V557" s="7" t="s">
        <v>214</v>
      </c>
      <c r="W557" s="49" t="s">
        <v>214</v>
      </c>
      <c r="X557" s="49" t="s">
        <v>214</v>
      </c>
      <c r="Y557" s="49" t="s">
        <v>214</v>
      </c>
      <c r="Z557" s="55" t="s">
        <v>214</v>
      </c>
      <c r="AA557" s="48" t="s">
        <v>18092</v>
      </c>
      <c r="AB557" s="84" t="s">
        <v>18090</v>
      </c>
      <c r="AC557" s="53" t="str">
        <f t="shared" si="324"/>
        <v>Link</v>
      </c>
      <c r="AD557" s="42">
        <v>5712</v>
      </c>
      <c r="AE557" s="55"/>
      <c r="AF557" s="55"/>
      <c r="AG557" s="56">
        <v>153524</v>
      </c>
      <c r="AH557" s="56"/>
      <c r="AI557" s="56"/>
    </row>
    <row r="558" spans="1:35" ht="15" x14ac:dyDescent="0.2">
      <c r="A558" s="64" t="s">
        <v>2926</v>
      </c>
      <c r="B558" s="33" t="s">
        <v>12632</v>
      </c>
      <c r="C558" s="7" t="s">
        <v>18109</v>
      </c>
      <c r="D558" s="112">
        <v>5</v>
      </c>
      <c r="E558" s="7"/>
      <c r="F558" s="112"/>
      <c r="G558" s="2" t="s">
        <v>18084</v>
      </c>
      <c r="H558" s="2" t="s">
        <v>4611</v>
      </c>
      <c r="I558" s="2" t="s">
        <v>18110</v>
      </c>
      <c r="J558" s="2" t="s">
        <v>55</v>
      </c>
      <c r="K558" s="2"/>
      <c r="L558" s="2"/>
      <c r="M558" s="45" t="str">
        <f t="shared" si="323"/>
        <v>@icccsoftball</v>
      </c>
      <c r="N558" s="48" t="s">
        <v>22</v>
      </c>
      <c r="O558" s="48" t="s">
        <v>18090</v>
      </c>
      <c r="P558" s="60" t="s">
        <v>2663</v>
      </c>
      <c r="Q558" s="48" t="s">
        <v>18091</v>
      </c>
      <c r="R558" s="48" t="s">
        <v>172</v>
      </c>
      <c r="S558" s="49" t="s">
        <v>74</v>
      </c>
      <c r="T558" s="48" t="s">
        <v>75</v>
      </c>
      <c r="U558" s="49" t="s">
        <v>3678</v>
      </c>
      <c r="V558" s="7" t="s">
        <v>214</v>
      </c>
      <c r="W558" s="49" t="s">
        <v>214</v>
      </c>
      <c r="X558" s="49" t="s">
        <v>214</v>
      </c>
      <c r="Y558" s="49" t="s">
        <v>214</v>
      </c>
      <c r="Z558" s="55" t="s">
        <v>214</v>
      </c>
      <c r="AA558" s="48" t="s">
        <v>18092</v>
      </c>
      <c r="AB558" s="84" t="s">
        <v>18090</v>
      </c>
      <c r="AC558" s="53" t="str">
        <f t="shared" si="324"/>
        <v>Link</v>
      </c>
      <c r="AD558" s="42">
        <v>5712</v>
      </c>
      <c r="AE558" s="55"/>
      <c r="AF558" s="55"/>
      <c r="AG558" s="56">
        <v>153524</v>
      </c>
      <c r="AH558" s="56"/>
      <c r="AI558" s="56"/>
    </row>
    <row r="559" spans="1:35" ht="15" x14ac:dyDescent="0.2">
      <c r="A559" s="64" t="s">
        <v>2926</v>
      </c>
      <c r="B559" s="33" t="s">
        <v>12632</v>
      </c>
      <c r="C559" s="7" t="s">
        <v>18116</v>
      </c>
      <c r="D559" s="112">
        <v>5</v>
      </c>
      <c r="E559" s="7"/>
      <c r="F559" s="112"/>
      <c r="G559" s="2" t="s">
        <v>18117</v>
      </c>
      <c r="H559" s="2" t="s">
        <v>234</v>
      </c>
      <c r="I559" s="2" t="s">
        <v>6023</v>
      </c>
      <c r="J559" s="2" t="s">
        <v>48</v>
      </c>
      <c r="K559" s="2" t="s">
        <v>18118</v>
      </c>
      <c r="L559" s="2" t="s">
        <v>18119</v>
      </c>
      <c r="M559" s="45" t="str">
        <f>HYPERLINK("twitter.com/ialakessb","@ialakessb")</f>
        <v>@ialakessb</v>
      </c>
      <c r="N559" s="45" t="str">
        <f>HYPERLINK("https://www.iowalakesathletics.com/recruit_questionnaire","Questionnaire")</f>
        <v>Questionnaire</v>
      </c>
      <c r="O559" s="48" t="s">
        <v>18121</v>
      </c>
      <c r="P559" s="60" t="s">
        <v>2663</v>
      </c>
      <c r="Q559" s="48" t="s">
        <v>18122</v>
      </c>
      <c r="R559" s="60" t="s">
        <v>205</v>
      </c>
      <c r="S559" s="49" t="s">
        <v>74</v>
      </c>
      <c r="T559" s="48" t="s">
        <v>75</v>
      </c>
      <c r="U559" s="49" t="s">
        <v>3678</v>
      </c>
      <c r="V559" s="7" t="s">
        <v>214</v>
      </c>
      <c r="W559" s="49" t="s">
        <v>214</v>
      </c>
      <c r="X559" s="49" t="s">
        <v>214</v>
      </c>
      <c r="Y559" s="49" t="s">
        <v>214</v>
      </c>
      <c r="Z559" s="55" t="s">
        <v>214</v>
      </c>
      <c r="AA559" s="48" t="s">
        <v>18123</v>
      </c>
      <c r="AB559" s="84" t="s">
        <v>18121</v>
      </c>
      <c r="AC559" s="53" t="str">
        <f>HYPERLINK("https://www.iowalakes.edu/academic-programs/","Link")</f>
        <v>Link</v>
      </c>
      <c r="AD559" s="42">
        <v>2122</v>
      </c>
      <c r="AE559" s="55"/>
      <c r="AF559" s="55"/>
      <c r="AG559" s="56">
        <v>153533</v>
      </c>
      <c r="AH559" s="56"/>
      <c r="AI559" s="56"/>
    </row>
    <row r="560" spans="1:35" ht="15" x14ac:dyDescent="0.2">
      <c r="A560" s="64" t="s">
        <v>2926</v>
      </c>
      <c r="B560" s="33" t="s">
        <v>12632</v>
      </c>
      <c r="C560" s="7" t="s">
        <v>18128</v>
      </c>
      <c r="D560" s="112">
        <v>5</v>
      </c>
      <c r="E560" s="7"/>
      <c r="F560" s="112"/>
      <c r="G560" s="2" t="s">
        <v>18129</v>
      </c>
      <c r="H560" s="2" t="s">
        <v>3197</v>
      </c>
      <c r="I560" s="2" t="s">
        <v>18130</v>
      </c>
      <c r="J560" s="2" t="s">
        <v>48</v>
      </c>
      <c r="K560" s="2" t="s">
        <v>18131</v>
      </c>
      <c r="L560" s="2" t="s">
        <v>18132</v>
      </c>
      <c r="M560" s="45" t="str">
        <f t="shared" ref="M560:M562" si="325">HYPERLINK("twitter.com/reiversoftball","@reiversoftball")</f>
        <v>@reiversoftball</v>
      </c>
      <c r="N560" s="45" t="str">
        <f t="shared" ref="N560:N562" si="326">HYPERLINK("http://www.goreivers.com/recruits/contact","Questionnaire")</f>
        <v>Questionnaire</v>
      </c>
      <c r="O560" s="48" t="s">
        <v>18134</v>
      </c>
      <c r="P560" s="60" t="s">
        <v>2663</v>
      </c>
      <c r="Q560" s="48" t="s">
        <v>18135</v>
      </c>
      <c r="R560" s="48" t="s">
        <v>186</v>
      </c>
      <c r="S560" s="49" t="s">
        <v>74</v>
      </c>
      <c r="T560" s="48" t="s">
        <v>75</v>
      </c>
      <c r="U560" s="49" t="s">
        <v>3678</v>
      </c>
      <c r="V560" s="7" t="s">
        <v>214</v>
      </c>
      <c r="W560" s="49" t="s">
        <v>214</v>
      </c>
      <c r="X560" s="49" t="s">
        <v>214</v>
      </c>
      <c r="Y560" s="49" t="s">
        <v>214</v>
      </c>
      <c r="Z560" s="55" t="s">
        <v>214</v>
      </c>
      <c r="AA560" s="48" t="s">
        <v>18136</v>
      </c>
      <c r="AB560" s="84" t="s">
        <v>18134</v>
      </c>
      <c r="AC560" s="53" t="str">
        <f t="shared" ref="AC560:AC562" si="327">HYPERLINK("http://www.iwcc.edu/academic_programs/","Link")</f>
        <v>Link</v>
      </c>
      <c r="AD560" s="42">
        <v>6081</v>
      </c>
      <c r="AE560" s="55"/>
      <c r="AF560" s="55"/>
      <c r="AG560" s="56">
        <v>153630</v>
      </c>
      <c r="AH560" s="56"/>
      <c r="AI560" s="56"/>
    </row>
    <row r="561" spans="1:37" ht="15" x14ac:dyDescent="0.2">
      <c r="A561" s="64" t="s">
        <v>2926</v>
      </c>
      <c r="B561" s="33" t="s">
        <v>12632</v>
      </c>
      <c r="C561" s="7" t="s">
        <v>18140</v>
      </c>
      <c r="D561" s="112">
        <v>5</v>
      </c>
      <c r="E561" s="7"/>
      <c r="F561" s="112"/>
      <c r="G561" s="2" t="s">
        <v>18129</v>
      </c>
      <c r="H561" s="2" t="s">
        <v>3865</v>
      </c>
      <c r="I561" s="2" t="s">
        <v>18142</v>
      </c>
      <c r="J561" s="2" t="s">
        <v>55</v>
      </c>
      <c r="K561" s="2" t="s">
        <v>18143</v>
      </c>
      <c r="L561" s="2" t="s">
        <v>18132</v>
      </c>
      <c r="M561" s="45" t="str">
        <f t="shared" si="325"/>
        <v>@reiversoftball</v>
      </c>
      <c r="N561" s="45" t="str">
        <f t="shared" si="326"/>
        <v>Questionnaire</v>
      </c>
      <c r="O561" s="48" t="s">
        <v>18134</v>
      </c>
      <c r="P561" s="60" t="s">
        <v>2663</v>
      </c>
      <c r="Q561" s="48" t="s">
        <v>18135</v>
      </c>
      <c r="R561" s="48" t="s">
        <v>186</v>
      </c>
      <c r="S561" s="49" t="s">
        <v>74</v>
      </c>
      <c r="T561" s="48" t="s">
        <v>75</v>
      </c>
      <c r="U561" s="49" t="s">
        <v>3678</v>
      </c>
      <c r="V561" s="7" t="s">
        <v>214</v>
      </c>
      <c r="W561" s="49" t="s">
        <v>214</v>
      </c>
      <c r="X561" s="49" t="s">
        <v>214</v>
      </c>
      <c r="Y561" s="49" t="s">
        <v>214</v>
      </c>
      <c r="Z561" s="55" t="s">
        <v>214</v>
      </c>
      <c r="AA561" s="48" t="s">
        <v>18136</v>
      </c>
      <c r="AB561" s="84" t="s">
        <v>18134</v>
      </c>
      <c r="AC561" s="53" t="str">
        <f t="shared" si="327"/>
        <v>Link</v>
      </c>
      <c r="AD561" s="42">
        <v>6081</v>
      </c>
      <c r="AE561" s="55"/>
      <c r="AF561" s="55"/>
      <c r="AG561" s="56">
        <v>153630</v>
      </c>
      <c r="AH561" s="56"/>
      <c r="AI561" s="56"/>
    </row>
    <row r="562" spans="1:37" ht="15" x14ac:dyDescent="0.2">
      <c r="A562" s="64" t="s">
        <v>2926</v>
      </c>
      <c r="B562" s="33" t="s">
        <v>12632</v>
      </c>
      <c r="C562" s="7" t="s">
        <v>18145</v>
      </c>
      <c r="D562" s="112">
        <v>5</v>
      </c>
      <c r="E562" s="7"/>
      <c r="F562" s="112"/>
      <c r="G562" s="2" t="s">
        <v>18129</v>
      </c>
      <c r="H562" s="2" t="s">
        <v>18148</v>
      </c>
      <c r="I562" s="2" t="s">
        <v>812</v>
      </c>
      <c r="J562" s="2" t="s">
        <v>55</v>
      </c>
      <c r="K562" s="2" t="s">
        <v>18150</v>
      </c>
      <c r="L562" s="2" t="s">
        <v>18132</v>
      </c>
      <c r="M562" s="45" t="str">
        <f t="shared" si="325"/>
        <v>@reiversoftball</v>
      </c>
      <c r="N562" s="45" t="str">
        <f t="shared" si="326"/>
        <v>Questionnaire</v>
      </c>
      <c r="O562" s="48" t="s">
        <v>18134</v>
      </c>
      <c r="P562" s="60" t="s">
        <v>2663</v>
      </c>
      <c r="Q562" s="48" t="s">
        <v>18135</v>
      </c>
      <c r="R562" s="48" t="s">
        <v>186</v>
      </c>
      <c r="S562" s="49" t="s">
        <v>74</v>
      </c>
      <c r="T562" s="48" t="s">
        <v>75</v>
      </c>
      <c r="U562" s="49" t="s">
        <v>3678</v>
      </c>
      <c r="V562" s="7" t="s">
        <v>214</v>
      </c>
      <c r="W562" s="49" t="s">
        <v>214</v>
      </c>
      <c r="X562" s="49" t="s">
        <v>214</v>
      </c>
      <c r="Y562" s="49" t="s">
        <v>214</v>
      </c>
      <c r="Z562" s="55" t="s">
        <v>214</v>
      </c>
      <c r="AA562" s="48" t="s">
        <v>18136</v>
      </c>
      <c r="AB562" s="84" t="s">
        <v>18134</v>
      </c>
      <c r="AC562" s="53" t="str">
        <f t="shared" si="327"/>
        <v>Link</v>
      </c>
      <c r="AD562" s="42">
        <v>6081</v>
      </c>
      <c r="AE562" s="55"/>
      <c r="AF562" s="55"/>
      <c r="AG562" s="56">
        <v>153630</v>
      </c>
      <c r="AH562" s="56"/>
      <c r="AI562" s="56"/>
    </row>
    <row r="563" spans="1:37" ht="15" x14ac:dyDescent="0.2">
      <c r="A563" s="64" t="s">
        <v>2926</v>
      </c>
      <c r="B563" s="33" t="s">
        <v>12632</v>
      </c>
      <c r="C563" s="7" t="s">
        <v>18153</v>
      </c>
      <c r="D563" s="44">
        <v>5</v>
      </c>
      <c r="E563" s="7" t="s">
        <v>116</v>
      </c>
      <c r="F563" s="7"/>
      <c r="G563" s="2" t="s">
        <v>18156</v>
      </c>
      <c r="H563" s="7" t="s">
        <v>222</v>
      </c>
      <c r="I563" s="7" t="s">
        <v>14794</v>
      </c>
      <c r="J563" s="7" t="s">
        <v>55</v>
      </c>
      <c r="K563" s="7"/>
      <c r="L563" s="7"/>
      <c r="M563" s="45" t="str">
        <f t="shared" ref="M563:M565" si="328">HYPERLINK("twitter.com/kccsoftball","@kccsoftball")</f>
        <v>@kccsoftball</v>
      </c>
      <c r="N563" s="45" t="str">
        <f t="shared" ref="N563:N565" si="329">HYPERLINK("http://www.kirkwoodeagles.com/information/recruit_me","Questionnaire")</f>
        <v>Questionnaire</v>
      </c>
      <c r="O563" s="48" t="s">
        <v>18159</v>
      </c>
      <c r="P563" s="60" t="s">
        <v>2663</v>
      </c>
      <c r="Q563" s="48" t="s">
        <v>3062</v>
      </c>
      <c r="R563" s="48" t="s">
        <v>238</v>
      </c>
      <c r="S563" s="49" t="s">
        <v>74</v>
      </c>
      <c r="T563" s="48" t="s">
        <v>75</v>
      </c>
      <c r="U563" s="49" t="s">
        <v>3678</v>
      </c>
      <c r="V563" s="7" t="s">
        <v>214</v>
      </c>
      <c r="W563" s="49" t="s">
        <v>214</v>
      </c>
      <c r="X563" s="49" t="s">
        <v>214</v>
      </c>
      <c r="Y563" s="49" t="s">
        <v>214</v>
      </c>
      <c r="Z563" s="55" t="s">
        <v>214</v>
      </c>
      <c r="AA563" s="48" t="s">
        <v>18160</v>
      </c>
      <c r="AB563" s="84" t="s">
        <v>18159</v>
      </c>
      <c r="AC563" s="53" t="str">
        <f t="shared" ref="AC563:AC565" si="330">HYPERLINK("http://www.kirkwood.edu/programs","Link")</f>
        <v>Link</v>
      </c>
      <c r="AD563" s="42">
        <v>14233</v>
      </c>
      <c r="AE563" s="55"/>
      <c r="AF563" s="55"/>
      <c r="AG563" s="56">
        <v>153737</v>
      </c>
      <c r="AH563" s="56"/>
      <c r="AI563" s="56"/>
    </row>
    <row r="564" spans="1:37" ht="15" x14ac:dyDescent="0.2">
      <c r="A564" s="64" t="s">
        <v>2926</v>
      </c>
      <c r="B564" s="33" t="s">
        <v>12632</v>
      </c>
      <c r="C564" s="7" t="s">
        <v>18162</v>
      </c>
      <c r="D564" s="112">
        <v>5</v>
      </c>
      <c r="E564" s="7"/>
      <c r="F564" s="112"/>
      <c r="G564" s="2" t="s">
        <v>18156</v>
      </c>
      <c r="H564" s="2" t="s">
        <v>173</v>
      </c>
      <c r="I564" s="2" t="s">
        <v>18165</v>
      </c>
      <c r="J564" s="2" t="s">
        <v>48</v>
      </c>
      <c r="K564" s="2" t="s">
        <v>18166</v>
      </c>
      <c r="L564" s="2" t="s">
        <v>18167</v>
      </c>
      <c r="M564" s="45" t="str">
        <f t="shared" si="328"/>
        <v>@kccsoftball</v>
      </c>
      <c r="N564" s="45" t="str">
        <f t="shared" si="329"/>
        <v>Questionnaire</v>
      </c>
      <c r="O564" s="48" t="s">
        <v>18159</v>
      </c>
      <c r="P564" s="60" t="s">
        <v>2663</v>
      </c>
      <c r="Q564" s="48" t="s">
        <v>3062</v>
      </c>
      <c r="R564" s="48" t="s">
        <v>238</v>
      </c>
      <c r="S564" s="49" t="s">
        <v>74</v>
      </c>
      <c r="T564" s="48" t="s">
        <v>75</v>
      </c>
      <c r="U564" s="49" t="s">
        <v>3678</v>
      </c>
      <c r="V564" s="7" t="s">
        <v>214</v>
      </c>
      <c r="W564" s="49" t="s">
        <v>214</v>
      </c>
      <c r="X564" s="49" t="s">
        <v>214</v>
      </c>
      <c r="Y564" s="49" t="s">
        <v>214</v>
      </c>
      <c r="Z564" s="55" t="s">
        <v>214</v>
      </c>
      <c r="AA564" s="48" t="s">
        <v>18160</v>
      </c>
      <c r="AB564" s="84" t="s">
        <v>18159</v>
      </c>
      <c r="AC564" s="53" t="str">
        <f t="shared" si="330"/>
        <v>Link</v>
      </c>
      <c r="AD564" s="42">
        <v>14233</v>
      </c>
      <c r="AE564" s="55"/>
      <c r="AF564" s="55"/>
      <c r="AG564" s="56">
        <v>153737</v>
      </c>
      <c r="AH564" s="56"/>
      <c r="AI564" s="56"/>
    </row>
    <row r="565" spans="1:37" ht="15" x14ac:dyDescent="0.2">
      <c r="A565" s="64" t="s">
        <v>2926</v>
      </c>
      <c r="B565" s="33" t="s">
        <v>12632</v>
      </c>
      <c r="C565" s="7" t="s">
        <v>18168</v>
      </c>
      <c r="D565" s="112">
        <v>5</v>
      </c>
      <c r="E565" s="7"/>
      <c r="F565" s="112"/>
      <c r="G565" s="2" t="s">
        <v>18156</v>
      </c>
      <c r="H565" s="2" t="s">
        <v>18169</v>
      </c>
      <c r="I565" s="2" t="s">
        <v>18170</v>
      </c>
      <c r="J565" s="2" t="s">
        <v>55</v>
      </c>
      <c r="K565" s="2"/>
      <c r="L565" s="2"/>
      <c r="M565" s="45" t="str">
        <f t="shared" si="328"/>
        <v>@kccsoftball</v>
      </c>
      <c r="N565" s="45" t="str">
        <f t="shared" si="329"/>
        <v>Questionnaire</v>
      </c>
      <c r="O565" s="48" t="s">
        <v>18159</v>
      </c>
      <c r="P565" s="60" t="s">
        <v>2663</v>
      </c>
      <c r="Q565" s="48" t="s">
        <v>3062</v>
      </c>
      <c r="R565" s="48" t="s">
        <v>238</v>
      </c>
      <c r="S565" s="49" t="s">
        <v>74</v>
      </c>
      <c r="T565" s="48" t="s">
        <v>75</v>
      </c>
      <c r="U565" s="49" t="s">
        <v>3678</v>
      </c>
      <c r="V565" s="7" t="s">
        <v>214</v>
      </c>
      <c r="W565" s="49" t="s">
        <v>214</v>
      </c>
      <c r="X565" s="49" t="s">
        <v>214</v>
      </c>
      <c r="Y565" s="49" t="s">
        <v>214</v>
      </c>
      <c r="Z565" s="55" t="s">
        <v>214</v>
      </c>
      <c r="AA565" s="48" t="s">
        <v>18160</v>
      </c>
      <c r="AB565" s="84" t="s">
        <v>18159</v>
      </c>
      <c r="AC565" s="53" t="str">
        <f t="shared" si="330"/>
        <v>Link</v>
      </c>
      <c r="AD565" s="42">
        <v>14233</v>
      </c>
      <c r="AE565" s="55"/>
      <c r="AF565" s="55"/>
      <c r="AG565" s="56">
        <v>153737</v>
      </c>
      <c r="AH565" s="56"/>
      <c r="AI565" s="56"/>
    </row>
    <row r="566" spans="1:37" ht="15" x14ac:dyDescent="0.2">
      <c r="A566" s="64" t="s">
        <v>2926</v>
      </c>
      <c r="B566" s="33" t="s">
        <v>12632</v>
      </c>
      <c r="C566" s="7" t="s">
        <v>18172</v>
      </c>
      <c r="D566" s="112">
        <v>5</v>
      </c>
      <c r="E566" s="7"/>
      <c r="F566" s="112"/>
      <c r="G566" s="2" t="s">
        <v>18174</v>
      </c>
      <c r="H566" s="2" t="s">
        <v>11103</v>
      </c>
      <c r="I566" s="2" t="s">
        <v>812</v>
      </c>
      <c r="J566" s="2" t="s">
        <v>48</v>
      </c>
      <c r="K566" s="2" t="s">
        <v>18176</v>
      </c>
      <c r="L566" s="2" t="s">
        <v>18177</v>
      </c>
      <c r="M566" s="45" t="str">
        <f t="shared" ref="M566:M567" si="331">HYPERLINK("twitter.com/mcctigers_sb","@mcctigers_sb")</f>
        <v>@mcctigers_sb</v>
      </c>
      <c r="N566" s="48" t="s">
        <v>22</v>
      </c>
      <c r="O566" s="108" t="s">
        <v>18178</v>
      </c>
      <c r="P566" s="60" t="s">
        <v>2663</v>
      </c>
      <c r="Q566" s="48" t="s">
        <v>18179</v>
      </c>
      <c r="R566" s="48" t="s">
        <v>468</v>
      </c>
      <c r="S566" s="49" t="s">
        <v>74</v>
      </c>
      <c r="T566" s="48" t="s">
        <v>75</v>
      </c>
      <c r="U566" s="49" t="s">
        <v>3678</v>
      </c>
      <c r="V566" s="7" t="s">
        <v>214</v>
      </c>
      <c r="W566" s="49" t="s">
        <v>214</v>
      </c>
      <c r="X566" s="49" t="s">
        <v>214</v>
      </c>
      <c r="Y566" s="49" t="s">
        <v>214</v>
      </c>
      <c r="Z566" s="55" t="s">
        <v>214</v>
      </c>
      <c r="AA566" s="48" t="s">
        <v>18180</v>
      </c>
      <c r="AB566" s="52" t="s">
        <v>18178</v>
      </c>
      <c r="AC566" s="53" t="str">
        <f t="shared" ref="AC566:AC567" si="332">HYPERLINK("https://mcc.iavalley.edu/academics/academic-programs/","Link")</f>
        <v>Link</v>
      </c>
      <c r="AD566" s="42">
        <v>2006</v>
      </c>
      <c r="AE566" s="55"/>
      <c r="AF566" s="55"/>
      <c r="AG566" s="56">
        <v>153922</v>
      </c>
      <c r="AH566" s="56"/>
      <c r="AI566" s="56"/>
    </row>
    <row r="567" spans="1:37" ht="15" x14ac:dyDescent="0.2">
      <c r="A567" s="64" t="s">
        <v>2926</v>
      </c>
      <c r="B567" s="33" t="s">
        <v>12632</v>
      </c>
      <c r="C567" s="7" t="s">
        <v>18183</v>
      </c>
      <c r="D567" s="112">
        <v>5</v>
      </c>
      <c r="E567" s="7"/>
      <c r="F567" s="112"/>
      <c r="G567" s="2" t="s">
        <v>18174</v>
      </c>
      <c r="H567" s="2" t="s">
        <v>981</v>
      </c>
      <c r="I567" s="2" t="s">
        <v>18184</v>
      </c>
      <c r="J567" s="2" t="s">
        <v>55</v>
      </c>
      <c r="K567" s="2"/>
      <c r="L567" s="2" t="s">
        <v>18185</v>
      </c>
      <c r="M567" s="45" t="str">
        <f t="shared" si="331"/>
        <v>@mcctigers_sb</v>
      </c>
      <c r="N567" s="48" t="s">
        <v>22</v>
      </c>
      <c r="O567" s="108" t="s">
        <v>18178</v>
      </c>
      <c r="P567" s="60" t="s">
        <v>2663</v>
      </c>
      <c r="Q567" s="48" t="s">
        <v>18179</v>
      </c>
      <c r="R567" s="48" t="s">
        <v>468</v>
      </c>
      <c r="S567" s="49" t="s">
        <v>74</v>
      </c>
      <c r="T567" s="48" t="s">
        <v>75</v>
      </c>
      <c r="U567" s="49" t="s">
        <v>3678</v>
      </c>
      <c r="V567" s="7" t="s">
        <v>214</v>
      </c>
      <c r="W567" s="49" t="s">
        <v>214</v>
      </c>
      <c r="X567" s="49" t="s">
        <v>214</v>
      </c>
      <c r="Y567" s="49" t="s">
        <v>214</v>
      </c>
      <c r="Z567" s="55" t="s">
        <v>214</v>
      </c>
      <c r="AA567" s="48" t="s">
        <v>18180</v>
      </c>
      <c r="AB567" s="52" t="s">
        <v>18178</v>
      </c>
      <c r="AC567" s="53" t="str">
        <f t="shared" si="332"/>
        <v>Link</v>
      </c>
      <c r="AD567" s="42">
        <v>2006</v>
      </c>
      <c r="AE567" s="55"/>
      <c r="AF567" s="55"/>
      <c r="AG567" s="56">
        <v>153922</v>
      </c>
      <c r="AH567" s="56"/>
      <c r="AI567" s="56"/>
    </row>
    <row r="568" spans="1:37" ht="15" x14ac:dyDescent="0.2">
      <c r="A568" s="64" t="s">
        <v>2926</v>
      </c>
      <c r="B568" s="33" t="s">
        <v>12632</v>
      </c>
      <c r="C568" s="7" t="s">
        <v>18190</v>
      </c>
      <c r="D568" s="112">
        <v>5</v>
      </c>
      <c r="E568" s="7"/>
      <c r="F568" s="112"/>
      <c r="G568" s="2" t="s">
        <v>18191</v>
      </c>
      <c r="H568" s="2" t="s">
        <v>2465</v>
      </c>
      <c r="I568" s="2" t="s">
        <v>18192</v>
      </c>
      <c r="J568" s="2" t="s">
        <v>48</v>
      </c>
      <c r="K568" s="2" t="s">
        <v>18193</v>
      </c>
      <c r="L568" s="2" t="s">
        <v>18194</v>
      </c>
      <c r="M568" s="45" t="str">
        <f t="shared" ref="M568:M571" si="333">HYPERLINK("twitter.com/niaccsb","@niaccsb")</f>
        <v>@niaccsb</v>
      </c>
      <c r="N568" s="48" t="s">
        <v>22</v>
      </c>
      <c r="O568" s="48" t="s">
        <v>18197</v>
      </c>
      <c r="P568" s="60" t="s">
        <v>2663</v>
      </c>
      <c r="Q568" s="48" t="s">
        <v>18198</v>
      </c>
      <c r="R568" s="48" t="s">
        <v>468</v>
      </c>
      <c r="S568" s="49" t="s">
        <v>74</v>
      </c>
      <c r="T568" s="48" t="s">
        <v>75</v>
      </c>
      <c r="U568" s="49" t="s">
        <v>3678</v>
      </c>
      <c r="V568" s="7" t="s">
        <v>214</v>
      </c>
      <c r="W568" s="49" t="s">
        <v>214</v>
      </c>
      <c r="X568" s="49" t="s">
        <v>214</v>
      </c>
      <c r="Y568" s="49" t="s">
        <v>214</v>
      </c>
      <c r="Z568" s="55" t="s">
        <v>214</v>
      </c>
      <c r="AA568" s="48" t="s">
        <v>18199</v>
      </c>
      <c r="AB568" s="84" t="s">
        <v>18197</v>
      </c>
      <c r="AC568" s="53" t="str">
        <f t="shared" ref="AC568:AC571" si="334">HYPERLINK("https://www.niacc.edu/academics/","Link")</f>
        <v>Link</v>
      </c>
      <c r="AD568" s="42">
        <v>3023</v>
      </c>
      <c r="AE568" s="55"/>
      <c r="AF568" s="55"/>
      <c r="AG568" s="56">
        <v>154059</v>
      </c>
      <c r="AH568" s="56"/>
      <c r="AI568" s="56"/>
    </row>
    <row r="569" spans="1:37" ht="15" x14ac:dyDescent="0.2">
      <c r="A569" s="64" t="s">
        <v>2926</v>
      </c>
      <c r="B569" s="33" t="s">
        <v>12632</v>
      </c>
      <c r="C569" s="7" t="s">
        <v>18201</v>
      </c>
      <c r="D569" s="112">
        <v>5</v>
      </c>
      <c r="E569" s="7"/>
      <c r="F569" s="112"/>
      <c r="G569" s="2" t="s">
        <v>18191</v>
      </c>
      <c r="H569" s="2" t="s">
        <v>18203</v>
      </c>
      <c r="I569" s="2" t="s">
        <v>10390</v>
      </c>
      <c r="J569" s="2" t="s">
        <v>55</v>
      </c>
      <c r="K569" s="2" t="s">
        <v>18204</v>
      </c>
      <c r="L569" s="2" t="s">
        <v>18205</v>
      </c>
      <c r="M569" s="45" t="str">
        <f t="shared" si="333"/>
        <v>@niaccsb</v>
      </c>
      <c r="N569" s="48" t="s">
        <v>22</v>
      </c>
      <c r="O569" s="48" t="s">
        <v>18197</v>
      </c>
      <c r="P569" s="60" t="s">
        <v>2663</v>
      </c>
      <c r="Q569" s="48" t="s">
        <v>18198</v>
      </c>
      <c r="R569" s="48" t="s">
        <v>468</v>
      </c>
      <c r="S569" s="49" t="s">
        <v>74</v>
      </c>
      <c r="T569" s="48" t="s">
        <v>75</v>
      </c>
      <c r="U569" s="49" t="s">
        <v>3678</v>
      </c>
      <c r="V569" s="7" t="s">
        <v>214</v>
      </c>
      <c r="W569" s="49" t="s">
        <v>214</v>
      </c>
      <c r="X569" s="49" t="s">
        <v>214</v>
      </c>
      <c r="Y569" s="49" t="s">
        <v>214</v>
      </c>
      <c r="Z569" s="55" t="s">
        <v>214</v>
      </c>
      <c r="AA569" s="48" t="s">
        <v>18199</v>
      </c>
      <c r="AB569" s="84" t="s">
        <v>18197</v>
      </c>
      <c r="AC569" s="53" t="str">
        <f t="shared" si="334"/>
        <v>Link</v>
      </c>
      <c r="AD569" s="42">
        <v>3023</v>
      </c>
      <c r="AE569" s="55"/>
      <c r="AF569" s="55"/>
      <c r="AG569" s="56">
        <v>154059</v>
      </c>
      <c r="AH569" s="56"/>
      <c r="AI569" s="56"/>
    </row>
    <row r="570" spans="1:37" ht="15" x14ac:dyDescent="0.2">
      <c r="A570" s="64" t="s">
        <v>2926</v>
      </c>
      <c r="B570" s="33" t="s">
        <v>12632</v>
      </c>
      <c r="C570" s="7" t="s">
        <v>18206</v>
      </c>
      <c r="D570" s="112">
        <v>5</v>
      </c>
      <c r="E570" s="7"/>
      <c r="F570" s="112" t="s">
        <v>126</v>
      </c>
      <c r="G570" s="2" t="s">
        <v>18191</v>
      </c>
      <c r="H570" s="2" t="s">
        <v>2732</v>
      </c>
      <c r="I570" s="2"/>
      <c r="J570" s="2"/>
      <c r="K570" s="2"/>
      <c r="L570" s="2"/>
      <c r="M570" s="45" t="str">
        <f t="shared" si="333"/>
        <v>@niaccsb</v>
      </c>
      <c r="N570" s="48" t="s">
        <v>22</v>
      </c>
      <c r="O570" s="48" t="s">
        <v>18197</v>
      </c>
      <c r="P570" s="60" t="s">
        <v>2663</v>
      </c>
      <c r="Q570" s="48" t="s">
        <v>18198</v>
      </c>
      <c r="R570" s="48" t="s">
        <v>468</v>
      </c>
      <c r="S570" s="49" t="s">
        <v>74</v>
      </c>
      <c r="T570" s="48" t="s">
        <v>75</v>
      </c>
      <c r="U570" s="49" t="s">
        <v>3678</v>
      </c>
      <c r="V570" s="7" t="s">
        <v>214</v>
      </c>
      <c r="W570" s="49" t="s">
        <v>214</v>
      </c>
      <c r="X570" s="49" t="s">
        <v>214</v>
      </c>
      <c r="Y570" s="49" t="s">
        <v>214</v>
      </c>
      <c r="Z570" s="55" t="s">
        <v>214</v>
      </c>
      <c r="AA570" s="48" t="s">
        <v>18199</v>
      </c>
      <c r="AB570" s="84" t="s">
        <v>18197</v>
      </c>
      <c r="AC570" s="53" t="str">
        <f t="shared" si="334"/>
        <v>Link</v>
      </c>
      <c r="AD570" s="42">
        <v>3023</v>
      </c>
      <c r="AE570" s="55"/>
      <c r="AF570" s="55"/>
      <c r="AG570" s="56">
        <v>154059</v>
      </c>
      <c r="AH570" s="56"/>
      <c r="AI570" s="56"/>
    </row>
    <row r="571" spans="1:37" ht="15" x14ac:dyDescent="0.2">
      <c r="A571" s="64" t="s">
        <v>2926</v>
      </c>
      <c r="B571" s="33" t="s">
        <v>12632</v>
      </c>
      <c r="C571" s="7" t="s">
        <v>18209</v>
      </c>
      <c r="D571" s="112">
        <v>5</v>
      </c>
      <c r="E571" s="7"/>
      <c r="F571" s="112"/>
      <c r="G571" s="2" t="s">
        <v>18191</v>
      </c>
      <c r="H571" s="2" t="s">
        <v>18210</v>
      </c>
      <c r="I571" s="2" t="s">
        <v>10311</v>
      </c>
      <c r="J571" s="2" t="s">
        <v>55</v>
      </c>
      <c r="K571" s="2" t="s">
        <v>18211</v>
      </c>
      <c r="L571" s="2" t="s">
        <v>18212</v>
      </c>
      <c r="M571" s="45" t="str">
        <f t="shared" si="333"/>
        <v>@niaccsb</v>
      </c>
      <c r="N571" s="48" t="s">
        <v>22</v>
      </c>
      <c r="O571" s="48" t="s">
        <v>18197</v>
      </c>
      <c r="P571" s="60" t="s">
        <v>2663</v>
      </c>
      <c r="Q571" s="48" t="s">
        <v>18198</v>
      </c>
      <c r="R571" s="48" t="s">
        <v>468</v>
      </c>
      <c r="S571" s="49" t="s">
        <v>74</v>
      </c>
      <c r="T571" s="48" t="s">
        <v>75</v>
      </c>
      <c r="U571" s="49" t="s">
        <v>3678</v>
      </c>
      <c r="V571" s="7" t="s">
        <v>214</v>
      </c>
      <c r="W571" s="49" t="s">
        <v>214</v>
      </c>
      <c r="X571" s="49" t="s">
        <v>214</v>
      </c>
      <c r="Y571" s="49" t="s">
        <v>214</v>
      </c>
      <c r="Z571" s="55" t="s">
        <v>214</v>
      </c>
      <c r="AA571" s="48" t="s">
        <v>18199</v>
      </c>
      <c r="AB571" s="84" t="s">
        <v>18197</v>
      </c>
      <c r="AC571" s="53" t="str">
        <f t="shared" si="334"/>
        <v>Link</v>
      </c>
      <c r="AD571" s="42">
        <v>3023</v>
      </c>
      <c r="AE571" s="55"/>
      <c r="AF571" s="55"/>
      <c r="AG571" s="56">
        <v>154059</v>
      </c>
      <c r="AH571" s="56"/>
      <c r="AI571" s="56"/>
    </row>
    <row r="572" spans="1:37" ht="15" x14ac:dyDescent="0.2">
      <c r="A572" s="64" t="s">
        <v>2926</v>
      </c>
      <c r="B572" s="33" t="s">
        <v>12632</v>
      </c>
      <c r="C572" s="7" t="s">
        <v>18214</v>
      </c>
      <c r="D572" s="112">
        <v>5</v>
      </c>
      <c r="E572" s="7"/>
      <c r="F572" s="112"/>
      <c r="G572" s="2" t="s">
        <v>18215</v>
      </c>
      <c r="H572" s="2" t="s">
        <v>1163</v>
      </c>
      <c r="I572" s="2" t="s">
        <v>18216</v>
      </c>
      <c r="J572" s="2" t="s">
        <v>48</v>
      </c>
      <c r="K572" s="2" t="s">
        <v>18217</v>
      </c>
      <c r="L572" s="2" t="s">
        <v>18218</v>
      </c>
      <c r="M572" s="48"/>
      <c r="N572" s="48" t="s">
        <v>22</v>
      </c>
      <c r="O572" s="48" t="s">
        <v>18219</v>
      </c>
      <c r="P572" s="60" t="s">
        <v>2663</v>
      </c>
      <c r="Q572" s="48" t="s">
        <v>18220</v>
      </c>
      <c r="R572" s="60" t="s">
        <v>205</v>
      </c>
      <c r="S572" s="49" t="s">
        <v>74</v>
      </c>
      <c r="T572" s="48" t="s">
        <v>75</v>
      </c>
      <c r="U572" s="49" t="s">
        <v>3678</v>
      </c>
      <c r="V572" s="7" t="s">
        <v>214</v>
      </c>
      <c r="W572" s="49" t="s">
        <v>214</v>
      </c>
      <c r="X572" s="49" t="s">
        <v>214</v>
      </c>
      <c r="Y572" s="49" t="s">
        <v>214</v>
      </c>
      <c r="Z572" s="55" t="s">
        <v>214</v>
      </c>
      <c r="AA572" s="48" t="s">
        <v>18221</v>
      </c>
      <c r="AB572" s="84" t="s">
        <v>18219</v>
      </c>
      <c r="AC572" s="53" t="str">
        <f t="shared" ref="AC572:AC573" si="335">HYPERLINK("https://www.scciowa.edu/scripts/admissions/programs/programlist.asp","Link")</f>
        <v>Link</v>
      </c>
      <c r="AD572" s="42">
        <v>2844</v>
      </c>
      <c r="AE572" s="55"/>
      <c r="AF572" s="55"/>
      <c r="AG572" s="56">
        <v>154378</v>
      </c>
      <c r="AH572" s="56"/>
      <c r="AI572" s="56"/>
    </row>
    <row r="573" spans="1:37" ht="15" x14ac:dyDescent="0.2">
      <c r="A573" s="64" t="s">
        <v>2926</v>
      </c>
      <c r="B573" s="33" t="s">
        <v>12632</v>
      </c>
      <c r="C573" s="7" t="s">
        <v>18228</v>
      </c>
      <c r="D573" s="112">
        <v>5</v>
      </c>
      <c r="E573" s="7"/>
      <c r="F573" s="112"/>
      <c r="G573" s="2" t="s">
        <v>18215</v>
      </c>
      <c r="H573" s="2" t="s">
        <v>2157</v>
      </c>
      <c r="I573" s="2" t="s">
        <v>18229</v>
      </c>
      <c r="J573" s="2" t="s">
        <v>55</v>
      </c>
      <c r="K573" s="2" t="s">
        <v>18230</v>
      </c>
      <c r="L573" s="2" t="s">
        <v>18231</v>
      </c>
      <c r="M573" s="48"/>
      <c r="N573" s="48" t="s">
        <v>22</v>
      </c>
      <c r="O573" s="48" t="s">
        <v>18219</v>
      </c>
      <c r="P573" s="60" t="s">
        <v>2663</v>
      </c>
      <c r="Q573" s="48" t="s">
        <v>18220</v>
      </c>
      <c r="R573" s="60" t="s">
        <v>205</v>
      </c>
      <c r="S573" s="49" t="s">
        <v>74</v>
      </c>
      <c r="T573" s="48" t="s">
        <v>75</v>
      </c>
      <c r="U573" s="49" t="s">
        <v>3678</v>
      </c>
      <c r="V573" s="7" t="s">
        <v>214</v>
      </c>
      <c r="W573" s="49" t="s">
        <v>214</v>
      </c>
      <c r="X573" s="49" t="s">
        <v>214</v>
      </c>
      <c r="Y573" s="49" t="s">
        <v>214</v>
      </c>
      <c r="Z573" s="55" t="s">
        <v>214</v>
      </c>
      <c r="AA573" s="48" t="s">
        <v>18221</v>
      </c>
      <c r="AB573" s="84" t="s">
        <v>18219</v>
      </c>
      <c r="AC573" s="53" t="str">
        <f t="shared" si="335"/>
        <v>Link</v>
      </c>
      <c r="AD573" s="42">
        <v>2844</v>
      </c>
      <c r="AE573" s="55"/>
      <c r="AF573" s="55"/>
      <c r="AG573" s="56">
        <v>154378</v>
      </c>
      <c r="AH573" s="56"/>
      <c r="AI573" s="56"/>
    </row>
    <row r="574" spans="1:37" ht="15" x14ac:dyDescent="0.2">
      <c r="A574" s="31" t="s">
        <v>2926</v>
      </c>
      <c r="B574" s="33" t="s">
        <v>12632</v>
      </c>
      <c r="C574" s="7"/>
      <c r="D574" s="112">
        <v>5</v>
      </c>
      <c r="E574" s="7"/>
      <c r="F574" s="112"/>
      <c r="G574" s="2" t="s">
        <v>18236</v>
      </c>
      <c r="H574" s="2" t="s">
        <v>3444</v>
      </c>
      <c r="I574" s="2" t="s">
        <v>18237</v>
      </c>
      <c r="J574" s="2" t="s">
        <v>48</v>
      </c>
      <c r="K574" s="2" t="s">
        <v>18238</v>
      </c>
      <c r="L574" s="2" t="s">
        <v>18239</v>
      </c>
      <c r="M574" s="45" t="str">
        <f t="shared" ref="M574:M575" si="336">HYPERLINK("twitter.com/swcc_track_xc","@swcc_track_xc")</f>
        <v>@swcc_track_xc</v>
      </c>
      <c r="N574" s="48" t="s">
        <v>22</v>
      </c>
      <c r="O574" s="48" t="s">
        <v>18241</v>
      </c>
      <c r="P574" s="60" t="s">
        <v>2663</v>
      </c>
      <c r="Q574" s="48" t="s">
        <v>18242</v>
      </c>
      <c r="R574" s="60" t="s">
        <v>205</v>
      </c>
      <c r="S574" s="49" t="s">
        <v>74</v>
      </c>
      <c r="T574" s="48" t="s">
        <v>75</v>
      </c>
      <c r="U574" s="49" t="s">
        <v>3678</v>
      </c>
      <c r="V574" s="7" t="s">
        <v>214</v>
      </c>
      <c r="W574" s="49" t="s">
        <v>214</v>
      </c>
      <c r="X574" s="49" t="s">
        <v>214</v>
      </c>
      <c r="Y574" s="49" t="s">
        <v>214</v>
      </c>
      <c r="Z574" s="49" t="s">
        <v>214</v>
      </c>
      <c r="AA574" s="48" t="s">
        <v>18243</v>
      </c>
      <c r="AB574" s="84" t="s">
        <v>18241</v>
      </c>
      <c r="AC574" s="53" t="str">
        <f t="shared" ref="AC574:AC575" si="337">HYPERLINK("https://www.swcciowa.edu/academics/degree-options","Link")</f>
        <v>Link</v>
      </c>
      <c r="AD574" s="42">
        <v>1646</v>
      </c>
      <c r="AE574" s="55"/>
      <c r="AF574" s="55"/>
      <c r="AG574" s="56">
        <v>154396</v>
      </c>
      <c r="AH574" s="7" t="s">
        <v>2459</v>
      </c>
      <c r="AI574" s="7"/>
      <c r="AJ574" s="7"/>
      <c r="AK574" s="7"/>
    </row>
    <row r="575" spans="1:37" ht="15" x14ac:dyDescent="0.2">
      <c r="A575" s="31" t="s">
        <v>2926</v>
      </c>
      <c r="B575" s="33" t="s">
        <v>12632</v>
      </c>
      <c r="C575" s="7"/>
      <c r="D575" s="112">
        <v>5</v>
      </c>
      <c r="E575" s="7"/>
      <c r="F575" s="112"/>
      <c r="G575" s="2" t="s">
        <v>18236</v>
      </c>
      <c r="H575" s="2" t="s">
        <v>4434</v>
      </c>
      <c r="I575" s="2" t="s">
        <v>18245</v>
      </c>
      <c r="J575" s="2" t="s">
        <v>55</v>
      </c>
      <c r="K575" s="95" t="s">
        <v>18247</v>
      </c>
      <c r="L575" s="2" t="s">
        <v>18248</v>
      </c>
      <c r="M575" s="45" t="str">
        <f t="shared" si="336"/>
        <v>@swcc_track_xc</v>
      </c>
      <c r="N575" s="48" t="s">
        <v>22</v>
      </c>
      <c r="O575" s="48" t="s">
        <v>18241</v>
      </c>
      <c r="P575" s="60" t="s">
        <v>2663</v>
      </c>
      <c r="Q575" s="48" t="s">
        <v>18242</v>
      </c>
      <c r="R575" s="60" t="s">
        <v>205</v>
      </c>
      <c r="S575" s="49" t="s">
        <v>74</v>
      </c>
      <c r="T575" s="48" t="s">
        <v>75</v>
      </c>
      <c r="U575" s="49" t="s">
        <v>3678</v>
      </c>
      <c r="V575" s="7" t="s">
        <v>214</v>
      </c>
      <c r="W575" s="49" t="s">
        <v>214</v>
      </c>
      <c r="X575" s="49" t="s">
        <v>214</v>
      </c>
      <c r="Y575" s="49" t="s">
        <v>214</v>
      </c>
      <c r="Z575" s="49" t="s">
        <v>214</v>
      </c>
      <c r="AA575" s="48" t="s">
        <v>18243</v>
      </c>
      <c r="AB575" s="84" t="s">
        <v>18241</v>
      </c>
      <c r="AC575" s="53" t="str">
        <f t="shared" si="337"/>
        <v>Link</v>
      </c>
      <c r="AD575" s="42">
        <v>1646</v>
      </c>
      <c r="AE575" s="55"/>
      <c r="AF575" s="55"/>
      <c r="AG575" s="56">
        <v>154396</v>
      </c>
      <c r="AH575" s="7" t="s">
        <v>2459</v>
      </c>
      <c r="AI575" s="7"/>
      <c r="AJ575" s="7"/>
      <c r="AK575" s="7"/>
    </row>
    <row r="576" spans="1:37" ht="15" x14ac:dyDescent="0.2">
      <c r="A576" s="88" t="s">
        <v>2730</v>
      </c>
      <c r="B576" s="33" t="s">
        <v>12632</v>
      </c>
      <c r="C576" s="7" t="s">
        <v>18250</v>
      </c>
      <c r="D576" s="112">
        <v>5</v>
      </c>
      <c r="E576" s="7"/>
      <c r="F576" s="112"/>
      <c r="G576" s="2" t="s">
        <v>18251</v>
      </c>
      <c r="H576" s="2" t="s">
        <v>1052</v>
      </c>
      <c r="I576" s="2" t="s">
        <v>16353</v>
      </c>
      <c r="J576" s="2" t="s">
        <v>48</v>
      </c>
      <c r="K576" s="2" t="s">
        <v>18252</v>
      </c>
      <c r="L576" s="2" t="s">
        <v>18253</v>
      </c>
      <c r="M576" s="45" t="str">
        <f t="shared" ref="M576:M577" si="338">HYPERLINK("twitter.com/reddevilsb","@reddevilsb")</f>
        <v>@reddevilsb</v>
      </c>
      <c r="N576" s="45" t="str">
        <f t="shared" ref="N576:N577" si="339">HYPERLINK("https://www.allenreddevils.com/recruit_me/prospective_student_athletes","Questionnaire")</f>
        <v>Questionnaire</v>
      </c>
      <c r="O576" s="48" t="s">
        <v>18257</v>
      </c>
      <c r="P576" s="60" t="s">
        <v>528</v>
      </c>
      <c r="Q576" s="48" t="s">
        <v>18258</v>
      </c>
      <c r="R576" s="60" t="s">
        <v>205</v>
      </c>
      <c r="S576" s="49" t="s">
        <v>74</v>
      </c>
      <c r="T576" s="48" t="s">
        <v>75</v>
      </c>
      <c r="U576" s="49" t="s">
        <v>3678</v>
      </c>
      <c r="V576" s="7" t="s">
        <v>214</v>
      </c>
      <c r="W576" s="49" t="s">
        <v>214</v>
      </c>
      <c r="X576" s="49" t="s">
        <v>214</v>
      </c>
      <c r="Y576" s="49" t="s">
        <v>214</v>
      </c>
      <c r="Z576" s="55" t="s">
        <v>214</v>
      </c>
      <c r="AA576" s="39">
        <v>11780</v>
      </c>
      <c r="AB576" s="90" t="s">
        <v>18257</v>
      </c>
      <c r="AC576" s="53" t="str">
        <f t="shared" ref="AC576:AC577" si="340">HYPERLINK("https://www.allencc.edu/index.php/admissions/academics","Link")</f>
        <v>Link</v>
      </c>
      <c r="AD576" s="42">
        <v>2379</v>
      </c>
      <c r="AE576" s="55"/>
      <c r="AF576" s="55"/>
      <c r="AG576" s="56">
        <v>154642</v>
      </c>
      <c r="AH576" s="56"/>
      <c r="AI576" s="56"/>
    </row>
    <row r="577" spans="1:35" ht="15" x14ac:dyDescent="0.2">
      <c r="A577" s="88" t="s">
        <v>2730</v>
      </c>
      <c r="B577" s="33" t="s">
        <v>12632</v>
      </c>
      <c r="C577" s="7" t="s">
        <v>18259</v>
      </c>
      <c r="D577" s="112">
        <v>5</v>
      </c>
      <c r="E577" s="7"/>
      <c r="F577" s="112"/>
      <c r="G577" s="2" t="s">
        <v>18251</v>
      </c>
      <c r="H577" s="2" t="s">
        <v>18261</v>
      </c>
      <c r="I577" s="2" t="s">
        <v>18263</v>
      </c>
      <c r="J577" s="2" t="s">
        <v>55</v>
      </c>
      <c r="K577" s="2" t="s">
        <v>18264</v>
      </c>
      <c r="L577" s="2"/>
      <c r="M577" s="45" t="str">
        <f t="shared" si="338"/>
        <v>@reddevilsb</v>
      </c>
      <c r="N577" s="45" t="str">
        <f t="shared" si="339"/>
        <v>Questionnaire</v>
      </c>
      <c r="O577" s="48" t="s">
        <v>18257</v>
      </c>
      <c r="P577" s="60" t="s">
        <v>528</v>
      </c>
      <c r="Q577" s="48" t="s">
        <v>18258</v>
      </c>
      <c r="R577" s="60" t="s">
        <v>205</v>
      </c>
      <c r="S577" s="49" t="s">
        <v>74</v>
      </c>
      <c r="T577" s="48" t="s">
        <v>75</v>
      </c>
      <c r="U577" s="49" t="s">
        <v>3678</v>
      </c>
      <c r="V577" s="7" t="s">
        <v>214</v>
      </c>
      <c r="W577" s="49" t="s">
        <v>214</v>
      </c>
      <c r="X577" s="49" t="s">
        <v>214</v>
      </c>
      <c r="Y577" s="49" t="s">
        <v>214</v>
      </c>
      <c r="Z577" s="55" t="s">
        <v>214</v>
      </c>
      <c r="AA577" s="39">
        <v>11780</v>
      </c>
      <c r="AB577" s="90" t="s">
        <v>18257</v>
      </c>
      <c r="AC577" s="53" t="str">
        <f t="shared" si="340"/>
        <v>Link</v>
      </c>
      <c r="AD577" s="42">
        <v>2379</v>
      </c>
      <c r="AE577" s="55"/>
      <c r="AF577" s="55"/>
      <c r="AG577" s="56">
        <v>154642</v>
      </c>
      <c r="AH577" s="56"/>
      <c r="AI577" s="56"/>
    </row>
    <row r="578" spans="1:35" ht="15" x14ac:dyDescent="0.2">
      <c r="A578" s="64" t="s">
        <v>2730</v>
      </c>
      <c r="B578" s="33" t="s">
        <v>12632</v>
      </c>
      <c r="C578" s="7" t="s">
        <v>18271</v>
      </c>
      <c r="D578" s="112">
        <v>5</v>
      </c>
      <c r="E578" s="7"/>
      <c r="F578" s="112"/>
      <c r="G578" s="2" t="s">
        <v>18272</v>
      </c>
      <c r="H578" s="2" t="s">
        <v>7130</v>
      </c>
      <c r="I578" s="2" t="s">
        <v>18273</v>
      </c>
      <c r="J578" s="2" t="s">
        <v>48</v>
      </c>
      <c r="K578" s="7" t="s">
        <v>18274</v>
      </c>
      <c r="L578" s="2" t="s">
        <v>18275</v>
      </c>
      <c r="M578" s="45" t="str">
        <f t="shared" ref="M578:M579" si="341">HYPERLINK("twitter.com/bccsoftball","@bccsoftball")</f>
        <v>@bccsoftball</v>
      </c>
      <c r="N578" s="45" t="str">
        <f t="shared" ref="N578:N579" si="342">HYPERLINK("http://www.bartonsports.com/join_the_team/prospectiveathlete","Questionnaire")</f>
        <v>Questionnaire</v>
      </c>
      <c r="O578" s="48" t="s">
        <v>18276</v>
      </c>
      <c r="P578" s="60" t="s">
        <v>528</v>
      </c>
      <c r="Q578" s="48" t="s">
        <v>18277</v>
      </c>
      <c r="R578" s="48" t="s">
        <v>172</v>
      </c>
      <c r="S578" s="49" t="s">
        <v>74</v>
      </c>
      <c r="T578" s="48" t="s">
        <v>75</v>
      </c>
      <c r="U578" s="49" t="s">
        <v>3678</v>
      </c>
      <c r="V578" s="7" t="s">
        <v>214</v>
      </c>
      <c r="W578" s="49" t="s">
        <v>214</v>
      </c>
      <c r="X578" s="49" t="s">
        <v>214</v>
      </c>
      <c r="Y578" s="49" t="s">
        <v>214</v>
      </c>
      <c r="Z578" s="55" t="s">
        <v>214</v>
      </c>
      <c r="AA578" s="48" t="s">
        <v>18278</v>
      </c>
      <c r="AB578" s="84" t="s">
        <v>18276</v>
      </c>
      <c r="AC578" s="53" t="str">
        <f t="shared" ref="AC578:AC579" si="343">HYPERLINK("https://www.bartonccc.edu/degreesprograms","Link")</f>
        <v>Link</v>
      </c>
      <c r="AD578" s="42">
        <v>4352</v>
      </c>
      <c r="AE578" s="55"/>
      <c r="AF578" s="55"/>
      <c r="AG578" s="56">
        <v>154697</v>
      </c>
      <c r="AH578" s="56"/>
      <c r="AI578" s="56"/>
    </row>
    <row r="579" spans="1:35" ht="15" x14ac:dyDescent="0.2">
      <c r="A579" s="64" t="s">
        <v>2730</v>
      </c>
      <c r="B579" s="33" t="s">
        <v>12632</v>
      </c>
      <c r="C579" s="7" t="s">
        <v>18284</v>
      </c>
      <c r="D579" s="112">
        <v>5</v>
      </c>
      <c r="E579" s="7"/>
      <c r="F579" s="112"/>
      <c r="G579" s="2" t="s">
        <v>18272</v>
      </c>
      <c r="H579" s="2" t="s">
        <v>1124</v>
      </c>
      <c r="I579" s="2" t="s">
        <v>18285</v>
      </c>
      <c r="J579" s="2" t="s">
        <v>55</v>
      </c>
      <c r="K579" s="2" t="s">
        <v>18286</v>
      </c>
      <c r="L579" s="2" t="s">
        <v>18287</v>
      </c>
      <c r="M579" s="45" t="str">
        <f t="shared" si="341"/>
        <v>@bccsoftball</v>
      </c>
      <c r="N579" s="45" t="str">
        <f t="shared" si="342"/>
        <v>Questionnaire</v>
      </c>
      <c r="O579" s="48" t="s">
        <v>18276</v>
      </c>
      <c r="P579" s="60" t="s">
        <v>528</v>
      </c>
      <c r="Q579" s="48" t="s">
        <v>18277</v>
      </c>
      <c r="R579" s="48" t="s">
        <v>172</v>
      </c>
      <c r="S579" s="49" t="s">
        <v>74</v>
      </c>
      <c r="T579" s="48" t="s">
        <v>75</v>
      </c>
      <c r="U579" s="49" t="s">
        <v>3678</v>
      </c>
      <c r="V579" s="7" t="s">
        <v>214</v>
      </c>
      <c r="W579" s="49" t="s">
        <v>214</v>
      </c>
      <c r="X579" s="49" t="s">
        <v>214</v>
      </c>
      <c r="Y579" s="49" t="s">
        <v>214</v>
      </c>
      <c r="Z579" s="55" t="s">
        <v>214</v>
      </c>
      <c r="AA579" s="48" t="s">
        <v>18278</v>
      </c>
      <c r="AB579" s="84" t="s">
        <v>18276</v>
      </c>
      <c r="AC579" s="53" t="str">
        <f t="shared" si="343"/>
        <v>Link</v>
      </c>
      <c r="AD579" s="42">
        <v>4352</v>
      </c>
      <c r="AE579" s="55"/>
      <c r="AF579" s="55"/>
      <c r="AG579" s="56">
        <v>154697</v>
      </c>
      <c r="AH579" s="56"/>
      <c r="AI579" s="56"/>
    </row>
    <row r="580" spans="1:35" ht="15" x14ac:dyDescent="0.2">
      <c r="A580" s="64" t="s">
        <v>2730</v>
      </c>
      <c r="B580" s="33" t="s">
        <v>12632</v>
      </c>
      <c r="C580" s="7" t="s">
        <v>18289</v>
      </c>
      <c r="D580" s="112">
        <v>5</v>
      </c>
      <c r="E580" s="7"/>
      <c r="F580" s="112"/>
      <c r="G580" s="2" t="s">
        <v>18290</v>
      </c>
      <c r="H580" s="2" t="s">
        <v>1454</v>
      </c>
      <c r="I580" s="2" t="s">
        <v>18291</v>
      </c>
      <c r="J580" s="2" t="s">
        <v>48</v>
      </c>
      <c r="K580" s="2" t="s">
        <v>18292</v>
      </c>
      <c r="L580" s="2" t="s">
        <v>18293</v>
      </c>
      <c r="M580" s="45" t="str">
        <f t="shared" ref="M580:M583" si="344">HYPERLINK("twitter.com/bucosoftball","@bucosoftball")</f>
        <v>@bucosoftball</v>
      </c>
      <c r="N580" s="45" t="str">
        <f t="shared" ref="N580:N583" si="345">HYPERLINK("https://www.frontrush.com/FR_Web_App/Player/PlayerSubmit.aspx?sid=MTI1OTY=-bOCc9YPQ178=&amp;ptype=recruit","Questionnaire")</f>
        <v>Questionnaire</v>
      </c>
      <c r="O580" s="48" t="s">
        <v>18297</v>
      </c>
      <c r="P580" s="60" t="s">
        <v>528</v>
      </c>
      <c r="Q580" s="48" t="s">
        <v>18298</v>
      </c>
      <c r="R580" s="48" t="s">
        <v>172</v>
      </c>
      <c r="S580" s="49" t="s">
        <v>74</v>
      </c>
      <c r="T580" s="48" t="s">
        <v>75</v>
      </c>
      <c r="U580" s="49" t="s">
        <v>3678</v>
      </c>
      <c r="V580" s="7" t="s">
        <v>214</v>
      </c>
      <c r="W580" s="49" t="s">
        <v>214</v>
      </c>
      <c r="X580" s="49" t="s">
        <v>214</v>
      </c>
      <c r="Y580" s="49" t="s">
        <v>214</v>
      </c>
      <c r="Z580" s="55" t="s">
        <v>214</v>
      </c>
      <c r="AA580" s="48" t="s">
        <v>18299</v>
      </c>
      <c r="AB580" s="90" t="s">
        <v>18297</v>
      </c>
      <c r="AC580" s="53" t="str">
        <f t="shared" ref="AC580:AC583" si="346">HYPERLINK("https://www.butlercc.edu/info/20002/academics/408/academic-departments","Link")</f>
        <v>Link</v>
      </c>
      <c r="AD580" s="42">
        <v>9190</v>
      </c>
      <c r="AE580" s="55"/>
      <c r="AF580" s="55"/>
      <c r="AG580" s="56">
        <v>154800</v>
      </c>
      <c r="AH580" s="56"/>
      <c r="AI580" s="56"/>
    </row>
    <row r="581" spans="1:35" ht="15" x14ac:dyDescent="0.2">
      <c r="A581" s="64" t="s">
        <v>2730</v>
      </c>
      <c r="B581" s="33" t="s">
        <v>12632</v>
      </c>
      <c r="C581" s="7" t="s">
        <v>18301</v>
      </c>
      <c r="D581" s="112">
        <v>5</v>
      </c>
      <c r="E581" s="7"/>
      <c r="F581" s="112"/>
      <c r="G581" s="2" t="s">
        <v>18290</v>
      </c>
      <c r="H581" s="2" t="s">
        <v>17720</v>
      </c>
      <c r="I581" s="2" t="s">
        <v>18303</v>
      </c>
      <c r="J581" s="2" t="s">
        <v>55</v>
      </c>
      <c r="K581" s="2" t="s">
        <v>18304</v>
      </c>
      <c r="L581" s="2" t="s">
        <v>18305</v>
      </c>
      <c r="M581" s="45" t="str">
        <f t="shared" si="344"/>
        <v>@bucosoftball</v>
      </c>
      <c r="N581" s="45" t="str">
        <f t="shared" si="345"/>
        <v>Questionnaire</v>
      </c>
      <c r="O581" s="48" t="s">
        <v>18297</v>
      </c>
      <c r="P581" s="60" t="s">
        <v>528</v>
      </c>
      <c r="Q581" s="48" t="s">
        <v>18298</v>
      </c>
      <c r="R581" s="48" t="s">
        <v>172</v>
      </c>
      <c r="S581" s="49" t="s">
        <v>74</v>
      </c>
      <c r="T581" s="48" t="s">
        <v>75</v>
      </c>
      <c r="U581" s="49" t="s">
        <v>3678</v>
      </c>
      <c r="V581" s="7" t="s">
        <v>214</v>
      </c>
      <c r="W581" s="49" t="s">
        <v>214</v>
      </c>
      <c r="X581" s="49" t="s">
        <v>214</v>
      </c>
      <c r="Y581" s="49" t="s">
        <v>214</v>
      </c>
      <c r="Z581" s="55" t="s">
        <v>214</v>
      </c>
      <c r="AA581" s="48" t="s">
        <v>18299</v>
      </c>
      <c r="AB581" s="90" t="s">
        <v>18297</v>
      </c>
      <c r="AC581" s="53" t="str">
        <f t="shared" si="346"/>
        <v>Link</v>
      </c>
      <c r="AD581" s="42">
        <v>9190</v>
      </c>
      <c r="AE581" s="55"/>
      <c r="AF581" s="55"/>
      <c r="AG581" s="56">
        <v>154800</v>
      </c>
      <c r="AH581" s="56"/>
      <c r="AI581" s="56"/>
    </row>
    <row r="582" spans="1:35" ht="15" x14ac:dyDescent="0.2">
      <c r="A582" s="64" t="s">
        <v>2730</v>
      </c>
      <c r="B582" s="33" t="s">
        <v>12632</v>
      </c>
      <c r="C582" s="7" t="s">
        <v>18306</v>
      </c>
      <c r="D582" s="112">
        <v>5</v>
      </c>
      <c r="E582" s="7"/>
      <c r="F582" s="112"/>
      <c r="G582" s="2" t="s">
        <v>18290</v>
      </c>
      <c r="H582" s="2" t="s">
        <v>8040</v>
      </c>
      <c r="I582" s="2" t="s">
        <v>378</v>
      </c>
      <c r="J582" s="2" t="s">
        <v>919</v>
      </c>
      <c r="K582" s="2"/>
      <c r="L582" s="2"/>
      <c r="M582" s="45" t="str">
        <f t="shared" si="344"/>
        <v>@bucosoftball</v>
      </c>
      <c r="N582" s="45" t="str">
        <f t="shared" si="345"/>
        <v>Questionnaire</v>
      </c>
      <c r="O582" s="48" t="s">
        <v>18297</v>
      </c>
      <c r="P582" s="60" t="s">
        <v>528</v>
      </c>
      <c r="Q582" s="48" t="s">
        <v>18298</v>
      </c>
      <c r="R582" s="48" t="s">
        <v>172</v>
      </c>
      <c r="S582" s="49" t="s">
        <v>74</v>
      </c>
      <c r="T582" s="48" t="s">
        <v>75</v>
      </c>
      <c r="U582" s="49" t="s">
        <v>3678</v>
      </c>
      <c r="V582" s="7" t="s">
        <v>214</v>
      </c>
      <c r="W582" s="49" t="s">
        <v>214</v>
      </c>
      <c r="X582" s="49" t="s">
        <v>214</v>
      </c>
      <c r="Y582" s="49" t="s">
        <v>214</v>
      </c>
      <c r="Z582" s="55" t="s">
        <v>214</v>
      </c>
      <c r="AA582" s="48" t="s">
        <v>18299</v>
      </c>
      <c r="AB582" s="90" t="s">
        <v>18297</v>
      </c>
      <c r="AC582" s="53" t="str">
        <f t="shared" si="346"/>
        <v>Link</v>
      </c>
      <c r="AD582" s="42">
        <v>9190</v>
      </c>
      <c r="AE582" s="55"/>
      <c r="AF582" s="55"/>
      <c r="AG582" s="56">
        <v>154800</v>
      </c>
      <c r="AH582" s="56"/>
      <c r="AI582" s="56"/>
    </row>
    <row r="583" spans="1:35" ht="15" x14ac:dyDescent="0.2">
      <c r="A583" s="64" t="s">
        <v>2730</v>
      </c>
      <c r="B583" s="33" t="s">
        <v>12632</v>
      </c>
      <c r="C583" s="7" t="s">
        <v>18311</v>
      </c>
      <c r="D583" s="112">
        <v>5</v>
      </c>
      <c r="E583" s="7"/>
      <c r="F583" s="112"/>
      <c r="G583" s="2" t="s">
        <v>18290</v>
      </c>
      <c r="H583" s="2" t="s">
        <v>644</v>
      </c>
      <c r="I583" s="2" t="s">
        <v>7709</v>
      </c>
      <c r="J583" s="2" t="s">
        <v>55</v>
      </c>
      <c r="K583" s="2" t="s">
        <v>18312</v>
      </c>
      <c r="L583" s="2" t="s">
        <v>18313</v>
      </c>
      <c r="M583" s="45" t="str">
        <f t="shared" si="344"/>
        <v>@bucosoftball</v>
      </c>
      <c r="N583" s="45" t="str">
        <f t="shared" si="345"/>
        <v>Questionnaire</v>
      </c>
      <c r="O583" s="48" t="s">
        <v>18297</v>
      </c>
      <c r="P583" s="60" t="s">
        <v>528</v>
      </c>
      <c r="Q583" s="48" t="s">
        <v>18298</v>
      </c>
      <c r="R583" s="48" t="s">
        <v>172</v>
      </c>
      <c r="S583" s="49" t="s">
        <v>74</v>
      </c>
      <c r="T583" s="48" t="s">
        <v>75</v>
      </c>
      <c r="U583" s="49" t="s">
        <v>3678</v>
      </c>
      <c r="V583" s="7" t="s">
        <v>214</v>
      </c>
      <c r="W583" s="49" t="s">
        <v>214</v>
      </c>
      <c r="X583" s="49" t="s">
        <v>214</v>
      </c>
      <c r="Y583" s="49" t="s">
        <v>214</v>
      </c>
      <c r="Z583" s="55" t="s">
        <v>214</v>
      </c>
      <c r="AA583" s="48" t="s">
        <v>18299</v>
      </c>
      <c r="AB583" s="90" t="s">
        <v>18297</v>
      </c>
      <c r="AC583" s="53" t="str">
        <f t="shared" si="346"/>
        <v>Link</v>
      </c>
      <c r="AD583" s="42">
        <v>9190</v>
      </c>
      <c r="AE583" s="55"/>
      <c r="AF583" s="55"/>
      <c r="AG583" s="56">
        <v>154800</v>
      </c>
      <c r="AH583" s="56"/>
      <c r="AI583" s="56"/>
    </row>
    <row r="584" spans="1:35" ht="15" x14ac:dyDescent="0.2">
      <c r="A584" s="64" t="s">
        <v>2730</v>
      </c>
      <c r="B584" s="33" t="s">
        <v>12632</v>
      </c>
      <c r="C584" s="7" t="s">
        <v>18315</v>
      </c>
      <c r="D584" s="112">
        <v>5</v>
      </c>
      <c r="E584" s="7"/>
      <c r="F584" s="112"/>
      <c r="G584" s="2" t="s">
        <v>18316</v>
      </c>
      <c r="H584" s="2" t="s">
        <v>5470</v>
      </c>
      <c r="I584" s="2" t="s">
        <v>18317</v>
      </c>
      <c r="J584" s="2" t="s">
        <v>48</v>
      </c>
      <c r="K584" s="2" t="s">
        <v>18318</v>
      </c>
      <c r="L584" s="2" t="s">
        <v>18319</v>
      </c>
      <c r="M584" s="48"/>
      <c r="N584" s="45" t="str">
        <f t="shared" ref="N584:N585" si="347">HYPERLINK("http://cloudtbirds.com/navbar-Recruit","Questionnaire")</f>
        <v>Questionnaire</v>
      </c>
      <c r="O584" s="48" t="s">
        <v>18321</v>
      </c>
      <c r="P584" s="60" t="s">
        <v>528</v>
      </c>
      <c r="Q584" s="48" t="s">
        <v>18322</v>
      </c>
      <c r="R584" s="60" t="s">
        <v>205</v>
      </c>
      <c r="S584" s="49" t="s">
        <v>74</v>
      </c>
      <c r="T584" s="48" t="s">
        <v>75</v>
      </c>
      <c r="U584" s="49" t="s">
        <v>3678</v>
      </c>
      <c r="V584" s="7" t="s">
        <v>214</v>
      </c>
      <c r="W584" s="49" t="s">
        <v>214</v>
      </c>
      <c r="X584" s="49" t="s">
        <v>214</v>
      </c>
      <c r="Y584" s="49" t="s">
        <v>214</v>
      </c>
      <c r="Z584" s="55" t="s">
        <v>214</v>
      </c>
      <c r="AA584" s="48" t="s">
        <v>18323</v>
      </c>
      <c r="AB584" s="52" t="s">
        <v>18321</v>
      </c>
      <c r="AC584" s="53" t="str">
        <f t="shared" ref="AC584:AC585" si="348">HYPERLINK("https://www.cloud.edu/Academics/index","Link")</f>
        <v>Link</v>
      </c>
      <c r="AD584" s="42">
        <v>2038</v>
      </c>
      <c r="AE584" s="55"/>
      <c r="AF584" s="55"/>
      <c r="AG584" s="56">
        <v>154907</v>
      </c>
      <c r="AH584" s="56"/>
      <c r="AI584" s="56"/>
    </row>
    <row r="585" spans="1:35" ht="15" x14ac:dyDescent="0.2">
      <c r="A585" s="64" t="s">
        <v>2730</v>
      </c>
      <c r="B585" s="33" t="s">
        <v>12632</v>
      </c>
      <c r="C585" s="7" t="s">
        <v>18327</v>
      </c>
      <c r="D585" s="112">
        <v>5</v>
      </c>
      <c r="E585" s="7"/>
      <c r="F585" s="112"/>
      <c r="G585" s="2" t="s">
        <v>18316</v>
      </c>
      <c r="H585" s="2" t="s">
        <v>18328</v>
      </c>
      <c r="I585" s="2" t="s">
        <v>18329</v>
      </c>
      <c r="J585" s="2" t="s">
        <v>55</v>
      </c>
      <c r="K585" s="2"/>
      <c r="L585" s="2"/>
      <c r="M585" s="48"/>
      <c r="N585" s="45" t="str">
        <f t="shared" si="347"/>
        <v>Questionnaire</v>
      </c>
      <c r="O585" s="48" t="s">
        <v>18321</v>
      </c>
      <c r="P585" s="60" t="s">
        <v>528</v>
      </c>
      <c r="Q585" s="48" t="s">
        <v>18322</v>
      </c>
      <c r="R585" s="60" t="s">
        <v>205</v>
      </c>
      <c r="S585" s="49" t="s">
        <v>74</v>
      </c>
      <c r="T585" s="48" t="s">
        <v>75</v>
      </c>
      <c r="U585" s="49" t="s">
        <v>3678</v>
      </c>
      <c r="V585" s="7" t="s">
        <v>214</v>
      </c>
      <c r="W585" s="49" t="s">
        <v>214</v>
      </c>
      <c r="X585" s="49" t="s">
        <v>214</v>
      </c>
      <c r="Y585" s="49" t="s">
        <v>214</v>
      </c>
      <c r="Z585" s="55" t="s">
        <v>214</v>
      </c>
      <c r="AA585" s="48" t="s">
        <v>18323</v>
      </c>
      <c r="AB585" s="52" t="s">
        <v>18321</v>
      </c>
      <c r="AC585" s="53" t="str">
        <f t="shared" si="348"/>
        <v>Link</v>
      </c>
      <c r="AD585" s="42">
        <v>2038</v>
      </c>
      <c r="AE585" s="55"/>
      <c r="AF585" s="55"/>
      <c r="AG585" s="56">
        <v>154907</v>
      </c>
      <c r="AH585" s="56"/>
      <c r="AI585" s="56"/>
    </row>
    <row r="586" spans="1:35" ht="15" x14ac:dyDescent="0.2">
      <c r="A586" s="64" t="s">
        <v>2730</v>
      </c>
      <c r="B586" s="33" t="s">
        <v>12632</v>
      </c>
      <c r="C586" s="7" t="s">
        <v>18330</v>
      </c>
      <c r="D586" s="112">
        <v>5</v>
      </c>
      <c r="E586" s="7" t="s">
        <v>116</v>
      </c>
      <c r="F586" s="7"/>
      <c r="G586" s="2" t="s">
        <v>18331</v>
      </c>
      <c r="H586" s="7" t="s">
        <v>18332</v>
      </c>
      <c r="I586" s="7" t="s">
        <v>18333</v>
      </c>
      <c r="J586" s="7" t="s">
        <v>48</v>
      </c>
      <c r="K586" s="7" t="s">
        <v>18334</v>
      </c>
      <c r="L586" s="7" t="s">
        <v>18335</v>
      </c>
      <c r="M586" s="45" t="str">
        <f t="shared" ref="M586:M587" si="349">HYPERLINK("twitter.com/cvilleredravens","@cvilleredravens")</f>
        <v>@cvilleredravens</v>
      </c>
      <c r="N586" s="45" t="str">
        <f>HYPERLINK("twitter.com/https://redravenathletics.com/sports/sball/Recruit_Questionnaire","Questionnaire")</f>
        <v>Questionnaire</v>
      </c>
      <c r="O586" s="48" t="s">
        <v>18339</v>
      </c>
      <c r="P586" s="60" t="s">
        <v>528</v>
      </c>
      <c r="Q586" s="48" t="s">
        <v>18340</v>
      </c>
      <c r="R586" s="60" t="s">
        <v>205</v>
      </c>
      <c r="S586" s="49" t="s">
        <v>74</v>
      </c>
      <c r="T586" s="48" t="s">
        <v>75</v>
      </c>
      <c r="U586" s="49" t="s">
        <v>3678</v>
      </c>
      <c r="V586" s="7" t="s">
        <v>214</v>
      </c>
      <c r="W586" s="49" t="s">
        <v>214</v>
      </c>
      <c r="X586" s="49" t="s">
        <v>214</v>
      </c>
      <c r="Y586" s="49" t="s">
        <v>214</v>
      </c>
      <c r="Z586" s="49" t="s">
        <v>214</v>
      </c>
      <c r="AA586" s="48" t="s">
        <v>18341</v>
      </c>
      <c r="AB586" s="52" t="s">
        <v>18339</v>
      </c>
      <c r="AC586" s="53" t="str">
        <f t="shared" ref="AC586:AC587" si="350">HYPERLINK("http://www.coffeyville.edu/academics","Link")</f>
        <v>Link</v>
      </c>
      <c r="AD586" s="42">
        <v>1703</v>
      </c>
      <c r="AE586" s="55"/>
      <c r="AF586" s="55"/>
      <c r="AG586" s="56">
        <v>154925</v>
      </c>
      <c r="AH586" s="56"/>
      <c r="AI586" s="56"/>
    </row>
    <row r="587" spans="1:35" ht="15" x14ac:dyDescent="0.2">
      <c r="A587" s="64" t="s">
        <v>2730</v>
      </c>
      <c r="B587" s="33" t="s">
        <v>12632</v>
      </c>
      <c r="C587" s="7" t="s">
        <v>18346</v>
      </c>
      <c r="D587" s="112">
        <v>5</v>
      </c>
      <c r="E587" s="7"/>
      <c r="F587" s="112"/>
      <c r="G587" s="2" t="s">
        <v>18331</v>
      </c>
      <c r="H587" s="2" t="s">
        <v>18347</v>
      </c>
      <c r="I587" s="2" t="s">
        <v>9115</v>
      </c>
      <c r="J587" s="2" t="s">
        <v>919</v>
      </c>
      <c r="K587" s="2" t="s">
        <v>18348</v>
      </c>
      <c r="L587" s="2"/>
      <c r="M587" s="96" t="str">
        <f t="shared" si="349"/>
        <v>@cvilleredravens</v>
      </c>
      <c r="N587" s="48"/>
      <c r="O587" s="48" t="s">
        <v>18339</v>
      </c>
      <c r="P587" s="60" t="s">
        <v>528</v>
      </c>
      <c r="Q587" s="48" t="s">
        <v>18340</v>
      </c>
      <c r="R587" s="60" t="s">
        <v>205</v>
      </c>
      <c r="S587" s="49" t="s">
        <v>74</v>
      </c>
      <c r="T587" s="48" t="s">
        <v>75</v>
      </c>
      <c r="U587" s="49" t="s">
        <v>3678</v>
      </c>
      <c r="V587" s="7" t="s">
        <v>214</v>
      </c>
      <c r="W587" s="49" t="s">
        <v>214</v>
      </c>
      <c r="X587" s="49" t="s">
        <v>214</v>
      </c>
      <c r="Y587" s="49" t="s">
        <v>214</v>
      </c>
      <c r="Z587" s="49" t="s">
        <v>214</v>
      </c>
      <c r="AA587" s="48" t="s">
        <v>18341</v>
      </c>
      <c r="AB587" s="52" t="s">
        <v>18339</v>
      </c>
      <c r="AC587" s="53" t="str">
        <f t="shared" si="350"/>
        <v>Link</v>
      </c>
      <c r="AD587" s="42">
        <v>1703</v>
      </c>
      <c r="AE587" s="55"/>
      <c r="AF587" s="55"/>
      <c r="AG587" s="56">
        <v>154925</v>
      </c>
      <c r="AH587" s="56"/>
      <c r="AI587" s="56"/>
    </row>
    <row r="588" spans="1:35" ht="15" x14ac:dyDescent="0.2">
      <c r="A588" s="64" t="s">
        <v>2730</v>
      </c>
      <c r="B588" s="33" t="s">
        <v>12632</v>
      </c>
      <c r="C588" s="7" t="s">
        <v>18351</v>
      </c>
      <c r="D588" s="112">
        <v>5</v>
      </c>
      <c r="E588" s="7"/>
      <c r="F588" s="112"/>
      <c r="G588" s="2" t="s">
        <v>18352</v>
      </c>
      <c r="H588" s="2" t="s">
        <v>363</v>
      </c>
      <c r="I588" s="2" t="s">
        <v>18353</v>
      </c>
      <c r="J588" s="2" t="s">
        <v>48</v>
      </c>
      <c r="K588" s="2" t="s">
        <v>18354</v>
      </c>
      <c r="L588" s="2" t="s">
        <v>18355</v>
      </c>
      <c r="M588" s="45" t="str">
        <f t="shared" ref="M588:M590" si="351">HYPERLINK("twitter.com/colby_softball","@colby_softball")</f>
        <v>@colby_softball</v>
      </c>
      <c r="N588" s="45" t="str">
        <f t="shared" ref="N588:N590" si="352">HYPERLINK("https://www.colbytrojans.com/navbar-recruits","Questionnaire")</f>
        <v>Questionnaire</v>
      </c>
      <c r="O588" s="48" t="s">
        <v>18356</v>
      </c>
      <c r="P588" s="60" t="s">
        <v>528</v>
      </c>
      <c r="Q588" s="48" t="s">
        <v>18357</v>
      </c>
      <c r="R588" s="60" t="s">
        <v>205</v>
      </c>
      <c r="S588" s="49" t="s">
        <v>74</v>
      </c>
      <c r="T588" s="48" t="s">
        <v>75</v>
      </c>
      <c r="U588" s="49" t="s">
        <v>3678</v>
      </c>
      <c r="V588" s="7" t="s">
        <v>214</v>
      </c>
      <c r="W588" s="49" t="s">
        <v>214</v>
      </c>
      <c r="X588" s="49" t="s">
        <v>214</v>
      </c>
      <c r="Y588" s="49" t="s">
        <v>214</v>
      </c>
      <c r="Z588" s="55" t="s">
        <v>214</v>
      </c>
      <c r="AA588" s="48" t="s">
        <v>18359</v>
      </c>
      <c r="AB588" s="52" t="s">
        <v>18356</v>
      </c>
      <c r="AC588" s="53" t="str">
        <f t="shared" ref="AC588:AC590" si="353">HYPERLINK("http://www.colbycc.edu/academics/index.html","Link")</f>
        <v>Link</v>
      </c>
      <c r="AD588" s="42">
        <v>1227</v>
      </c>
      <c r="AE588" s="55"/>
      <c r="AF588" s="55"/>
      <c r="AG588" s="56">
        <v>154934</v>
      </c>
      <c r="AH588" s="56"/>
      <c r="AI588" s="56"/>
    </row>
    <row r="589" spans="1:35" ht="15" x14ac:dyDescent="0.2">
      <c r="A589" s="64" t="s">
        <v>2730</v>
      </c>
      <c r="B589" s="33" t="s">
        <v>12632</v>
      </c>
      <c r="C589" s="7" t="s">
        <v>18361</v>
      </c>
      <c r="D589" s="112">
        <v>5</v>
      </c>
      <c r="E589" s="7"/>
      <c r="F589" s="112"/>
      <c r="G589" s="2" t="s">
        <v>18352</v>
      </c>
      <c r="H589" s="2" t="s">
        <v>2150</v>
      </c>
      <c r="I589" s="2" t="s">
        <v>18362</v>
      </c>
      <c r="J589" s="2" t="s">
        <v>55</v>
      </c>
      <c r="K589" s="2" t="s">
        <v>18363</v>
      </c>
      <c r="L589" s="2" t="s">
        <v>18364</v>
      </c>
      <c r="M589" s="45" t="str">
        <f t="shared" si="351"/>
        <v>@colby_softball</v>
      </c>
      <c r="N589" s="45" t="str">
        <f t="shared" si="352"/>
        <v>Questionnaire</v>
      </c>
      <c r="O589" s="48" t="s">
        <v>18356</v>
      </c>
      <c r="P589" s="60" t="s">
        <v>528</v>
      </c>
      <c r="Q589" s="48" t="s">
        <v>18357</v>
      </c>
      <c r="R589" s="60" t="s">
        <v>205</v>
      </c>
      <c r="S589" s="49" t="s">
        <v>74</v>
      </c>
      <c r="T589" s="48" t="s">
        <v>75</v>
      </c>
      <c r="U589" s="49" t="s">
        <v>3678</v>
      </c>
      <c r="V589" s="7" t="s">
        <v>214</v>
      </c>
      <c r="W589" s="49" t="s">
        <v>214</v>
      </c>
      <c r="X589" s="49" t="s">
        <v>214</v>
      </c>
      <c r="Y589" s="49" t="s">
        <v>214</v>
      </c>
      <c r="Z589" s="55" t="s">
        <v>214</v>
      </c>
      <c r="AA589" s="48" t="s">
        <v>18359</v>
      </c>
      <c r="AB589" s="52" t="s">
        <v>18356</v>
      </c>
      <c r="AC589" s="53" t="str">
        <f t="shared" si="353"/>
        <v>Link</v>
      </c>
      <c r="AD589" s="42">
        <v>1227</v>
      </c>
      <c r="AE589" s="55"/>
      <c r="AF589" s="55"/>
      <c r="AG589" s="56">
        <v>154934</v>
      </c>
      <c r="AH589" s="56"/>
      <c r="AI589" s="56"/>
    </row>
    <row r="590" spans="1:35" ht="15" x14ac:dyDescent="0.2">
      <c r="A590" s="64" t="s">
        <v>2730</v>
      </c>
      <c r="B590" s="33" t="s">
        <v>12632</v>
      </c>
      <c r="C590" s="7" t="s">
        <v>18370</v>
      </c>
      <c r="D590" s="112">
        <v>5</v>
      </c>
      <c r="E590" s="7"/>
      <c r="F590" s="112"/>
      <c r="G590" s="2" t="s">
        <v>18352</v>
      </c>
      <c r="H590" s="2" t="s">
        <v>234</v>
      </c>
      <c r="I590" s="2" t="s">
        <v>4793</v>
      </c>
      <c r="J590" s="2" t="s">
        <v>55</v>
      </c>
      <c r="K590" s="2" t="s">
        <v>18371</v>
      </c>
      <c r="L590" s="2"/>
      <c r="M590" s="45" t="str">
        <f t="shared" si="351"/>
        <v>@colby_softball</v>
      </c>
      <c r="N590" s="45" t="str">
        <f t="shared" si="352"/>
        <v>Questionnaire</v>
      </c>
      <c r="O590" s="48" t="s">
        <v>18356</v>
      </c>
      <c r="P590" s="60" t="s">
        <v>528</v>
      </c>
      <c r="Q590" s="48" t="s">
        <v>18357</v>
      </c>
      <c r="R590" s="60" t="s">
        <v>205</v>
      </c>
      <c r="S590" s="49" t="s">
        <v>74</v>
      </c>
      <c r="T590" s="48" t="s">
        <v>75</v>
      </c>
      <c r="U590" s="49" t="s">
        <v>3678</v>
      </c>
      <c r="V590" s="7" t="s">
        <v>214</v>
      </c>
      <c r="W590" s="49" t="s">
        <v>214</v>
      </c>
      <c r="X590" s="49" t="s">
        <v>214</v>
      </c>
      <c r="Y590" s="49" t="s">
        <v>214</v>
      </c>
      <c r="Z590" s="55" t="s">
        <v>214</v>
      </c>
      <c r="AA590" s="48" t="s">
        <v>18359</v>
      </c>
      <c r="AB590" s="52" t="s">
        <v>18356</v>
      </c>
      <c r="AC590" s="53" t="str">
        <f t="shared" si="353"/>
        <v>Link</v>
      </c>
      <c r="AD590" s="42">
        <v>1227</v>
      </c>
      <c r="AE590" s="55"/>
      <c r="AF590" s="55"/>
      <c r="AG590" s="56">
        <v>154934</v>
      </c>
      <c r="AH590" s="56"/>
      <c r="AI590" s="56"/>
    </row>
    <row r="591" spans="1:35" ht="15" x14ac:dyDescent="0.2">
      <c r="A591" s="64" t="s">
        <v>2730</v>
      </c>
      <c r="B591" s="33" t="s">
        <v>12632</v>
      </c>
      <c r="C591" s="7" t="s">
        <v>18376</v>
      </c>
      <c r="D591" s="112">
        <v>5</v>
      </c>
      <c r="E591" s="7"/>
      <c r="F591" s="112"/>
      <c r="G591" s="2" t="s">
        <v>18377</v>
      </c>
      <c r="H591" s="2" t="s">
        <v>5168</v>
      </c>
      <c r="I591" s="2" t="s">
        <v>10054</v>
      </c>
      <c r="J591" s="2" t="s">
        <v>48</v>
      </c>
      <c r="K591" s="2" t="s">
        <v>18378</v>
      </c>
      <c r="L591" s="2" t="s">
        <v>18379</v>
      </c>
      <c r="M591" s="48"/>
      <c r="N591" s="45" t="str">
        <f t="shared" ref="N591:N593" si="354">HYPERLINK("https://cowleytigers.com/sb_output.aspx?form=3&amp;path=wrestling","Questionnaire")</f>
        <v>Questionnaire</v>
      </c>
      <c r="O591" s="48" t="s">
        <v>18381</v>
      </c>
      <c r="P591" s="60" t="s">
        <v>528</v>
      </c>
      <c r="Q591" s="48" t="s">
        <v>18382</v>
      </c>
      <c r="R591" s="60" t="s">
        <v>205</v>
      </c>
      <c r="S591" s="49" t="s">
        <v>74</v>
      </c>
      <c r="T591" s="48" t="s">
        <v>75</v>
      </c>
      <c r="U591" s="49" t="s">
        <v>3678</v>
      </c>
      <c r="V591" s="7" t="s">
        <v>214</v>
      </c>
      <c r="W591" s="49" t="s">
        <v>214</v>
      </c>
      <c r="X591" s="49" t="s">
        <v>214</v>
      </c>
      <c r="Y591" s="49" t="s">
        <v>214</v>
      </c>
      <c r="Z591" s="55" t="s">
        <v>214</v>
      </c>
      <c r="AA591" s="48" t="s">
        <v>18383</v>
      </c>
      <c r="AB591" s="84" t="s">
        <v>18381</v>
      </c>
      <c r="AC591" s="53" t="str">
        <f t="shared" ref="AC591:AC593" si="355">HYPERLINK("https://www.cowley.edu/departments/","Link")</f>
        <v>Link</v>
      </c>
      <c r="AD591" s="42">
        <v>2939</v>
      </c>
      <c r="AE591" s="55"/>
      <c r="AF591" s="55"/>
      <c r="AG591" s="56">
        <v>154952</v>
      </c>
      <c r="AH591" s="56"/>
      <c r="AI591" s="56"/>
    </row>
    <row r="592" spans="1:35" ht="15" x14ac:dyDescent="0.2">
      <c r="A592" s="64" t="s">
        <v>2730</v>
      </c>
      <c r="B592" s="33" t="s">
        <v>12632</v>
      </c>
      <c r="C592" s="7" t="s">
        <v>18384</v>
      </c>
      <c r="D592" s="112">
        <v>5</v>
      </c>
      <c r="E592" s="7"/>
      <c r="F592" s="112" t="s">
        <v>126</v>
      </c>
      <c r="G592" s="2" t="s">
        <v>18377</v>
      </c>
      <c r="H592" s="2" t="s">
        <v>18385</v>
      </c>
      <c r="I592" s="2"/>
      <c r="J592" s="2"/>
      <c r="K592" s="2"/>
      <c r="L592" s="2"/>
      <c r="M592" s="48"/>
      <c r="N592" s="45" t="str">
        <f t="shared" si="354"/>
        <v>Questionnaire</v>
      </c>
      <c r="O592" s="48" t="s">
        <v>18381</v>
      </c>
      <c r="P592" s="60" t="s">
        <v>528</v>
      </c>
      <c r="Q592" s="48" t="s">
        <v>18382</v>
      </c>
      <c r="R592" s="60" t="s">
        <v>205</v>
      </c>
      <c r="S592" s="49" t="s">
        <v>74</v>
      </c>
      <c r="T592" s="48" t="s">
        <v>75</v>
      </c>
      <c r="U592" s="49" t="s">
        <v>3678</v>
      </c>
      <c r="V592" s="7" t="s">
        <v>214</v>
      </c>
      <c r="W592" s="49" t="s">
        <v>214</v>
      </c>
      <c r="X592" s="49" t="s">
        <v>214</v>
      </c>
      <c r="Y592" s="49" t="s">
        <v>214</v>
      </c>
      <c r="Z592" s="55" t="s">
        <v>214</v>
      </c>
      <c r="AA592" s="48" t="s">
        <v>18383</v>
      </c>
      <c r="AB592" s="84" t="s">
        <v>18381</v>
      </c>
      <c r="AC592" s="53" t="str">
        <f t="shared" si="355"/>
        <v>Link</v>
      </c>
      <c r="AD592" s="42">
        <v>2939</v>
      </c>
      <c r="AE592" s="55"/>
      <c r="AF592" s="55"/>
      <c r="AG592" s="56">
        <v>154952</v>
      </c>
      <c r="AH592" s="56"/>
      <c r="AI592" s="56"/>
    </row>
    <row r="593" spans="1:35" ht="15" x14ac:dyDescent="0.2">
      <c r="A593" s="64" t="s">
        <v>2730</v>
      </c>
      <c r="B593" s="33" t="s">
        <v>12632</v>
      </c>
      <c r="C593" s="7" t="s">
        <v>18388</v>
      </c>
      <c r="D593" s="112">
        <v>5</v>
      </c>
      <c r="E593" s="7"/>
      <c r="F593" s="112"/>
      <c r="G593" s="2" t="s">
        <v>18377</v>
      </c>
      <c r="H593" s="2" t="s">
        <v>1717</v>
      </c>
      <c r="I593" s="2" t="s">
        <v>18389</v>
      </c>
      <c r="J593" s="2" t="s">
        <v>55</v>
      </c>
      <c r="K593" s="2" t="s">
        <v>18390</v>
      </c>
      <c r="L593" s="2"/>
      <c r="M593" s="48"/>
      <c r="N593" s="45" t="str">
        <f t="shared" si="354"/>
        <v>Questionnaire</v>
      </c>
      <c r="O593" s="48" t="s">
        <v>18381</v>
      </c>
      <c r="P593" s="60" t="s">
        <v>528</v>
      </c>
      <c r="Q593" s="48" t="s">
        <v>18382</v>
      </c>
      <c r="R593" s="60" t="s">
        <v>205</v>
      </c>
      <c r="S593" s="49" t="s">
        <v>74</v>
      </c>
      <c r="T593" s="48" t="s">
        <v>75</v>
      </c>
      <c r="U593" s="49" t="s">
        <v>3678</v>
      </c>
      <c r="V593" s="7" t="s">
        <v>214</v>
      </c>
      <c r="W593" s="49" t="s">
        <v>214</v>
      </c>
      <c r="X593" s="49" t="s">
        <v>214</v>
      </c>
      <c r="Y593" s="49" t="s">
        <v>214</v>
      </c>
      <c r="Z593" s="55" t="s">
        <v>214</v>
      </c>
      <c r="AA593" s="48" t="s">
        <v>18383</v>
      </c>
      <c r="AB593" s="84" t="s">
        <v>18381</v>
      </c>
      <c r="AC593" s="53" t="str">
        <f t="shared" si="355"/>
        <v>Link</v>
      </c>
      <c r="AD593" s="42">
        <v>2939</v>
      </c>
      <c r="AE593" s="55"/>
      <c r="AF593" s="55"/>
      <c r="AG593" s="56">
        <v>154952</v>
      </c>
      <c r="AH593" s="56"/>
      <c r="AI593" s="56"/>
    </row>
    <row r="594" spans="1:35" ht="15" x14ac:dyDescent="0.2">
      <c r="A594" s="64" t="s">
        <v>2730</v>
      </c>
      <c r="B594" s="33" t="s">
        <v>12632</v>
      </c>
      <c r="C594" s="7" t="s">
        <v>18394</v>
      </c>
      <c r="D594" s="112">
        <v>5</v>
      </c>
      <c r="E594" s="7"/>
      <c r="F594" s="112"/>
      <c r="G594" s="2" t="s">
        <v>18395</v>
      </c>
      <c r="H594" s="2" t="s">
        <v>18396</v>
      </c>
      <c r="I594" s="2" t="s">
        <v>2919</v>
      </c>
      <c r="J594" s="2" t="s">
        <v>48</v>
      </c>
      <c r="K594" s="2" t="s">
        <v>18397</v>
      </c>
      <c r="L594" s="2" t="s">
        <v>18398</v>
      </c>
      <c r="M594" s="45" t="str">
        <f t="shared" ref="M594:M595" si="356">HYPERLINK("twitter.com/dc3softball","@dc3softball")</f>
        <v>@dc3softball</v>
      </c>
      <c r="N594" s="45" t="str">
        <f t="shared" ref="N594:N595" si="357">HYPERLINK("https://goconqs.com/sb_output.aspx?form=4","Questionnaire")</f>
        <v>Questionnaire</v>
      </c>
      <c r="O594" s="48" t="s">
        <v>18401</v>
      </c>
      <c r="P594" s="60" t="s">
        <v>528</v>
      </c>
      <c r="Q594" s="48" t="s">
        <v>18402</v>
      </c>
      <c r="R594" s="48" t="s">
        <v>468</v>
      </c>
      <c r="S594" s="49" t="s">
        <v>74</v>
      </c>
      <c r="T594" s="48" t="s">
        <v>75</v>
      </c>
      <c r="U594" s="49" t="s">
        <v>3678</v>
      </c>
      <c r="V594" s="7" t="s">
        <v>214</v>
      </c>
      <c r="W594" s="49" t="s">
        <v>214</v>
      </c>
      <c r="X594" s="49" t="s">
        <v>214</v>
      </c>
      <c r="Y594" s="49" t="s">
        <v>214</v>
      </c>
      <c r="Z594" s="55" t="s">
        <v>214</v>
      </c>
      <c r="AA594" s="48" t="s">
        <v>18403</v>
      </c>
      <c r="AB594" s="84" t="s">
        <v>18401</v>
      </c>
      <c r="AC594" s="53" t="str">
        <f t="shared" ref="AC594:AC595" si="358">HYPERLINK("http://dc3.edu/academics/degree-programs/","Link")</f>
        <v>Link</v>
      </c>
      <c r="AD594" s="42">
        <v>1804</v>
      </c>
      <c r="AE594" s="55"/>
      <c r="AF594" s="55"/>
      <c r="AG594" s="56">
        <v>154998</v>
      </c>
      <c r="AH594" s="56"/>
      <c r="AI594" s="56"/>
    </row>
    <row r="595" spans="1:35" ht="15" x14ac:dyDescent="0.2">
      <c r="A595" s="64" t="s">
        <v>2730</v>
      </c>
      <c r="B595" s="33" t="s">
        <v>12632</v>
      </c>
      <c r="C595" s="7" t="s">
        <v>18407</v>
      </c>
      <c r="D595" s="112">
        <v>5</v>
      </c>
      <c r="E595" s="7"/>
      <c r="F595" s="112" t="s">
        <v>126</v>
      </c>
      <c r="G595" s="2" t="s">
        <v>18395</v>
      </c>
      <c r="H595" s="2" t="s">
        <v>1956</v>
      </c>
      <c r="I595" s="2" t="s">
        <v>3046</v>
      </c>
      <c r="J595" s="2" t="s">
        <v>55</v>
      </c>
      <c r="K595" s="2" t="s">
        <v>18408</v>
      </c>
      <c r="L595" s="2" t="s">
        <v>18409</v>
      </c>
      <c r="M595" s="45" t="str">
        <f t="shared" si="356"/>
        <v>@dc3softball</v>
      </c>
      <c r="N595" s="45" t="str">
        <f t="shared" si="357"/>
        <v>Questionnaire</v>
      </c>
      <c r="O595" s="48" t="s">
        <v>18401</v>
      </c>
      <c r="P595" s="60" t="s">
        <v>528</v>
      </c>
      <c r="Q595" s="48" t="s">
        <v>18402</v>
      </c>
      <c r="R595" s="48" t="s">
        <v>468</v>
      </c>
      <c r="S595" s="49" t="s">
        <v>74</v>
      </c>
      <c r="T595" s="48" t="s">
        <v>75</v>
      </c>
      <c r="U595" s="49" t="s">
        <v>3678</v>
      </c>
      <c r="V595" s="7" t="s">
        <v>214</v>
      </c>
      <c r="W595" s="49" t="s">
        <v>214</v>
      </c>
      <c r="X595" s="49" t="s">
        <v>214</v>
      </c>
      <c r="Y595" s="49" t="s">
        <v>214</v>
      </c>
      <c r="Z595" s="55" t="s">
        <v>214</v>
      </c>
      <c r="AA595" s="48" t="s">
        <v>18403</v>
      </c>
      <c r="AB595" s="84" t="s">
        <v>18401</v>
      </c>
      <c r="AC595" s="53" t="str">
        <f t="shared" si="358"/>
        <v>Link</v>
      </c>
      <c r="AD595" s="42">
        <v>1804</v>
      </c>
      <c r="AE595" s="55"/>
      <c r="AF595" s="55"/>
      <c r="AG595" s="56">
        <v>154998</v>
      </c>
      <c r="AH595" s="56"/>
      <c r="AI595" s="56"/>
    </row>
    <row r="596" spans="1:35" ht="15" x14ac:dyDescent="0.2">
      <c r="A596" s="64" t="s">
        <v>2730</v>
      </c>
      <c r="B596" s="33" t="s">
        <v>12632</v>
      </c>
      <c r="C596" s="7" t="s">
        <v>18411</v>
      </c>
      <c r="D596" s="112">
        <v>5</v>
      </c>
      <c r="E596" s="7"/>
      <c r="F596" s="112"/>
      <c r="G596" s="2" t="s">
        <v>18412</v>
      </c>
      <c r="H596" s="2" t="s">
        <v>18413</v>
      </c>
      <c r="I596" s="2" t="s">
        <v>1342</v>
      </c>
      <c r="J596" s="2" t="s">
        <v>48</v>
      </c>
      <c r="K596" s="2" t="s">
        <v>18414</v>
      </c>
      <c r="L596" s="2" t="s">
        <v>18415</v>
      </c>
      <c r="M596" s="45" t="str">
        <f t="shared" ref="M596:M597" si="359">HYPERLINK("twitter.com/fsccsbhounds","@fsccsbhounds")</f>
        <v>@fsccsbhounds</v>
      </c>
      <c r="N596" s="45" t="str">
        <f t="shared" ref="N596:N597" si="360">HYPERLINK("https://www.fsgreyhounds.com/recruit_me/index","Questionnaire")</f>
        <v>Questionnaire</v>
      </c>
      <c r="O596" s="48" t="s">
        <v>18417</v>
      </c>
      <c r="P596" s="60" t="s">
        <v>528</v>
      </c>
      <c r="Q596" s="48" t="s">
        <v>18418</v>
      </c>
      <c r="R596" s="60" t="s">
        <v>205</v>
      </c>
      <c r="S596" s="49" t="s">
        <v>74</v>
      </c>
      <c r="T596" s="48" t="s">
        <v>75</v>
      </c>
      <c r="U596" s="49" t="s">
        <v>3678</v>
      </c>
      <c r="V596" s="7" t="s">
        <v>214</v>
      </c>
      <c r="W596" s="49" t="s">
        <v>214</v>
      </c>
      <c r="X596" s="49" t="s">
        <v>214</v>
      </c>
      <c r="Y596" s="49" t="s">
        <v>214</v>
      </c>
      <c r="Z596" s="55" t="s">
        <v>214</v>
      </c>
      <c r="AA596" s="48" t="s">
        <v>18420</v>
      </c>
      <c r="AB596" s="52" t="s">
        <v>18417</v>
      </c>
      <c r="AC596" s="53" t="str">
        <f t="shared" ref="AC596:AC597" si="361">HYPERLINK("http://www.fortscott.edu/Academics","Link")</f>
        <v>Link</v>
      </c>
      <c r="AD596" s="42">
        <v>1872</v>
      </c>
      <c r="AE596" s="55"/>
      <c r="AF596" s="55"/>
      <c r="AG596" s="56">
        <v>155098</v>
      </c>
      <c r="AH596" s="56"/>
      <c r="AI596" s="56"/>
    </row>
    <row r="597" spans="1:35" ht="15" x14ac:dyDescent="0.2">
      <c r="A597" s="64" t="s">
        <v>2730</v>
      </c>
      <c r="B597" s="33" t="s">
        <v>12632</v>
      </c>
      <c r="C597" s="7" t="s">
        <v>18423</v>
      </c>
      <c r="D597" s="112">
        <v>5</v>
      </c>
      <c r="E597" s="7"/>
      <c r="F597" s="112"/>
      <c r="G597" s="2" t="s">
        <v>18412</v>
      </c>
      <c r="H597" s="2" t="s">
        <v>15652</v>
      </c>
      <c r="I597" s="2" t="s">
        <v>1124</v>
      </c>
      <c r="J597" s="2" t="s">
        <v>55</v>
      </c>
      <c r="K597" s="2" t="s">
        <v>18424</v>
      </c>
      <c r="L597" s="2" t="s">
        <v>18425</v>
      </c>
      <c r="M597" s="45" t="str">
        <f t="shared" si="359"/>
        <v>@fsccsbhounds</v>
      </c>
      <c r="N597" s="45" t="str">
        <f t="shared" si="360"/>
        <v>Questionnaire</v>
      </c>
      <c r="O597" s="48" t="s">
        <v>18417</v>
      </c>
      <c r="P597" s="60" t="s">
        <v>528</v>
      </c>
      <c r="Q597" s="48" t="s">
        <v>18418</v>
      </c>
      <c r="R597" s="60" t="s">
        <v>205</v>
      </c>
      <c r="S597" s="49" t="s">
        <v>74</v>
      </c>
      <c r="T597" s="48" t="s">
        <v>75</v>
      </c>
      <c r="U597" s="49" t="s">
        <v>3678</v>
      </c>
      <c r="V597" s="7" t="s">
        <v>214</v>
      </c>
      <c r="W597" s="49" t="s">
        <v>214</v>
      </c>
      <c r="X597" s="49" t="s">
        <v>214</v>
      </c>
      <c r="Y597" s="49" t="s">
        <v>214</v>
      </c>
      <c r="Z597" s="55" t="s">
        <v>214</v>
      </c>
      <c r="AA597" s="48" t="s">
        <v>18420</v>
      </c>
      <c r="AB597" s="52" t="s">
        <v>18417</v>
      </c>
      <c r="AC597" s="53" t="str">
        <f t="shared" si="361"/>
        <v>Link</v>
      </c>
      <c r="AD597" s="42">
        <v>1872</v>
      </c>
      <c r="AE597" s="55"/>
      <c r="AF597" s="55"/>
      <c r="AG597" s="56">
        <v>155098</v>
      </c>
      <c r="AH597" s="56"/>
      <c r="AI597" s="56"/>
    </row>
    <row r="598" spans="1:35" ht="15" x14ac:dyDescent="0.2">
      <c r="A598" s="64" t="s">
        <v>2730</v>
      </c>
      <c r="B598" s="33" t="s">
        <v>12632</v>
      </c>
      <c r="C598" s="7" t="s">
        <v>18427</v>
      </c>
      <c r="D598" s="112">
        <v>5</v>
      </c>
      <c r="E598" s="7"/>
      <c r="F598" s="112"/>
      <c r="G598" s="2" t="s">
        <v>18428</v>
      </c>
      <c r="H598" s="2" t="s">
        <v>4419</v>
      </c>
      <c r="I598" s="2" t="s">
        <v>18429</v>
      </c>
      <c r="J598" s="2" t="s">
        <v>48</v>
      </c>
      <c r="K598" s="2" t="s">
        <v>18430</v>
      </c>
      <c r="L598" s="2" t="s">
        <v>18431</v>
      </c>
      <c r="M598" s="45" t="str">
        <f t="shared" ref="M598:M599" si="362">HYPERLINK("twitter.com/bustersoftball","@bustersoftball")</f>
        <v>@bustersoftball</v>
      </c>
      <c r="N598" s="45" t="str">
        <f t="shared" ref="N598:N599" si="363">HYPERLINK("https://www.gobroncbusters.com/information/Get_Recruited","Questionnaire")</f>
        <v>Questionnaire</v>
      </c>
      <c r="O598" s="48" t="s">
        <v>18433</v>
      </c>
      <c r="P598" s="60" t="s">
        <v>528</v>
      </c>
      <c r="Q598" s="48" t="s">
        <v>7316</v>
      </c>
      <c r="R598" s="48" t="s">
        <v>468</v>
      </c>
      <c r="S598" s="49" t="s">
        <v>74</v>
      </c>
      <c r="T598" s="48" t="s">
        <v>75</v>
      </c>
      <c r="U598" s="49" t="s">
        <v>3678</v>
      </c>
      <c r="V598" s="7" t="s">
        <v>214</v>
      </c>
      <c r="W598" s="49" t="s">
        <v>214</v>
      </c>
      <c r="X598" s="49" t="s">
        <v>214</v>
      </c>
      <c r="Y598" s="49" t="s">
        <v>214</v>
      </c>
      <c r="Z598" s="55" t="s">
        <v>214</v>
      </c>
      <c r="AA598" s="48" t="s">
        <v>18434</v>
      </c>
      <c r="AB598" s="52" t="s">
        <v>18433</v>
      </c>
      <c r="AC598" s="53" t="str">
        <f t="shared" ref="AC598:AC599" si="364">HYPERLINK("https://www.gcccks.edu/academics/courseofstudy/","Link")</f>
        <v>Link</v>
      </c>
      <c r="AD598" s="42">
        <v>2053</v>
      </c>
      <c r="AE598" s="55"/>
      <c r="AF598" s="55"/>
      <c r="AG598" s="56">
        <v>155104</v>
      </c>
      <c r="AH598" s="56"/>
      <c r="AI598" s="56"/>
    </row>
    <row r="599" spans="1:35" ht="15" x14ac:dyDescent="0.2">
      <c r="A599" s="64" t="s">
        <v>2730</v>
      </c>
      <c r="B599" s="33" t="s">
        <v>12632</v>
      </c>
      <c r="C599" s="7" t="s">
        <v>18435</v>
      </c>
      <c r="D599" s="112">
        <v>5</v>
      </c>
      <c r="E599" s="7"/>
      <c r="F599" s="112"/>
      <c r="G599" s="2" t="s">
        <v>18428</v>
      </c>
      <c r="H599" s="2" t="s">
        <v>338</v>
      </c>
      <c r="I599" s="2" t="s">
        <v>18437</v>
      </c>
      <c r="J599" s="2" t="s">
        <v>55</v>
      </c>
      <c r="K599" s="2" t="s">
        <v>18438</v>
      </c>
      <c r="L599" s="2" t="s">
        <v>18440</v>
      </c>
      <c r="M599" s="45" t="str">
        <f t="shared" si="362"/>
        <v>@bustersoftball</v>
      </c>
      <c r="N599" s="45" t="str">
        <f t="shared" si="363"/>
        <v>Questionnaire</v>
      </c>
      <c r="O599" s="48" t="s">
        <v>18433</v>
      </c>
      <c r="P599" s="60" t="s">
        <v>528</v>
      </c>
      <c r="Q599" s="48" t="s">
        <v>7316</v>
      </c>
      <c r="R599" s="48" t="s">
        <v>468</v>
      </c>
      <c r="S599" s="49" t="s">
        <v>74</v>
      </c>
      <c r="T599" s="48" t="s">
        <v>75</v>
      </c>
      <c r="U599" s="49" t="s">
        <v>3678</v>
      </c>
      <c r="V599" s="7" t="s">
        <v>214</v>
      </c>
      <c r="W599" s="49" t="s">
        <v>214</v>
      </c>
      <c r="X599" s="49" t="s">
        <v>214</v>
      </c>
      <c r="Y599" s="49" t="s">
        <v>214</v>
      </c>
      <c r="Z599" s="55" t="s">
        <v>214</v>
      </c>
      <c r="AA599" s="48" t="s">
        <v>18434</v>
      </c>
      <c r="AB599" s="52" t="s">
        <v>18433</v>
      </c>
      <c r="AC599" s="53" t="str">
        <f t="shared" si="364"/>
        <v>Link</v>
      </c>
      <c r="AD599" s="42">
        <v>2053</v>
      </c>
      <c r="AE599" s="55"/>
      <c r="AF599" s="55"/>
      <c r="AG599" s="56">
        <v>155104</v>
      </c>
      <c r="AH599" s="56"/>
      <c r="AI599" s="56"/>
    </row>
    <row r="600" spans="1:35" ht="15" x14ac:dyDescent="0.2">
      <c r="A600" s="64" t="s">
        <v>2730</v>
      </c>
      <c r="B600" s="33" t="s">
        <v>12632</v>
      </c>
      <c r="C600" s="7" t="s">
        <v>18443</v>
      </c>
      <c r="D600" s="112">
        <v>5</v>
      </c>
      <c r="E600" s="7"/>
      <c r="F600" s="112"/>
      <c r="G600" s="2" t="s">
        <v>18444</v>
      </c>
      <c r="H600" s="2" t="s">
        <v>193</v>
      </c>
      <c r="I600" s="2" t="s">
        <v>2969</v>
      </c>
      <c r="J600" s="2" t="s">
        <v>48</v>
      </c>
      <c r="K600" s="2" t="s">
        <v>18445</v>
      </c>
      <c r="L600" s="2" t="s">
        <v>18446</v>
      </c>
      <c r="M600" s="45" t="str">
        <f t="shared" ref="M600:M601" si="365">HYPERLINK("twitter.com/hesstonsoftball","@hesstonsoftball")</f>
        <v>@hesstonsoftball</v>
      </c>
      <c r="N600" s="45" t="str">
        <f t="shared" ref="N600:N601" si="366">HYPERLINK("https://my.hesston.edu/ICS/Admissions/Forms.jnz?portlet=Athletic_Recruiting_Information_Form&amp;screen=Display+Form&amp;screenType=next","Questionnaire")</f>
        <v>Questionnaire</v>
      </c>
      <c r="O600" s="48" t="s">
        <v>18450</v>
      </c>
      <c r="P600" s="60" t="s">
        <v>528</v>
      </c>
      <c r="Q600" s="48" t="s">
        <v>18450</v>
      </c>
      <c r="R600" s="60" t="s">
        <v>205</v>
      </c>
      <c r="S600" s="49" t="s">
        <v>63</v>
      </c>
      <c r="T600" s="48" t="s">
        <v>11123</v>
      </c>
      <c r="U600" s="49"/>
      <c r="V600" s="7" t="s">
        <v>214</v>
      </c>
      <c r="W600" s="49" t="s">
        <v>214</v>
      </c>
      <c r="X600" s="49" t="s">
        <v>214</v>
      </c>
      <c r="Y600" s="49" t="s">
        <v>214</v>
      </c>
      <c r="Z600" s="55" t="s">
        <v>214</v>
      </c>
      <c r="AA600" s="39">
        <v>38270</v>
      </c>
      <c r="AB600" s="84" t="s">
        <v>18450</v>
      </c>
      <c r="AC600" s="53" t="str">
        <f t="shared" ref="AC600:AC601" si="367">HYPERLINK("https://www.hesston.edu/academics/majors/","Link")</f>
        <v>Link</v>
      </c>
      <c r="AD600" s="42">
        <v>402</v>
      </c>
      <c r="AE600" s="55"/>
      <c r="AF600" s="55"/>
      <c r="AG600" s="56">
        <v>155177</v>
      </c>
      <c r="AH600" s="56"/>
      <c r="AI600" s="56"/>
    </row>
    <row r="601" spans="1:35" ht="15" x14ac:dyDescent="0.2">
      <c r="A601" s="64" t="s">
        <v>2730</v>
      </c>
      <c r="B601" s="33" t="s">
        <v>12632</v>
      </c>
      <c r="C601" s="7" t="s">
        <v>18455</v>
      </c>
      <c r="D601" s="112">
        <v>5</v>
      </c>
      <c r="E601" s="7"/>
      <c r="F601" s="112"/>
      <c r="G601" s="2" t="s">
        <v>18444</v>
      </c>
      <c r="H601" s="2" t="s">
        <v>18456</v>
      </c>
      <c r="I601" s="2" t="s">
        <v>5757</v>
      </c>
      <c r="J601" s="2" t="s">
        <v>55</v>
      </c>
      <c r="K601" s="2" t="s">
        <v>18457</v>
      </c>
      <c r="L601" s="2" t="s">
        <v>18458</v>
      </c>
      <c r="M601" s="45" t="str">
        <f t="shared" si="365"/>
        <v>@hesstonsoftball</v>
      </c>
      <c r="N601" s="45" t="str">
        <f t="shared" si="366"/>
        <v>Questionnaire</v>
      </c>
      <c r="O601" s="48" t="s">
        <v>18450</v>
      </c>
      <c r="P601" s="60" t="s">
        <v>528</v>
      </c>
      <c r="Q601" s="48" t="s">
        <v>18450</v>
      </c>
      <c r="R601" s="60" t="s">
        <v>205</v>
      </c>
      <c r="S601" s="49" t="s">
        <v>63</v>
      </c>
      <c r="T601" s="48" t="s">
        <v>11123</v>
      </c>
      <c r="U601" s="49"/>
      <c r="V601" s="7" t="s">
        <v>214</v>
      </c>
      <c r="W601" s="49" t="s">
        <v>214</v>
      </c>
      <c r="X601" s="49" t="s">
        <v>214</v>
      </c>
      <c r="Y601" s="49" t="s">
        <v>214</v>
      </c>
      <c r="Z601" s="55" t="s">
        <v>214</v>
      </c>
      <c r="AA601" s="39">
        <v>38270</v>
      </c>
      <c r="AB601" s="84" t="s">
        <v>18450</v>
      </c>
      <c r="AC601" s="53" t="str">
        <f t="shared" si="367"/>
        <v>Link</v>
      </c>
      <c r="AD601" s="42">
        <v>402</v>
      </c>
      <c r="AE601" s="55"/>
      <c r="AF601" s="55"/>
      <c r="AG601" s="56">
        <v>155177</v>
      </c>
      <c r="AH601" s="56"/>
      <c r="AI601" s="56"/>
    </row>
    <row r="602" spans="1:35" ht="15" x14ac:dyDescent="0.2">
      <c r="A602" s="64" t="s">
        <v>2730</v>
      </c>
      <c r="B602" s="33" t="s">
        <v>12632</v>
      </c>
      <c r="C602" s="7" t="s">
        <v>18461</v>
      </c>
      <c r="D602" s="112">
        <v>5</v>
      </c>
      <c r="E602" s="7"/>
      <c r="F602" s="112"/>
      <c r="G602" s="2" t="s">
        <v>18462</v>
      </c>
      <c r="H602" s="2" t="s">
        <v>18146</v>
      </c>
      <c r="I602" s="2" t="s">
        <v>93</v>
      </c>
      <c r="J602" s="2" t="s">
        <v>48</v>
      </c>
      <c r="K602" s="2" t="s">
        <v>18463</v>
      </c>
      <c r="L602" s="2" t="s">
        <v>18464</v>
      </c>
      <c r="M602" s="48"/>
      <c r="N602" s="45" t="str">
        <f t="shared" ref="N602:N603" si="368">HYPERLINK("https://scottieathletics.com/sb_output.aspx?form=3","Questionnaire")</f>
        <v>Questionnaire</v>
      </c>
      <c r="O602" s="48" t="s">
        <v>18471</v>
      </c>
      <c r="P602" s="60" t="s">
        <v>528</v>
      </c>
      <c r="Q602" s="48" t="s">
        <v>18472</v>
      </c>
      <c r="R602" s="60" t="s">
        <v>205</v>
      </c>
      <c r="S602" s="49" t="s">
        <v>74</v>
      </c>
      <c r="T602" s="48" t="s">
        <v>75</v>
      </c>
      <c r="U602" s="49" t="s">
        <v>3678</v>
      </c>
      <c r="V602" s="7" t="s">
        <v>214</v>
      </c>
      <c r="W602" s="49" t="s">
        <v>214</v>
      </c>
      <c r="X602" s="49" t="s">
        <v>214</v>
      </c>
      <c r="Y602" s="49" t="s">
        <v>214</v>
      </c>
      <c r="Z602" s="55" t="s">
        <v>214</v>
      </c>
      <c r="AA602" s="48" t="s">
        <v>17499</v>
      </c>
      <c r="AB602" s="52" t="s">
        <v>18471</v>
      </c>
      <c r="AC602" s="53" t="str">
        <f t="shared" ref="AC602:AC603" si="369">HYPERLINK("https://highlandcc.edu/pages/degree-programs","Link")</f>
        <v>Link</v>
      </c>
      <c r="AD602" s="42">
        <v>3304</v>
      </c>
      <c r="AE602" s="55"/>
      <c r="AF602" s="55"/>
      <c r="AG602" s="56">
        <v>155186</v>
      </c>
      <c r="AH602" s="56"/>
      <c r="AI602" s="56"/>
    </row>
    <row r="603" spans="1:35" ht="15" x14ac:dyDescent="0.2">
      <c r="A603" s="64" t="s">
        <v>2730</v>
      </c>
      <c r="B603" s="33" t="s">
        <v>12632</v>
      </c>
      <c r="C603" s="7" t="s">
        <v>18475</v>
      </c>
      <c r="D603" s="112">
        <v>5</v>
      </c>
      <c r="E603" s="7"/>
      <c r="F603" s="112"/>
      <c r="G603" s="2" t="s">
        <v>18462</v>
      </c>
      <c r="H603" s="2" t="s">
        <v>2031</v>
      </c>
      <c r="I603" s="2" t="s">
        <v>93</v>
      </c>
      <c r="J603" s="2" t="s">
        <v>55</v>
      </c>
      <c r="K603" s="2" t="s">
        <v>18476</v>
      </c>
      <c r="L603" s="2" t="s">
        <v>18464</v>
      </c>
      <c r="M603" s="48"/>
      <c r="N603" s="45" t="str">
        <f t="shared" si="368"/>
        <v>Questionnaire</v>
      </c>
      <c r="O603" s="48" t="s">
        <v>18471</v>
      </c>
      <c r="P603" s="60" t="s">
        <v>528</v>
      </c>
      <c r="Q603" s="48" t="s">
        <v>18472</v>
      </c>
      <c r="R603" s="60" t="s">
        <v>205</v>
      </c>
      <c r="S603" s="49" t="s">
        <v>74</v>
      </c>
      <c r="T603" s="48" t="s">
        <v>75</v>
      </c>
      <c r="U603" s="49" t="s">
        <v>3678</v>
      </c>
      <c r="V603" s="7" t="s">
        <v>214</v>
      </c>
      <c r="W603" s="49" t="s">
        <v>214</v>
      </c>
      <c r="X603" s="49" t="s">
        <v>214</v>
      </c>
      <c r="Y603" s="49" t="s">
        <v>214</v>
      </c>
      <c r="Z603" s="55" t="s">
        <v>214</v>
      </c>
      <c r="AA603" s="48" t="s">
        <v>17499</v>
      </c>
      <c r="AB603" s="52" t="s">
        <v>18471</v>
      </c>
      <c r="AC603" s="53" t="str">
        <f t="shared" si="369"/>
        <v>Link</v>
      </c>
      <c r="AD603" s="42">
        <v>3304</v>
      </c>
      <c r="AE603" s="55"/>
      <c r="AF603" s="55"/>
      <c r="AG603" s="56">
        <v>155186</v>
      </c>
      <c r="AH603" s="56"/>
      <c r="AI603" s="56"/>
    </row>
    <row r="604" spans="1:35" ht="15" x14ac:dyDescent="0.2">
      <c r="A604" s="64" t="s">
        <v>2730</v>
      </c>
      <c r="B604" s="33" t="s">
        <v>12632</v>
      </c>
      <c r="C604" s="7" t="s">
        <v>18482</v>
      </c>
      <c r="D604" s="112">
        <v>5</v>
      </c>
      <c r="E604" s="7"/>
      <c r="F604" s="112"/>
      <c r="G604" s="2" t="s">
        <v>18483</v>
      </c>
      <c r="H604" s="2" t="s">
        <v>1735</v>
      </c>
      <c r="I604" s="2" t="s">
        <v>1604</v>
      </c>
      <c r="J604" s="2" t="s">
        <v>48</v>
      </c>
      <c r="K604" s="2" t="s">
        <v>18484</v>
      </c>
      <c r="L604" s="2" t="s">
        <v>18485</v>
      </c>
      <c r="M604" s="45" t="str">
        <f t="shared" ref="M604:M606" si="370">HYPERLINK("twitter.com/hutchsoftball","@hutchsoftball")</f>
        <v>@hutchsoftball</v>
      </c>
      <c r="N604" s="45" t="str">
        <f t="shared" ref="N604:N606" si="371">HYPERLINK("http://www.bluedragonsports.com/sports/sball/Forms/Softball_Questionaire","Questionnaire")</f>
        <v>Questionnaire</v>
      </c>
      <c r="O604" s="48" t="s">
        <v>18493</v>
      </c>
      <c r="P604" s="60" t="s">
        <v>528</v>
      </c>
      <c r="Q604" s="48" t="s">
        <v>1383</v>
      </c>
      <c r="R604" s="48" t="s">
        <v>468</v>
      </c>
      <c r="S604" s="49" t="s">
        <v>74</v>
      </c>
      <c r="T604" s="48" t="s">
        <v>75</v>
      </c>
      <c r="U604" s="49" t="s">
        <v>3678</v>
      </c>
      <c r="V604" s="7" t="s">
        <v>214</v>
      </c>
      <c r="W604" s="49" t="s">
        <v>214</v>
      </c>
      <c r="X604" s="49" t="s">
        <v>214</v>
      </c>
      <c r="Y604" s="49" t="s">
        <v>214</v>
      </c>
      <c r="Z604" s="55" t="s">
        <v>214</v>
      </c>
      <c r="AA604" s="48" t="s">
        <v>18494</v>
      </c>
      <c r="AB604" s="90" t="s">
        <v>18493</v>
      </c>
      <c r="AC604" s="53" t="str">
        <f t="shared" ref="AC604:AC606" si="372">HYPERLINK("http://www.hutchcc.edu/academics/majors","Link")</f>
        <v>Link</v>
      </c>
      <c r="AD604" s="42">
        <v>5866</v>
      </c>
      <c r="AE604" s="55"/>
      <c r="AF604" s="55"/>
      <c r="AG604" s="56">
        <v>155195</v>
      </c>
      <c r="AH604" s="56"/>
      <c r="AI604" s="56"/>
    </row>
    <row r="605" spans="1:35" ht="15" x14ac:dyDescent="0.2">
      <c r="A605" s="64" t="s">
        <v>2730</v>
      </c>
      <c r="B605" s="33" t="s">
        <v>12632</v>
      </c>
      <c r="C605" s="7" t="s">
        <v>18496</v>
      </c>
      <c r="D605" s="112">
        <v>5</v>
      </c>
      <c r="E605" s="7"/>
      <c r="F605" s="112"/>
      <c r="G605" s="2" t="s">
        <v>18483</v>
      </c>
      <c r="H605" s="2" t="s">
        <v>5749</v>
      </c>
      <c r="I605" s="2" t="s">
        <v>8380</v>
      </c>
      <c r="J605" s="2" t="s">
        <v>55</v>
      </c>
      <c r="K605" s="2" t="s">
        <v>18497</v>
      </c>
      <c r="L605" s="2" t="s">
        <v>18498</v>
      </c>
      <c r="M605" s="45" t="str">
        <f t="shared" si="370"/>
        <v>@hutchsoftball</v>
      </c>
      <c r="N605" s="45" t="str">
        <f t="shared" si="371"/>
        <v>Questionnaire</v>
      </c>
      <c r="O605" s="48" t="s">
        <v>18493</v>
      </c>
      <c r="P605" s="60" t="s">
        <v>528</v>
      </c>
      <c r="Q605" s="48" t="s">
        <v>1383</v>
      </c>
      <c r="R605" s="48" t="s">
        <v>468</v>
      </c>
      <c r="S605" s="49" t="s">
        <v>74</v>
      </c>
      <c r="T605" s="48" t="s">
        <v>75</v>
      </c>
      <c r="U605" s="49" t="s">
        <v>3678</v>
      </c>
      <c r="V605" s="7" t="s">
        <v>214</v>
      </c>
      <c r="W605" s="49" t="s">
        <v>214</v>
      </c>
      <c r="X605" s="49" t="s">
        <v>214</v>
      </c>
      <c r="Y605" s="49" t="s">
        <v>214</v>
      </c>
      <c r="Z605" s="55" t="s">
        <v>214</v>
      </c>
      <c r="AA605" s="48" t="s">
        <v>18494</v>
      </c>
      <c r="AB605" s="90" t="s">
        <v>18493</v>
      </c>
      <c r="AC605" s="53" t="str">
        <f t="shared" si="372"/>
        <v>Link</v>
      </c>
      <c r="AD605" s="42">
        <v>5866</v>
      </c>
      <c r="AE605" s="55"/>
      <c r="AF605" s="55"/>
      <c r="AG605" s="56">
        <v>155195</v>
      </c>
      <c r="AH605" s="56"/>
      <c r="AI605" s="56"/>
    </row>
    <row r="606" spans="1:35" ht="15" x14ac:dyDescent="0.2">
      <c r="A606" s="64" t="s">
        <v>2730</v>
      </c>
      <c r="B606" s="33" t="s">
        <v>12632</v>
      </c>
      <c r="C606" s="7" t="s">
        <v>18501</v>
      </c>
      <c r="D606" s="112">
        <v>5</v>
      </c>
      <c r="E606" s="7"/>
      <c r="F606" s="112"/>
      <c r="G606" s="2" t="s">
        <v>18483</v>
      </c>
      <c r="H606" s="2" t="s">
        <v>1589</v>
      </c>
      <c r="I606" s="2" t="s">
        <v>13131</v>
      </c>
      <c r="J606" s="2" t="s">
        <v>919</v>
      </c>
      <c r="K606" s="2" t="s">
        <v>18502</v>
      </c>
      <c r="L606" s="2" t="s">
        <v>18503</v>
      </c>
      <c r="M606" s="45" t="str">
        <f t="shared" si="370"/>
        <v>@hutchsoftball</v>
      </c>
      <c r="N606" s="45" t="str">
        <f t="shared" si="371"/>
        <v>Questionnaire</v>
      </c>
      <c r="O606" s="48" t="s">
        <v>18493</v>
      </c>
      <c r="P606" s="60" t="s">
        <v>528</v>
      </c>
      <c r="Q606" s="48" t="s">
        <v>1383</v>
      </c>
      <c r="R606" s="48" t="s">
        <v>468</v>
      </c>
      <c r="S606" s="49" t="s">
        <v>74</v>
      </c>
      <c r="T606" s="48" t="s">
        <v>75</v>
      </c>
      <c r="U606" s="49" t="s">
        <v>3678</v>
      </c>
      <c r="V606" s="7" t="s">
        <v>214</v>
      </c>
      <c r="W606" s="49" t="s">
        <v>214</v>
      </c>
      <c r="X606" s="49" t="s">
        <v>214</v>
      </c>
      <c r="Y606" s="49" t="s">
        <v>214</v>
      </c>
      <c r="Z606" s="55" t="s">
        <v>214</v>
      </c>
      <c r="AA606" s="48" t="s">
        <v>18494</v>
      </c>
      <c r="AB606" s="90" t="s">
        <v>18493</v>
      </c>
      <c r="AC606" s="53" t="str">
        <f t="shared" si="372"/>
        <v>Link</v>
      </c>
      <c r="AD606" s="42">
        <v>5866</v>
      </c>
      <c r="AE606" s="55"/>
      <c r="AF606" s="55"/>
      <c r="AG606" s="56">
        <v>155195</v>
      </c>
      <c r="AH606" s="56"/>
      <c r="AI606" s="56"/>
    </row>
    <row r="607" spans="1:35" ht="15" x14ac:dyDescent="0.2">
      <c r="A607" s="64" t="s">
        <v>2730</v>
      </c>
      <c r="B607" s="33" t="s">
        <v>12632</v>
      </c>
      <c r="C607" s="7" t="s">
        <v>18505</v>
      </c>
      <c r="D607" s="112">
        <v>5</v>
      </c>
      <c r="E607" s="7"/>
      <c r="F607" s="112"/>
      <c r="G607" s="2" t="s">
        <v>18506</v>
      </c>
      <c r="H607" s="2" t="s">
        <v>2289</v>
      </c>
      <c r="I607" s="2" t="s">
        <v>3020</v>
      </c>
      <c r="J607" s="2" t="s">
        <v>48</v>
      </c>
      <c r="K607" s="2" t="s">
        <v>18507</v>
      </c>
      <c r="L607" s="2"/>
      <c r="M607" s="45" t="str">
        <f>HYPERLINK("twitter.com/indy_softball","@indy_softball")</f>
        <v>@indy_softball</v>
      </c>
      <c r="N607" s="48" t="s">
        <v>22</v>
      </c>
      <c r="O607" s="48" t="s">
        <v>18511</v>
      </c>
      <c r="P607" s="60" t="s">
        <v>528</v>
      </c>
      <c r="Q607" s="48" t="s">
        <v>18512</v>
      </c>
      <c r="R607" s="60" t="s">
        <v>205</v>
      </c>
      <c r="S607" s="49" t="s">
        <v>74</v>
      </c>
      <c r="T607" s="48" t="s">
        <v>75</v>
      </c>
      <c r="U607" s="49" t="s">
        <v>3678</v>
      </c>
      <c r="V607" s="7" t="s">
        <v>214</v>
      </c>
      <c r="W607" s="49" t="s">
        <v>214</v>
      </c>
      <c r="X607" s="49" t="s">
        <v>214</v>
      </c>
      <c r="Y607" s="49" t="s">
        <v>214</v>
      </c>
      <c r="Z607" s="55" t="s">
        <v>214</v>
      </c>
      <c r="AA607" s="48" t="s">
        <v>18513</v>
      </c>
      <c r="AB607" s="84" t="s">
        <v>18511</v>
      </c>
      <c r="AC607" s="53" t="str">
        <f>HYPERLINK("http://www.indycc.edu/areas-of-study/index","Link")</f>
        <v>Link</v>
      </c>
      <c r="AD607" s="42">
        <v>1075</v>
      </c>
      <c r="AE607" s="55"/>
      <c r="AF607" s="55"/>
      <c r="AG607" s="56">
        <v>155201</v>
      </c>
      <c r="AH607" s="56"/>
      <c r="AI607" s="56"/>
    </row>
    <row r="608" spans="1:35" ht="15" x14ac:dyDescent="0.2">
      <c r="A608" s="64" t="s">
        <v>2730</v>
      </c>
      <c r="B608" s="33" t="s">
        <v>12632</v>
      </c>
      <c r="C608" s="7" t="s">
        <v>18518</v>
      </c>
      <c r="D608" s="112">
        <v>5</v>
      </c>
      <c r="E608" s="7"/>
      <c r="F608" s="112"/>
      <c r="G608" s="2" t="s">
        <v>18520</v>
      </c>
      <c r="H608" s="2" t="s">
        <v>18521</v>
      </c>
      <c r="I608" s="2" t="s">
        <v>18522</v>
      </c>
      <c r="J608" s="2" t="s">
        <v>48</v>
      </c>
      <c r="K608" s="2" t="s">
        <v>18523</v>
      </c>
      <c r="L608" s="2" t="s">
        <v>18524</v>
      </c>
      <c r="M608" s="45" t="str">
        <f t="shared" ref="M608:M610" si="373">HYPERLINK("twitter.com/softballcounty","@softballcounty")</f>
        <v>@softballcounty</v>
      </c>
      <c r="N608" s="48" t="s">
        <v>22</v>
      </c>
      <c r="O608" s="48" t="s">
        <v>18526</v>
      </c>
      <c r="P608" s="60" t="s">
        <v>528</v>
      </c>
      <c r="Q608" s="48" t="s">
        <v>18527</v>
      </c>
      <c r="R608" s="48" t="s">
        <v>62</v>
      </c>
      <c r="S608" s="49" t="s">
        <v>74</v>
      </c>
      <c r="T608" s="48" t="s">
        <v>75</v>
      </c>
      <c r="U608" s="49" t="s">
        <v>3678</v>
      </c>
      <c r="V608" s="7" t="s">
        <v>214</v>
      </c>
      <c r="W608" s="49" t="s">
        <v>214</v>
      </c>
      <c r="X608" s="49" t="s">
        <v>214</v>
      </c>
      <c r="Y608" s="49" t="s">
        <v>214</v>
      </c>
      <c r="Z608" s="55" t="s">
        <v>214</v>
      </c>
      <c r="AA608" s="48" t="s">
        <v>18528</v>
      </c>
      <c r="AB608" s="84" t="s">
        <v>18526</v>
      </c>
      <c r="AC608" s="53" t="str">
        <f t="shared" ref="AC608:AC610" si="374">HYPERLINK("http://catalog.jccc.edu/degreecertificates/","Link")</f>
        <v>Link</v>
      </c>
      <c r="AD608" s="42">
        <v>19139</v>
      </c>
      <c r="AE608" s="55"/>
      <c r="AF608" s="55"/>
      <c r="AG608" s="56">
        <v>155210</v>
      </c>
      <c r="AH608" s="56"/>
      <c r="AI608" s="56"/>
    </row>
    <row r="609" spans="1:35" ht="15" x14ac:dyDescent="0.2">
      <c r="A609" s="64" t="s">
        <v>2730</v>
      </c>
      <c r="B609" s="33" t="s">
        <v>12632</v>
      </c>
      <c r="C609" s="7" t="s">
        <v>18530</v>
      </c>
      <c r="D609" s="112">
        <v>5</v>
      </c>
      <c r="E609" s="7"/>
      <c r="F609" s="112"/>
      <c r="G609" s="2" t="s">
        <v>18520</v>
      </c>
      <c r="H609" s="2" t="s">
        <v>234</v>
      </c>
      <c r="I609" s="2" t="s">
        <v>1906</v>
      </c>
      <c r="J609" s="2" t="s">
        <v>55</v>
      </c>
      <c r="K609" s="2" t="s">
        <v>18531</v>
      </c>
      <c r="L609" s="2" t="s">
        <v>18532</v>
      </c>
      <c r="M609" s="45" t="str">
        <f t="shared" si="373"/>
        <v>@softballcounty</v>
      </c>
      <c r="N609" s="48" t="s">
        <v>22</v>
      </c>
      <c r="O609" s="48" t="s">
        <v>18526</v>
      </c>
      <c r="P609" s="60" t="s">
        <v>528</v>
      </c>
      <c r="Q609" s="48" t="s">
        <v>18527</v>
      </c>
      <c r="R609" s="48" t="s">
        <v>62</v>
      </c>
      <c r="S609" s="49" t="s">
        <v>74</v>
      </c>
      <c r="T609" s="48" t="s">
        <v>75</v>
      </c>
      <c r="U609" s="49" t="s">
        <v>3678</v>
      </c>
      <c r="V609" s="7" t="s">
        <v>214</v>
      </c>
      <c r="W609" s="49" t="s">
        <v>214</v>
      </c>
      <c r="X609" s="49" t="s">
        <v>214</v>
      </c>
      <c r="Y609" s="49" t="s">
        <v>214</v>
      </c>
      <c r="Z609" s="55" t="s">
        <v>214</v>
      </c>
      <c r="AA609" s="48" t="s">
        <v>18528</v>
      </c>
      <c r="AB609" s="84" t="s">
        <v>18526</v>
      </c>
      <c r="AC609" s="53" t="str">
        <f t="shared" si="374"/>
        <v>Link</v>
      </c>
      <c r="AD609" s="42">
        <v>19139</v>
      </c>
      <c r="AE609" s="55"/>
      <c r="AF609" s="55"/>
      <c r="AG609" s="56">
        <v>155210</v>
      </c>
      <c r="AH609" s="56"/>
      <c r="AI609" s="56"/>
    </row>
    <row r="610" spans="1:35" ht="15" x14ac:dyDescent="0.2">
      <c r="A610" s="64" t="s">
        <v>2730</v>
      </c>
      <c r="B610" s="33" t="s">
        <v>12632</v>
      </c>
      <c r="C610" s="7" t="s">
        <v>18534</v>
      </c>
      <c r="D610" s="112">
        <v>5</v>
      </c>
      <c r="E610" s="7"/>
      <c r="F610" s="112"/>
      <c r="G610" s="2" t="s">
        <v>18520</v>
      </c>
      <c r="H610" s="2" t="s">
        <v>18537</v>
      </c>
      <c r="I610" s="2" t="s">
        <v>18538</v>
      </c>
      <c r="J610" s="2" t="s">
        <v>55</v>
      </c>
      <c r="K610" s="2" t="s">
        <v>18539</v>
      </c>
      <c r="L610" s="2" t="s">
        <v>18540</v>
      </c>
      <c r="M610" s="45" t="str">
        <f t="shared" si="373"/>
        <v>@softballcounty</v>
      </c>
      <c r="N610" s="48" t="s">
        <v>22</v>
      </c>
      <c r="O610" s="48" t="s">
        <v>18526</v>
      </c>
      <c r="P610" s="60" t="s">
        <v>528</v>
      </c>
      <c r="Q610" s="48" t="s">
        <v>18527</v>
      </c>
      <c r="R610" s="48" t="s">
        <v>62</v>
      </c>
      <c r="S610" s="49" t="s">
        <v>74</v>
      </c>
      <c r="T610" s="48" t="s">
        <v>75</v>
      </c>
      <c r="U610" s="49" t="s">
        <v>3678</v>
      </c>
      <c r="V610" s="7" t="s">
        <v>214</v>
      </c>
      <c r="W610" s="49" t="s">
        <v>214</v>
      </c>
      <c r="X610" s="49" t="s">
        <v>214</v>
      </c>
      <c r="Y610" s="49" t="s">
        <v>214</v>
      </c>
      <c r="Z610" s="55" t="s">
        <v>214</v>
      </c>
      <c r="AA610" s="48" t="s">
        <v>18528</v>
      </c>
      <c r="AB610" s="84" t="s">
        <v>18526</v>
      </c>
      <c r="AC610" s="53" t="str">
        <f t="shared" si="374"/>
        <v>Link</v>
      </c>
      <c r="AD610" s="42">
        <v>19139</v>
      </c>
      <c r="AE610" s="55"/>
      <c r="AF610" s="55"/>
      <c r="AG610" s="56">
        <v>155210</v>
      </c>
      <c r="AH610" s="56"/>
      <c r="AI610" s="56"/>
    </row>
    <row r="611" spans="1:35" ht="15" x14ac:dyDescent="0.2">
      <c r="A611" s="64" t="s">
        <v>2730</v>
      </c>
      <c r="B611" s="33" t="s">
        <v>12632</v>
      </c>
      <c r="C611" s="7" t="s">
        <v>18542</v>
      </c>
      <c r="D611" s="112">
        <v>5</v>
      </c>
      <c r="E611" s="7"/>
      <c r="F611" s="112"/>
      <c r="G611" s="2" t="s">
        <v>18544</v>
      </c>
      <c r="H611" s="2" t="s">
        <v>933</v>
      </c>
      <c r="I611" s="2" t="s">
        <v>5273</v>
      </c>
      <c r="J611" s="2" t="s">
        <v>48</v>
      </c>
      <c r="K611" s="2" t="s">
        <v>18547</v>
      </c>
      <c r="L611" s="2" t="s">
        <v>18548</v>
      </c>
      <c r="M611" s="48"/>
      <c r="N611" s="45" t="str">
        <f t="shared" ref="N611:N612" si="375">HYPERLINK("http://bluedevils.kckcc.edu/sports/sball/recruiting_questionnaire","Questionnaire")</f>
        <v>Questionnaire</v>
      </c>
      <c r="O611" s="48" t="s">
        <v>18551</v>
      </c>
      <c r="P611" s="60" t="s">
        <v>528</v>
      </c>
      <c r="Q611" s="48" t="s">
        <v>6594</v>
      </c>
      <c r="R611" s="48" t="s">
        <v>62</v>
      </c>
      <c r="S611" s="49" t="s">
        <v>74</v>
      </c>
      <c r="T611" s="48" t="s">
        <v>75</v>
      </c>
      <c r="U611" s="49" t="s">
        <v>3678</v>
      </c>
      <c r="V611" s="7" t="s">
        <v>214</v>
      </c>
      <c r="W611" s="49" t="s">
        <v>214</v>
      </c>
      <c r="X611" s="49" t="s">
        <v>214</v>
      </c>
      <c r="Y611" s="49" t="s">
        <v>214</v>
      </c>
      <c r="Z611" s="55" t="s">
        <v>214</v>
      </c>
      <c r="AA611" s="48" t="s">
        <v>18553</v>
      </c>
      <c r="AB611" s="84" t="s">
        <v>18551</v>
      </c>
      <c r="AC611" s="53" t="str">
        <f t="shared" ref="AC611:AC612" si="376">HYPERLINK("http://www.kckcc.edu/programs/degrees-certificates","Link")</f>
        <v>Link</v>
      </c>
      <c r="AD611" s="42">
        <v>5726</v>
      </c>
      <c r="AE611" s="55"/>
      <c r="AF611" s="55"/>
      <c r="AG611" s="56">
        <v>155292</v>
      </c>
      <c r="AH611" s="56"/>
      <c r="AI611" s="56"/>
    </row>
    <row r="612" spans="1:35" ht="15" x14ac:dyDescent="0.2">
      <c r="A612" s="64" t="s">
        <v>2730</v>
      </c>
      <c r="B612" s="33" t="s">
        <v>12632</v>
      </c>
      <c r="C612" s="7" t="s">
        <v>18554</v>
      </c>
      <c r="D612" s="112">
        <v>5</v>
      </c>
      <c r="E612" s="7"/>
      <c r="F612" s="112"/>
      <c r="G612" s="2" t="s">
        <v>18544</v>
      </c>
      <c r="H612" s="2" t="s">
        <v>3909</v>
      </c>
      <c r="I612" s="2" t="s">
        <v>18556</v>
      </c>
      <c r="J612" s="2" t="s">
        <v>55</v>
      </c>
      <c r="K612" s="2" t="s">
        <v>18557</v>
      </c>
      <c r="L612" s="2" t="s">
        <v>18558</v>
      </c>
      <c r="M612" s="48"/>
      <c r="N612" s="45" t="str">
        <f t="shared" si="375"/>
        <v>Questionnaire</v>
      </c>
      <c r="O612" s="48" t="s">
        <v>18551</v>
      </c>
      <c r="P612" s="60" t="s">
        <v>528</v>
      </c>
      <c r="Q612" s="48" t="s">
        <v>6594</v>
      </c>
      <c r="R612" s="48" t="s">
        <v>62</v>
      </c>
      <c r="S612" s="49" t="s">
        <v>74</v>
      </c>
      <c r="T612" s="48" t="s">
        <v>75</v>
      </c>
      <c r="U612" s="49" t="s">
        <v>3678</v>
      </c>
      <c r="V612" s="7" t="s">
        <v>214</v>
      </c>
      <c r="W612" s="49" t="s">
        <v>214</v>
      </c>
      <c r="X612" s="49" t="s">
        <v>214</v>
      </c>
      <c r="Y612" s="49" t="s">
        <v>214</v>
      </c>
      <c r="Z612" s="55" t="s">
        <v>214</v>
      </c>
      <c r="AA612" s="48" t="s">
        <v>18553</v>
      </c>
      <c r="AB612" s="84" t="s">
        <v>18551</v>
      </c>
      <c r="AC612" s="53" t="str">
        <f t="shared" si="376"/>
        <v>Link</v>
      </c>
      <c r="AD612" s="42">
        <v>5726</v>
      </c>
      <c r="AE612" s="55"/>
      <c r="AF612" s="55"/>
      <c r="AG612" s="56">
        <v>155292</v>
      </c>
      <c r="AH612" s="56"/>
      <c r="AI612" s="56"/>
    </row>
    <row r="613" spans="1:35" ht="15" x14ac:dyDescent="0.2">
      <c r="A613" s="64" t="s">
        <v>2730</v>
      </c>
      <c r="B613" s="33" t="s">
        <v>12632</v>
      </c>
      <c r="C613" s="7" t="s">
        <v>18562</v>
      </c>
      <c r="D613" s="112">
        <v>5</v>
      </c>
      <c r="E613" s="7"/>
      <c r="F613" s="112"/>
      <c r="G613" s="2" t="s">
        <v>18563</v>
      </c>
      <c r="H613" s="2" t="s">
        <v>2316</v>
      </c>
      <c r="I613" s="2" t="s">
        <v>8372</v>
      </c>
      <c r="J613" s="2" t="s">
        <v>48</v>
      </c>
      <c r="K613" s="2" t="s">
        <v>18564</v>
      </c>
      <c r="L613" s="2" t="s">
        <v>18565</v>
      </c>
      <c r="M613" s="45" t="str">
        <f>HYPERLINK("twitter.com/lccsb","@lccsb")</f>
        <v>@lccsb</v>
      </c>
      <c r="N613" s="45" t="str">
        <f>HYPERLINK("http://www.labette.edu/athletics/softball/softball-questionnaire.html","Questionnaire")</f>
        <v>Questionnaire</v>
      </c>
      <c r="O613" s="48" t="s">
        <v>18566</v>
      </c>
      <c r="P613" s="60" t="s">
        <v>528</v>
      </c>
      <c r="Q613" s="48" t="s">
        <v>12723</v>
      </c>
      <c r="R613" s="60" t="s">
        <v>205</v>
      </c>
      <c r="S613" s="49" t="s">
        <v>74</v>
      </c>
      <c r="T613" s="48" t="s">
        <v>75</v>
      </c>
      <c r="U613" s="49" t="s">
        <v>3678</v>
      </c>
      <c r="V613" s="7" t="s">
        <v>214</v>
      </c>
      <c r="W613" s="49" t="s">
        <v>214</v>
      </c>
      <c r="X613" s="49" t="s">
        <v>214</v>
      </c>
      <c r="Y613" s="49" t="s">
        <v>214</v>
      </c>
      <c r="Z613" s="55" t="s">
        <v>214</v>
      </c>
      <c r="AA613" s="39">
        <v>15310</v>
      </c>
      <c r="AB613" s="84" t="s">
        <v>18566</v>
      </c>
      <c r="AC613" s="53" t="str">
        <f>HYPERLINK("http://www.labette.edu/catalog/index.html","Link")</f>
        <v>Link</v>
      </c>
      <c r="AD613" s="42">
        <v>1952</v>
      </c>
      <c r="AE613" s="55"/>
      <c r="AF613" s="55"/>
      <c r="AG613" s="56">
        <v>155450</v>
      </c>
      <c r="AH613" s="56"/>
      <c r="AI613" s="56"/>
    </row>
    <row r="614" spans="1:35" ht="15" x14ac:dyDescent="0.2">
      <c r="A614" s="64" t="s">
        <v>2730</v>
      </c>
      <c r="B614" s="33" t="s">
        <v>12632</v>
      </c>
      <c r="C614" s="7" t="s">
        <v>18567</v>
      </c>
      <c r="D614" s="112">
        <v>5</v>
      </c>
      <c r="E614" s="7"/>
      <c r="F614" s="112"/>
      <c r="G614" s="2" t="s">
        <v>18568</v>
      </c>
      <c r="H614" s="2" t="s">
        <v>1159</v>
      </c>
      <c r="I614" s="2" t="s">
        <v>1964</v>
      </c>
      <c r="J614" s="2" t="s">
        <v>48</v>
      </c>
      <c r="K614" s="2" t="s">
        <v>18569</v>
      </c>
      <c r="L614" s="2" t="s">
        <v>18570</v>
      </c>
      <c r="M614" s="45" t="str">
        <f>HYPERLINK("twitter.com/goneoshosoftbal","@goneoshosoftbal")</f>
        <v>@goneoshosoftbal</v>
      </c>
      <c r="N614" s="45" t="str">
        <f t="shared" ref="N614:N615" si="377">HYPERLINK("https://goneosho.com/index.aspx?path=softball","Questionnaire")</f>
        <v>Questionnaire</v>
      </c>
      <c r="O614" s="48" t="s">
        <v>18571</v>
      </c>
      <c r="P614" s="60" t="s">
        <v>528</v>
      </c>
      <c r="Q614" s="48" t="s">
        <v>18572</v>
      </c>
      <c r="R614" s="60" t="s">
        <v>205</v>
      </c>
      <c r="S614" s="49" t="s">
        <v>74</v>
      </c>
      <c r="T614" s="48" t="s">
        <v>75</v>
      </c>
      <c r="U614" s="49" t="s">
        <v>3678</v>
      </c>
      <c r="V614" s="7" t="s">
        <v>214</v>
      </c>
      <c r="W614" s="49" t="s">
        <v>214</v>
      </c>
      <c r="X614" s="49" t="s">
        <v>214</v>
      </c>
      <c r="Y614" s="49" t="s">
        <v>214</v>
      </c>
      <c r="Z614" s="55" t="s">
        <v>214</v>
      </c>
      <c r="AA614" s="39">
        <v>15068</v>
      </c>
      <c r="AB614" s="52" t="s">
        <v>18571</v>
      </c>
      <c r="AC614" s="53" t="str">
        <f t="shared" ref="AC614:AC615" si="378">HYPERLINK("http://www.neosho.edu/Programs.aspx","Link")</f>
        <v>Link</v>
      </c>
      <c r="AD614" s="42">
        <v>2066</v>
      </c>
      <c r="AE614" s="55"/>
      <c r="AF614" s="55"/>
      <c r="AG614" s="56">
        <v>155566</v>
      </c>
      <c r="AH614" s="56"/>
      <c r="AI614" s="56"/>
    </row>
    <row r="615" spans="1:35" ht="15" x14ac:dyDescent="0.2">
      <c r="A615" s="64" t="s">
        <v>2730</v>
      </c>
      <c r="B615" s="33" t="s">
        <v>12632</v>
      </c>
      <c r="C615" s="7" t="s">
        <v>18574</v>
      </c>
      <c r="D615" s="112">
        <v>5</v>
      </c>
      <c r="E615" s="7"/>
      <c r="F615" s="112"/>
      <c r="G615" s="2" t="s">
        <v>18568</v>
      </c>
      <c r="H615" s="2" t="s">
        <v>852</v>
      </c>
      <c r="I615" s="2" t="s">
        <v>18575</v>
      </c>
      <c r="J615" s="2" t="s">
        <v>55</v>
      </c>
      <c r="K615" s="2" t="s">
        <v>18576</v>
      </c>
      <c r="L615" s="2" t="s">
        <v>18578</v>
      </c>
      <c r="M615" s="48"/>
      <c r="N615" s="45" t="str">
        <f t="shared" si="377"/>
        <v>Questionnaire</v>
      </c>
      <c r="O615" s="48" t="s">
        <v>18571</v>
      </c>
      <c r="P615" s="60" t="s">
        <v>528</v>
      </c>
      <c r="Q615" s="48" t="s">
        <v>18572</v>
      </c>
      <c r="R615" s="60" t="s">
        <v>205</v>
      </c>
      <c r="S615" s="49" t="s">
        <v>74</v>
      </c>
      <c r="T615" s="48" t="s">
        <v>75</v>
      </c>
      <c r="U615" s="49" t="s">
        <v>3678</v>
      </c>
      <c r="V615" s="7" t="s">
        <v>214</v>
      </c>
      <c r="W615" s="49" t="s">
        <v>214</v>
      </c>
      <c r="X615" s="49" t="s">
        <v>214</v>
      </c>
      <c r="Y615" s="49" t="s">
        <v>214</v>
      </c>
      <c r="Z615" s="55" t="s">
        <v>214</v>
      </c>
      <c r="AA615" s="39">
        <v>15068</v>
      </c>
      <c r="AB615" s="52" t="s">
        <v>18571</v>
      </c>
      <c r="AC615" s="53" t="str">
        <f t="shared" si="378"/>
        <v>Link</v>
      </c>
      <c r="AD615" s="42">
        <v>2066</v>
      </c>
      <c r="AE615" s="55"/>
      <c r="AF615" s="55"/>
      <c r="AG615" s="56">
        <v>155566</v>
      </c>
      <c r="AH615" s="56"/>
      <c r="AI615" s="56"/>
    </row>
    <row r="616" spans="1:35" ht="15" x14ac:dyDescent="0.2">
      <c r="A616" s="64" t="s">
        <v>2730</v>
      </c>
      <c r="B616" s="33" t="s">
        <v>12632</v>
      </c>
      <c r="C616" s="7" t="s">
        <v>18583</v>
      </c>
      <c r="D616" s="112">
        <v>5</v>
      </c>
      <c r="E616" s="7"/>
      <c r="F616" s="112"/>
      <c r="G616" s="2" t="s">
        <v>18584</v>
      </c>
      <c r="H616" s="2" t="s">
        <v>8061</v>
      </c>
      <c r="I616" s="2" t="s">
        <v>18585</v>
      </c>
      <c r="J616" s="2" t="s">
        <v>48</v>
      </c>
      <c r="K616" s="2" t="s">
        <v>18586</v>
      </c>
      <c r="L616" s="2" t="s">
        <v>18587</v>
      </c>
      <c r="M616" s="48"/>
      <c r="N616" s="45" t="str">
        <f t="shared" ref="N616:N617" si="379">HYPERLINK("https://www.ntmavericks.com/future_mavericks/index","Questionnaire")</f>
        <v>Questionnaire</v>
      </c>
      <c r="O616" s="48" t="s">
        <v>18588</v>
      </c>
      <c r="P616" s="60" t="s">
        <v>528</v>
      </c>
      <c r="Q616" s="48" t="s">
        <v>18589</v>
      </c>
      <c r="R616" s="60" t="s">
        <v>205</v>
      </c>
      <c r="S616" s="49" t="s">
        <v>74</v>
      </c>
      <c r="T616" s="48" t="s">
        <v>75</v>
      </c>
      <c r="U616" s="49" t="s">
        <v>3678</v>
      </c>
      <c r="V616" s="7" t="s">
        <v>214</v>
      </c>
      <c r="W616" s="49" t="s">
        <v>214</v>
      </c>
      <c r="X616" s="49" t="s">
        <v>214</v>
      </c>
      <c r="Y616" s="49" t="s">
        <v>214</v>
      </c>
      <c r="Z616" s="55" t="s">
        <v>214</v>
      </c>
      <c r="AA616" s="39">
        <v>17952</v>
      </c>
      <c r="AB616" s="84" t="s">
        <v>18588</v>
      </c>
      <c r="AC616" s="53" t="str">
        <f t="shared" ref="AC616:AC617" si="380">HYPERLINK("http://nwktc.edu/academics/programs/","Link")</f>
        <v>Link</v>
      </c>
      <c r="AD616" s="42">
        <v>812</v>
      </c>
      <c r="AE616" s="55"/>
      <c r="AF616" s="55"/>
      <c r="AG616" s="56">
        <v>155618</v>
      </c>
      <c r="AH616" s="56"/>
      <c r="AI616" s="56"/>
    </row>
    <row r="617" spans="1:35" ht="15" x14ac:dyDescent="0.2">
      <c r="A617" s="64" t="s">
        <v>2730</v>
      </c>
      <c r="B617" s="33" t="s">
        <v>12632</v>
      </c>
      <c r="C617" s="7" t="s">
        <v>18595</v>
      </c>
      <c r="D617" s="112">
        <v>5</v>
      </c>
      <c r="E617" s="7"/>
      <c r="F617" s="112"/>
      <c r="G617" s="2" t="s">
        <v>18584</v>
      </c>
      <c r="H617" s="2" t="s">
        <v>13491</v>
      </c>
      <c r="I617" s="2" t="s">
        <v>18596</v>
      </c>
      <c r="J617" s="2" t="s">
        <v>55</v>
      </c>
      <c r="K617" s="7" t="s">
        <v>18597</v>
      </c>
      <c r="L617" s="2"/>
      <c r="M617" s="48"/>
      <c r="N617" s="45" t="str">
        <f t="shared" si="379"/>
        <v>Questionnaire</v>
      </c>
      <c r="O617" s="48" t="s">
        <v>18588</v>
      </c>
      <c r="P617" s="60" t="s">
        <v>528</v>
      </c>
      <c r="Q617" s="48" t="s">
        <v>18589</v>
      </c>
      <c r="R617" s="60" t="s">
        <v>205</v>
      </c>
      <c r="S617" s="49" t="s">
        <v>74</v>
      </c>
      <c r="T617" s="48" t="s">
        <v>75</v>
      </c>
      <c r="U617" s="49" t="s">
        <v>3678</v>
      </c>
      <c r="V617" s="7" t="s">
        <v>214</v>
      </c>
      <c r="W617" s="49" t="s">
        <v>214</v>
      </c>
      <c r="X617" s="49" t="s">
        <v>214</v>
      </c>
      <c r="Y617" s="49" t="s">
        <v>214</v>
      </c>
      <c r="Z617" s="55" t="s">
        <v>214</v>
      </c>
      <c r="AA617" s="39">
        <v>17952</v>
      </c>
      <c r="AB617" s="84" t="s">
        <v>18588</v>
      </c>
      <c r="AC617" s="53" t="str">
        <f t="shared" si="380"/>
        <v>Link</v>
      </c>
      <c r="AD617" s="42">
        <v>812</v>
      </c>
      <c r="AE617" s="55"/>
      <c r="AF617" s="55"/>
      <c r="AG617" s="56">
        <v>155618</v>
      </c>
      <c r="AH617" s="56"/>
      <c r="AI617" s="56"/>
    </row>
    <row r="618" spans="1:35" ht="15" x14ac:dyDescent="0.2">
      <c r="A618" s="64" t="s">
        <v>2730</v>
      </c>
      <c r="B618" s="33" t="s">
        <v>12632</v>
      </c>
      <c r="C618" s="7" t="s">
        <v>18599</v>
      </c>
      <c r="D618" s="112">
        <v>5</v>
      </c>
      <c r="E618" s="7"/>
      <c r="F618" s="112"/>
      <c r="G618" s="2" t="s">
        <v>18600</v>
      </c>
      <c r="H618" s="2" t="s">
        <v>18601</v>
      </c>
      <c r="I618" s="2" t="s">
        <v>17810</v>
      </c>
      <c r="J618" s="2" t="s">
        <v>48</v>
      </c>
      <c r="K618" s="2" t="s">
        <v>18602</v>
      </c>
      <c r="L618" s="2" t="s">
        <v>18603</v>
      </c>
      <c r="M618" s="48"/>
      <c r="N618" s="45" t="str">
        <f t="shared" ref="N618:N619" si="381">HYPERLINK("https://prattcc.prestosports.com/sports/track/Recruit_Questionnaire","Questionnaire")</f>
        <v>Questionnaire</v>
      </c>
      <c r="O618" s="48" t="s">
        <v>18605</v>
      </c>
      <c r="P618" s="60" t="s">
        <v>528</v>
      </c>
      <c r="Q618" s="48" t="s">
        <v>11183</v>
      </c>
      <c r="R618" s="60" t="s">
        <v>205</v>
      </c>
      <c r="S618" s="49" t="s">
        <v>74</v>
      </c>
      <c r="T618" s="48" t="s">
        <v>75</v>
      </c>
      <c r="U618" s="49" t="s">
        <v>3678</v>
      </c>
      <c r="V618" s="7" t="s">
        <v>214</v>
      </c>
      <c r="W618" s="49" t="s">
        <v>214</v>
      </c>
      <c r="X618" s="49" t="s">
        <v>214</v>
      </c>
      <c r="Y618" s="49" t="s">
        <v>214</v>
      </c>
      <c r="Z618" s="55" t="s">
        <v>214</v>
      </c>
      <c r="AA618" s="48" t="s">
        <v>18610</v>
      </c>
      <c r="AB618" s="90" t="s">
        <v>18605</v>
      </c>
      <c r="AC618" s="53" t="str">
        <f t="shared" ref="AC618:AC619" si="382">HYPERLINK("http://prattcc.edu/academics","Link")</f>
        <v>Link</v>
      </c>
      <c r="AD618" s="42">
        <v>1191</v>
      </c>
      <c r="AE618" s="55"/>
      <c r="AF618" s="55"/>
      <c r="AG618" s="56">
        <v>155715</v>
      </c>
      <c r="AH618" s="56"/>
      <c r="AI618" s="56"/>
    </row>
    <row r="619" spans="1:35" ht="15" x14ac:dyDescent="0.2">
      <c r="A619" s="64" t="s">
        <v>2730</v>
      </c>
      <c r="B619" s="33" t="s">
        <v>12632</v>
      </c>
      <c r="C619" s="7" t="s">
        <v>18611</v>
      </c>
      <c r="D619" s="112">
        <v>5</v>
      </c>
      <c r="E619" s="7"/>
      <c r="F619" s="112"/>
      <c r="G619" s="2" t="s">
        <v>18600</v>
      </c>
      <c r="H619" s="2" t="s">
        <v>8939</v>
      </c>
      <c r="I619" s="2" t="s">
        <v>18612</v>
      </c>
      <c r="J619" s="2" t="s">
        <v>139</v>
      </c>
      <c r="K619" s="2" t="s">
        <v>18613</v>
      </c>
      <c r="L619" s="2" t="s">
        <v>18603</v>
      </c>
      <c r="M619" s="48"/>
      <c r="N619" s="45" t="str">
        <f t="shared" si="381"/>
        <v>Questionnaire</v>
      </c>
      <c r="O619" s="48" t="s">
        <v>18605</v>
      </c>
      <c r="P619" s="60" t="s">
        <v>528</v>
      </c>
      <c r="Q619" s="48" t="s">
        <v>11183</v>
      </c>
      <c r="R619" s="60" t="s">
        <v>205</v>
      </c>
      <c r="S619" s="49" t="s">
        <v>74</v>
      </c>
      <c r="T619" s="48" t="s">
        <v>75</v>
      </c>
      <c r="U619" s="49" t="s">
        <v>3678</v>
      </c>
      <c r="V619" s="7" t="s">
        <v>214</v>
      </c>
      <c r="W619" s="49" t="s">
        <v>214</v>
      </c>
      <c r="X619" s="49" t="s">
        <v>214</v>
      </c>
      <c r="Y619" s="49" t="s">
        <v>214</v>
      </c>
      <c r="Z619" s="55" t="s">
        <v>214</v>
      </c>
      <c r="AA619" s="48" t="s">
        <v>18610</v>
      </c>
      <c r="AB619" s="90" t="s">
        <v>18605</v>
      </c>
      <c r="AC619" s="53" t="str">
        <f t="shared" si="382"/>
        <v>Link</v>
      </c>
      <c r="AD619" s="42">
        <v>1191</v>
      </c>
      <c r="AE619" s="55"/>
      <c r="AF619" s="55"/>
      <c r="AG619" s="56">
        <v>155715</v>
      </c>
      <c r="AH619" s="56"/>
      <c r="AI619" s="56"/>
    </row>
    <row r="620" spans="1:35" ht="15" x14ac:dyDescent="0.2">
      <c r="A620" s="64" t="s">
        <v>2730</v>
      </c>
      <c r="B620" s="33" t="s">
        <v>12632</v>
      </c>
      <c r="C620" s="7" t="s">
        <v>18614</v>
      </c>
      <c r="D620" s="112">
        <v>5</v>
      </c>
      <c r="E620" s="7"/>
      <c r="F620" s="112"/>
      <c r="G620" s="2" t="s">
        <v>18616</v>
      </c>
      <c r="H620" s="2" t="s">
        <v>2316</v>
      </c>
      <c r="I620" s="2" t="s">
        <v>18617</v>
      </c>
      <c r="J620" s="2" t="s">
        <v>48</v>
      </c>
      <c r="K620" s="2" t="s">
        <v>18619</v>
      </c>
      <c r="L620" s="2" t="s">
        <v>18621</v>
      </c>
      <c r="M620" s="48"/>
      <c r="N620" s="45" t="str">
        <f t="shared" ref="N620:N622" si="383">HYPERLINK("https://sewardsaints.com/sports/sball/Newcomers_Questionnaire_-_Softball","Questionnaire")</f>
        <v>Questionnaire</v>
      </c>
      <c r="O620" s="48" t="s">
        <v>18623</v>
      </c>
      <c r="P620" s="60" t="s">
        <v>528</v>
      </c>
      <c r="Q620" s="48" t="s">
        <v>18624</v>
      </c>
      <c r="R620" s="48" t="s">
        <v>172</v>
      </c>
      <c r="S620" s="49" t="s">
        <v>74</v>
      </c>
      <c r="T620" s="48" t="s">
        <v>75</v>
      </c>
      <c r="U620" s="49" t="s">
        <v>3678</v>
      </c>
      <c r="V620" s="7" t="s">
        <v>214</v>
      </c>
      <c r="W620" s="49" t="s">
        <v>214</v>
      </c>
      <c r="X620" s="49" t="s">
        <v>214</v>
      </c>
      <c r="Y620" s="49" t="s">
        <v>214</v>
      </c>
      <c r="Z620" s="55" t="s">
        <v>214</v>
      </c>
      <c r="AA620" s="48" t="s">
        <v>18625</v>
      </c>
      <c r="AB620" s="84" t="s">
        <v>18623</v>
      </c>
      <c r="AC620" s="53" t="str">
        <f t="shared" ref="AC620:AC622" si="384">HYPERLINK("https://www.sccc.edu/web/academic/degrees","Link")</f>
        <v>Link</v>
      </c>
      <c r="AD620" s="42">
        <v>1927</v>
      </c>
      <c r="AE620" s="55"/>
      <c r="AF620" s="55"/>
      <c r="AG620" s="56">
        <v>155858</v>
      </c>
      <c r="AH620" s="56"/>
      <c r="AI620" s="56"/>
    </row>
    <row r="621" spans="1:35" ht="15" x14ac:dyDescent="0.2">
      <c r="A621" s="64" t="s">
        <v>2730</v>
      </c>
      <c r="B621" s="33" t="s">
        <v>12632</v>
      </c>
      <c r="C621" s="7" t="s">
        <v>18630</v>
      </c>
      <c r="D621" s="112">
        <v>5</v>
      </c>
      <c r="E621" s="7"/>
      <c r="F621" s="112"/>
      <c r="G621" s="2" t="s">
        <v>18616</v>
      </c>
      <c r="H621" s="2" t="s">
        <v>18521</v>
      </c>
      <c r="I621" s="2" t="s">
        <v>18631</v>
      </c>
      <c r="J621" s="2" t="s">
        <v>55</v>
      </c>
      <c r="K621" s="7" t="s">
        <v>18633</v>
      </c>
      <c r="L621" s="2" t="s">
        <v>18634</v>
      </c>
      <c r="M621" s="48"/>
      <c r="N621" s="45" t="str">
        <f t="shared" si="383"/>
        <v>Questionnaire</v>
      </c>
      <c r="O621" s="48" t="s">
        <v>18623</v>
      </c>
      <c r="P621" s="60" t="s">
        <v>528</v>
      </c>
      <c r="Q621" s="48" t="s">
        <v>18624</v>
      </c>
      <c r="R621" s="48" t="s">
        <v>172</v>
      </c>
      <c r="S621" s="49" t="s">
        <v>74</v>
      </c>
      <c r="T621" s="48" t="s">
        <v>75</v>
      </c>
      <c r="U621" s="49" t="s">
        <v>3678</v>
      </c>
      <c r="V621" s="7" t="s">
        <v>214</v>
      </c>
      <c r="W621" s="49" t="s">
        <v>214</v>
      </c>
      <c r="X621" s="49" t="s">
        <v>214</v>
      </c>
      <c r="Y621" s="49" t="s">
        <v>214</v>
      </c>
      <c r="Z621" s="55" t="s">
        <v>214</v>
      </c>
      <c r="AA621" s="48" t="s">
        <v>18625</v>
      </c>
      <c r="AB621" s="84" t="s">
        <v>18623</v>
      </c>
      <c r="AC621" s="53" t="str">
        <f t="shared" si="384"/>
        <v>Link</v>
      </c>
      <c r="AD621" s="42">
        <v>1927</v>
      </c>
      <c r="AE621" s="55"/>
      <c r="AF621" s="55"/>
      <c r="AG621" s="56">
        <v>155858</v>
      </c>
      <c r="AH621" s="56"/>
      <c r="AI621" s="56"/>
    </row>
    <row r="622" spans="1:35" ht="15" x14ac:dyDescent="0.2">
      <c r="A622" s="64" t="s">
        <v>2730</v>
      </c>
      <c r="B622" s="33" t="s">
        <v>12632</v>
      </c>
      <c r="C622" s="7" t="s">
        <v>18636</v>
      </c>
      <c r="D622" s="112">
        <v>5</v>
      </c>
      <c r="E622" s="7"/>
      <c r="F622" s="112"/>
      <c r="G622" s="2" t="s">
        <v>18616</v>
      </c>
      <c r="H622" s="2" t="s">
        <v>18637</v>
      </c>
      <c r="I622" s="2" t="s">
        <v>18638</v>
      </c>
      <c r="J622" s="2" t="s">
        <v>55</v>
      </c>
      <c r="K622" s="2" t="s">
        <v>18639</v>
      </c>
      <c r="L622" s="2" t="s">
        <v>18634</v>
      </c>
      <c r="M622" s="48"/>
      <c r="N622" s="45" t="str">
        <f t="shared" si="383"/>
        <v>Questionnaire</v>
      </c>
      <c r="O622" s="48" t="s">
        <v>18623</v>
      </c>
      <c r="P622" s="60" t="s">
        <v>528</v>
      </c>
      <c r="Q622" s="48" t="s">
        <v>18624</v>
      </c>
      <c r="R622" s="48" t="s">
        <v>172</v>
      </c>
      <c r="S622" s="49" t="s">
        <v>74</v>
      </c>
      <c r="T622" s="48" t="s">
        <v>75</v>
      </c>
      <c r="U622" s="49" t="s">
        <v>3678</v>
      </c>
      <c r="V622" s="7" t="s">
        <v>214</v>
      </c>
      <c r="W622" s="49" t="s">
        <v>214</v>
      </c>
      <c r="X622" s="49" t="s">
        <v>214</v>
      </c>
      <c r="Y622" s="49" t="s">
        <v>214</v>
      </c>
      <c r="Z622" s="55" t="s">
        <v>214</v>
      </c>
      <c r="AA622" s="48" t="s">
        <v>18625</v>
      </c>
      <c r="AB622" s="84" t="s">
        <v>18623</v>
      </c>
      <c r="AC622" s="53" t="str">
        <f t="shared" si="384"/>
        <v>Link</v>
      </c>
      <c r="AD622" s="42">
        <v>1927</v>
      </c>
      <c r="AE622" s="55"/>
      <c r="AF622" s="55"/>
      <c r="AG622" s="56">
        <v>155858</v>
      </c>
      <c r="AH622" s="56"/>
      <c r="AI622" s="56"/>
    </row>
    <row r="623" spans="1:35" ht="15" x14ac:dyDescent="0.2">
      <c r="A623" s="64" t="s">
        <v>3601</v>
      </c>
      <c r="B623" s="33" t="s">
        <v>12632</v>
      </c>
      <c r="C623" s="7" t="s">
        <v>18642</v>
      </c>
      <c r="D623" s="112">
        <v>5</v>
      </c>
      <c r="E623" s="7"/>
      <c r="F623" s="112"/>
      <c r="G623" s="2" t="s">
        <v>18643</v>
      </c>
      <c r="H623" s="2" t="s">
        <v>7674</v>
      </c>
      <c r="I623" s="2" t="s">
        <v>18644</v>
      </c>
      <c r="J623" s="2" t="s">
        <v>48</v>
      </c>
      <c r="K623" s="7" t="s">
        <v>18645</v>
      </c>
      <c r="L623" s="2" t="s">
        <v>18646</v>
      </c>
      <c r="M623" s="45" t="str">
        <f t="shared" ref="M623:M624" si="385">HYPERLINK("twitter.com/brcc_softball","@brcc_softball")</f>
        <v>@brcc_softball</v>
      </c>
      <c r="N623" s="45" t="str">
        <f t="shared" ref="N623:N626" si="386">HYPERLINK("https://www.brccathletics.com/sports/sball/questionnaire","Questionnaire")</f>
        <v>Questionnaire</v>
      </c>
      <c r="O623" s="48" t="s">
        <v>18648</v>
      </c>
      <c r="P623" s="60" t="s">
        <v>3623</v>
      </c>
      <c r="Q623" s="48" t="s">
        <v>11837</v>
      </c>
      <c r="R623" s="48" t="s">
        <v>62</v>
      </c>
      <c r="S623" s="5" t="s">
        <v>74</v>
      </c>
      <c r="T623" s="48" t="s">
        <v>75</v>
      </c>
      <c r="U623" s="49" t="s">
        <v>3678</v>
      </c>
      <c r="V623" s="7" t="s">
        <v>214</v>
      </c>
      <c r="W623" s="49" t="s">
        <v>214</v>
      </c>
      <c r="X623" s="49" t="s">
        <v>214</v>
      </c>
      <c r="Y623" s="49" t="s">
        <v>214</v>
      </c>
      <c r="Z623" s="55" t="s">
        <v>214</v>
      </c>
      <c r="AA623" s="48" t="s">
        <v>18649</v>
      </c>
      <c r="AB623" s="52" t="s">
        <v>18648</v>
      </c>
      <c r="AC623" s="53" t="str">
        <f t="shared" ref="AC623:AC624" si="387">HYPERLINK("http://www.mybrcc.edu/academics/programs_and_courses.php","Link")</f>
        <v>Link</v>
      </c>
      <c r="AD623" s="42">
        <v>7297</v>
      </c>
      <c r="AE623" s="55"/>
      <c r="AF623" s="55"/>
      <c r="AG623" s="56">
        <v>437103</v>
      </c>
      <c r="AH623" s="56"/>
      <c r="AI623" s="56"/>
    </row>
    <row r="624" spans="1:35" ht="15" x14ac:dyDescent="0.2">
      <c r="A624" s="64" t="s">
        <v>3601</v>
      </c>
      <c r="B624" s="33" t="s">
        <v>12632</v>
      </c>
      <c r="C624" s="7" t="s">
        <v>18654</v>
      </c>
      <c r="D624" s="112">
        <v>5</v>
      </c>
      <c r="E624" s="7"/>
      <c r="F624" s="112" t="s">
        <v>126</v>
      </c>
      <c r="G624" s="2" t="s">
        <v>18643</v>
      </c>
      <c r="H624" s="2" t="s">
        <v>18655</v>
      </c>
      <c r="I624" s="2"/>
      <c r="J624" s="2"/>
      <c r="K624" s="2"/>
      <c r="L624" s="2"/>
      <c r="M624" s="45" t="str">
        <f t="shared" si="385"/>
        <v>@brcc_softball</v>
      </c>
      <c r="N624" s="45" t="str">
        <f t="shared" si="386"/>
        <v>Questionnaire</v>
      </c>
      <c r="O624" s="48" t="s">
        <v>18648</v>
      </c>
      <c r="P624" s="60" t="s">
        <v>3623</v>
      </c>
      <c r="Q624" s="48" t="s">
        <v>11837</v>
      </c>
      <c r="R624" s="48" t="s">
        <v>62</v>
      </c>
      <c r="S624" s="5" t="s">
        <v>74</v>
      </c>
      <c r="T624" s="48" t="s">
        <v>75</v>
      </c>
      <c r="U624" s="49" t="s">
        <v>3678</v>
      </c>
      <c r="V624" s="7" t="s">
        <v>214</v>
      </c>
      <c r="W624" s="49" t="s">
        <v>214</v>
      </c>
      <c r="X624" s="49" t="s">
        <v>214</v>
      </c>
      <c r="Y624" s="49" t="s">
        <v>214</v>
      </c>
      <c r="Z624" s="55" t="s">
        <v>214</v>
      </c>
      <c r="AA624" s="48" t="s">
        <v>18649</v>
      </c>
      <c r="AB624" s="52" t="s">
        <v>18648</v>
      </c>
      <c r="AC624" s="53" t="str">
        <f t="shared" si="387"/>
        <v>Link</v>
      </c>
      <c r="AD624" s="42">
        <v>7297</v>
      </c>
      <c r="AE624" s="55"/>
      <c r="AF624" s="55"/>
      <c r="AG624" s="56">
        <v>437103</v>
      </c>
      <c r="AH624" s="56"/>
      <c r="AI624" s="56"/>
    </row>
    <row r="625" spans="1:37" ht="15" x14ac:dyDescent="0.2">
      <c r="A625" s="64" t="s">
        <v>3601</v>
      </c>
      <c r="B625" s="33" t="s">
        <v>12632</v>
      </c>
      <c r="C625" s="7" t="s">
        <v>18658</v>
      </c>
      <c r="D625" s="112">
        <v>5</v>
      </c>
      <c r="E625" s="7" t="s">
        <v>116</v>
      </c>
      <c r="F625" s="7"/>
      <c r="G625" s="2" t="s">
        <v>18643</v>
      </c>
      <c r="H625" s="7" t="s">
        <v>1875</v>
      </c>
      <c r="I625" s="7" t="s">
        <v>18659</v>
      </c>
      <c r="J625" s="7" t="s">
        <v>48</v>
      </c>
      <c r="K625" s="7" t="s">
        <v>18660</v>
      </c>
      <c r="L625" s="2" t="s">
        <v>18662</v>
      </c>
      <c r="M625" s="45" t="str">
        <f t="shared" ref="M625:M626" si="388">HYPERLINK("twitter.com/bpcc_softball","@bpcc_softball")</f>
        <v>@bpcc_softball</v>
      </c>
      <c r="N625" s="45" t="str">
        <f t="shared" si="386"/>
        <v>Questionnaire</v>
      </c>
      <c r="O625" s="48" t="s">
        <v>18664</v>
      </c>
      <c r="P625" s="60" t="s">
        <v>3623</v>
      </c>
      <c r="Q625" s="48" t="s">
        <v>18665</v>
      </c>
      <c r="R625" s="48" t="s">
        <v>186</v>
      </c>
      <c r="S625" s="49" t="s">
        <v>74</v>
      </c>
      <c r="T625" s="48" t="s">
        <v>75</v>
      </c>
      <c r="U625" s="49" t="s">
        <v>3678</v>
      </c>
      <c r="V625" s="7" t="s">
        <v>214</v>
      </c>
      <c r="W625" s="49" t="s">
        <v>214</v>
      </c>
      <c r="X625" s="49" t="s">
        <v>214</v>
      </c>
      <c r="Y625" s="49" t="s">
        <v>214</v>
      </c>
      <c r="Z625" s="55" t="s">
        <v>214</v>
      </c>
      <c r="AA625" s="48" t="s">
        <v>18666</v>
      </c>
      <c r="AB625" s="52" t="s">
        <v>18664</v>
      </c>
      <c r="AC625" s="53" t="str">
        <f t="shared" ref="AC625:AC626" si="389">HYPERLINK("http://www.bpcc.edu/academics/programsofstudy/division.html","Link")</f>
        <v>Link</v>
      </c>
      <c r="AD625" s="42">
        <v>6714</v>
      </c>
      <c r="AE625" s="55"/>
      <c r="AF625" s="55"/>
      <c r="AG625" s="56">
        <v>158431</v>
      </c>
      <c r="AH625" s="56"/>
      <c r="AI625" s="56"/>
    </row>
    <row r="626" spans="1:37" ht="15" x14ac:dyDescent="0.2">
      <c r="A626" s="64" t="s">
        <v>3601</v>
      </c>
      <c r="B626" s="33" t="s">
        <v>12632</v>
      </c>
      <c r="C626" s="7" t="s">
        <v>18671</v>
      </c>
      <c r="D626" s="112">
        <v>5</v>
      </c>
      <c r="E626" s="7"/>
      <c r="F626" s="112"/>
      <c r="G626" s="2" t="s">
        <v>18672</v>
      </c>
      <c r="H626" s="2" t="s">
        <v>785</v>
      </c>
      <c r="I626" s="2" t="s">
        <v>1906</v>
      </c>
      <c r="J626" s="2" t="s">
        <v>55</v>
      </c>
      <c r="K626" s="2" t="s">
        <v>18673</v>
      </c>
      <c r="L626" s="2" t="s">
        <v>18662</v>
      </c>
      <c r="M626" s="45" t="str">
        <f t="shared" si="388"/>
        <v>@bpcc_softball</v>
      </c>
      <c r="N626" s="45" t="str">
        <f t="shared" si="386"/>
        <v>Questionnaire</v>
      </c>
      <c r="O626" s="48" t="s">
        <v>18664</v>
      </c>
      <c r="P626" s="60" t="s">
        <v>3623</v>
      </c>
      <c r="Q626" s="48" t="s">
        <v>18665</v>
      </c>
      <c r="R626" s="48" t="s">
        <v>186</v>
      </c>
      <c r="S626" s="49" t="s">
        <v>74</v>
      </c>
      <c r="T626" s="48" t="s">
        <v>75</v>
      </c>
      <c r="U626" s="49" t="s">
        <v>3678</v>
      </c>
      <c r="V626" s="7" t="s">
        <v>214</v>
      </c>
      <c r="W626" s="49" t="s">
        <v>214</v>
      </c>
      <c r="X626" s="49" t="s">
        <v>214</v>
      </c>
      <c r="Y626" s="49" t="s">
        <v>214</v>
      </c>
      <c r="Z626" s="55" t="s">
        <v>214</v>
      </c>
      <c r="AA626" s="48" t="s">
        <v>18666</v>
      </c>
      <c r="AB626" s="52" t="s">
        <v>18664</v>
      </c>
      <c r="AC626" s="53" t="str">
        <f t="shared" si="389"/>
        <v>Link</v>
      </c>
      <c r="AD626" s="42">
        <v>6714</v>
      </c>
      <c r="AE626" s="55"/>
      <c r="AF626" s="55"/>
      <c r="AG626" s="56">
        <v>158431</v>
      </c>
      <c r="AH626" s="56"/>
      <c r="AI626" s="56"/>
    </row>
    <row r="627" spans="1:37" ht="15" x14ac:dyDescent="0.2">
      <c r="A627" s="64" t="s">
        <v>3601</v>
      </c>
      <c r="B627" s="33" t="s">
        <v>12632</v>
      </c>
      <c r="C627" s="7" t="s">
        <v>18674</v>
      </c>
      <c r="D627" s="112">
        <v>5</v>
      </c>
      <c r="E627" s="7"/>
      <c r="F627" s="112"/>
      <c r="G627" s="2" t="s">
        <v>18675</v>
      </c>
      <c r="H627" s="2" t="s">
        <v>2135</v>
      </c>
      <c r="I627" s="2" t="s">
        <v>3902</v>
      </c>
      <c r="J627" s="2" t="s">
        <v>48</v>
      </c>
      <c r="K627" s="2" t="s">
        <v>18677</v>
      </c>
      <c r="L627" s="2" t="s">
        <v>18678</v>
      </c>
      <c r="M627" s="45" t="str">
        <f t="shared" ref="M627:M629" si="390">HYPERLINK("twitter.com/lsuebengalssb","@lsuebengalssb")</f>
        <v>@lsuebengalssb</v>
      </c>
      <c r="N627" s="45" t="str">
        <f t="shared" ref="N627:N629" si="391">HYPERLINK("https://athletics.lsue.edu/sb_output.aspx?form=7","Questionnaire")</f>
        <v>Questionnaire</v>
      </c>
      <c r="O627" s="48" t="s">
        <v>18680</v>
      </c>
      <c r="P627" s="60" t="s">
        <v>3623</v>
      </c>
      <c r="Q627" s="48" t="s">
        <v>18681</v>
      </c>
      <c r="R627" s="48" t="s">
        <v>172</v>
      </c>
      <c r="S627" s="5" t="s">
        <v>74</v>
      </c>
      <c r="T627" s="48" t="s">
        <v>75</v>
      </c>
      <c r="U627" s="49" t="s">
        <v>3678</v>
      </c>
      <c r="V627" s="7" t="s">
        <v>214</v>
      </c>
      <c r="W627" s="49" t="s">
        <v>214</v>
      </c>
      <c r="X627" s="49" t="s">
        <v>214</v>
      </c>
      <c r="Y627" s="49" t="s">
        <v>214</v>
      </c>
      <c r="Z627" s="55" t="s">
        <v>214</v>
      </c>
      <c r="AA627" s="39">
        <v>18582</v>
      </c>
      <c r="AB627" s="84" t="s">
        <v>18680</v>
      </c>
      <c r="AC627" s="53" t="str">
        <f t="shared" ref="AC627:AC629" si="392">HYPERLINK("http://www.lsue.edu/academics/","Link")</f>
        <v>Link</v>
      </c>
      <c r="AD627" s="42">
        <v>2906</v>
      </c>
      <c r="AE627" s="55"/>
      <c r="AF627" s="55"/>
      <c r="AG627" s="56">
        <v>159407</v>
      </c>
      <c r="AH627" s="56"/>
      <c r="AI627" s="56"/>
    </row>
    <row r="628" spans="1:37" ht="15" x14ac:dyDescent="0.2">
      <c r="A628" s="64" t="s">
        <v>3601</v>
      </c>
      <c r="B628" s="33" t="s">
        <v>12632</v>
      </c>
      <c r="C628" s="7" t="s">
        <v>18683</v>
      </c>
      <c r="D628" s="112">
        <v>5</v>
      </c>
      <c r="E628" s="7"/>
      <c r="F628" s="112"/>
      <c r="G628" s="2" t="s">
        <v>18675</v>
      </c>
      <c r="H628" s="2" t="s">
        <v>18684</v>
      </c>
      <c r="I628" s="2" t="s">
        <v>969</v>
      </c>
      <c r="J628" s="2" t="s">
        <v>55</v>
      </c>
      <c r="K628" s="2" t="s">
        <v>18685</v>
      </c>
      <c r="L628" s="2" t="s">
        <v>18686</v>
      </c>
      <c r="M628" s="45" t="str">
        <f t="shared" si="390"/>
        <v>@lsuebengalssb</v>
      </c>
      <c r="N628" s="45" t="str">
        <f t="shared" si="391"/>
        <v>Questionnaire</v>
      </c>
      <c r="O628" s="48" t="s">
        <v>18680</v>
      </c>
      <c r="P628" s="60" t="s">
        <v>3623</v>
      </c>
      <c r="Q628" s="48" t="s">
        <v>18681</v>
      </c>
      <c r="R628" s="48" t="s">
        <v>172</v>
      </c>
      <c r="S628" s="5" t="s">
        <v>74</v>
      </c>
      <c r="T628" s="48" t="s">
        <v>75</v>
      </c>
      <c r="U628" s="49" t="s">
        <v>3678</v>
      </c>
      <c r="V628" s="7" t="s">
        <v>214</v>
      </c>
      <c r="W628" s="49" t="s">
        <v>214</v>
      </c>
      <c r="X628" s="49" t="s">
        <v>214</v>
      </c>
      <c r="Y628" s="49" t="s">
        <v>214</v>
      </c>
      <c r="Z628" s="55" t="s">
        <v>214</v>
      </c>
      <c r="AA628" s="39">
        <v>18582</v>
      </c>
      <c r="AB628" s="84" t="s">
        <v>18680</v>
      </c>
      <c r="AC628" s="53" t="str">
        <f t="shared" si="392"/>
        <v>Link</v>
      </c>
      <c r="AD628" s="42">
        <v>2906</v>
      </c>
      <c r="AE628" s="55"/>
      <c r="AF628" s="55"/>
      <c r="AG628" s="56">
        <v>159407</v>
      </c>
      <c r="AH628" s="56"/>
      <c r="AI628" s="56"/>
    </row>
    <row r="629" spans="1:37" ht="15" x14ac:dyDescent="0.2">
      <c r="A629" s="64" t="s">
        <v>3601</v>
      </c>
      <c r="B629" s="33" t="s">
        <v>12632</v>
      </c>
      <c r="C629" s="7" t="s">
        <v>18688</v>
      </c>
      <c r="D629" s="112">
        <v>5</v>
      </c>
      <c r="E629" s="7"/>
      <c r="F629" s="112"/>
      <c r="G629" s="2" t="s">
        <v>18675</v>
      </c>
      <c r="H629" s="2" t="s">
        <v>16795</v>
      </c>
      <c r="I629" s="2" t="s">
        <v>18689</v>
      </c>
      <c r="J629" s="2" t="s">
        <v>139</v>
      </c>
      <c r="K629" s="7"/>
      <c r="L629" s="2"/>
      <c r="M629" s="45" t="str">
        <f t="shared" si="390"/>
        <v>@lsuebengalssb</v>
      </c>
      <c r="N629" s="45" t="str">
        <f t="shared" si="391"/>
        <v>Questionnaire</v>
      </c>
      <c r="O629" s="48" t="s">
        <v>18680</v>
      </c>
      <c r="P629" s="60" t="s">
        <v>3623</v>
      </c>
      <c r="Q629" s="48" t="s">
        <v>18681</v>
      </c>
      <c r="R629" s="48" t="s">
        <v>172</v>
      </c>
      <c r="S629" s="5" t="s">
        <v>74</v>
      </c>
      <c r="T629" s="48" t="s">
        <v>75</v>
      </c>
      <c r="U629" s="49" t="s">
        <v>3678</v>
      </c>
      <c r="V629" s="7" t="s">
        <v>214</v>
      </c>
      <c r="W629" s="49" t="s">
        <v>214</v>
      </c>
      <c r="X629" s="49" t="s">
        <v>214</v>
      </c>
      <c r="Y629" s="49" t="s">
        <v>214</v>
      </c>
      <c r="Z629" s="55" t="s">
        <v>214</v>
      </c>
      <c r="AA629" s="39">
        <v>18582</v>
      </c>
      <c r="AB629" s="84" t="s">
        <v>18680</v>
      </c>
      <c r="AC629" s="53" t="str">
        <f t="shared" si="392"/>
        <v>Link</v>
      </c>
      <c r="AD629" s="42">
        <v>2906</v>
      </c>
      <c r="AE629" s="55"/>
      <c r="AF629" s="55"/>
      <c r="AG629" s="56">
        <v>159407</v>
      </c>
      <c r="AH629" s="56"/>
      <c r="AI629" s="56"/>
    </row>
    <row r="630" spans="1:37" ht="15" x14ac:dyDescent="0.2">
      <c r="A630" s="110" t="s">
        <v>4127</v>
      </c>
      <c r="B630" s="33" t="s">
        <v>12632</v>
      </c>
      <c r="C630" s="7"/>
      <c r="D630" s="112">
        <v>5</v>
      </c>
      <c r="E630" s="7"/>
      <c r="F630" s="112"/>
      <c r="G630" s="2" t="s">
        <v>18695</v>
      </c>
      <c r="H630" s="2" t="s">
        <v>754</v>
      </c>
      <c r="I630" s="2" t="s">
        <v>18696</v>
      </c>
      <c r="J630" s="2" t="s">
        <v>48</v>
      </c>
      <c r="K630" s="2" t="s">
        <v>18697</v>
      </c>
      <c r="L630" s="2" t="s">
        <v>18698</v>
      </c>
      <c r="M630" s="48"/>
      <c r="N630" s="45" t="str">
        <f t="shared" ref="N630:N633" si="393">HYPERLINK("https://www.allegany.edu/x3508.xml","Questionnaire")</f>
        <v>Questionnaire</v>
      </c>
      <c r="O630" s="48" t="s">
        <v>18699</v>
      </c>
      <c r="P630" s="60" t="s">
        <v>1668</v>
      </c>
      <c r="Q630" s="48" t="s">
        <v>18701</v>
      </c>
      <c r="R630" s="48" t="s">
        <v>186</v>
      </c>
      <c r="S630" s="49" t="s">
        <v>74</v>
      </c>
      <c r="T630" s="48" t="s">
        <v>75</v>
      </c>
      <c r="U630" s="49" t="s">
        <v>3678</v>
      </c>
      <c r="V630" s="7" t="s">
        <v>214</v>
      </c>
      <c r="W630" s="49" t="s">
        <v>214</v>
      </c>
      <c r="X630" s="49" t="s">
        <v>214</v>
      </c>
      <c r="Y630" s="49" t="s">
        <v>214</v>
      </c>
      <c r="Z630" s="55" t="s">
        <v>214</v>
      </c>
      <c r="AA630" s="48" t="s">
        <v>18702</v>
      </c>
      <c r="AB630" s="90" t="s">
        <v>18699</v>
      </c>
      <c r="AC630" s="53" t="str">
        <f t="shared" ref="AC630:AC633" si="394">HYPERLINK("https://www.allegany.edu/x1209.xml","Link")</f>
        <v>Link</v>
      </c>
      <c r="AD630" s="42">
        <v>2930</v>
      </c>
      <c r="AE630" s="55"/>
      <c r="AF630" s="55"/>
      <c r="AG630" s="56">
        <v>161688</v>
      </c>
      <c r="AH630" s="7" t="s">
        <v>2459</v>
      </c>
      <c r="AI630" s="7"/>
      <c r="AJ630" s="7"/>
      <c r="AK630" s="7"/>
    </row>
    <row r="631" spans="1:37" ht="15" x14ac:dyDescent="0.2">
      <c r="A631" s="110" t="s">
        <v>4127</v>
      </c>
      <c r="B631" s="33" t="s">
        <v>12632</v>
      </c>
      <c r="C631" s="7"/>
      <c r="D631" s="112">
        <v>5</v>
      </c>
      <c r="E631" s="7"/>
      <c r="F631" s="112"/>
      <c r="G631" s="2" t="s">
        <v>18695</v>
      </c>
      <c r="H631" s="2" t="s">
        <v>904</v>
      </c>
      <c r="I631" s="2" t="s">
        <v>7943</v>
      </c>
      <c r="J631" s="2" t="s">
        <v>55</v>
      </c>
      <c r="K631" s="7" t="s">
        <v>18704</v>
      </c>
      <c r="L631" s="2"/>
      <c r="M631" s="48"/>
      <c r="N631" s="45" t="str">
        <f t="shared" si="393"/>
        <v>Questionnaire</v>
      </c>
      <c r="O631" s="48" t="s">
        <v>18699</v>
      </c>
      <c r="P631" s="60" t="s">
        <v>1668</v>
      </c>
      <c r="Q631" s="48" t="s">
        <v>18701</v>
      </c>
      <c r="R631" s="48" t="s">
        <v>186</v>
      </c>
      <c r="S631" s="49" t="s">
        <v>74</v>
      </c>
      <c r="T631" s="48" t="s">
        <v>75</v>
      </c>
      <c r="U631" s="49" t="s">
        <v>3678</v>
      </c>
      <c r="V631" s="7" t="s">
        <v>214</v>
      </c>
      <c r="W631" s="49" t="s">
        <v>214</v>
      </c>
      <c r="X631" s="49" t="s">
        <v>214</v>
      </c>
      <c r="Y631" s="49" t="s">
        <v>214</v>
      </c>
      <c r="Z631" s="55" t="s">
        <v>214</v>
      </c>
      <c r="AA631" s="48" t="s">
        <v>18702</v>
      </c>
      <c r="AB631" s="90" t="s">
        <v>18699</v>
      </c>
      <c r="AC631" s="53" t="str">
        <f t="shared" si="394"/>
        <v>Link</v>
      </c>
      <c r="AD631" s="42">
        <v>2930</v>
      </c>
      <c r="AE631" s="55"/>
      <c r="AF631" s="55"/>
      <c r="AG631" s="56">
        <v>161688</v>
      </c>
      <c r="AH631" s="7" t="s">
        <v>2459</v>
      </c>
      <c r="AI631" s="7"/>
      <c r="AJ631" s="7"/>
      <c r="AK631" s="7"/>
    </row>
    <row r="632" spans="1:37" ht="15" x14ac:dyDescent="0.2">
      <c r="A632" s="110" t="s">
        <v>4127</v>
      </c>
      <c r="B632" s="33" t="s">
        <v>12632</v>
      </c>
      <c r="C632" s="7"/>
      <c r="D632" s="112">
        <v>5</v>
      </c>
      <c r="E632" s="7"/>
      <c r="F632" s="112"/>
      <c r="G632" s="2" t="s">
        <v>18695</v>
      </c>
      <c r="H632" s="7" t="s">
        <v>361</v>
      </c>
      <c r="I632" s="7" t="s">
        <v>18708</v>
      </c>
      <c r="J632" s="7" t="s">
        <v>139</v>
      </c>
      <c r="K632" s="74" t="s">
        <v>18710</v>
      </c>
      <c r="L632" s="7" t="s">
        <v>18721</v>
      </c>
      <c r="M632" s="48"/>
      <c r="N632" s="45" t="str">
        <f t="shared" si="393"/>
        <v>Questionnaire</v>
      </c>
      <c r="O632" s="48" t="s">
        <v>18699</v>
      </c>
      <c r="P632" s="60" t="s">
        <v>1668</v>
      </c>
      <c r="Q632" s="48" t="s">
        <v>18701</v>
      </c>
      <c r="R632" s="48" t="s">
        <v>186</v>
      </c>
      <c r="S632" s="49" t="s">
        <v>74</v>
      </c>
      <c r="T632" s="48" t="s">
        <v>75</v>
      </c>
      <c r="U632" s="49" t="s">
        <v>3678</v>
      </c>
      <c r="V632" s="7" t="s">
        <v>214</v>
      </c>
      <c r="W632" s="49" t="s">
        <v>214</v>
      </c>
      <c r="X632" s="49" t="s">
        <v>214</v>
      </c>
      <c r="Y632" s="49" t="s">
        <v>214</v>
      </c>
      <c r="Z632" s="55" t="s">
        <v>214</v>
      </c>
      <c r="AA632" s="48" t="s">
        <v>18702</v>
      </c>
      <c r="AB632" s="90" t="s">
        <v>18699</v>
      </c>
      <c r="AC632" s="53" t="str">
        <f t="shared" si="394"/>
        <v>Link</v>
      </c>
      <c r="AD632" s="42">
        <v>2930</v>
      </c>
      <c r="AE632" s="55"/>
      <c r="AF632" s="55"/>
      <c r="AG632" s="56">
        <v>161688</v>
      </c>
      <c r="AH632" s="7" t="s">
        <v>2459</v>
      </c>
      <c r="AI632" s="7"/>
      <c r="AJ632" s="7"/>
      <c r="AK632" s="7"/>
    </row>
    <row r="633" spans="1:37" ht="15" x14ac:dyDescent="0.2">
      <c r="A633" s="110" t="s">
        <v>4127</v>
      </c>
      <c r="B633" s="33" t="s">
        <v>12632</v>
      </c>
      <c r="C633" s="7"/>
      <c r="D633" s="112">
        <v>5</v>
      </c>
      <c r="E633" s="7"/>
      <c r="F633" s="112"/>
      <c r="G633" s="2" t="s">
        <v>18695</v>
      </c>
      <c r="H633" s="7" t="s">
        <v>811</v>
      </c>
      <c r="I633" s="7" t="s">
        <v>18184</v>
      </c>
      <c r="J633" s="7" t="s">
        <v>139</v>
      </c>
      <c r="K633" s="74" t="s">
        <v>18723</v>
      </c>
      <c r="L633" s="7" t="s">
        <v>18731</v>
      </c>
      <c r="M633" s="48"/>
      <c r="N633" s="45" t="str">
        <f t="shared" si="393"/>
        <v>Questionnaire</v>
      </c>
      <c r="O633" s="48" t="s">
        <v>18699</v>
      </c>
      <c r="P633" s="60" t="s">
        <v>1668</v>
      </c>
      <c r="Q633" s="48" t="s">
        <v>18701</v>
      </c>
      <c r="R633" s="48" t="s">
        <v>186</v>
      </c>
      <c r="S633" s="49" t="s">
        <v>74</v>
      </c>
      <c r="T633" s="48" t="s">
        <v>75</v>
      </c>
      <c r="U633" s="49" t="s">
        <v>3678</v>
      </c>
      <c r="V633" s="7" t="s">
        <v>214</v>
      </c>
      <c r="W633" s="49" t="s">
        <v>214</v>
      </c>
      <c r="X633" s="49" t="s">
        <v>214</v>
      </c>
      <c r="Y633" s="49" t="s">
        <v>214</v>
      </c>
      <c r="Z633" s="55" t="s">
        <v>214</v>
      </c>
      <c r="AA633" s="48" t="s">
        <v>18702</v>
      </c>
      <c r="AB633" s="90" t="s">
        <v>18699</v>
      </c>
      <c r="AC633" s="53" t="str">
        <f t="shared" si="394"/>
        <v>Link</v>
      </c>
      <c r="AD633" s="42">
        <v>2930</v>
      </c>
      <c r="AE633" s="55"/>
      <c r="AF633" s="55"/>
      <c r="AG633" s="56">
        <v>161688</v>
      </c>
      <c r="AH633" s="7" t="s">
        <v>2459</v>
      </c>
      <c r="AI633" s="7"/>
      <c r="AJ633" s="7"/>
      <c r="AK633" s="7"/>
    </row>
    <row r="634" spans="1:37" ht="15" x14ac:dyDescent="0.2">
      <c r="A634" s="88" t="s">
        <v>4127</v>
      </c>
      <c r="B634" s="33" t="s">
        <v>12632</v>
      </c>
      <c r="C634" s="7" t="s">
        <v>18734</v>
      </c>
      <c r="D634" s="112">
        <v>5</v>
      </c>
      <c r="E634" s="7"/>
      <c r="F634" s="112"/>
      <c r="G634" s="2" t="s">
        <v>18735</v>
      </c>
      <c r="H634" s="2" t="s">
        <v>986</v>
      </c>
      <c r="I634" s="2" t="s">
        <v>18736</v>
      </c>
      <c r="J634" s="2" t="s">
        <v>48</v>
      </c>
      <c r="K634" s="7" t="s">
        <v>18737</v>
      </c>
      <c r="L634" s="2" t="s">
        <v>18739</v>
      </c>
      <c r="M634" s="48"/>
      <c r="N634" s="45" t="str">
        <f t="shared" ref="N634:N637" si="395">HYPERLINK("https://aaccathletics.com/student_athletes/All_Teams__ProspectivePlayerQuestionnaires","Questionnaire")</f>
        <v>Questionnaire</v>
      </c>
      <c r="O634" s="48" t="s">
        <v>18742</v>
      </c>
      <c r="P634" s="60" t="s">
        <v>1668</v>
      </c>
      <c r="Q634" s="48" t="s">
        <v>13348</v>
      </c>
      <c r="R634" s="48" t="s">
        <v>172</v>
      </c>
      <c r="S634" s="49" t="s">
        <v>74</v>
      </c>
      <c r="T634" s="48" t="s">
        <v>75</v>
      </c>
      <c r="U634" s="49" t="s">
        <v>3678</v>
      </c>
      <c r="V634" s="7" t="s">
        <v>214</v>
      </c>
      <c r="W634" s="49" t="s">
        <v>214</v>
      </c>
      <c r="X634" s="49" t="s">
        <v>214</v>
      </c>
      <c r="Y634" s="49" t="s">
        <v>214</v>
      </c>
      <c r="Z634" s="55" t="s">
        <v>214</v>
      </c>
      <c r="AA634" s="48" t="s">
        <v>18743</v>
      </c>
      <c r="AB634" s="90" t="s">
        <v>18742</v>
      </c>
      <c r="AC634" s="53" t="str">
        <f t="shared" ref="AC634:AC637" si="396">HYPERLINK("https://www.aacc.edu/programs-and-courses/credit-and-degree-seekers/","Link")</f>
        <v>Link</v>
      </c>
      <c r="AD634" s="42">
        <v>13904</v>
      </c>
      <c r="AE634" s="55"/>
      <c r="AF634" s="55"/>
      <c r="AG634" s="56">
        <v>161767</v>
      </c>
      <c r="AH634" s="56"/>
      <c r="AI634" s="56"/>
    </row>
    <row r="635" spans="1:37" ht="15" x14ac:dyDescent="0.2">
      <c r="A635" s="88" t="s">
        <v>4127</v>
      </c>
      <c r="B635" s="33" t="s">
        <v>12632</v>
      </c>
      <c r="C635" s="7" t="s">
        <v>18750</v>
      </c>
      <c r="D635" s="112">
        <v>5</v>
      </c>
      <c r="E635" s="7"/>
      <c r="F635" s="112"/>
      <c r="G635" s="2" t="s">
        <v>18735</v>
      </c>
      <c r="H635" s="2" t="s">
        <v>1075</v>
      </c>
      <c r="I635" s="2" t="s">
        <v>6167</v>
      </c>
      <c r="J635" s="2" t="s">
        <v>55</v>
      </c>
      <c r="K635" s="2" t="s">
        <v>18751</v>
      </c>
      <c r="L635" s="2" t="s">
        <v>18752</v>
      </c>
      <c r="M635" s="48"/>
      <c r="N635" s="45" t="str">
        <f t="shared" si="395"/>
        <v>Questionnaire</v>
      </c>
      <c r="O635" s="48" t="s">
        <v>18742</v>
      </c>
      <c r="P635" s="60" t="s">
        <v>1668</v>
      </c>
      <c r="Q635" s="48" t="s">
        <v>13348</v>
      </c>
      <c r="R635" s="48" t="s">
        <v>172</v>
      </c>
      <c r="S635" s="49" t="s">
        <v>74</v>
      </c>
      <c r="T635" s="48" t="s">
        <v>75</v>
      </c>
      <c r="U635" s="49" t="s">
        <v>3678</v>
      </c>
      <c r="V635" s="7" t="s">
        <v>214</v>
      </c>
      <c r="W635" s="49" t="s">
        <v>214</v>
      </c>
      <c r="X635" s="49" t="s">
        <v>214</v>
      </c>
      <c r="Y635" s="49" t="s">
        <v>214</v>
      </c>
      <c r="Z635" s="55" t="s">
        <v>214</v>
      </c>
      <c r="AA635" s="48" t="s">
        <v>18743</v>
      </c>
      <c r="AB635" s="90" t="s">
        <v>18742</v>
      </c>
      <c r="AC635" s="53" t="str">
        <f t="shared" si="396"/>
        <v>Link</v>
      </c>
      <c r="AD635" s="42">
        <v>13904</v>
      </c>
      <c r="AE635" s="55"/>
      <c r="AF635" s="55"/>
      <c r="AG635" s="56">
        <v>161767</v>
      </c>
      <c r="AH635" s="56"/>
      <c r="AI635" s="56"/>
    </row>
    <row r="636" spans="1:37" ht="15" x14ac:dyDescent="0.2">
      <c r="A636" s="88" t="s">
        <v>4127</v>
      </c>
      <c r="B636" s="33" t="s">
        <v>12632</v>
      </c>
      <c r="C636" s="7" t="s">
        <v>18755</v>
      </c>
      <c r="D636" s="112">
        <v>5</v>
      </c>
      <c r="E636" s="7"/>
      <c r="F636" s="112"/>
      <c r="G636" s="2" t="s">
        <v>18735</v>
      </c>
      <c r="H636" s="2" t="s">
        <v>6801</v>
      </c>
      <c r="I636" s="2" t="s">
        <v>18756</v>
      </c>
      <c r="J636" s="7" t="s">
        <v>55</v>
      </c>
      <c r="K636" s="2"/>
      <c r="L636" s="2"/>
      <c r="M636" s="48"/>
      <c r="N636" s="45" t="str">
        <f t="shared" si="395"/>
        <v>Questionnaire</v>
      </c>
      <c r="O636" s="48" t="s">
        <v>18742</v>
      </c>
      <c r="P636" s="60" t="s">
        <v>1668</v>
      </c>
      <c r="Q636" s="48" t="s">
        <v>13348</v>
      </c>
      <c r="R636" s="48" t="s">
        <v>172</v>
      </c>
      <c r="S636" s="49" t="s">
        <v>74</v>
      </c>
      <c r="T636" s="48" t="s">
        <v>75</v>
      </c>
      <c r="U636" s="49" t="s">
        <v>3678</v>
      </c>
      <c r="V636" s="7" t="s">
        <v>214</v>
      </c>
      <c r="W636" s="49" t="s">
        <v>214</v>
      </c>
      <c r="X636" s="49" t="s">
        <v>214</v>
      </c>
      <c r="Y636" s="49" t="s">
        <v>214</v>
      </c>
      <c r="Z636" s="55" t="s">
        <v>214</v>
      </c>
      <c r="AA636" s="48" t="s">
        <v>18743</v>
      </c>
      <c r="AB636" s="90" t="s">
        <v>18742</v>
      </c>
      <c r="AC636" s="53" t="str">
        <f t="shared" si="396"/>
        <v>Link</v>
      </c>
      <c r="AD636" s="42">
        <v>13904</v>
      </c>
      <c r="AE636" s="55"/>
      <c r="AF636" s="55"/>
      <c r="AG636" s="56">
        <v>161767</v>
      </c>
      <c r="AH636" s="56"/>
      <c r="AI636" s="56"/>
    </row>
    <row r="637" spans="1:37" ht="15" x14ac:dyDescent="0.2">
      <c r="A637" s="88" t="s">
        <v>4127</v>
      </c>
      <c r="B637" s="33" t="s">
        <v>12632</v>
      </c>
      <c r="C637" s="7" t="s">
        <v>18760</v>
      </c>
      <c r="D637" s="112">
        <v>5</v>
      </c>
      <c r="E637" s="7"/>
      <c r="F637" s="112"/>
      <c r="G637" s="2" t="s">
        <v>18735</v>
      </c>
      <c r="H637" s="2" t="s">
        <v>4123</v>
      </c>
      <c r="I637" s="2" t="s">
        <v>18761</v>
      </c>
      <c r="J637" s="2" t="s">
        <v>55</v>
      </c>
      <c r="K637" s="2"/>
      <c r="L637" s="2"/>
      <c r="M637" s="48"/>
      <c r="N637" s="45" t="str">
        <f t="shared" si="395"/>
        <v>Questionnaire</v>
      </c>
      <c r="O637" s="48" t="s">
        <v>18742</v>
      </c>
      <c r="P637" s="60" t="s">
        <v>1668</v>
      </c>
      <c r="Q637" s="48" t="s">
        <v>13348</v>
      </c>
      <c r="R637" s="48" t="s">
        <v>172</v>
      </c>
      <c r="S637" s="49" t="s">
        <v>74</v>
      </c>
      <c r="T637" s="48" t="s">
        <v>75</v>
      </c>
      <c r="U637" s="49" t="s">
        <v>3678</v>
      </c>
      <c r="V637" s="7" t="s">
        <v>214</v>
      </c>
      <c r="W637" s="49" t="s">
        <v>214</v>
      </c>
      <c r="X637" s="49" t="s">
        <v>214</v>
      </c>
      <c r="Y637" s="49" t="s">
        <v>214</v>
      </c>
      <c r="Z637" s="55" t="s">
        <v>214</v>
      </c>
      <c r="AA637" s="48" t="s">
        <v>18743</v>
      </c>
      <c r="AB637" s="90" t="s">
        <v>18742</v>
      </c>
      <c r="AC637" s="53" t="str">
        <f t="shared" si="396"/>
        <v>Link</v>
      </c>
      <c r="AD637" s="42">
        <v>13904</v>
      </c>
      <c r="AE637" s="55"/>
      <c r="AF637" s="55"/>
      <c r="AG637" s="56">
        <v>161767</v>
      </c>
      <c r="AH637" s="56"/>
      <c r="AI637" s="56"/>
    </row>
    <row r="638" spans="1:37" ht="15" x14ac:dyDescent="0.2">
      <c r="A638" s="64" t="s">
        <v>4127</v>
      </c>
      <c r="B638" s="2" t="s">
        <v>12632</v>
      </c>
      <c r="C638" s="7" t="s">
        <v>18764</v>
      </c>
      <c r="D638" s="44">
        <v>5</v>
      </c>
      <c r="E638" s="7"/>
      <c r="F638" s="44"/>
      <c r="G638" s="2" t="s">
        <v>18765</v>
      </c>
      <c r="H638" s="7" t="s">
        <v>8002</v>
      </c>
      <c r="I638" s="7" t="s">
        <v>18766</v>
      </c>
      <c r="J638" s="7" t="s">
        <v>55</v>
      </c>
      <c r="K638" s="7"/>
      <c r="L638" s="7"/>
      <c r="M638" s="48"/>
      <c r="N638" s="48"/>
      <c r="O638" s="48" t="s">
        <v>18767</v>
      </c>
      <c r="P638" s="47" t="s">
        <v>1668</v>
      </c>
      <c r="Q638" s="48" t="s">
        <v>18768</v>
      </c>
      <c r="R638" s="48" t="s">
        <v>468</v>
      </c>
      <c r="S638" s="49" t="s">
        <v>74</v>
      </c>
      <c r="T638" s="49" t="s">
        <v>75</v>
      </c>
      <c r="U638" s="73" t="s">
        <v>3678</v>
      </c>
      <c r="V638" s="7" t="s">
        <v>214</v>
      </c>
      <c r="W638" s="49" t="s">
        <v>214</v>
      </c>
      <c r="X638" s="49" t="s">
        <v>214</v>
      </c>
      <c r="Y638" s="49" t="s">
        <v>214</v>
      </c>
      <c r="Z638" s="55" t="s">
        <v>214</v>
      </c>
      <c r="AA638" s="48" t="s">
        <v>18770</v>
      </c>
      <c r="AB638" s="52" t="s">
        <v>18767</v>
      </c>
      <c r="AC638" s="53" t="str">
        <f t="shared" ref="AC638:AC643" si="397">HYPERLINK("http://www.ccbcmd.edu/pathways","Link")</f>
        <v>Link</v>
      </c>
      <c r="AD638" s="54">
        <v>21193</v>
      </c>
      <c r="AE638" s="55"/>
      <c r="AF638" s="55"/>
      <c r="AG638" s="56">
        <v>434672</v>
      </c>
      <c r="AH638" s="56"/>
      <c r="AI638" s="56"/>
    </row>
    <row r="639" spans="1:37" ht="15" x14ac:dyDescent="0.2">
      <c r="A639" s="64" t="s">
        <v>4127</v>
      </c>
      <c r="B639" s="33" t="s">
        <v>12632</v>
      </c>
      <c r="C639" s="7" t="s">
        <v>18773</v>
      </c>
      <c r="D639" s="112">
        <v>5</v>
      </c>
      <c r="E639" s="7"/>
      <c r="F639" s="112"/>
      <c r="G639" s="2" t="s">
        <v>18765</v>
      </c>
      <c r="H639" s="2" t="s">
        <v>2780</v>
      </c>
      <c r="I639" s="2" t="s">
        <v>18775</v>
      </c>
      <c r="J639" s="2" t="s">
        <v>48</v>
      </c>
      <c r="K639" s="2" t="s">
        <v>18776</v>
      </c>
      <c r="L639" s="2" t="s">
        <v>18778</v>
      </c>
      <c r="M639" s="48"/>
      <c r="N639" s="45" t="str">
        <f t="shared" ref="N639:N642" si="398">HYPERLINK("https://www.ccbccatonsvillecardinals.com/information/directory/baseball_prospective","Questionnaire")</f>
        <v>Questionnaire</v>
      </c>
      <c r="O639" s="48" t="s">
        <v>18767</v>
      </c>
      <c r="P639" s="60" t="s">
        <v>1668</v>
      </c>
      <c r="Q639" s="48" t="s">
        <v>18768</v>
      </c>
      <c r="R639" s="48" t="s">
        <v>468</v>
      </c>
      <c r="S639" s="49" t="s">
        <v>74</v>
      </c>
      <c r="T639" s="48" t="s">
        <v>75</v>
      </c>
      <c r="U639" s="49" t="s">
        <v>3678</v>
      </c>
      <c r="V639" s="7" t="s">
        <v>214</v>
      </c>
      <c r="W639" s="49" t="s">
        <v>214</v>
      </c>
      <c r="X639" s="49" t="s">
        <v>214</v>
      </c>
      <c r="Y639" s="49" t="s">
        <v>214</v>
      </c>
      <c r="Z639" s="55" t="s">
        <v>214</v>
      </c>
      <c r="AA639" s="48" t="s">
        <v>18770</v>
      </c>
      <c r="AB639" s="52" t="s">
        <v>18767</v>
      </c>
      <c r="AC639" s="53" t="str">
        <f t="shared" si="397"/>
        <v>Link</v>
      </c>
      <c r="AD639" s="42">
        <v>21193</v>
      </c>
      <c r="AE639" s="55"/>
      <c r="AF639" s="55"/>
      <c r="AG639" s="56">
        <v>434672</v>
      </c>
      <c r="AH639" s="56"/>
      <c r="AI639" s="56"/>
    </row>
    <row r="640" spans="1:37" ht="15" x14ac:dyDescent="0.2">
      <c r="A640" s="64" t="s">
        <v>4127</v>
      </c>
      <c r="B640" s="33" t="s">
        <v>12632</v>
      </c>
      <c r="C640" s="7" t="s">
        <v>18787</v>
      </c>
      <c r="D640" s="112">
        <v>5</v>
      </c>
      <c r="E640" s="7"/>
      <c r="F640" s="112"/>
      <c r="G640" s="2" t="s">
        <v>18765</v>
      </c>
      <c r="H640" s="2" t="s">
        <v>8002</v>
      </c>
      <c r="I640" s="2" t="s">
        <v>18766</v>
      </c>
      <c r="J640" s="2" t="s">
        <v>55</v>
      </c>
      <c r="K640" s="2"/>
      <c r="L640" s="2"/>
      <c r="M640" s="48"/>
      <c r="N640" s="45" t="str">
        <f t="shared" si="398"/>
        <v>Questionnaire</v>
      </c>
      <c r="O640" s="48" t="s">
        <v>18767</v>
      </c>
      <c r="P640" s="60" t="s">
        <v>1668</v>
      </c>
      <c r="Q640" s="48" t="s">
        <v>18768</v>
      </c>
      <c r="R640" s="48" t="s">
        <v>468</v>
      </c>
      <c r="S640" s="49" t="s">
        <v>74</v>
      </c>
      <c r="T640" s="48" t="s">
        <v>75</v>
      </c>
      <c r="U640" s="49" t="s">
        <v>3678</v>
      </c>
      <c r="V640" s="7" t="s">
        <v>214</v>
      </c>
      <c r="W640" s="49" t="s">
        <v>214</v>
      </c>
      <c r="X640" s="49" t="s">
        <v>214</v>
      </c>
      <c r="Y640" s="49" t="s">
        <v>214</v>
      </c>
      <c r="Z640" s="55" t="s">
        <v>214</v>
      </c>
      <c r="AA640" s="48" t="s">
        <v>18770</v>
      </c>
      <c r="AB640" s="52" t="s">
        <v>18767</v>
      </c>
      <c r="AC640" s="53" t="str">
        <f t="shared" si="397"/>
        <v>Link</v>
      </c>
      <c r="AD640" s="42">
        <v>21193</v>
      </c>
      <c r="AE640" s="55"/>
      <c r="AF640" s="55"/>
      <c r="AG640" s="56">
        <v>434672</v>
      </c>
      <c r="AH640" s="56"/>
      <c r="AI640" s="56"/>
    </row>
    <row r="641" spans="1:35" ht="15" x14ac:dyDescent="0.2">
      <c r="A641" s="64" t="s">
        <v>4127</v>
      </c>
      <c r="B641" s="33" t="s">
        <v>12632</v>
      </c>
      <c r="C641" s="7" t="s">
        <v>18789</v>
      </c>
      <c r="D641" s="112">
        <v>5</v>
      </c>
      <c r="E641" s="7"/>
      <c r="F641" s="112"/>
      <c r="G641" s="2" t="s">
        <v>18765</v>
      </c>
      <c r="H641" s="2" t="s">
        <v>2806</v>
      </c>
      <c r="I641" s="2" t="s">
        <v>10988</v>
      </c>
      <c r="J641" s="2" t="s">
        <v>919</v>
      </c>
      <c r="K641" s="2"/>
      <c r="L641" s="2"/>
      <c r="M641" s="48"/>
      <c r="N641" s="45" t="str">
        <f t="shared" si="398"/>
        <v>Questionnaire</v>
      </c>
      <c r="O641" s="48" t="s">
        <v>18767</v>
      </c>
      <c r="P641" s="60" t="s">
        <v>1668</v>
      </c>
      <c r="Q641" s="48" t="s">
        <v>18768</v>
      </c>
      <c r="R641" s="48" t="s">
        <v>468</v>
      </c>
      <c r="S641" s="49" t="s">
        <v>74</v>
      </c>
      <c r="T641" s="48" t="s">
        <v>75</v>
      </c>
      <c r="U641" s="49" t="s">
        <v>3678</v>
      </c>
      <c r="V641" s="7" t="s">
        <v>214</v>
      </c>
      <c r="W641" s="49" t="s">
        <v>214</v>
      </c>
      <c r="X641" s="49" t="s">
        <v>214</v>
      </c>
      <c r="Y641" s="49" t="s">
        <v>214</v>
      </c>
      <c r="Z641" s="55" t="s">
        <v>214</v>
      </c>
      <c r="AA641" s="48" t="s">
        <v>18770</v>
      </c>
      <c r="AB641" s="52" t="s">
        <v>18767</v>
      </c>
      <c r="AC641" s="53" t="str">
        <f t="shared" si="397"/>
        <v>Link</v>
      </c>
      <c r="AD641" s="42">
        <v>21193</v>
      </c>
      <c r="AE641" s="55"/>
      <c r="AF641" s="55"/>
      <c r="AG641" s="56">
        <v>434672</v>
      </c>
      <c r="AH641" s="56"/>
      <c r="AI641" s="56"/>
    </row>
    <row r="642" spans="1:35" ht="15" x14ac:dyDescent="0.2">
      <c r="A642" s="64" t="s">
        <v>4127</v>
      </c>
      <c r="B642" s="33" t="s">
        <v>12632</v>
      </c>
      <c r="C642" s="7" t="s">
        <v>18793</v>
      </c>
      <c r="D642" s="112">
        <v>5</v>
      </c>
      <c r="E642" s="7"/>
      <c r="F642" s="112"/>
      <c r="G642" s="2" t="s">
        <v>18765</v>
      </c>
      <c r="H642" s="2" t="s">
        <v>111</v>
      </c>
      <c r="I642" s="2" t="s">
        <v>18794</v>
      </c>
      <c r="J642" s="2" t="s">
        <v>55</v>
      </c>
      <c r="K642" s="2"/>
      <c r="L642" s="2"/>
      <c r="M642" s="48"/>
      <c r="N642" s="45" t="str">
        <f t="shared" si="398"/>
        <v>Questionnaire</v>
      </c>
      <c r="O642" s="48" t="s">
        <v>18767</v>
      </c>
      <c r="P642" s="60" t="s">
        <v>1668</v>
      </c>
      <c r="Q642" s="48" t="s">
        <v>18768</v>
      </c>
      <c r="R642" s="48" t="s">
        <v>468</v>
      </c>
      <c r="S642" s="49" t="s">
        <v>74</v>
      </c>
      <c r="T642" s="48" t="s">
        <v>75</v>
      </c>
      <c r="U642" s="49" t="s">
        <v>3678</v>
      </c>
      <c r="V642" s="7" t="s">
        <v>214</v>
      </c>
      <c r="W642" s="49" t="s">
        <v>214</v>
      </c>
      <c r="X642" s="49" t="s">
        <v>214</v>
      </c>
      <c r="Y642" s="49" t="s">
        <v>214</v>
      </c>
      <c r="Z642" s="55" t="s">
        <v>214</v>
      </c>
      <c r="AA642" s="48" t="s">
        <v>18770</v>
      </c>
      <c r="AB642" s="52" t="s">
        <v>18767</v>
      </c>
      <c r="AC642" s="53" t="str">
        <f t="shared" si="397"/>
        <v>Link</v>
      </c>
      <c r="AD642" s="42">
        <v>21193</v>
      </c>
      <c r="AE642" s="55"/>
      <c r="AF642" s="55"/>
      <c r="AG642" s="56">
        <v>434672</v>
      </c>
      <c r="AH642" s="56"/>
      <c r="AI642" s="56"/>
    </row>
    <row r="643" spans="1:35" ht="15" x14ac:dyDescent="0.2">
      <c r="A643" s="64" t="s">
        <v>4127</v>
      </c>
      <c r="B643" s="33" t="s">
        <v>12632</v>
      </c>
      <c r="C643" s="7" t="s">
        <v>18797</v>
      </c>
      <c r="D643" s="112">
        <v>5</v>
      </c>
      <c r="E643" s="7"/>
      <c r="F643" s="112"/>
      <c r="G643" s="2" t="s">
        <v>18798</v>
      </c>
      <c r="H643" s="2" t="s">
        <v>1524</v>
      </c>
      <c r="I643" s="2" t="s">
        <v>18799</v>
      </c>
      <c r="J643" s="2" t="s">
        <v>48</v>
      </c>
      <c r="K643" s="2" t="s">
        <v>18800</v>
      </c>
      <c r="L643" s="2" t="s">
        <v>18801</v>
      </c>
      <c r="M643" s="48"/>
      <c r="N643" s="45" t="str">
        <f>HYPERLINK("https://www.ccbcdundalklions.com/prospective_student_main","Questionnaire")</f>
        <v>Questionnaire</v>
      </c>
      <c r="O643" s="48" t="s">
        <v>18804</v>
      </c>
      <c r="P643" s="60" t="s">
        <v>1668</v>
      </c>
      <c r="Q643" s="48" t="s">
        <v>18805</v>
      </c>
      <c r="R643" s="48" t="s">
        <v>186</v>
      </c>
      <c r="S643" s="49" t="s">
        <v>74</v>
      </c>
      <c r="T643" s="48" t="s">
        <v>75</v>
      </c>
      <c r="U643" s="49" t="s">
        <v>3678</v>
      </c>
      <c r="V643" s="7" t="s">
        <v>214</v>
      </c>
      <c r="W643" s="49" t="s">
        <v>214</v>
      </c>
      <c r="X643" s="49" t="s">
        <v>214</v>
      </c>
      <c r="Y643" s="49" t="s">
        <v>214</v>
      </c>
      <c r="Z643" s="55" t="s">
        <v>214</v>
      </c>
      <c r="AA643" s="48" t="s">
        <v>18770</v>
      </c>
      <c r="AB643" s="52" t="s">
        <v>18804</v>
      </c>
      <c r="AC643" s="53" t="str">
        <f t="shared" si="397"/>
        <v>Link</v>
      </c>
      <c r="AD643" s="42">
        <v>21193</v>
      </c>
      <c r="AE643" s="55"/>
      <c r="AF643" s="55"/>
      <c r="AG643" s="56">
        <v>434672</v>
      </c>
      <c r="AH643" s="56"/>
      <c r="AI643" s="56"/>
    </row>
    <row r="644" spans="1:35" ht="13" x14ac:dyDescent="0.15">
      <c r="A644" s="64" t="s">
        <v>4127</v>
      </c>
      <c r="B644" s="2" t="s">
        <v>12632</v>
      </c>
      <c r="C644" s="7" t="s">
        <v>18806</v>
      </c>
      <c r="D644" s="44">
        <v>5</v>
      </c>
      <c r="E644" s="7"/>
      <c r="F644" s="44"/>
      <c r="G644" s="2" t="s">
        <v>18808</v>
      </c>
      <c r="H644" s="7" t="s">
        <v>1251</v>
      </c>
      <c r="I644" s="7" t="s">
        <v>18810</v>
      </c>
      <c r="J644" s="7" t="s">
        <v>48</v>
      </c>
      <c r="K644" s="7" t="s">
        <v>18813</v>
      </c>
      <c r="L644" s="7" t="s">
        <v>18814</v>
      </c>
      <c r="M644" s="48"/>
      <c r="N644" s="48"/>
      <c r="O644" s="48" t="s">
        <v>18816</v>
      </c>
      <c r="P644" s="60" t="s">
        <v>1668</v>
      </c>
      <c r="Q644" s="48" t="s">
        <v>18818</v>
      </c>
      <c r="R644" s="60" t="s">
        <v>205</v>
      </c>
      <c r="S644" s="49" t="s">
        <v>74</v>
      </c>
      <c r="T644" s="49" t="s">
        <v>75</v>
      </c>
      <c r="U644" s="73" t="s">
        <v>3678</v>
      </c>
      <c r="V644" s="7" t="s">
        <v>214</v>
      </c>
      <c r="W644" s="49" t="s">
        <v>214</v>
      </c>
      <c r="X644" s="49" t="s">
        <v>214</v>
      </c>
      <c r="Y644" s="49" t="s">
        <v>214</v>
      </c>
      <c r="Z644" s="55" t="s">
        <v>214</v>
      </c>
      <c r="AA644" s="48" t="s">
        <v>18819</v>
      </c>
      <c r="AB644" s="90" t="s">
        <v>18816</v>
      </c>
      <c r="AC644" s="53" t="str">
        <f t="shared" ref="AC644:AC645" si="399">HYPERLINK("https://www.cecil.edu/programs-courses/academics/academic-divisions","Link")</f>
        <v>Link</v>
      </c>
      <c r="AD644" s="54">
        <v>2612</v>
      </c>
      <c r="AE644" s="55"/>
      <c r="AF644" s="55"/>
      <c r="AG644" s="56">
        <v>162104</v>
      </c>
      <c r="AH644" s="56"/>
      <c r="AI644" s="56"/>
    </row>
    <row r="645" spans="1:35" ht="15" x14ac:dyDescent="0.2">
      <c r="A645" s="64" t="s">
        <v>4127</v>
      </c>
      <c r="B645" s="33" t="s">
        <v>12632</v>
      </c>
      <c r="C645" s="7" t="s">
        <v>18822</v>
      </c>
      <c r="D645" s="112">
        <v>5</v>
      </c>
      <c r="E645" s="7"/>
      <c r="F645" s="112"/>
      <c r="G645" s="2" t="s">
        <v>18808</v>
      </c>
      <c r="H645" s="2" t="s">
        <v>421</v>
      </c>
      <c r="I645" s="2"/>
      <c r="J645" s="2" t="s">
        <v>48</v>
      </c>
      <c r="K645" s="2"/>
      <c r="L645" s="2"/>
      <c r="M645" s="48"/>
      <c r="N645" s="45" t="str">
        <f>HYPERLINK("https://www.cecilathletics.com/Student-Athlete/Get_Recruited-_Athlete_Inquiry","Questionnaire")</f>
        <v>Questionnaire</v>
      </c>
      <c r="O645" s="48" t="s">
        <v>18816</v>
      </c>
      <c r="P645" s="60" t="s">
        <v>1668</v>
      </c>
      <c r="Q645" s="48" t="s">
        <v>18818</v>
      </c>
      <c r="R645" s="60" t="s">
        <v>205</v>
      </c>
      <c r="S645" s="49" t="s">
        <v>74</v>
      </c>
      <c r="T645" s="48" t="s">
        <v>75</v>
      </c>
      <c r="U645" s="49" t="s">
        <v>3678</v>
      </c>
      <c r="V645" s="7" t="s">
        <v>214</v>
      </c>
      <c r="W645" s="49" t="s">
        <v>214</v>
      </c>
      <c r="X645" s="49" t="s">
        <v>214</v>
      </c>
      <c r="Y645" s="49" t="s">
        <v>214</v>
      </c>
      <c r="Z645" s="55" t="s">
        <v>214</v>
      </c>
      <c r="AA645" s="48" t="s">
        <v>18819</v>
      </c>
      <c r="AB645" s="90" t="s">
        <v>18816</v>
      </c>
      <c r="AC645" s="53" t="str">
        <f t="shared" si="399"/>
        <v>Link</v>
      </c>
      <c r="AD645" s="42">
        <v>2612</v>
      </c>
      <c r="AE645" s="55"/>
      <c r="AF645" s="55"/>
      <c r="AG645" s="56">
        <v>162104</v>
      </c>
      <c r="AH645" s="56"/>
      <c r="AI645" s="56"/>
    </row>
    <row r="646" spans="1:35" ht="13" x14ac:dyDescent="0.15">
      <c r="A646" s="88" t="s">
        <v>4127</v>
      </c>
      <c r="B646" s="2" t="s">
        <v>12632</v>
      </c>
      <c r="C646" s="7" t="s">
        <v>18827</v>
      </c>
      <c r="D646" s="44">
        <v>5</v>
      </c>
      <c r="E646" s="7"/>
      <c r="F646" s="44"/>
      <c r="G646" s="2" t="s">
        <v>18828</v>
      </c>
      <c r="H646" s="7" t="s">
        <v>15652</v>
      </c>
      <c r="I646" s="7" t="s">
        <v>5112</v>
      </c>
      <c r="J646" s="7" t="s">
        <v>55</v>
      </c>
      <c r="K646" s="7"/>
      <c r="L646" s="7"/>
      <c r="M646" s="48"/>
      <c r="N646" s="48"/>
      <c r="O646" s="48" t="s">
        <v>18829</v>
      </c>
      <c r="P646" s="60" t="s">
        <v>1668</v>
      </c>
      <c r="Q646" s="6" t="s">
        <v>18830</v>
      </c>
      <c r="R646" s="60" t="s">
        <v>205</v>
      </c>
      <c r="S646" s="4" t="s">
        <v>74</v>
      </c>
      <c r="T646" s="4" t="s">
        <v>75</v>
      </c>
      <c r="U646" s="73" t="s">
        <v>3678</v>
      </c>
      <c r="V646" s="7" t="s">
        <v>214</v>
      </c>
      <c r="W646" s="4" t="s">
        <v>214</v>
      </c>
      <c r="X646" s="4" t="s">
        <v>214</v>
      </c>
      <c r="Y646" s="4" t="s">
        <v>214</v>
      </c>
      <c r="Z646" s="8" t="s">
        <v>214</v>
      </c>
      <c r="AA646" s="6" t="s">
        <v>18831</v>
      </c>
      <c r="AB646" s="90" t="s">
        <v>18829</v>
      </c>
      <c r="AC646" s="53" t="str">
        <f t="shared" ref="AC646:AC649" si="400">HYPERLINK("https://www.chesapeake.edu/academics/degree-programs","Link")</f>
        <v>Link</v>
      </c>
      <c r="AD646" s="42">
        <v>2123</v>
      </c>
      <c r="AE646" s="55"/>
      <c r="AF646" s="55"/>
      <c r="AG646" s="56">
        <v>162168</v>
      </c>
      <c r="AH646" s="56"/>
      <c r="AI646" s="56"/>
    </row>
    <row r="647" spans="1:35" ht="13" x14ac:dyDescent="0.15">
      <c r="A647" s="88" t="s">
        <v>4127</v>
      </c>
      <c r="B647" s="2" t="s">
        <v>12632</v>
      </c>
      <c r="C647" s="7" t="s">
        <v>18834</v>
      </c>
      <c r="D647" s="44">
        <v>5</v>
      </c>
      <c r="E647" s="7"/>
      <c r="F647" s="44"/>
      <c r="G647" s="2" t="s">
        <v>18828</v>
      </c>
      <c r="H647" s="7" t="s">
        <v>3077</v>
      </c>
      <c r="I647" s="7" t="s">
        <v>5112</v>
      </c>
      <c r="J647" s="7" t="s">
        <v>55</v>
      </c>
      <c r="K647" s="7"/>
      <c r="L647" s="7"/>
      <c r="M647" s="48"/>
      <c r="N647" s="48"/>
      <c r="O647" s="48" t="s">
        <v>18829</v>
      </c>
      <c r="P647" s="60" t="s">
        <v>1668</v>
      </c>
      <c r="Q647" s="6" t="s">
        <v>18830</v>
      </c>
      <c r="R647" s="60" t="s">
        <v>205</v>
      </c>
      <c r="S647" s="4" t="s">
        <v>74</v>
      </c>
      <c r="T647" s="4" t="s">
        <v>75</v>
      </c>
      <c r="U647" s="73" t="s">
        <v>3678</v>
      </c>
      <c r="V647" s="7" t="s">
        <v>214</v>
      </c>
      <c r="W647" s="4" t="s">
        <v>214</v>
      </c>
      <c r="X647" s="4" t="s">
        <v>214</v>
      </c>
      <c r="Y647" s="4" t="s">
        <v>214</v>
      </c>
      <c r="Z647" s="8" t="s">
        <v>214</v>
      </c>
      <c r="AA647" s="6" t="s">
        <v>18831</v>
      </c>
      <c r="AB647" s="90" t="s">
        <v>18829</v>
      </c>
      <c r="AC647" s="53" t="str">
        <f t="shared" si="400"/>
        <v>Link</v>
      </c>
      <c r="AD647" s="42">
        <v>2123</v>
      </c>
      <c r="AE647" s="55"/>
      <c r="AF647" s="55"/>
      <c r="AG647" s="56">
        <v>162168</v>
      </c>
      <c r="AH647" s="56"/>
      <c r="AI647" s="56"/>
    </row>
    <row r="648" spans="1:35" ht="13" x14ac:dyDescent="0.15">
      <c r="A648" s="88" t="s">
        <v>4127</v>
      </c>
      <c r="B648" s="2" t="s">
        <v>12632</v>
      </c>
      <c r="C648" s="7" t="s">
        <v>18837</v>
      </c>
      <c r="D648" s="44">
        <v>5</v>
      </c>
      <c r="E648" s="7"/>
      <c r="F648" s="44"/>
      <c r="G648" s="2" t="s">
        <v>18828</v>
      </c>
      <c r="H648" s="7" t="s">
        <v>8872</v>
      </c>
      <c r="I648" s="7" t="s">
        <v>3567</v>
      </c>
      <c r="J648" s="7" t="s">
        <v>55</v>
      </c>
      <c r="K648" s="7"/>
      <c r="L648" s="7"/>
      <c r="M648" s="48"/>
      <c r="N648" s="48"/>
      <c r="O648" s="48" t="s">
        <v>18829</v>
      </c>
      <c r="P648" s="60" t="s">
        <v>1668</v>
      </c>
      <c r="Q648" s="6" t="s">
        <v>18830</v>
      </c>
      <c r="R648" s="60" t="s">
        <v>205</v>
      </c>
      <c r="S648" s="4" t="s">
        <v>74</v>
      </c>
      <c r="T648" s="4" t="s">
        <v>75</v>
      </c>
      <c r="U648" s="73" t="s">
        <v>3678</v>
      </c>
      <c r="V648" s="7" t="s">
        <v>214</v>
      </c>
      <c r="W648" s="4" t="s">
        <v>214</v>
      </c>
      <c r="X648" s="4" t="s">
        <v>214</v>
      </c>
      <c r="Y648" s="4" t="s">
        <v>214</v>
      </c>
      <c r="Z648" s="8" t="s">
        <v>214</v>
      </c>
      <c r="AA648" s="6" t="s">
        <v>18831</v>
      </c>
      <c r="AB648" s="90" t="s">
        <v>18829</v>
      </c>
      <c r="AC648" s="53" t="str">
        <f t="shared" si="400"/>
        <v>Link</v>
      </c>
      <c r="AD648" s="42">
        <v>2123</v>
      </c>
      <c r="AE648" s="55"/>
      <c r="AF648" s="55"/>
      <c r="AG648" s="56">
        <v>162168</v>
      </c>
      <c r="AH648" s="56"/>
      <c r="AI648" s="56"/>
    </row>
    <row r="649" spans="1:35" ht="15" x14ac:dyDescent="0.2">
      <c r="A649" s="64" t="s">
        <v>4127</v>
      </c>
      <c r="B649" s="33" t="s">
        <v>12632</v>
      </c>
      <c r="C649" s="7" t="s">
        <v>18840</v>
      </c>
      <c r="D649" s="112">
        <v>5</v>
      </c>
      <c r="E649" s="7"/>
      <c r="F649" s="112"/>
      <c r="G649" s="2" t="s">
        <v>18828</v>
      </c>
      <c r="H649" s="2" t="s">
        <v>18842</v>
      </c>
      <c r="I649" s="2" t="s">
        <v>7417</v>
      </c>
      <c r="J649" s="2" t="s">
        <v>48</v>
      </c>
      <c r="K649" s="2" t="s">
        <v>18843</v>
      </c>
      <c r="L649" s="2" t="s">
        <v>18844</v>
      </c>
      <c r="M649" s="48"/>
      <c r="N649" s="45" t="str">
        <f>HYPERLINK("https://www.letsgoskipjacks.com/Prospective_Student_Athlete_Form","Questionnaire")</f>
        <v>Questionnaire</v>
      </c>
      <c r="O649" s="48" t="s">
        <v>18829</v>
      </c>
      <c r="P649" s="60" t="s">
        <v>1668</v>
      </c>
      <c r="Q649" s="48" t="s">
        <v>18830</v>
      </c>
      <c r="R649" s="60" t="s">
        <v>205</v>
      </c>
      <c r="S649" s="49" t="s">
        <v>74</v>
      </c>
      <c r="T649" s="48" t="s">
        <v>75</v>
      </c>
      <c r="U649" s="49" t="s">
        <v>3678</v>
      </c>
      <c r="V649" s="7" t="s">
        <v>214</v>
      </c>
      <c r="W649" s="49" t="s">
        <v>214</v>
      </c>
      <c r="X649" s="49" t="s">
        <v>214</v>
      </c>
      <c r="Y649" s="49" t="s">
        <v>214</v>
      </c>
      <c r="Z649" s="55" t="s">
        <v>214</v>
      </c>
      <c r="AA649" s="48" t="s">
        <v>18831</v>
      </c>
      <c r="AB649" s="90" t="s">
        <v>18829</v>
      </c>
      <c r="AC649" s="53" t="str">
        <f t="shared" si="400"/>
        <v>Link</v>
      </c>
      <c r="AD649" s="42">
        <v>2123</v>
      </c>
      <c r="AE649" s="55"/>
      <c r="AF649" s="55"/>
      <c r="AG649" s="56">
        <v>162168</v>
      </c>
      <c r="AH649" s="56"/>
      <c r="AI649" s="56"/>
    </row>
    <row r="650" spans="1:35" ht="15" x14ac:dyDescent="0.2">
      <c r="A650" s="64" t="s">
        <v>4127</v>
      </c>
      <c r="B650" s="33" t="s">
        <v>12632</v>
      </c>
      <c r="C650" s="7" t="s">
        <v>18851</v>
      </c>
      <c r="D650" s="112">
        <v>5</v>
      </c>
      <c r="E650" s="7"/>
      <c r="F650" s="112"/>
      <c r="G650" s="2" t="s">
        <v>18852</v>
      </c>
      <c r="H650" s="2" t="s">
        <v>18853</v>
      </c>
      <c r="I650" s="2"/>
      <c r="J650" s="2" t="s">
        <v>3472</v>
      </c>
      <c r="K650" s="2" t="s">
        <v>18854</v>
      </c>
      <c r="L650" s="2"/>
      <c r="M650" s="48"/>
      <c r="N650" s="45" t="str">
        <f t="shared" ref="N650:N653" si="401">HYPERLINK("http://fccathletics.com/prospectiveathletes/prospective_athlete_form","Questionnaire")</f>
        <v>Questionnaire</v>
      </c>
      <c r="O650" s="48" t="s">
        <v>18856</v>
      </c>
      <c r="P650" s="60" t="s">
        <v>1668</v>
      </c>
      <c r="Q650" s="48" t="s">
        <v>4166</v>
      </c>
      <c r="R650" s="48" t="s">
        <v>186</v>
      </c>
      <c r="S650" s="49" t="s">
        <v>74</v>
      </c>
      <c r="T650" s="48" t="s">
        <v>75</v>
      </c>
      <c r="U650" s="49" t="s">
        <v>3678</v>
      </c>
      <c r="V650" s="7" t="s">
        <v>214</v>
      </c>
      <c r="W650" s="49" t="s">
        <v>214</v>
      </c>
      <c r="X650" s="49" t="s">
        <v>214</v>
      </c>
      <c r="Y650" s="49" t="s">
        <v>214</v>
      </c>
      <c r="Z650" s="55" t="s">
        <v>214</v>
      </c>
      <c r="AA650" s="48" t="s">
        <v>18857</v>
      </c>
      <c r="AB650" s="84" t="s">
        <v>18856</v>
      </c>
      <c r="AC650" s="53" t="str">
        <f t="shared" ref="AC650:AC653" si="402">HYPERLINK("https://www.frederick.edu/degrees-certificates/associate-degrees.aspx","Link")</f>
        <v>Link</v>
      </c>
      <c r="AD650" s="42">
        <v>6252</v>
      </c>
      <c r="AE650" s="55"/>
      <c r="AF650" s="55"/>
      <c r="AG650" s="56">
        <v>162557</v>
      </c>
      <c r="AH650" s="56"/>
      <c r="AI650" s="56"/>
    </row>
    <row r="651" spans="1:35" ht="15" x14ac:dyDescent="0.2">
      <c r="A651" s="64" t="s">
        <v>4127</v>
      </c>
      <c r="B651" s="33" t="s">
        <v>12632</v>
      </c>
      <c r="C651" s="7" t="s">
        <v>18859</v>
      </c>
      <c r="D651" s="112">
        <v>5</v>
      </c>
      <c r="E651" s="7"/>
      <c r="F651" s="112"/>
      <c r="G651" s="2" t="s">
        <v>18852</v>
      </c>
      <c r="H651" s="2" t="s">
        <v>1492</v>
      </c>
      <c r="I651" s="2" t="s">
        <v>118</v>
      </c>
      <c r="J651" s="2" t="s">
        <v>48</v>
      </c>
      <c r="K651" s="2" t="s">
        <v>18865</v>
      </c>
      <c r="L651" s="2" t="s">
        <v>18866</v>
      </c>
      <c r="M651" s="48"/>
      <c r="N651" s="45" t="str">
        <f t="shared" si="401"/>
        <v>Questionnaire</v>
      </c>
      <c r="O651" s="48" t="s">
        <v>18856</v>
      </c>
      <c r="P651" s="60" t="s">
        <v>1668</v>
      </c>
      <c r="Q651" s="48" t="s">
        <v>4166</v>
      </c>
      <c r="R651" s="48" t="s">
        <v>186</v>
      </c>
      <c r="S651" s="49" t="s">
        <v>74</v>
      </c>
      <c r="T651" s="48" t="s">
        <v>75</v>
      </c>
      <c r="U651" s="49" t="s">
        <v>3678</v>
      </c>
      <c r="V651" s="7" t="s">
        <v>214</v>
      </c>
      <c r="W651" s="49" t="s">
        <v>214</v>
      </c>
      <c r="X651" s="49" t="s">
        <v>214</v>
      </c>
      <c r="Y651" s="49" t="s">
        <v>214</v>
      </c>
      <c r="Z651" s="55" t="s">
        <v>214</v>
      </c>
      <c r="AA651" s="48" t="s">
        <v>18857</v>
      </c>
      <c r="AB651" s="84" t="s">
        <v>18856</v>
      </c>
      <c r="AC651" s="53" t="str">
        <f t="shared" si="402"/>
        <v>Link</v>
      </c>
      <c r="AD651" s="42">
        <v>6252</v>
      </c>
      <c r="AE651" s="55"/>
      <c r="AF651" s="55"/>
      <c r="AG651" s="56">
        <v>162557</v>
      </c>
      <c r="AH651" s="56"/>
      <c r="AI651" s="56"/>
    </row>
    <row r="652" spans="1:35" ht="15" x14ac:dyDescent="0.2">
      <c r="A652" s="64" t="s">
        <v>4127</v>
      </c>
      <c r="B652" s="33" t="s">
        <v>12632</v>
      </c>
      <c r="C652" s="7" t="s">
        <v>18868</v>
      </c>
      <c r="D652" s="112">
        <v>5</v>
      </c>
      <c r="E652" s="7"/>
      <c r="F652" s="112"/>
      <c r="G652" s="2" t="s">
        <v>18852</v>
      </c>
      <c r="H652" s="2" t="s">
        <v>1492</v>
      </c>
      <c r="I652" s="2" t="s">
        <v>118</v>
      </c>
      <c r="J652" s="2" t="s">
        <v>1048</v>
      </c>
      <c r="K652" s="2" t="s">
        <v>18870</v>
      </c>
      <c r="L652" s="2" t="s">
        <v>18866</v>
      </c>
      <c r="M652" s="48"/>
      <c r="N652" s="45" t="str">
        <f t="shared" si="401"/>
        <v>Questionnaire</v>
      </c>
      <c r="O652" s="48" t="s">
        <v>18856</v>
      </c>
      <c r="P652" s="60" t="s">
        <v>1668</v>
      </c>
      <c r="Q652" s="48" t="s">
        <v>4166</v>
      </c>
      <c r="R652" s="48" t="s">
        <v>186</v>
      </c>
      <c r="S652" s="49" t="s">
        <v>74</v>
      </c>
      <c r="T652" s="48" t="s">
        <v>75</v>
      </c>
      <c r="U652" s="49" t="s">
        <v>3678</v>
      </c>
      <c r="V652" s="7" t="s">
        <v>214</v>
      </c>
      <c r="W652" s="49" t="s">
        <v>214</v>
      </c>
      <c r="X652" s="49" t="s">
        <v>214</v>
      </c>
      <c r="Y652" s="49" t="s">
        <v>214</v>
      </c>
      <c r="Z652" s="55" t="s">
        <v>214</v>
      </c>
      <c r="AA652" s="48" t="s">
        <v>18857</v>
      </c>
      <c r="AB652" s="84" t="s">
        <v>18856</v>
      </c>
      <c r="AC652" s="53" t="str">
        <f t="shared" si="402"/>
        <v>Link</v>
      </c>
      <c r="AD652" s="42">
        <v>6252</v>
      </c>
      <c r="AE652" s="55"/>
      <c r="AF652" s="55"/>
      <c r="AG652" s="56">
        <v>162557</v>
      </c>
      <c r="AH652" s="56"/>
      <c r="AI652" s="56"/>
    </row>
    <row r="653" spans="1:35" ht="15" x14ac:dyDescent="0.2">
      <c r="A653" s="64" t="s">
        <v>4127</v>
      </c>
      <c r="B653" s="33" t="s">
        <v>12632</v>
      </c>
      <c r="C653" s="7" t="s">
        <v>18872</v>
      </c>
      <c r="D653" s="112">
        <v>5</v>
      </c>
      <c r="E653" s="7"/>
      <c r="F653" s="112"/>
      <c r="G653" s="2" t="s">
        <v>18852</v>
      </c>
      <c r="H653" s="2" t="s">
        <v>6540</v>
      </c>
      <c r="I653" s="2" t="s">
        <v>2031</v>
      </c>
      <c r="J653" s="2" t="s">
        <v>55</v>
      </c>
      <c r="K653" s="2"/>
      <c r="L653" s="2" t="s">
        <v>18877</v>
      </c>
      <c r="M653" s="48"/>
      <c r="N653" s="45" t="str">
        <f t="shared" si="401"/>
        <v>Questionnaire</v>
      </c>
      <c r="O653" s="48" t="s">
        <v>18856</v>
      </c>
      <c r="P653" s="60" t="s">
        <v>1668</v>
      </c>
      <c r="Q653" s="48" t="s">
        <v>4166</v>
      </c>
      <c r="R653" s="48" t="s">
        <v>186</v>
      </c>
      <c r="S653" s="49" t="s">
        <v>74</v>
      </c>
      <c r="T653" s="48" t="s">
        <v>75</v>
      </c>
      <c r="U653" s="49" t="s">
        <v>3678</v>
      </c>
      <c r="V653" s="7" t="s">
        <v>214</v>
      </c>
      <c r="W653" s="49" t="s">
        <v>214</v>
      </c>
      <c r="X653" s="49" t="s">
        <v>214</v>
      </c>
      <c r="Y653" s="49" t="s">
        <v>214</v>
      </c>
      <c r="Z653" s="55" t="s">
        <v>214</v>
      </c>
      <c r="AA653" s="48" t="s">
        <v>18857</v>
      </c>
      <c r="AB653" s="84" t="s">
        <v>18856</v>
      </c>
      <c r="AC653" s="53" t="str">
        <f t="shared" si="402"/>
        <v>Link</v>
      </c>
      <c r="AD653" s="42">
        <v>6252</v>
      </c>
      <c r="AE653" s="55"/>
      <c r="AF653" s="55"/>
      <c r="AG653" s="56">
        <v>162557</v>
      </c>
      <c r="AH653" s="56"/>
      <c r="AI653" s="56"/>
    </row>
    <row r="654" spans="1:35" ht="15" x14ac:dyDescent="0.2">
      <c r="A654" s="64" t="s">
        <v>4127</v>
      </c>
      <c r="B654" s="33" t="s">
        <v>12632</v>
      </c>
      <c r="C654" s="7" t="s">
        <v>18878</v>
      </c>
      <c r="D654" s="44">
        <v>5</v>
      </c>
      <c r="E654" s="7" t="s">
        <v>116</v>
      </c>
      <c r="F654" s="7"/>
      <c r="G654" s="2" t="s">
        <v>18880</v>
      </c>
      <c r="H654" s="7" t="s">
        <v>17994</v>
      </c>
      <c r="I654" s="7" t="s">
        <v>18881</v>
      </c>
      <c r="J654" s="7" t="s">
        <v>48</v>
      </c>
      <c r="K654" s="7" t="s">
        <v>18883</v>
      </c>
      <c r="L654" s="7" t="s">
        <v>18884</v>
      </c>
      <c r="M654" s="48"/>
      <c r="N654" s="45" t="str">
        <f t="shared" ref="N654:N657" si="403">HYPERLINK("http://www.garrettlakers.com/be_a_laker/prospect_questionnaire","Questionnaire")</f>
        <v>Questionnaire</v>
      </c>
      <c r="O654" s="48" t="s">
        <v>7779</v>
      </c>
      <c r="P654" s="60" t="s">
        <v>1668</v>
      </c>
      <c r="Q654" s="48" t="s">
        <v>8971</v>
      </c>
      <c r="R654" s="60" t="s">
        <v>205</v>
      </c>
      <c r="S654" s="49" t="s">
        <v>74</v>
      </c>
      <c r="T654" s="48" t="s">
        <v>75</v>
      </c>
      <c r="U654" s="49" t="s">
        <v>3678</v>
      </c>
      <c r="V654" s="7" t="s">
        <v>214</v>
      </c>
      <c r="W654" s="49" t="s">
        <v>214</v>
      </c>
      <c r="X654" s="49" t="s">
        <v>214</v>
      </c>
      <c r="Y654" s="49" t="s">
        <v>214</v>
      </c>
      <c r="Z654" s="55" t="s">
        <v>214</v>
      </c>
      <c r="AA654" s="48" t="s">
        <v>18885</v>
      </c>
      <c r="AB654" s="84" t="s">
        <v>7779</v>
      </c>
      <c r="AC654" s="53" t="str">
        <f t="shared" ref="AC654:AC657" si="404">HYPERLINK("https://www.garrettcollege.edu/degrees-and-programs.php","Link")</f>
        <v>Link</v>
      </c>
      <c r="AD654" s="42">
        <v>754</v>
      </c>
      <c r="AE654" s="55"/>
      <c r="AF654" s="55"/>
      <c r="AG654" s="56">
        <v>162609</v>
      </c>
      <c r="AH654" s="85"/>
      <c r="AI654" s="85"/>
    </row>
    <row r="655" spans="1:35" ht="15" x14ac:dyDescent="0.2">
      <c r="A655" s="64" t="s">
        <v>4127</v>
      </c>
      <c r="B655" s="33" t="s">
        <v>12632</v>
      </c>
      <c r="C655" s="7" t="s">
        <v>18893</v>
      </c>
      <c r="D655" s="112">
        <v>5</v>
      </c>
      <c r="E655" s="7" t="s">
        <v>116</v>
      </c>
      <c r="F655" s="112"/>
      <c r="G655" s="2" t="s">
        <v>18880</v>
      </c>
      <c r="H655" s="2" t="s">
        <v>421</v>
      </c>
      <c r="I655" s="2"/>
      <c r="J655" s="2" t="s">
        <v>48</v>
      </c>
      <c r="K655" s="2"/>
      <c r="L655" s="2"/>
      <c r="M655" s="48"/>
      <c r="N655" s="45" t="str">
        <f t="shared" si="403"/>
        <v>Questionnaire</v>
      </c>
      <c r="O655" s="48" t="s">
        <v>7779</v>
      </c>
      <c r="P655" s="60" t="s">
        <v>1668</v>
      </c>
      <c r="Q655" s="48" t="s">
        <v>8971</v>
      </c>
      <c r="R655" s="60" t="s">
        <v>205</v>
      </c>
      <c r="S655" s="49" t="s">
        <v>74</v>
      </c>
      <c r="T655" s="48" t="s">
        <v>75</v>
      </c>
      <c r="U655" s="49" t="s">
        <v>3678</v>
      </c>
      <c r="V655" s="7" t="s">
        <v>214</v>
      </c>
      <c r="W655" s="49" t="s">
        <v>214</v>
      </c>
      <c r="X655" s="49" t="s">
        <v>214</v>
      </c>
      <c r="Y655" s="49" t="s">
        <v>214</v>
      </c>
      <c r="Z655" s="55" t="s">
        <v>214</v>
      </c>
      <c r="AA655" s="48" t="s">
        <v>18885</v>
      </c>
      <c r="AB655" s="84" t="s">
        <v>7779</v>
      </c>
      <c r="AC655" s="53" t="str">
        <f t="shared" si="404"/>
        <v>Link</v>
      </c>
      <c r="AD655" s="42">
        <v>754</v>
      </c>
      <c r="AE655" s="55"/>
      <c r="AF655" s="55"/>
      <c r="AG655" s="56">
        <v>162609</v>
      </c>
      <c r="AH655" s="56"/>
      <c r="AI655" s="56"/>
    </row>
    <row r="656" spans="1:35" ht="15" x14ac:dyDescent="0.2">
      <c r="A656" s="64" t="s">
        <v>4127</v>
      </c>
      <c r="B656" s="33" t="s">
        <v>12632</v>
      </c>
      <c r="C656" s="7" t="s">
        <v>18893</v>
      </c>
      <c r="D656" s="112">
        <v>5</v>
      </c>
      <c r="E656" s="7"/>
      <c r="F656" s="112" t="s">
        <v>126</v>
      </c>
      <c r="G656" s="2" t="s">
        <v>18880</v>
      </c>
      <c r="H656" s="2" t="s">
        <v>18896</v>
      </c>
      <c r="I656" s="2"/>
      <c r="J656" s="2"/>
      <c r="K656" s="2"/>
      <c r="L656" s="2"/>
      <c r="M656" s="48"/>
      <c r="N656" s="45" t="str">
        <f t="shared" si="403"/>
        <v>Questionnaire</v>
      </c>
      <c r="O656" s="48" t="s">
        <v>7779</v>
      </c>
      <c r="P656" s="60" t="s">
        <v>1668</v>
      </c>
      <c r="Q656" s="48" t="s">
        <v>8971</v>
      </c>
      <c r="R656" s="60" t="s">
        <v>205</v>
      </c>
      <c r="S656" s="49" t="s">
        <v>74</v>
      </c>
      <c r="T656" s="48" t="s">
        <v>75</v>
      </c>
      <c r="U656" s="49" t="s">
        <v>3678</v>
      </c>
      <c r="V656" s="7" t="s">
        <v>214</v>
      </c>
      <c r="W656" s="49" t="s">
        <v>214</v>
      </c>
      <c r="X656" s="49" t="s">
        <v>214</v>
      </c>
      <c r="Y656" s="49" t="s">
        <v>214</v>
      </c>
      <c r="Z656" s="55" t="s">
        <v>214</v>
      </c>
      <c r="AA656" s="48" t="s">
        <v>18885</v>
      </c>
      <c r="AB656" s="84" t="s">
        <v>7779</v>
      </c>
      <c r="AC656" s="53" t="str">
        <f t="shared" si="404"/>
        <v>Link</v>
      </c>
      <c r="AD656" s="42">
        <v>754</v>
      </c>
      <c r="AE656" s="55"/>
      <c r="AF656" s="55"/>
      <c r="AG656" s="56">
        <v>162609</v>
      </c>
      <c r="AH656" s="56"/>
      <c r="AI656" s="56"/>
    </row>
    <row r="657" spans="1:35" ht="15" x14ac:dyDescent="0.2">
      <c r="A657" s="64" t="s">
        <v>4127</v>
      </c>
      <c r="B657" s="33" t="s">
        <v>12632</v>
      </c>
      <c r="C657" s="7" t="s">
        <v>18899</v>
      </c>
      <c r="D657" s="112">
        <v>5</v>
      </c>
      <c r="E657" s="7"/>
      <c r="F657" s="112" t="s">
        <v>126</v>
      </c>
      <c r="G657" s="2" t="s">
        <v>18880</v>
      </c>
      <c r="H657" s="2" t="s">
        <v>18901</v>
      </c>
      <c r="I657" s="2"/>
      <c r="J657" s="2"/>
      <c r="K657" s="2"/>
      <c r="L657" s="2"/>
      <c r="M657" s="48"/>
      <c r="N657" s="45" t="str">
        <f t="shared" si="403"/>
        <v>Questionnaire</v>
      </c>
      <c r="O657" s="48" t="s">
        <v>7779</v>
      </c>
      <c r="P657" s="60" t="s">
        <v>1668</v>
      </c>
      <c r="Q657" s="48" t="s">
        <v>8971</v>
      </c>
      <c r="R657" s="60" t="s">
        <v>205</v>
      </c>
      <c r="S657" s="49" t="s">
        <v>74</v>
      </c>
      <c r="T657" s="48" t="s">
        <v>75</v>
      </c>
      <c r="U657" s="49" t="s">
        <v>3678</v>
      </c>
      <c r="V657" s="7" t="s">
        <v>214</v>
      </c>
      <c r="W657" s="49" t="s">
        <v>214</v>
      </c>
      <c r="X657" s="49" t="s">
        <v>214</v>
      </c>
      <c r="Y657" s="49" t="s">
        <v>214</v>
      </c>
      <c r="Z657" s="55" t="s">
        <v>214</v>
      </c>
      <c r="AA657" s="48" t="s">
        <v>18885</v>
      </c>
      <c r="AB657" s="84" t="s">
        <v>7779</v>
      </c>
      <c r="AC657" s="53" t="str">
        <f t="shared" si="404"/>
        <v>Link</v>
      </c>
      <c r="AD657" s="42">
        <v>754</v>
      </c>
      <c r="AE657" s="55"/>
      <c r="AF657" s="55"/>
      <c r="AG657" s="56">
        <v>162609</v>
      </c>
      <c r="AH657" s="56"/>
      <c r="AI657" s="56"/>
    </row>
    <row r="658" spans="1:35" ht="15" x14ac:dyDescent="0.2">
      <c r="A658" s="64" t="s">
        <v>4127</v>
      </c>
      <c r="B658" s="33" t="s">
        <v>12632</v>
      </c>
      <c r="C658" s="7" t="s">
        <v>18902</v>
      </c>
      <c r="D658" s="112">
        <v>5</v>
      </c>
      <c r="E658" s="7"/>
      <c r="F658" s="112"/>
      <c r="G658" s="2" t="s">
        <v>18903</v>
      </c>
      <c r="H658" s="2" t="s">
        <v>421</v>
      </c>
      <c r="I658" s="2"/>
      <c r="J658" s="2" t="s">
        <v>48</v>
      </c>
      <c r="K658" s="2"/>
      <c r="L658" s="2"/>
      <c r="M658" s="48"/>
      <c r="N658" s="45" t="str">
        <f>HYPERLINK("http://athletics.hagerstowncc.edu/recruits/prospective-athletes","Questionnaire")</f>
        <v>Questionnaire</v>
      </c>
      <c r="O658" s="48" t="s">
        <v>18906</v>
      </c>
      <c r="P658" s="60" t="s">
        <v>1668</v>
      </c>
      <c r="Q658" s="48" t="s">
        <v>18907</v>
      </c>
      <c r="R658" s="48" t="s">
        <v>468</v>
      </c>
      <c r="S658" s="49" t="s">
        <v>74</v>
      </c>
      <c r="T658" s="48" t="s">
        <v>75</v>
      </c>
      <c r="U658" s="49" t="s">
        <v>3678</v>
      </c>
      <c r="V658" s="7" t="s">
        <v>214</v>
      </c>
      <c r="W658" s="49" t="s">
        <v>214</v>
      </c>
      <c r="X658" s="49" t="s">
        <v>214</v>
      </c>
      <c r="Y658" s="49" t="s">
        <v>214</v>
      </c>
      <c r="Z658" s="55" t="s">
        <v>214</v>
      </c>
      <c r="AA658" s="48" t="s">
        <v>18908</v>
      </c>
      <c r="AB658" s="84" t="s">
        <v>18906</v>
      </c>
      <c r="AC658" s="53" t="str">
        <f>HYPERLINK("http://www.hagerstowncc.edu/programs-courses","Link")</f>
        <v>Link</v>
      </c>
      <c r="AD658" s="42">
        <v>4061</v>
      </c>
      <c r="AE658" s="55"/>
      <c r="AF658" s="55"/>
      <c r="AG658" s="56">
        <v>162690</v>
      </c>
      <c r="AH658" s="56"/>
      <c r="AI658" s="56"/>
    </row>
    <row r="659" spans="1:35" ht="15" x14ac:dyDescent="0.2">
      <c r="A659" s="64" t="s">
        <v>4127</v>
      </c>
      <c r="B659" s="33" t="s">
        <v>12632</v>
      </c>
      <c r="C659" s="7" t="s">
        <v>18909</v>
      </c>
      <c r="D659" s="44">
        <v>5</v>
      </c>
      <c r="E659" s="7" t="s">
        <v>116</v>
      </c>
      <c r="F659" s="7"/>
      <c r="G659" s="2" t="s">
        <v>18910</v>
      </c>
      <c r="H659" s="7" t="s">
        <v>1875</v>
      </c>
      <c r="I659" s="7" t="s">
        <v>3748</v>
      </c>
      <c r="J659" s="7" t="s">
        <v>55</v>
      </c>
      <c r="K659" s="7"/>
      <c r="L659" s="7"/>
      <c r="M659" s="45" t="str">
        <f t="shared" ref="M659:M662" si="405">HYPERLINK("twitter.com/harfordsoftball","@harfordsoftball")</f>
        <v>@harfordsoftball</v>
      </c>
      <c r="N659" s="45" t="str">
        <f t="shared" ref="N659:N662" si="406">HYPERLINK("https://harfordathletics.com/sb_output.aspx?form=3","Questionnaire")</f>
        <v>Questionnaire</v>
      </c>
      <c r="O659" s="48" t="s">
        <v>18912</v>
      </c>
      <c r="P659" s="60" t="s">
        <v>1668</v>
      </c>
      <c r="Q659" s="48" t="s">
        <v>18914</v>
      </c>
      <c r="R659" s="48" t="s">
        <v>172</v>
      </c>
      <c r="S659" s="49" t="s">
        <v>74</v>
      </c>
      <c r="T659" s="48" t="s">
        <v>75</v>
      </c>
      <c r="U659" s="49" t="s">
        <v>3678</v>
      </c>
      <c r="V659" s="7" t="s">
        <v>214</v>
      </c>
      <c r="W659" s="49" t="s">
        <v>214</v>
      </c>
      <c r="X659" s="49" t="s">
        <v>214</v>
      </c>
      <c r="Y659" s="49" t="s">
        <v>214</v>
      </c>
      <c r="Z659" s="55" t="s">
        <v>214</v>
      </c>
      <c r="AA659" s="48" t="s">
        <v>214</v>
      </c>
      <c r="AB659" s="52" t="s">
        <v>18912</v>
      </c>
      <c r="AC659" s="53" t="str">
        <f t="shared" ref="AC659:AC662" si="407">HYPERLINK("https://www.harford.edu/academics/degrees-and-programs.aspx","Link")</f>
        <v>Link</v>
      </c>
      <c r="AD659" s="42">
        <v>6239</v>
      </c>
      <c r="AE659" s="55"/>
      <c r="AF659" s="55"/>
      <c r="AG659" s="56">
        <v>162706</v>
      </c>
      <c r="AH659" s="85"/>
      <c r="AI659" s="85"/>
    </row>
    <row r="660" spans="1:35" ht="15" x14ac:dyDescent="0.2">
      <c r="A660" s="64" t="s">
        <v>4127</v>
      </c>
      <c r="B660" s="33" t="s">
        <v>12632</v>
      </c>
      <c r="C660" s="7" t="s">
        <v>18918</v>
      </c>
      <c r="D660" s="112">
        <v>5</v>
      </c>
      <c r="E660" s="7"/>
      <c r="F660" s="112"/>
      <c r="G660" s="2" t="s">
        <v>18910</v>
      </c>
      <c r="H660" s="2" t="s">
        <v>421</v>
      </c>
      <c r="I660" s="2"/>
      <c r="J660" s="2" t="s">
        <v>48</v>
      </c>
      <c r="K660" s="2"/>
      <c r="L660" s="2"/>
      <c r="M660" s="45" t="str">
        <f t="shared" si="405"/>
        <v>@harfordsoftball</v>
      </c>
      <c r="N660" s="45" t="str">
        <f t="shared" si="406"/>
        <v>Questionnaire</v>
      </c>
      <c r="O660" s="48" t="s">
        <v>18912</v>
      </c>
      <c r="P660" s="60" t="s">
        <v>1668</v>
      </c>
      <c r="Q660" s="48" t="s">
        <v>18914</v>
      </c>
      <c r="R660" s="48" t="s">
        <v>172</v>
      </c>
      <c r="S660" s="49" t="s">
        <v>74</v>
      </c>
      <c r="T660" s="48" t="s">
        <v>75</v>
      </c>
      <c r="U660" s="49" t="s">
        <v>3678</v>
      </c>
      <c r="V660" s="7" t="s">
        <v>214</v>
      </c>
      <c r="W660" s="49" t="s">
        <v>214</v>
      </c>
      <c r="X660" s="49" t="s">
        <v>214</v>
      </c>
      <c r="Y660" s="49" t="s">
        <v>214</v>
      </c>
      <c r="Z660" s="55" t="s">
        <v>214</v>
      </c>
      <c r="AA660" s="48" t="s">
        <v>214</v>
      </c>
      <c r="AB660" s="52" t="s">
        <v>18912</v>
      </c>
      <c r="AC660" s="53" t="str">
        <f t="shared" si="407"/>
        <v>Link</v>
      </c>
      <c r="AD660" s="42">
        <v>6239</v>
      </c>
      <c r="AE660" s="55"/>
      <c r="AF660" s="55"/>
      <c r="AG660" s="56">
        <v>162706</v>
      </c>
      <c r="AH660" s="56"/>
      <c r="AI660" s="56"/>
    </row>
    <row r="661" spans="1:35" ht="15" x14ac:dyDescent="0.2">
      <c r="A661" s="64" t="s">
        <v>4127</v>
      </c>
      <c r="B661" s="33" t="s">
        <v>12632</v>
      </c>
      <c r="C661" s="7" t="s">
        <v>18922</v>
      </c>
      <c r="D661" s="112">
        <v>5</v>
      </c>
      <c r="E661" s="7"/>
      <c r="F661" s="112"/>
      <c r="G661" s="2" t="s">
        <v>18910</v>
      </c>
      <c r="H661" s="2" t="s">
        <v>1447</v>
      </c>
      <c r="I661" s="2" t="s">
        <v>18924</v>
      </c>
      <c r="J661" s="2" t="s">
        <v>1423</v>
      </c>
      <c r="K661" s="2" t="s">
        <v>18925</v>
      </c>
      <c r="L661" s="2" t="s">
        <v>18926</v>
      </c>
      <c r="M661" s="45" t="str">
        <f t="shared" si="405"/>
        <v>@harfordsoftball</v>
      </c>
      <c r="N661" s="45" t="str">
        <f t="shared" si="406"/>
        <v>Questionnaire</v>
      </c>
      <c r="O661" s="48" t="s">
        <v>18912</v>
      </c>
      <c r="P661" s="60" t="s">
        <v>1668</v>
      </c>
      <c r="Q661" s="48" t="s">
        <v>18914</v>
      </c>
      <c r="R661" s="48" t="s">
        <v>172</v>
      </c>
      <c r="S661" s="49" t="s">
        <v>74</v>
      </c>
      <c r="T661" s="48" t="s">
        <v>75</v>
      </c>
      <c r="U661" s="49" t="s">
        <v>3678</v>
      </c>
      <c r="V661" s="7" t="s">
        <v>214</v>
      </c>
      <c r="W661" s="49" t="s">
        <v>214</v>
      </c>
      <c r="X661" s="49" t="s">
        <v>214</v>
      </c>
      <c r="Y661" s="49" t="s">
        <v>214</v>
      </c>
      <c r="Z661" s="55" t="s">
        <v>214</v>
      </c>
      <c r="AA661" s="48" t="s">
        <v>214</v>
      </c>
      <c r="AB661" s="52" t="s">
        <v>18912</v>
      </c>
      <c r="AC661" s="53" t="str">
        <f t="shared" si="407"/>
        <v>Link</v>
      </c>
      <c r="AD661" s="42">
        <v>6239</v>
      </c>
      <c r="AE661" s="55"/>
      <c r="AF661" s="55"/>
      <c r="AG661" s="56">
        <v>162706</v>
      </c>
      <c r="AH661" s="56"/>
      <c r="AI661" s="56"/>
    </row>
    <row r="662" spans="1:35" ht="15" x14ac:dyDescent="0.2">
      <c r="A662" s="64" t="s">
        <v>4127</v>
      </c>
      <c r="B662" s="33" t="s">
        <v>12632</v>
      </c>
      <c r="C662" s="7" t="s">
        <v>18929</v>
      </c>
      <c r="D662" s="112">
        <v>5</v>
      </c>
      <c r="E662" s="7"/>
      <c r="F662" s="112"/>
      <c r="G662" s="2" t="s">
        <v>18910</v>
      </c>
      <c r="H662" s="2" t="s">
        <v>5816</v>
      </c>
      <c r="I662" s="2" t="s">
        <v>3882</v>
      </c>
      <c r="J662" s="2" t="s">
        <v>55</v>
      </c>
      <c r="K662" s="2" t="s">
        <v>18931</v>
      </c>
      <c r="L662" s="2" t="s">
        <v>18932</v>
      </c>
      <c r="M662" s="45" t="str">
        <f t="shared" si="405"/>
        <v>@harfordsoftball</v>
      </c>
      <c r="N662" s="45" t="str">
        <f t="shared" si="406"/>
        <v>Questionnaire</v>
      </c>
      <c r="O662" s="48" t="s">
        <v>18912</v>
      </c>
      <c r="P662" s="60" t="s">
        <v>1668</v>
      </c>
      <c r="Q662" s="48" t="s">
        <v>18914</v>
      </c>
      <c r="R662" s="48" t="s">
        <v>172</v>
      </c>
      <c r="S662" s="49" t="s">
        <v>74</v>
      </c>
      <c r="T662" s="48" t="s">
        <v>75</v>
      </c>
      <c r="U662" s="49" t="s">
        <v>3678</v>
      </c>
      <c r="V662" s="7" t="s">
        <v>214</v>
      </c>
      <c r="W662" s="49" t="s">
        <v>214</v>
      </c>
      <c r="X662" s="49" t="s">
        <v>214</v>
      </c>
      <c r="Y662" s="49" t="s">
        <v>214</v>
      </c>
      <c r="Z662" s="55" t="s">
        <v>214</v>
      </c>
      <c r="AA662" s="48" t="s">
        <v>214</v>
      </c>
      <c r="AB662" s="52" t="s">
        <v>18912</v>
      </c>
      <c r="AC662" s="53" t="str">
        <f t="shared" si="407"/>
        <v>Link</v>
      </c>
      <c r="AD662" s="42">
        <v>6239</v>
      </c>
      <c r="AE662" s="55"/>
      <c r="AF662" s="55"/>
      <c r="AG662" s="56">
        <v>162706</v>
      </c>
      <c r="AH662" s="56"/>
      <c r="AI662" s="56"/>
    </row>
    <row r="663" spans="1:35" ht="15" x14ac:dyDescent="0.2">
      <c r="A663" s="64" t="s">
        <v>4127</v>
      </c>
      <c r="B663" s="33" t="s">
        <v>12632</v>
      </c>
      <c r="C663" s="7" t="s">
        <v>18936</v>
      </c>
      <c r="D663" s="112">
        <v>5</v>
      </c>
      <c r="E663" s="7"/>
      <c r="F663" s="112"/>
      <c r="G663" s="2" t="s">
        <v>18937</v>
      </c>
      <c r="H663" s="2" t="s">
        <v>1080</v>
      </c>
      <c r="I663" s="2" t="s">
        <v>18938</v>
      </c>
      <c r="J663" s="2" t="s">
        <v>48</v>
      </c>
      <c r="K663" s="2" t="s">
        <v>18939</v>
      </c>
      <c r="L663" s="2" t="s">
        <v>18940</v>
      </c>
      <c r="M663" s="48"/>
      <c r="N663" s="45" t="str">
        <f t="shared" ref="N663:N668" si="408">HYPERLINK("https://mcraptors.com/information/Prospective_Athlete_Form","Questionnaire")</f>
        <v>Questionnaire</v>
      </c>
      <c r="O663" s="48" t="s">
        <v>121</v>
      </c>
      <c r="P663" s="60" t="s">
        <v>1668</v>
      </c>
      <c r="Q663" s="48" t="s">
        <v>18942</v>
      </c>
      <c r="R663" s="48" t="s">
        <v>238</v>
      </c>
      <c r="S663" s="49" t="s">
        <v>74</v>
      </c>
      <c r="T663" s="48" t="s">
        <v>75</v>
      </c>
      <c r="U663" s="49" t="s">
        <v>3678</v>
      </c>
      <c r="V663" s="7" t="s">
        <v>214</v>
      </c>
      <c r="W663" s="49" t="s">
        <v>214</v>
      </c>
      <c r="X663" s="49" t="s">
        <v>214</v>
      </c>
      <c r="Y663" s="49" t="s">
        <v>214</v>
      </c>
      <c r="Z663" s="55" t="s">
        <v>214</v>
      </c>
      <c r="AA663" s="48" t="s">
        <v>18947</v>
      </c>
      <c r="AB663" s="84" t="s">
        <v>121</v>
      </c>
      <c r="AC663" s="53" t="str">
        <f t="shared" ref="AC663:AC668" si="409">HYPERLINK("http://cms.montgomerycollege.edu/EDU/tertiary2.aspx?urlid=9","Link")</f>
        <v>Link</v>
      </c>
      <c r="AD663" s="42">
        <v>23916</v>
      </c>
      <c r="AE663" s="55"/>
      <c r="AF663" s="55"/>
      <c r="AG663" s="56">
        <v>163426</v>
      </c>
      <c r="AH663" s="56"/>
      <c r="AI663" s="56"/>
    </row>
    <row r="664" spans="1:35" ht="15" x14ac:dyDescent="0.2">
      <c r="A664" s="64" t="s">
        <v>4127</v>
      </c>
      <c r="B664" s="33" t="s">
        <v>12632</v>
      </c>
      <c r="C664" s="7" t="s">
        <v>18949</v>
      </c>
      <c r="D664" s="112">
        <v>5</v>
      </c>
      <c r="E664" s="7"/>
      <c r="F664" s="112"/>
      <c r="G664" s="2" t="s">
        <v>18937</v>
      </c>
      <c r="H664" s="2" t="s">
        <v>1080</v>
      </c>
      <c r="I664" s="2" t="s">
        <v>18938</v>
      </c>
      <c r="J664" s="2" t="s">
        <v>1048</v>
      </c>
      <c r="K664" s="2" t="s">
        <v>18950</v>
      </c>
      <c r="L664" s="2" t="s">
        <v>18940</v>
      </c>
      <c r="M664" s="48"/>
      <c r="N664" s="45" t="str">
        <f t="shared" si="408"/>
        <v>Questionnaire</v>
      </c>
      <c r="O664" s="48" t="s">
        <v>121</v>
      </c>
      <c r="P664" s="60" t="s">
        <v>1668</v>
      </c>
      <c r="Q664" s="48" t="s">
        <v>18942</v>
      </c>
      <c r="R664" s="48" t="s">
        <v>238</v>
      </c>
      <c r="S664" s="49" t="s">
        <v>74</v>
      </c>
      <c r="T664" s="48" t="s">
        <v>75</v>
      </c>
      <c r="U664" s="49" t="s">
        <v>3678</v>
      </c>
      <c r="V664" s="7" t="s">
        <v>214</v>
      </c>
      <c r="W664" s="49" t="s">
        <v>214</v>
      </c>
      <c r="X664" s="49" t="s">
        <v>214</v>
      </c>
      <c r="Y664" s="49" t="s">
        <v>214</v>
      </c>
      <c r="Z664" s="55" t="s">
        <v>214</v>
      </c>
      <c r="AA664" s="48" t="s">
        <v>18947</v>
      </c>
      <c r="AB664" s="84" t="s">
        <v>121</v>
      </c>
      <c r="AC664" s="53" t="str">
        <f t="shared" si="409"/>
        <v>Link</v>
      </c>
      <c r="AD664" s="42">
        <v>23916</v>
      </c>
      <c r="AE664" s="55"/>
      <c r="AF664" s="55"/>
      <c r="AG664" s="56">
        <v>163426</v>
      </c>
      <c r="AH664" s="56"/>
      <c r="AI664" s="56"/>
    </row>
    <row r="665" spans="1:35" ht="15" x14ac:dyDescent="0.2">
      <c r="A665" s="64" t="s">
        <v>4127</v>
      </c>
      <c r="B665" s="33" t="s">
        <v>12632</v>
      </c>
      <c r="C665" s="7" t="s">
        <v>18954</v>
      </c>
      <c r="D665" s="112">
        <v>5</v>
      </c>
      <c r="E665" s="7"/>
      <c r="F665" s="112"/>
      <c r="G665" s="2" t="s">
        <v>18937</v>
      </c>
      <c r="H665" s="2" t="s">
        <v>3899</v>
      </c>
      <c r="I665" s="2" t="s">
        <v>18955</v>
      </c>
      <c r="J665" s="2" t="s">
        <v>55</v>
      </c>
      <c r="K665" s="2" t="s">
        <v>18956</v>
      </c>
      <c r="L665" s="2" t="s">
        <v>18957</v>
      </c>
      <c r="M665" s="48"/>
      <c r="N665" s="45" t="str">
        <f t="shared" si="408"/>
        <v>Questionnaire</v>
      </c>
      <c r="O665" s="48" t="s">
        <v>121</v>
      </c>
      <c r="P665" s="60" t="s">
        <v>1668</v>
      </c>
      <c r="Q665" s="48" t="s">
        <v>18942</v>
      </c>
      <c r="R665" s="48" t="s">
        <v>238</v>
      </c>
      <c r="S665" s="49" t="s">
        <v>74</v>
      </c>
      <c r="T665" s="48" t="s">
        <v>75</v>
      </c>
      <c r="U665" s="49" t="s">
        <v>3678</v>
      </c>
      <c r="V665" s="7" t="s">
        <v>214</v>
      </c>
      <c r="W665" s="49" t="s">
        <v>214</v>
      </c>
      <c r="X665" s="49" t="s">
        <v>214</v>
      </c>
      <c r="Y665" s="49" t="s">
        <v>214</v>
      </c>
      <c r="Z665" s="55" t="s">
        <v>214</v>
      </c>
      <c r="AA665" s="48" t="s">
        <v>18947</v>
      </c>
      <c r="AB665" s="84" t="s">
        <v>121</v>
      </c>
      <c r="AC665" s="53" t="str">
        <f t="shared" si="409"/>
        <v>Link</v>
      </c>
      <c r="AD665" s="42">
        <v>23916</v>
      </c>
      <c r="AE665" s="55"/>
      <c r="AF665" s="55"/>
      <c r="AG665" s="56">
        <v>163426</v>
      </c>
      <c r="AH665" s="56"/>
      <c r="AI665" s="56"/>
    </row>
    <row r="666" spans="1:35" ht="15" x14ac:dyDescent="0.2">
      <c r="A666" s="64" t="s">
        <v>4127</v>
      </c>
      <c r="B666" s="33" t="s">
        <v>12632</v>
      </c>
      <c r="C666" s="7" t="s">
        <v>18962</v>
      </c>
      <c r="D666" s="112">
        <v>5</v>
      </c>
      <c r="E666" s="7"/>
      <c r="F666" s="112"/>
      <c r="G666" s="2" t="s">
        <v>18937</v>
      </c>
      <c r="H666" s="2" t="s">
        <v>4184</v>
      </c>
      <c r="I666" s="2" t="s">
        <v>2969</v>
      </c>
      <c r="J666" s="2" t="s">
        <v>55</v>
      </c>
      <c r="K666" s="2" t="s">
        <v>18963</v>
      </c>
      <c r="L666" s="2" t="s">
        <v>18964</v>
      </c>
      <c r="M666" s="48"/>
      <c r="N666" s="45" t="str">
        <f t="shared" si="408"/>
        <v>Questionnaire</v>
      </c>
      <c r="O666" s="48" t="s">
        <v>121</v>
      </c>
      <c r="P666" s="60" t="s">
        <v>1668</v>
      </c>
      <c r="Q666" s="48" t="s">
        <v>18942</v>
      </c>
      <c r="R666" s="48" t="s">
        <v>238</v>
      </c>
      <c r="S666" s="49" t="s">
        <v>74</v>
      </c>
      <c r="T666" s="48" t="s">
        <v>75</v>
      </c>
      <c r="U666" s="49" t="s">
        <v>3678</v>
      </c>
      <c r="V666" s="7" t="s">
        <v>214</v>
      </c>
      <c r="W666" s="49" t="s">
        <v>214</v>
      </c>
      <c r="X666" s="49" t="s">
        <v>214</v>
      </c>
      <c r="Y666" s="49" t="s">
        <v>214</v>
      </c>
      <c r="Z666" s="55" t="s">
        <v>214</v>
      </c>
      <c r="AA666" s="48" t="s">
        <v>18947</v>
      </c>
      <c r="AB666" s="84" t="s">
        <v>121</v>
      </c>
      <c r="AC666" s="53" t="str">
        <f t="shared" si="409"/>
        <v>Link</v>
      </c>
      <c r="AD666" s="42">
        <v>23916</v>
      </c>
      <c r="AE666" s="55"/>
      <c r="AF666" s="55"/>
      <c r="AG666" s="56">
        <v>163426</v>
      </c>
      <c r="AH666" s="56"/>
      <c r="AI666" s="56"/>
    </row>
    <row r="667" spans="1:35" ht="15" x14ac:dyDescent="0.2">
      <c r="A667" s="64" t="s">
        <v>4127</v>
      </c>
      <c r="B667" s="33" t="s">
        <v>12632</v>
      </c>
      <c r="C667" s="7" t="s">
        <v>18965</v>
      </c>
      <c r="D667" s="112">
        <v>5</v>
      </c>
      <c r="E667" s="7"/>
      <c r="F667" s="112"/>
      <c r="G667" s="2" t="s">
        <v>18937</v>
      </c>
      <c r="H667" s="95" t="s">
        <v>1528</v>
      </c>
      <c r="I667" s="2" t="s">
        <v>10434</v>
      </c>
      <c r="J667" s="2" t="s">
        <v>18968</v>
      </c>
      <c r="K667" s="95" t="s">
        <v>18969</v>
      </c>
      <c r="L667" s="2" t="s">
        <v>18970</v>
      </c>
      <c r="M667" s="48"/>
      <c r="N667" s="45" t="str">
        <f t="shared" si="408"/>
        <v>Questionnaire</v>
      </c>
      <c r="O667" s="48" t="s">
        <v>121</v>
      </c>
      <c r="P667" s="60" t="s">
        <v>1668</v>
      </c>
      <c r="Q667" s="48" t="s">
        <v>18942</v>
      </c>
      <c r="R667" s="48" t="s">
        <v>238</v>
      </c>
      <c r="S667" s="49" t="s">
        <v>74</v>
      </c>
      <c r="T667" s="48" t="s">
        <v>75</v>
      </c>
      <c r="U667" s="49" t="s">
        <v>3678</v>
      </c>
      <c r="V667" s="7" t="s">
        <v>214</v>
      </c>
      <c r="W667" s="49" t="s">
        <v>214</v>
      </c>
      <c r="X667" s="49" t="s">
        <v>214</v>
      </c>
      <c r="Y667" s="49" t="s">
        <v>214</v>
      </c>
      <c r="Z667" s="55" t="s">
        <v>214</v>
      </c>
      <c r="AA667" s="48" t="s">
        <v>18947</v>
      </c>
      <c r="AB667" s="84" t="s">
        <v>121</v>
      </c>
      <c r="AC667" s="53" t="str">
        <f t="shared" si="409"/>
        <v>Link</v>
      </c>
      <c r="AD667" s="42">
        <v>23916</v>
      </c>
      <c r="AE667" s="55"/>
      <c r="AF667" s="55"/>
      <c r="AG667" s="56">
        <v>163426</v>
      </c>
      <c r="AH667" s="56"/>
      <c r="AI667" s="56"/>
    </row>
    <row r="668" spans="1:35" ht="15" x14ac:dyDescent="0.2">
      <c r="A668" s="64" t="s">
        <v>4127</v>
      </c>
      <c r="B668" s="33" t="s">
        <v>12632</v>
      </c>
      <c r="C668" s="7" t="s">
        <v>18972</v>
      </c>
      <c r="D668" s="112">
        <v>5</v>
      </c>
      <c r="E668" s="7"/>
      <c r="F668" s="112"/>
      <c r="G668" s="2" t="s">
        <v>18937</v>
      </c>
      <c r="H668" s="95" t="s">
        <v>922</v>
      </c>
      <c r="I668" s="2" t="s">
        <v>18955</v>
      </c>
      <c r="J668" s="2" t="s">
        <v>18968</v>
      </c>
      <c r="K668" s="95" t="s">
        <v>18975</v>
      </c>
      <c r="L668" s="2" t="s">
        <v>18977</v>
      </c>
      <c r="M668" s="48"/>
      <c r="N668" s="45" t="str">
        <f t="shared" si="408"/>
        <v>Questionnaire</v>
      </c>
      <c r="O668" s="48" t="s">
        <v>121</v>
      </c>
      <c r="P668" s="60" t="s">
        <v>1668</v>
      </c>
      <c r="Q668" s="48" t="s">
        <v>18942</v>
      </c>
      <c r="R668" s="48" t="s">
        <v>238</v>
      </c>
      <c r="S668" s="49" t="s">
        <v>74</v>
      </c>
      <c r="T668" s="48" t="s">
        <v>75</v>
      </c>
      <c r="U668" s="49" t="s">
        <v>3678</v>
      </c>
      <c r="V668" s="7" t="s">
        <v>214</v>
      </c>
      <c r="W668" s="49" t="s">
        <v>214</v>
      </c>
      <c r="X668" s="49" t="s">
        <v>214</v>
      </c>
      <c r="Y668" s="49" t="s">
        <v>214</v>
      </c>
      <c r="Z668" s="55" t="s">
        <v>214</v>
      </c>
      <c r="AA668" s="48" t="s">
        <v>18947</v>
      </c>
      <c r="AB668" s="84" t="s">
        <v>121</v>
      </c>
      <c r="AC668" s="53" t="str">
        <f t="shared" si="409"/>
        <v>Link</v>
      </c>
      <c r="AD668" s="42">
        <v>23916</v>
      </c>
      <c r="AE668" s="55"/>
      <c r="AF668" s="55"/>
      <c r="AG668" s="56">
        <v>163426</v>
      </c>
      <c r="AH668" s="56"/>
      <c r="AI668" s="56"/>
    </row>
    <row r="669" spans="1:35" ht="15" x14ac:dyDescent="0.2">
      <c r="A669" s="64" t="s">
        <v>4127</v>
      </c>
      <c r="B669" s="33" t="s">
        <v>12632</v>
      </c>
      <c r="C669" s="7" t="s">
        <v>18979</v>
      </c>
      <c r="D669" s="112">
        <v>5</v>
      </c>
      <c r="E669" s="7"/>
      <c r="F669" s="112"/>
      <c r="G669" s="2" t="s">
        <v>18980</v>
      </c>
      <c r="H669" s="2" t="s">
        <v>723</v>
      </c>
      <c r="I669" s="2" t="s">
        <v>18981</v>
      </c>
      <c r="J669" s="2" t="s">
        <v>48</v>
      </c>
      <c r="K669" s="2"/>
      <c r="L669" s="2" t="s">
        <v>18982</v>
      </c>
      <c r="M669" s="48"/>
      <c r="N669" s="45" t="str">
        <f>HYPERLINK("https://www.pgccowls.com/athletics/recruit/Recruitment","Questionnaire")</f>
        <v>Questionnaire</v>
      </c>
      <c r="O669" s="48" t="s">
        <v>18987</v>
      </c>
      <c r="P669" s="60" t="s">
        <v>1668</v>
      </c>
      <c r="Q669" s="48" t="s">
        <v>18988</v>
      </c>
      <c r="R669" s="48" t="s">
        <v>172</v>
      </c>
      <c r="S669" s="49" t="s">
        <v>74</v>
      </c>
      <c r="T669" s="48" t="s">
        <v>75</v>
      </c>
      <c r="U669" s="49" t="s">
        <v>3678</v>
      </c>
      <c r="V669" s="7" t="s">
        <v>214</v>
      </c>
      <c r="W669" s="49" t="s">
        <v>214</v>
      </c>
      <c r="X669" s="49" t="s">
        <v>214</v>
      </c>
      <c r="Y669" s="49" t="s">
        <v>214</v>
      </c>
      <c r="Z669" s="55" t="s">
        <v>214</v>
      </c>
      <c r="AA669" s="48" t="s">
        <v>18991</v>
      </c>
      <c r="AB669" s="84" t="s">
        <v>18987</v>
      </c>
      <c r="AC669" s="53" t="str">
        <f>HYPERLINK("https://www.pgcc.edu/Programs_and_Courses/Programs___Courses.aspx","Link")</f>
        <v>Link</v>
      </c>
      <c r="AD669" s="42">
        <v>12417</v>
      </c>
      <c r="AE669" s="55"/>
      <c r="AF669" s="55"/>
      <c r="AG669" s="56">
        <v>163657</v>
      </c>
      <c r="AH669" s="56"/>
      <c r="AI669" s="56"/>
    </row>
    <row r="670" spans="1:35" ht="15" x14ac:dyDescent="0.2">
      <c r="A670" s="64" t="s">
        <v>4127</v>
      </c>
      <c r="B670" s="33" t="s">
        <v>12632</v>
      </c>
      <c r="C670" s="7" t="s">
        <v>18994</v>
      </c>
      <c r="D670" s="44">
        <v>5</v>
      </c>
      <c r="E670" s="7" t="s">
        <v>116</v>
      </c>
      <c r="F670" s="7"/>
      <c r="G670" s="2" t="s">
        <v>18995</v>
      </c>
      <c r="H670" s="7" t="s">
        <v>3715</v>
      </c>
      <c r="I670" s="7" t="s">
        <v>18996</v>
      </c>
      <c r="J670" s="7" t="s">
        <v>55</v>
      </c>
      <c r="K670" s="7"/>
      <c r="L670" s="7"/>
      <c r="M670" s="48"/>
      <c r="N670" s="45" t="str">
        <f t="shared" ref="N670:N672" si="410">HYPERLINK("http://athletics.csmd.edu/information/recruitment_questionnaire","Questionnaire")</f>
        <v>Questionnaire</v>
      </c>
      <c r="O670" s="48" t="s">
        <v>18997</v>
      </c>
      <c r="P670" s="60" t="s">
        <v>1668</v>
      </c>
      <c r="Q670" s="48" t="s">
        <v>18998</v>
      </c>
      <c r="R670" s="60" t="s">
        <v>205</v>
      </c>
      <c r="S670" s="49" t="s">
        <v>74</v>
      </c>
      <c r="T670" s="48" t="s">
        <v>75</v>
      </c>
      <c r="U670" s="49" t="s">
        <v>3678</v>
      </c>
      <c r="V670" s="7" t="s">
        <v>214</v>
      </c>
      <c r="W670" s="49" t="s">
        <v>214</v>
      </c>
      <c r="X670" s="49" t="s">
        <v>214</v>
      </c>
      <c r="Y670" s="49" t="s">
        <v>214</v>
      </c>
      <c r="Z670" s="55" t="s">
        <v>214</v>
      </c>
      <c r="AA670" s="48" t="s">
        <v>18999</v>
      </c>
      <c r="AB670" s="84" t="s">
        <v>18997</v>
      </c>
      <c r="AC670" s="53" t="str">
        <f t="shared" ref="AC670:AC672" si="411">HYPERLINK("https://www.csmd.edu/programs-courses/credit/academic-divisions/","Link")</f>
        <v>Link</v>
      </c>
      <c r="AD670" s="42">
        <v>7679</v>
      </c>
      <c r="AE670" s="55"/>
      <c r="AF670" s="55"/>
      <c r="AG670" s="56">
        <v>162122</v>
      </c>
      <c r="AH670" s="85"/>
      <c r="AI670" s="85"/>
    </row>
    <row r="671" spans="1:35" ht="15" x14ac:dyDescent="0.2">
      <c r="A671" s="64" t="s">
        <v>4127</v>
      </c>
      <c r="B671" s="33" t="s">
        <v>12632</v>
      </c>
      <c r="C671" s="7" t="s">
        <v>19000</v>
      </c>
      <c r="D671" s="112">
        <v>5</v>
      </c>
      <c r="E671" s="7"/>
      <c r="F671" s="112"/>
      <c r="G671" s="2" t="s">
        <v>18995</v>
      </c>
      <c r="H671" s="2" t="s">
        <v>3503</v>
      </c>
      <c r="I671" s="2" t="s">
        <v>3902</v>
      </c>
      <c r="J671" s="2" t="s">
        <v>48</v>
      </c>
      <c r="K671" s="2" t="s">
        <v>19001</v>
      </c>
      <c r="L671" s="2"/>
      <c r="M671" s="48"/>
      <c r="N671" s="45" t="str">
        <f t="shared" si="410"/>
        <v>Questionnaire</v>
      </c>
      <c r="O671" s="48" t="s">
        <v>18997</v>
      </c>
      <c r="P671" s="60" t="s">
        <v>1668</v>
      </c>
      <c r="Q671" s="48" t="s">
        <v>18998</v>
      </c>
      <c r="R671" s="60" t="s">
        <v>205</v>
      </c>
      <c r="S671" s="49" t="s">
        <v>74</v>
      </c>
      <c r="T671" s="48" t="s">
        <v>75</v>
      </c>
      <c r="U671" s="49" t="s">
        <v>3678</v>
      </c>
      <c r="V671" s="7" t="s">
        <v>214</v>
      </c>
      <c r="W671" s="49" t="s">
        <v>214</v>
      </c>
      <c r="X671" s="49" t="s">
        <v>214</v>
      </c>
      <c r="Y671" s="49" t="s">
        <v>214</v>
      </c>
      <c r="Z671" s="55" t="s">
        <v>214</v>
      </c>
      <c r="AA671" s="48" t="s">
        <v>18999</v>
      </c>
      <c r="AB671" s="84" t="s">
        <v>18997</v>
      </c>
      <c r="AC671" s="53" t="str">
        <f t="shared" si="411"/>
        <v>Link</v>
      </c>
      <c r="AD671" s="42">
        <v>7679</v>
      </c>
      <c r="AE671" s="55"/>
      <c r="AF671" s="55"/>
      <c r="AG671" s="56">
        <v>162122</v>
      </c>
      <c r="AH671" s="56"/>
      <c r="AI671" s="56"/>
    </row>
    <row r="672" spans="1:35" ht="15" x14ac:dyDescent="0.2">
      <c r="A672" s="64" t="s">
        <v>4127</v>
      </c>
      <c r="B672" s="33" t="s">
        <v>12632</v>
      </c>
      <c r="C672" s="7" t="s">
        <v>19002</v>
      </c>
      <c r="D672" s="112">
        <v>5</v>
      </c>
      <c r="E672" s="7"/>
      <c r="F672" s="112"/>
      <c r="G672" s="2" t="s">
        <v>18995</v>
      </c>
      <c r="H672" s="2" t="s">
        <v>4599</v>
      </c>
      <c r="I672" s="2" t="s">
        <v>19003</v>
      </c>
      <c r="J672" s="2" t="s">
        <v>55</v>
      </c>
      <c r="K672" s="2" t="s">
        <v>19004</v>
      </c>
      <c r="L672" s="2"/>
      <c r="M672" s="48"/>
      <c r="N672" s="45" t="str">
        <f t="shared" si="410"/>
        <v>Questionnaire</v>
      </c>
      <c r="O672" s="48" t="s">
        <v>18997</v>
      </c>
      <c r="P672" s="60" t="s">
        <v>1668</v>
      </c>
      <c r="Q672" s="48" t="s">
        <v>18998</v>
      </c>
      <c r="R672" s="60" t="s">
        <v>205</v>
      </c>
      <c r="S672" s="49" t="s">
        <v>74</v>
      </c>
      <c r="T672" s="48" t="s">
        <v>75</v>
      </c>
      <c r="U672" s="49" t="s">
        <v>3678</v>
      </c>
      <c r="V672" s="7" t="s">
        <v>214</v>
      </c>
      <c r="W672" s="49" t="s">
        <v>214</v>
      </c>
      <c r="X672" s="49" t="s">
        <v>214</v>
      </c>
      <c r="Y672" s="49" t="s">
        <v>214</v>
      </c>
      <c r="Z672" s="55" t="s">
        <v>214</v>
      </c>
      <c r="AA672" s="48" t="s">
        <v>18999</v>
      </c>
      <c r="AB672" s="84" t="s">
        <v>18997</v>
      </c>
      <c r="AC672" s="53" t="str">
        <f t="shared" si="411"/>
        <v>Link</v>
      </c>
      <c r="AD672" s="42">
        <v>7679</v>
      </c>
      <c r="AE672" s="55"/>
      <c r="AF672" s="55"/>
      <c r="AG672" s="56">
        <v>162122</v>
      </c>
      <c r="AH672" s="56"/>
      <c r="AI672" s="56"/>
    </row>
    <row r="673" spans="1:37" ht="15" x14ac:dyDescent="0.2">
      <c r="A673" s="64" t="s">
        <v>4463</v>
      </c>
      <c r="B673" s="33" t="s">
        <v>12632</v>
      </c>
      <c r="C673" s="7" t="s">
        <v>19010</v>
      </c>
      <c r="D673" s="112">
        <v>5</v>
      </c>
      <c r="E673" s="7"/>
      <c r="F673" s="112"/>
      <c r="G673" s="2" t="s">
        <v>19011</v>
      </c>
      <c r="H673" s="2" t="s">
        <v>19012</v>
      </c>
      <c r="I673" s="2" t="s">
        <v>1448</v>
      </c>
      <c r="J673" s="2" t="s">
        <v>48</v>
      </c>
      <c r="K673" s="2" t="s">
        <v>19013</v>
      </c>
      <c r="L673" s="2"/>
      <c r="M673" s="48"/>
      <c r="N673" s="45" t="str">
        <f t="shared" ref="N673:N675" si="412">HYPERLINK("https://www.neccknights.com/become_knight/recruiting-form","Questionnaire")</f>
        <v>Questionnaire</v>
      </c>
      <c r="O673" s="48" t="s">
        <v>19016</v>
      </c>
      <c r="P673" s="60" t="s">
        <v>595</v>
      </c>
      <c r="Q673" s="48" t="s">
        <v>19017</v>
      </c>
      <c r="R673" s="48" t="s">
        <v>186</v>
      </c>
      <c r="S673" s="5" t="s">
        <v>74</v>
      </c>
      <c r="T673" s="48" t="s">
        <v>75</v>
      </c>
      <c r="U673" s="49" t="s">
        <v>3678</v>
      </c>
      <c r="V673" s="7" t="s">
        <v>214</v>
      </c>
      <c r="W673" s="49" t="s">
        <v>214</v>
      </c>
      <c r="X673" s="49" t="s">
        <v>214</v>
      </c>
      <c r="Y673" s="49" t="s">
        <v>214</v>
      </c>
      <c r="Z673" s="55" t="s">
        <v>214</v>
      </c>
      <c r="AA673" s="48" t="s">
        <v>19018</v>
      </c>
      <c r="AB673" s="84" t="s">
        <v>19016</v>
      </c>
      <c r="AC673" s="53" t="str">
        <f t="shared" ref="AC673:AC675" si="413">HYPERLINK("https://www.necc.mass.edu/learn/credit-programs/","Link")</f>
        <v>Link</v>
      </c>
      <c r="AD673" s="42">
        <v>5976</v>
      </c>
      <c r="AE673" s="55"/>
      <c r="AF673" s="55"/>
      <c r="AG673" s="56">
        <v>167376</v>
      </c>
      <c r="AH673" s="56"/>
      <c r="AI673" s="56"/>
    </row>
    <row r="674" spans="1:37" ht="15" x14ac:dyDescent="0.2">
      <c r="A674" s="64" t="s">
        <v>4463</v>
      </c>
      <c r="B674" s="33" t="s">
        <v>12632</v>
      </c>
      <c r="C674" s="7" t="s">
        <v>19024</v>
      </c>
      <c r="D674" s="112">
        <v>5</v>
      </c>
      <c r="E674" s="7"/>
      <c r="F674" s="112"/>
      <c r="G674" s="2" t="s">
        <v>19011</v>
      </c>
      <c r="H674" s="2" t="s">
        <v>19012</v>
      </c>
      <c r="I674" s="2" t="s">
        <v>1448</v>
      </c>
      <c r="J674" s="2" t="s">
        <v>1048</v>
      </c>
      <c r="K674" s="2" t="s">
        <v>19025</v>
      </c>
      <c r="L674" s="2"/>
      <c r="M674" s="48"/>
      <c r="N674" s="45" t="str">
        <f t="shared" si="412"/>
        <v>Questionnaire</v>
      </c>
      <c r="O674" s="48" t="s">
        <v>19016</v>
      </c>
      <c r="P674" s="60" t="s">
        <v>595</v>
      </c>
      <c r="Q674" s="48" t="s">
        <v>19017</v>
      </c>
      <c r="R674" s="48" t="s">
        <v>186</v>
      </c>
      <c r="S674" s="5" t="s">
        <v>74</v>
      </c>
      <c r="T674" s="48" t="s">
        <v>75</v>
      </c>
      <c r="U674" s="49" t="s">
        <v>3678</v>
      </c>
      <c r="V674" s="7" t="s">
        <v>214</v>
      </c>
      <c r="W674" s="49" t="s">
        <v>214</v>
      </c>
      <c r="X674" s="49" t="s">
        <v>214</v>
      </c>
      <c r="Y674" s="49" t="s">
        <v>214</v>
      </c>
      <c r="Z674" s="55" t="s">
        <v>214</v>
      </c>
      <c r="AA674" s="48" t="s">
        <v>19018</v>
      </c>
      <c r="AB674" s="84" t="s">
        <v>19016</v>
      </c>
      <c r="AC674" s="53" t="str">
        <f t="shared" si="413"/>
        <v>Link</v>
      </c>
      <c r="AD674" s="42">
        <v>5976</v>
      </c>
      <c r="AE674" s="55"/>
      <c r="AF674" s="55"/>
      <c r="AG674" s="56">
        <v>167376</v>
      </c>
      <c r="AH674" s="56"/>
      <c r="AI674" s="56"/>
    </row>
    <row r="675" spans="1:37" ht="15" x14ac:dyDescent="0.2">
      <c r="A675" s="64" t="s">
        <v>4463</v>
      </c>
      <c r="B675" s="33" t="s">
        <v>12632</v>
      </c>
      <c r="C675" s="7" t="s">
        <v>19026</v>
      </c>
      <c r="D675" s="112">
        <v>5</v>
      </c>
      <c r="E675" s="7"/>
      <c r="F675" s="112"/>
      <c r="G675" s="2" t="s">
        <v>19011</v>
      </c>
      <c r="H675" s="2" t="s">
        <v>537</v>
      </c>
      <c r="I675" s="2" t="s">
        <v>701</v>
      </c>
      <c r="J675" s="2" t="s">
        <v>55</v>
      </c>
      <c r="K675" s="2" t="s">
        <v>19029</v>
      </c>
      <c r="L675" s="2"/>
      <c r="M675" s="48"/>
      <c r="N675" s="45" t="str">
        <f t="shared" si="412"/>
        <v>Questionnaire</v>
      </c>
      <c r="O675" s="48" t="s">
        <v>19016</v>
      </c>
      <c r="P675" s="60" t="s">
        <v>595</v>
      </c>
      <c r="Q675" s="48" t="s">
        <v>19017</v>
      </c>
      <c r="R675" s="48" t="s">
        <v>186</v>
      </c>
      <c r="S675" s="5" t="s">
        <v>74</v>
      </c>
      <c r="T675" s="48" t="s">
        <v>75</v>
      </c>
      <c r="U675" s="49" t="s">
        <v>3678</v>
      </c>
      <c r="V675" s="7" t="s">
        <v>214</v>
      </c>
      <c r="W675" s="49" t="s">
        <v>214</v>
      </c>
      <c r="X675" s="49" t="s">
        <v>214</v>
      </c>
      <c r="Y675" s="49" t="s">
        <v>214</v>
      </c>
      <c r="Z675" s="55" t="s">
        <v>214</v>
      </c>
      <c r="AA675" s="48" t="s">
        <v>19018</v>
      </c>
      <c r="AB675" s="84" t="s">
        <v>19016</v>
      </c>
      <c r="AC675" s="53" t="str">
        <f t="shared" si="413"/>
        <v>Link</v>
      </c>
      <c r="AD675" s="42">
        <v>5976</v>
      </c>
      <c r="AE675" s="55"/>
      <c r="AF675" s="55"/>
      <c r="AG675" s="56">
        <v>167376</v>
      </c>
      <c r="AH675" s="56"/>
      <c r="AI675" s="56"/>
    </row>
    <row r="676" spans="1:37" ht="15" x14ac:dyDescent="0.2">
      <c r="A676" s="110" t="s">
        <v>4553</v>
      </c>
      <c r="B676" s="33" t="s">
        <v>12632</v>
      </c>
      <c r="C676" s="7"/>
      <c r="D676" s="112">
        <v>5</v>
      </c>
      <c r="E676" s="7"/>
      <c r="F676" s="112"/>
      <c r="G676" s="2" t="s">
        <v>19034</v>
      </c>
      <c r="H676" s="2" t="s">
        <v>19035</v>
      </c>
      <c r="I676" s="2" t="s">
        <v>19037</v>
      </c>
      <c r="J676" s="2" t="s">
        <v>48</v>
      </c>
      <c r="K676" s="2" t="s">
        <v>19039</v>
      </c>
      <c r="L676" s="2" t="s">
        <v>19040</v>
      </c>
      <c r="M676" s="48"/>
      <c r="N676" s="45" t="str">
        <f t="shared" ref="N676:N678" si="414">HYPERLINK("twitter.com/https://arccgoldenrams.com/recruits/Softball","Questionnaire")</f>
        <v>Questionnaire</v>
      </c>
      <c r="O676" s="48" t="s">
        <v>19041</v>
      </c>
      <c r="P676" s="60" t="s">
        <v>4538</v>
      </c>
      <c r="Q676" s="48" t="s">
        <v>19042</v>
      </c>
      <c r="R676" s="48" t="s">
        <v>172</v>
      </c>
      <c r="S676" s="49" t="s">
        <v>74</v>
      </c>
      <c r="T676" s="48" t="s">
        <v>75</v>
      </c>
      <c r="U676" s="49" t="s">
        <v>3678</v>
      </c>
      <c r="V676" s="7" t="s">
        <v>214</v>
      </c>
      <c r="W676" s="49" t="s">
        <v>214</v>
      </c>
      <c r="X676" s="49" t="s">
        <v>214</v>
      </c>
      <c r="Y676" s="49" t="s">
        <v>214</v>
      </c>
      <c r="Z676" s="55" t="s">
        <v>214</v>
      </c>
      <c r="AA676" s="48" t="s">
        <v>19043</v>
      </c>
      <c r="AB676" s="52" t="s">
        <v>19041</v>
      </c>
      <c r="AC676" s="53" t="str">
        <f t="shared" ref="AC676:AC678" si="415">HYPERLINK("https://discover.alpenacc.edu/programs/degrees_and_programs/index.php","Link")</f>
        <v>Link</v>
      </c>
      <c r="AD676" s="42">
        <v>1536</v>
      </c>
      <c r="AE676" s="55"/>
      <c r="AF676" s="55"/>
      <c r="AG676" s="56">
        <v>168607</v>
      </c>
      <c r="AH676" s="7" t="s">
        <v>2459</v>
      </c>
      <c r="AI676" s="7"/>
      <c r="AJ676" s="7"/>
      <c r="AK676" s="7"/>
    </row>
    <row r="677" spans="1:37" ht="15" x14ac:dyDescent="0.2">
      <c r="A677" s="110" t="s">
        <v>4553</v>
      </c>
      <c r="B677" s="33" t="s">
        <v>12632</v>
      </c>
      <c r="C677" s="7"/>
      <c r="D677" s="112">
        <v>5</v>
      </c>
      <c r="E677" s="7"/>
      <c r="F677" s="112"/>
      <c r="G677" s="2" t="s">
        <v>19034</v>
      </c>
      <c r="H677" s="2" t="s">
        <v>9786</v>
      </c>
      <c r="I677" s="2" t="s">
        <v>5025</v>
      </c>
      <c r="J677" s="2" t="s">
        <v>55</v>
      </c>
      <c r="K677" s="95" t="s">
        <v>19047</v>
      </c>
      <c r="L677" s="2"/>
      <c r="M677" s="48"/>
      <c r="N677" s="45" t="str">
        <f t="shared" si="414"/>
        <v>Questionnaire</v>
      </c>
      <c r="O677" s="48" t="s">
        <v>19041</v>
      </c>
      <c r="P677" s="60" t="s">
        <v>4538</v>
      </c>
      <c r="Q677" s="48" t="s">
        <v>19042</v>
      </c>
      <c r="R677" s="48" t="s">
        <v>172</v>
      </c>
      <c r="S677" s="49" t="s">
        <v>74</v>
      </c>
      <c r="T677" s="48" t="s">
        <v>75</v>
      </c>
      <c r="U677" s="49" t="s">
        <v>3678</v>
      </c>
      <c r="V677" s="7" t="s">
        <v>214</v>
      </c>
      <c r="W677" s="49" t="s">
        <v>214</v>
      </c>
      <c r="X677" s="49" t="s">
        <v>214</v>
      </c>
      <c r="Y677" s="49" t="s">
        <v>214</v>
      </c>
      <c r="Z677" s="55" t="s">
        <v>214</v>
      </c>
      <c r="AA677" s="48" t="s">
        <v>19043</v>
      </c>
      <c r="AB677" s="52" t="s">
        <v>19041</v>
      </c>
      <c r="AC677" s="53" t="str">
        <f t="shared" si="415"/>
        <v>Link</v>
      </c>
      <c r="AD677" s="42">
        <v>1536</v>
      </c>
      <c r="AE677" s="55"/>
      <c r="AF677" s="55"/>
      <c r="AG677" s="56">
        <v>168607</v>
      </c>
      <c r="AH677" s="7" t="s">
        <v>2459</v>
      </c>
      <c r="AI677" s="7"/>
      <c r="AJ677" s="7"/>
      <c r="AK677" s="7"/>
    </row>
    <row r="678" spans="1:37" ht="15" x14ac:dyDescent="0.2">
      <c r="A678" s="110" t="s">
        <v>4553</v>
      </c>
      <c r="B678" s="33" t="s">
        <v>12632</v>
      </c>
      <c r="C678" s="7"/>
      <c r="D678" s="112">
        <v>5</v>
      </c>
      <c r="E678" s="7"/>
      <c r="F678" s="112"/>
      <c r="G678" s="2" t="s">
        <v>19034</v>
      </c>
      <c r="H678" s="2" t="s">
        <v>19052</v>
      </c>
      <c r="I678" s="2" t="s">
        <v>19053</v>
      </c>
      <c r="J678" s="2" t="s">
        <v>55</v>
      </c>
      <c r="K678" s="2"/>
      <c r="L678" s="2"/>
      <c r="M678" s="48"/>
      <c r="N678" s="45" t="str">
        <f t="shared" si="414"/>
        <v>Questionnaire</v>
      </c>
      <c r="O678" s="48" t="s">
        <v>19041</v>
      </c>
      <c r="P678" s="60" t="s">
        <v>4538</v>
      </c>
      <c r="Q678" s="48" t="s">
        <v>19042</v>
      </c>
      <c r="R678" s="48" t="s">
        <v>172</v>
      </c>
      <c r="S678" s="49" t="s">
        <v>74</v>
      </c>
      <c r="T678" s="48" t="s">
        <v>75</v>
      </c>
      <c r="U678" s="49" t="s">
        <v>3678</v>
      </c>
      <c r="V678" s="7" t="s">
        <v>214</v>
      </c>
      <c r="W678" s="49" t="s">
        <v>214</v>
      </c>
      <c r="X678" s="49" t="s">
        <v>214</v>
      </c>
      <c r="Y678" s="49" t="s">
        <v>214</v>
      </c>
      <c r="Z678" s="55" t="s">
        <v>214</v>
      </c>
      <c r="AA678" s="48" t="s">
        <v>19043</v>
      </c>
      <c r="AB678" s="52" t="s">
        <v>19041</v>
      </c>
      <c r="AC678" s="53" t="str">
        <f t="shared" si="415"/>
        <v>Link</v>
      </c>
      <c r="AD678" s="42">
        <v>1536</v>
      </c>
      <c r="AE678" s="55"/>
      <c r="AF678" s="55"/>
      <c r="AG678" s="56">
        <v>168607</v>
      </c>
      <c r="AH678" s="7" t="s">
        <v>2459</v>
      </c>
      <c r="AI678" s="7"/>
      <c r="AJ678" s="7"/>
      <c r="AK678" s="7"/>
    </row>
    <row r="679" spans="1:37" ht="15" x14ac:dyDescent="0.2">
      <c r="A679" s="64" t="s">
        <v>4553</v>
      </c>
      <c r="B679" s="33" t="s">
        <v>12632</v>
      </c>
      <c r="C679" s="7" t="s">
        <v>19054</v>
      </c>
      <c r="D679" s="112">
        <v>5</v>
      </c>
      <c r="E679" s="7"/>
      <c r="F679" s="112"/>
      <c r="G679" s="2" t="s">
        <v>19056</v>
      </c>
      <c r="H679" s="2" t="s">
        <v>8061</v>
      </c>
      <c r="I679" s="2" t="s">
        <v>19058</v>
      </c>
      <c r="J679" s="2" t="s">
        <v>48</v>
      </c>
      <c r="K679" s="2" t="s">
        <v>19061</v>
      </c>
      <c r="L679" s="2" t="s">
        <v>19062</v>
      </c>
      <c r="M679" s="48"/>
      <c r="N679" s="45" t="str">
        <f t="shared" ref="N679:N680" si="416">HYPERLINK("https://www.deltapioneers.com/recruits/Questionnaire","Questionnaire")</f>
        <v>Questionnaire</v>
      </c>
      <c r="O679" s="48" t="s">
        <v>19063</v>
      </c>
      <c r="P679" s="60" t="s">
        <v>4538</v>
      </c>
      <c r="Q679" s="48" t="s">
        <v>5613</v>
      </c>
      <c r="R679" s="60" t="s">
        <v>205</v>
      </c>
      <c r="S679" s="49" t="s">
        <v>74</v>
      </c>
      <c r="T679" s="48" t="s">
        <v>75</v>
      </c>
      <c r="U679" s="49" t="s">
        <v>3678</v>
      </c>
      <c r="V679" s="7" t="s">
        <v>214</v>
      </c>
      <c r="W679" s="49" t="s">
        <v>214</v>
      </c>
      <c r="X679" s="49" t="s">
        <v>214</v>
      </c>
      <c r="Y679" s="49" t="s">
        <v>214</v>
      </c>
      <c r="Z679" s="55" t="s">
        <v>214</v>
      </c>
      <c r="AA679" s="48" t="s">
        <v>19064</v>
      </c>
      <c r="AB679" s="84" t="s">
        <v>19063</v>
      </c>
      <c r="AC679" s="53" t="str">
        <f t="shared" ref="AC679:AC680" si="417">HYPERLINK("http://www.delta.edu/academics/degrees-certificates.html","Link")</f>
        <v>Link</v>
      </c>
      <c r="AD679" s="42">
        <v>9132</v>
      </c>
      <c r="AE679" s="55"/>
      <c r="AF679" s="55"/>
      <c r="AG679" s="56">
        <v>169521</v>
      </c>
      <c r="AH679" s="56"/>
      <c r="AI679" s="56"/>
    </row>
    <row r="680" spans="1:37" ht="15" x14ac:dyDescent="0.2">
      <c r="A680" s="64" t="s">
        <v>4553</v>
      </c>
      <c r="B680" s="33" t="s">
        <v>12632</v>
      </c>
      <c r="C680" s="7" t="s">
        <v>19067</v>
      </c>
      <c r="D680" s="112">
        <v>5</v>
      </c>
      <c r="E680" s="7"/>
      <c r="F680" s="112"/>
      <c r="G680" s="2" t="s">
        <v>19056</v>
      </c>
      <c r="H680" s="2" t="s">
        <v>772</v>
      </c>
      <c r="I680" s="2" t="s">
        <v>19069</v>
      </c>
      <c r="J680" s="2" t="s">
        <v>55</v>
      </c>
      <c r="K680" s="2" t="s">
        <v>19070</v>
      </c>
      <c r="L680" s="2" t="s">
        <v>19062</v>
      </c>
      <c r="M680" s="48"/>
      <c r="N680" s="45" t="str">
        <f t="shared" si="416"/>
        <v>Questionnaire</v>
      </c>
      <c r="O680" s="48" t="s">
        <v>19063</v>
      </c>
      <c r="P680" s="60" t="s">
        <v>4538</v>
      </c>
      <c r="Q680" s="48" t="s">
        <v>5613</v>
      </c>
      <c r="R680" s="60" t="s">
        <v>205</v>
      </c>
      <c r="S680" s="49" t="s">
        <v>74</v>
      </c>
      <c r="T680" s="48" t="s">
        <v>75</v>
      </c>
      <c r="U680" s="49" t="s">
        <v>3678</v>
      </c>
      <c r="V680" s="7" t="s">
        <v>214</v>
      </c>
      <c r="W680" s="49" t="s">
        <v>214</v>
      </c>
      <c r="X680" s="49" t="s">
        <v>214</v>
      </c>
      <c r="Y680" s="49" t="s">
        <v>214</v>
      </c>
      <c r="Z680" s="55" t="s">
        <v>214</v>
      </c>
      <c r="AA680" s="48" t="s">
        <v>19064</v>
      </c>
      <c r="AB680" s="84" t="s">
        <v>19063</v>
      </c>
      <c r="AC680" s="53" t="str">
        <f t="shared" si="417"/>
        <v>Link</v>
      </c>
      <c r="AD680" s="42">
        <v>9132</v>
      </c>
      <c r="AE680" s="55"/>
      <c r="AF680" s="55"/>
      <c r="AG680" s="56">
        <v>169521</v>
      </c>
      <c r="AH680" s="56"/>
      <c r="AI680" s="56"/>
    </row>
    <row r="681" spans="1:37" ht="15" x14ac:dyDescent="0.2">
      <c r="A681" s="31" t="s">
        <v>4553</v>
      </c>
      <c r="B681" s="33" t="s">
        <v>12632</v>
      </c>
      <c r="C681" s="7"/>
      <c r="D681" s="112">
        <v>5</v>
      </c>
      <c r="E681" s="7"/>
      <c r="F681" s="112"/>
      <c r="G681" s="2" t="s">
        <v>19073</v>
      </c>
      <c r="H681" s="2" t="s">
        <v>3279</v>
      </c>
      <c r="I681" s="2" t="s">
        <v>4184</v>
      </c>
      <c r="J681" s="2" t="s">
        <v>48</v>
      </c>
      <c r="K681" s="2"/>
      <c r="L681" s="2"/>
      <c r="M681" s="45" t="str">
        <f t="shared" ref="M681:M682" si="418">HYPERLINK("twitter.com/gooakssoftball","@gooakssoftball")</f>
        <v>@gooakssoftball</v>
      </c>
      <c r="N681" s="45" t="str">
        <f t="shared" ref="N681:N682" si="419">HYPERLINK("https://www.glenoaks.edu/athletics/prospective-student-athlete/","Questionnaire")</f>
        <v>Questionnaire</v>
      </c>
      <c r="O681" s="48" t="s">
        <v>19077</v>
      </c>
      <c r="P681" s="60" t="s">
        <v>4538</v>
      </c>
      <c r="Q681" s="48" t="s">
        <v>19078</v>
      </c>
      <c r="R681" s="60" t="s">
        <v>205</v>
      </c>
      <c r="S681" s="49" t="s">
        <v>74</v>
      </c>
      <c r="T681" s="48" t="s">
        <v>75</v>
      </c>
      <c r="U681" s="49" t="s">
        <v>3678</v>
      </c>
      <c r="V681" s="7" t="s">
        <v>214</v>
      </c>
      <c r="W681" s="49" t="s">
        <v>214</v>
      </c>
      <c r="X681" s="49" t="s">
        <v>214</v>
      </c>
      <c r="Y681" s="49" t="s">
        <v>214</v>
      </c>
      <c r="Z681" s="55" t="s">
        <v>214</v>
      </c>
      <c r="AA681" s="48" t="s">
        <v>19081</v>
      </c>
      <c r="AB681" s="84" t="s">
        <v>19077</v>
      </c>
      <c r="AC681" s="53" t="str">
        <f t="shared" ref="AC681:AC682" si="420">HYPERLINK("https://www.glenoaks.edu/college-catalog/programs-of-study/","Link")</f>
        <v>Link</v>
      </c>
      <c r="AD681" s="42">
        <v>1187</v>
      </c>
      <c r="AE681" s="55"/>
      <c r="AF681" s="55"/>
      <c r="AG681" s="56">
        <v>169974</v>
      </c>
      <c r="AH681" s="7" t="s">
        <v>2459</v>
      </c>
      <c r="AI681" s="7"/>
      <c r="AJ681" s="7"/>
      <c r="AK681" s="7"/>
    </row>
    <row r="682" spans="1:37" ht="15" x14ac:dyDescent="0.2">
      <c r="A682" s="31" t="s">
        <v>4553</v>
      </c>
      <c r="B682" s="33" t="s">
        <v>12632</v>
      </c>
      <c r="C682" s="7"/>
      <c r="D682" s="112">
        <v>5</v>
      </c>
      <c r="E682" s="7"/>
      <c r="F682" s="112"/>
      <c r="G682" s="2" t="s">
        <v>19073</v>
      </c>
      <c r="H682" s="2" t="s">
        <v>3279</v>
      </c>
      <c r="I682" s="2" t="s">
        <v>4184</v>
      </c>
      <c r="J682" s="2" t="s">
        <v>19084</v>
      </c>
      <c r="K682" s="2"/>
      <c r="L682" s="2"/>
      <c r="M682" s="45" t="str">
        <f t="shared" si="418"/>
        <v>@gooakssoftball</v>
      </c>
      <c r="N682" s="45" t="str">
        <f t="shared" si="419"/>
        <v>Questionnaire</v>
      </c>
      <c r="O682" s="48" t="s">
        <v>19077</v>
      </c>
      <c r="P682" s="60" t="s">
        <v>4538</v>
      </c>
      <c r="Q682" s="48" t="s">
        <v>19078</v>
      </c>
      <c r="R682" s="60" t="s">
        <v>205</v>
      </c>
      <c r="S682" s="49" t="s">
        <v>74</v>
      </c>
      <c r="T682" s="48" t="s">
        <v>75</v>
      </c>
      <c r="U682" s="49" t="s">
        <v>3678</v>
      </c>
      <c r="V682" s="7" t="s">
        <v>214</v>
      </c>
      <c r="W682" s="49" t="s">
        <v>214</v>
      </c>
      <c r="X682" s="49" t="s">
        <v>214</v>
      </c>
      <c r="Y682" s="49" t="s">
        <v>214</v>
      </c>
      <c r="Z682" s="55" t="s">
        <v>214</v>
      </c>
      <c r="AA682" s="48" t="s">
        <v>19081</v>
      </c>
      <c r="AB682" s="84" t="s">
        <v>19077</v>
      </c>
      <c r="AC682" s="53" t="str">
        <f t="shared" si="420"/>
        <v>Link</v>
      </c>
      <c r="AD682" s="42">
        <v>1187</v>
      </c>
      <c r="AE682" s="55"/>
      <c r="AF682" s="55"/>
      <c r="AG682" s="56">
        <v>169974</v>
      </c>
      <c r="AH682" s="7" t="s">
        <v>2459</v>
      </c>
      <c r="AI682" s="7"/>
      <c r="AJ682" s="7"/>
      <c r="AK682" s="7"/>
    </row>
    <row r="683" spans="1:37" ht="15" x14ac:dyDescent="0.2">
      <c r="A683" s="64" t="s">
        <v>4553</v>
      </c>
      <c r="B683" s="33" t="s">
        <v>12632</v>
      </c>
      <c r="C683" s="7" t="s">
        <v>19085</v>
      </c>
      <c r="D683" s="112">
        <v>5</v>
      </c>
      <c r="E683" s="7"/>
      <c r="F683" s="112"/>
      <c r="G683" s="2" t="s">
        <v>19087</v>
      </c>
      <c r="H683" s="2" t="s">
        <v>2155</v>
      </c>
      <c r="I683" s="2" t="s">
        <v>19089</v>
      </c>
      <c r="J683" s="2" t="s">
        <v>48</v>
      </c>
      <c r="K683" s="2" t="s">
        <v>19091</v>
      </c>
      <c r="L683" s="2" t="s">
        <v>19093</v>
      </c>
      <c r="M683" s="48"/>
      <c r="N683" s="45" t="str">
        <f>HYPERLINK("https://gogebic.edu/athletics/_assets/Interested.html","Questionnaire")</f>
        <v>Questionnaire</v>
      </c>
      <c r="O683" s="48" t="s">
        <v>19094</v>
      </c>
      <c r="P683" s="60" t="s">
        <v>4538</v>
      </c>
      <c r="Q683" s="48" t="s">
        <v>19095</v>
      </c>
      <c r="R683" s="60" t="s">
        <v>205</v>
      </c>
      <c r="S683" s="49" t="s">
        <v>74</v>
      </c>
      <c r="T683" s="48" t="s">
        <v>75</v>
      </c>
      <c r="U683" s="49" t="s">
        <v>3678</v>
      </c>
      <c r="V683" s="7" t="s">
        <v>214</v>
      </c>
      <c r="W683" s="49" t="s">
        <v>214</v>
      </c>
      <c r="X683" s="49" t="s">
        <v>214</v>
      </c>
      <c r="Y683" s="49" t="s">
        <v>214</v>
      </c>
      <c r="Z683" s="55" t="s">
        <v>214</v>
      </c>
      <c r="AA683" s="48" t="s">
        <v>19099</v>
      </c>
      <c r="AB683" s="84" t="s">
        <v>19094</v>
      </c>
      <c r="AC683" s="53" t="str">
        <f>HYPERLINK("https://www.gogebic.edu/programs/degreeprograms.html","Link")</f>
        <v>Link</v>
      </c>
      <c r="AD683" s="42">
        <v>1110</v>
      </c>
      <c r="AE683" s="55"/>
      <c r="AF683" s="55"/>
      <c r="AG683" s="56">
        <v>169992</v>
      </c>
      <c r="AH683" s="56"/>
      <c r="AI683" s="56"/>
    </row>
    <row r="684" spans="1:37" ht="15" x14ac:dyDescent="0.2">
      <c r="A684" s="64" t="s">
        <v>4553</v>
      </c>
      <c r="B684" s="33" t="s">
        <v>12632</v>
      </c>
      <c r="C684" s="7" t="s">
        <v>19103</v>
      </c>
      <c r="D684" s="112">
        <v>5</v>
      </c>
      <c r="E684" s="7"/>
      <c r="F684" s="112"/>
      <c r="G684" s="2" t="s">
        <v>19104</v>
      </c>
      <c r="H684" s="2" t="s">
        <v>2790</v>
      </c>
      <c r="I684" s="2" t="s">
        <v>19105</v>
      </c>
      <c r="J684" s="2" t="s">
        <v>48</v>
      </c>
      <c r="K684" s="2" t="s">
        <v>19106</v>
      </c>
      <c r="L684" s="2" t="s">
        <v>19108</v>
      </c>
      <c r="M684" s="48"/>
      <c r="N684" s="45" t="str">
        <f t="shared" ref="N684:N687" si="421">HYPERLINK("https://grccraiders.com/sports/2014/9/3/ques.aspx","Questionnaire")</f>
        <v>Questionnaire</v>
      </c>
      <c r="O684" s="48" t="s">
        <v>19109</v>
      </c>
      <c r="P684" s="60" t="s">
        <v>4538</v>
      </c>
      <c r="Q684" s="48" t="s">
        <v>5360</v>
      </c>
      <c r="R684" s="48" t="s">
        <v>62</v>
      </c>
      <c r="S684" s="49" t="s">
        <v>74</v>
      </c>
      <c r="T684" s="48" t="s">
        <v>75</v>
      </c>
      <c r="U684" s="49" t="s">
        <v>3678</v>
      </c>
      <c r="V684" s="7" t="s">
        <v>214</v>
      </c>
      <c r="W684" s="49" t="s">
        <v>214</v>
      </c>
      <c r="X684" s="49" t="s">
        <v>214</v>
      </c>
      <c r="Y684" s="49" t="s">
        <v>214</v>
      </c>
      <c r="Z684" s="55" t="s">
        <v>214</v>
      </c>
      <c r="AA684" s="48" t="s">
        <v>19110</v>
      </c>
      <c r="AB684" s="84" t="s">
        <v>19109</v>
      </c>
      <c r="AC684" s="53" t="str">
        <f t="shared" ref="AC684:AC687" si="422">HYPERLINK("https://catalog.grcc.edu/content.php?catoid=13&amp;navoid=572","Link")</f>
        <v>Link</v>
      </c>
      <c r="AD684" s="42">
        <v>14464</v>
      </c>
      <c r="AE684" s="55"/>
      <c r="AF684" s="55"/>
      <c r="AG684" s="56">
        <v>170055</v>
      </c>
      <c r="AH684" s="56"/>
      <c r="AI684" s="56"/>
    </row>
    <row r="685" spans="1:37" ht="15" x14ac:dyDescent="0.2">
      <c r="A685" s="64" t="s">
        <v>4553</v>
      </c>
      <c r="B685" s="33" t="s">
        <v>12632</v>
      </c>
      <c r="C685" s="7" t="s">
        <v>19113</v>
      </c>
      <c r="D685" s="112">
        <v>5</v>
      </c>
      <c r="E685" s="7" t="s">
        <v>116</v>
      </c>
      <c r="F685" s="112"/>
      <c r="G685" s="2" t="s">
        <v>19104</v>
      </c>
      <c r="H685" s="7" t="s">
        <v>19114</v>
      </c>
      <c r="I685" s="7" t="s">
        <v>19115</v>
      </c>
      <c r="J685" s="7" t="s">
        <v>139</v>
      </c>
      <c r="K685" s="7"/>
      <c r="L685" s="7"/>
      <c r="M685" s="48"/>
      <c r="N685" s="45" t="str">
        <f t="shared" si="421"/>
        <v>Questionnaire</v>
      </c>
      <c r="O685" s="48" t="s">
        <v>19109</v>
      </c>
      <c r="P685" s="60" t="s">
        <v>4538</v>
      </c>
      <c r="Q685" s="48" t="s">
        <v>5360</v>
      </c>
      <c r="R685" s="48" t="s">
        <v>62</v>
      </c>
      <c r="S685" s="49" t="s">
        <v>74</v>
      </c>
      <c r="T685" s="48" t="s">
        <v>75</v>
      </c>
      <c r="U685" s="49" t="s">
        <v>3678</v>
      </c>
      <c r="V685" s="7" t="s">
        <v>214</v>
      </c>
      <c r="W685" s="49" t="s">
        <v>214</v>
      </c>
      <c r="X685" s="49" t="s">
        <v>214</v>
      </c>
      <c r="Y685" s="49" t="s">
        <v>214</v>
      </c>
      <c r="Z685" s="55" t="s">
        <v>214</v>
      </c>
      <c r="AA685" s="48" t="s">
        <v>19110</v>
      </c>
      <c r="AB685" s="84" t="s">
        <v>19109</v>
      </c>
      <c r="AC685" s="53" t="str">
        <f t="shared" si="422"/>
        <v>Link</v>
      </c>
      <c r="AD685" s="42">
        <v>14464</v>
      </c>
      <c r="AE685" s="55"/>
      <c r="AF685" s="55"/>
      <c r="AG685" s="56">
        <v>170055</v>
      </c>
      <c r="AH685" s="56"/>
      <c r="AI685" s="56"/>
    </row>
    <row r="686" spans="1:37" ht="15" x14ac:dyDescent="0.2">
      <c r="A686" s="64" t="s">
        <v>4553</v>
      </c>
      <c r="B686" s="33" t="s">
        <v>12632</v>
      </c>
      <c r="C686" s="7" t="s">
        <v>19117</v>
      </c>
      <c r="D686" s="112">
        <v>5</v>
      </c>
      <c r="E686" s="7" t="s">
        <v>116</v>
      </c>
      <c r="F686" s="112"/>
      <c r="G686" s="2" t="s">
        <v>19104</v>
      </c>
      <c r="H686" s="7" t="s">
        <v>5161</v>
      </c>
      <c r="I686" s="7" t="s">
        <v>19118</v>
      </c>
      <c r="J686" s="7" t="s">
        <v>55</v>
      </c>
      <c r="K686" s="7"/>
      <c r="L686" s="7"/>
      <c r="M686" s="48"/>
      <c r="N686" s="45" t="str">
        <f t="shared" si="421"/>
        <v>Questionnaire</v>
      </c>
      <c r="O686" s="48" t="s">
        <v>19109</v>
      </c>
      <c r="P686" s="60" t="s">
        <v>4538</v>
      </c>
      <c r="Q686" s="48" t="s">
        <v>5360</v>
      </c>
      <c r="R686" s="48" t="s">
        <v>62</v>
      </c>
      <c r="S686" s="49" t="s">
        <v>74</v>
      </c>
      <c r="T686" s="48" t="s">
        <v>75</v>
      </c>
      <c r="U686" s="49" t="s">
        <v>3678</v>
      </c>
      <c r="V686" s="7" t="s">
        <v>214</v>
      </c>
      <c r="W686" s="49" t="s">
        <v>214</v>
      </c>
      <c r="X686" s="49" t="s">
        <v>214</v>
      </c>
      <c r="Y686" s="49" t="s">
        <v>214</v>
      </c>
      <c r="Z686" s="55" t="s">
        <v>214</v>
      </c>
      <c r="AA686" s="48" t="s">
        <v>19110</v>
      </c>
      <c r="AB686" s="84" t="s">
        <v>19109</v>
      </c>
      <c r="AC686" s="53" t="str">
        <f t="shared" si="422"/>
        <v>Link</v>
      </c>
      <c r="AD686" s="42">
        <v>14464</v>
      </c>
      <c r="AE686" s="55"/>
      <c r="AF686" s="55"/>
      <c r="AG686" s="56">
        <v>170055</v>
      </c>
      <c r="AH686" s="56"/>
      <c r="AI686" s="56"/>
    </row>
    <row r="687" spans="1:37" ht="15" x14ac:dyDescent="0.2">
      <c r="A687" s="64" t="s">
        <v>4553</v>
      </c>
      <c r="B687" s="33" t="s">
        <v>12632</v>
      </c>
      <c r="C687" s="7" t="s">
        <v>19121</v>
      </c>
      <c r="D687" s="112">
        <v>5</v>
      </c>
      <c r="E687" s="7" t="s">
        <v>116</v>
      </c>
      <c r="F687" s="112"/>
      <c r="G687" s="2" t="s">
        <v>19104</v>
      </c>
      <c r="H687" s="7" t="s">
        <v>5470</v>
      </c>
      <c r="I687" s="7" t="s">
        <v>19122</v>
      </c>
      <c r="J687" s="7" t="s">
        <v>139</v>
      </c>
      <c r="K687" s="7"/>
      <c r="L687" s="7"/>
      <c r="M687" s="48"/>
      <c r="N687" s="45" t="str">
        <f t="shared" si="421"/>
        <v>Questionnaire</v>
      </c>
      <c r="O687" s="48" t="s">
        <v>19109</v>
      </c>
      <c r="P687" s="60" t="s">
        <v>4538</v>
      </c>
      <c r="Q687" s="48" t="s">
        <v>5360</v>
      </c>
      <c r="R687" s="48" t="s">
        <v>62</v>
      </c>
      <c r="S687" s="49" t="s">
        <v>74</v>
      </c>
      <c r="T687" s="48" t="s">
        <v>75</v>
      </c>
      <c r="U687" s="49" t="s">
        <v>3678</v>
      </c>
      <c r="V687" s="7" t="s">
        <v>214</v>
      </c>
      <c r="W687" s="49" t="s">
        <v>214</v>
      </c>
      <c r="X687" s="49" t="s">
        <v>214</v>
      </c>
      <c r="Y687" s="49" t="s">
        <v>214</v>
      </c>
      <c r="Z687" s="55" t="s">
        <v>214</v>
      </c>
      <c r="AA687" s="48" t="s">
        <v>19110</v>
      </c>
      <c r="AB687" s="84" t="s">
        <v>19109</v>
      </c>
      <c r="AC687" s="53" t="str">
        <f t="shared" si="422"/>
        <v>Link</v>
      </c>
      <c r="AD687" s="42">
        <v>14464</v>
      </c>
      <c r="AE687" s="55"/>
      <c r="AF687" s="55"/>
      <c r="AG687" s="56">
        <v>170055</v>
      </c>
      <c r="AH687" s="56"/>
      <c r="AI687" s="56"/>
    </row>
    <row r="688" spans="1:37" ht="15" x14ac:dyDescent="0.2">
      <c r="A688" s="64" t="s">
        <v>4553</v>
      </c>
      <c r="B688" s="33" t="s">
        <v>12632</v>
      </c>
      <c r="C688" s="7" t="s">
        <v>19127</v>
      </c>
      <c r="D688" s="112">
        <v>5</v>
      </c>
      <c r="E688" s="7"/>
      <c r="F688" s="112"/>
      <c r="G688" s="2" t="s">
        <v>19128</v>
      </c>
      <c r="H688" s="2" t="s">
        <v>4611</v>
      </c>
      <c r="I688" s="2" t="s">
        <v>196</v>
      </c>
      <c r="J688" s="2" t="s">
        <v>48</v>
      </c>
      <c r="K688" s="2" t="s">
        <v>19129</v>
      </c>
      <c r="L688" s="2" t="s">
        <v>19130</v>
      </c>
      <c r="M688" s="45" t="str">
        <f t="shared" ref="M688:M689" si="423">HYPERLINK("twitter.com/ford_2019","@ford_2019")</f>
        <v>@ford_2019</v>
      </c>
      <c r="N688" s="45" t="str">
        <f t="shared" ref="N688:N689" si="424">HYPERLINK("https://www.hfcc.edu/athletics/recruitment-form","Questionnaire")</f>
        <v>Questionnaire</v>
      </c>
      <c r="O688" s="48" t="s">
        <v>19133</v>
      </c>
      <c r="P688" s="60" t="s">
        <v>4538</v>
      </c>
      <c r="Q688" s="48" t="s">
        <v>18233</v>
      </c>
      <c r="R688" s="48" t="s">
        <v>238</v>
      </c>
      <c r="S688" s="49" t="s">
        <v>74</v>
      </c>
      <c r="T688" s="48" t="s">
        <v>75</v>
      </c>
      <c r="U688" s="49" t="s">
        <v>3678</v>
      </c>
      <c r="V688" s="7" t="s">
        <v>214</v>
      </c>
      <c r="W688" s="49" t="s">
        <v>214</v>
      </c>
      <c r="X688" s="49" t="s">
        <v>214</v>
      </c>
      <c r="Y688" s="49" t="s">
        <v>214</v>
      </c>
      <c r="Z688" s="55" t="s">
        <v>214</v>
      </c>
      <c r="AA688" s="48" t="s">
        <v>19134</v>
      </c>
      <c r="AB688" s="84" t="s">
        <v>19133</v>
      </c>
      <c r="AC688" s="53" t="str">
        <f t="shared" ref="AC688:AC689" si="425">HYPERLINK("https://www.hfcc.edu/academics/programs","Link")</f>
        <v>Link</v>
      </c>
      <c r="AD688" s="42">
        <v>12653</v>
      </c>
      <c r="AE688" s="55"/>
      <c r="AF688" s="55"/>
      <c r="AG688" s="56">
        <v>170240</v>
      </c>
      <c r="AH688" s="56"/>
      <c r="AI688" s="56"/>
    </row>
    <row r="689" spans="1:37" ht="15" x14ac:dyDescent="0.2">
      <c r="A689" s="64" t="s">
        <v>4553</v>
      </c>
      <c r="B689" s="33" t="s">
        <v>12632</v>
      </c>
      <c r="C689" s="7" t="s">
        <v>19136</v>
      </c>
      <c r="D689" s="112">
        <v>5</v>
      </c>
      <c r="E689" s="7"/>
      <c r="F689" s="112"/>
      <c r="G689" s="2" t="s">
        <v>19128</v>
      </c>
      <c r="H689" s="2" t="s">
        <v>19137</v>
      </c>
      <c r="I689" s="2" t="s">
        <v>19139</v>
      </c>
      <c r="J689" s="2" t="s">
        <v>55</v>
      </c>
      <c r="K689" s="2" t="s">
        <v>19141</v>
      </c>
      <c r="L689" s="2"/>
      <c r="M689" s="45" t="str">
        <f t="shared" si="423"/>
        <v>@ford_2019</v>
      </c>
      <c r="N689" s="45" t="str">
        <f t="shared" si="424"/>
        <v>Questionnaire</v>
      </c>
      <c r="O689" s="48" t="s">
        <v>19133</v>
      </c>
      <c r="P689" s="60" t="s">
        <v>4538</v>
      </c>
      <c r="Q689" s="48" t="s">
        <v>18233</v>
      </c>
      <c r="R689" s="48" t="s">
        <v>238</v>
      </c>
      <c r="S689" s="49" t="s">
        <v>74</v>
      </c>
      <c r="T689" s="48" t="s">
        <v>75</v>
      </c>
      <c r="U689" s="49" t="s">
        <v>3678</v>
      </c>
      <c r="V689" s="7" t="s">
        <v>214</v>
      </c>
      <c r="W689" s="49" t="s">
        <v>214</v>
      </c>
      <c r="X689" s="49" t="s">
        <v>214</v>
      </c>
      <c r="Y689" s="49" t="s">
        <v>214</v>
      </c>
      <c r="Z689" s="55" t="s">
        <v>214</v>
      </c>
      <c r="AA689" s="48" t="s">
        <v>19134</v>
      </c>
      <c r="AB689" s="84" t="s">
        <v>19133</v>
      </c>
      <c r="AC689" s="53" t="str">
        <f t="shared" si="425"/>
        <v>Link</v>
      </c>
      <c r="AD689" s="42">
        <v>12653</v>
      </c>
      <c r="AE689" s="55"/>
      <c r="AF689" s="55"/>
      <c r="AG689" s="56">
        <v>170240</v>
      </c>
      <c r="AH689" s="56"/>
      <c r="AI689" s="56"/>
    </row>
    <row r="690" spans="1:37" ht="15" x14ac:dyDescent="0.2">
      <c r="A690" s="64" t="s">
        <v>4553</v>
      </c>
      <c r="B690" s="33" t="s">
        <v>12632</v>
      </c>
      <c r="C690" s="7" t="s">
        <v>19143</v>
      </c>
      <c r="D690" s="112">
        <v>5</v>
      </c>
      <c r="E690" s="7"/>
      <c r="F690" s="112"/>
      <c r="G690" s="2" t="s">
        <v>19144</v>
      </c>
      <c r="H690" s="2" t="s">
        <v>1217</v>
      </c>
      <c r="I690" s="2" t="s">
        <v>19146</v>
      </c>
      <c r="J690" s="2" t="s">
        <v>48</v>
      </c>
      <c r="K690" s="2" t="s">
        <v>19148</v>
      </c>
      <c r="L690" s="2" t="s">
        <v>19149</v>
      </c>
      <c r="M690" s="45" t="str">
        <f t="shared" ref="M690:M692" si="426">HYPERLINK("twitter.com/JCJets_Softball","@JCJets_Softball")</f>
        <v>@JCJets_Softball</v>
      </c>
      <c r="N690" s="45" t="str">
        <f t="shared" ref="N690:N692" si="427">HYPERLINK("http://jacksoncollegejets.com/recruits/Recruit_Me","Questionnaire")</f>
        <v>Questionnaire</v>
      </c>
      <c r="O690" s="48" t="s">
        <v>19150</v>
      </c>
      <c r="P690" s="60" t="s">
        <v>4538</v>
      </c>
      <c r="Q690" s="48" t="s">
        <v>773</v>
      </c>
      <c r="R690" s="48" t="s">
        <v>468</v>
      </c>
      <c r="S690" s="49" t="s">
        <v>74</v>
      </c>
      <c r="T690" s="48" t="s">
        <v>75</v>
      </c>
      <c r="U690" s="49" t="s">
        <v>3678</v>
      </c>
      <c r="V690" s="7" t="s">
        <v>214</v>
      </c>
      <c r="W690" s="49" t="s">
        <v>214</v>
      </c>
      <c r="X690" s="49" t="s">
        <v>214</v>
      </c>
      <c r="Y690" s="49" t="s">
        <v>214</v>
      </c>
      <c r="Z690" s="55" t="s">
        <v>214</v>
      </c>
      <c r="AA690" s="48" t="s">
        <v>19151</v>
      </c>
      <c r="AB690" s="90" t="s">
        <v>19150</v>
      </c>
      <c r="AC690" s="53" t="str">
        <f t="shared" ref="AC690:AC692" si="428">HYPERLINK("https://www.jccmi.edu/academics/programs-of-study/","Link")</f>
        <v>Link</v>
      </c>
      <c r="AD690" s="42">
        <v>5413</v>
      </c>
      <c r="AE690" s="55"/>
      <c r="AF690" s="55"/>
      <c r="AG690" s="56">
        <v>170444</v>
      </c>
      <c r="AH690" s="56"/>
      <c r="AI690" s="56"/>
    </row>
    <row r="691" spans="1:37" ht="15" x14ac:dyDescent="0.2">
      <c r="A691" s="64" t="s">
        <v>4553</v>
      </c>
      <c r="B691" s="33" t="s">
        <v>12632</v>
      </c>
      <c r="C691" s="7" t="s">
        <v>19152</v>
      </c>
      <c r="D691" s="112">
        <v>5</v>
      </c>
      <c r="E691" s="7"/>
      <c r="F691" s="112"/>
      <c r="G691" s="2" t="s">
        <v>19144</v>
      </c>
      <c r="H691" s="2" t="s">
        <v>19153</v>
      </c>
      <c r="I691" s="2" t="s">
        <v>19154</v>
      </c>
      <c r="J691" s="2" t="s">
        <v>55</v>
      </c>
      <c r="K691" s="2" t="s">
        <v>19155</v>
      </c>
      <c r="L691" s="2" t="s">
        <v>19156</v>
      </c>
      <c r="M691" s="45" t="str">
        <f t="shared" si="426"/>
        <v>@JCJets_Softball</v>
      </c>
      <c r="N691" s="45" t="str">
        <f t="shared" si="427"/>
        <v>Questionnaire</v>
      </c>
      <c r="O691" s="48" t="s">
        <v>19150</v>
      </c>
      <c r="P691" s="60" t="s">
        <v>4538</v>
      </c>
      <c r="Q691" s="48" t="s">
        <v>773</v>
      </c>
      <c r="R691" s="48" t="s">
        <v>468</v>
      </c>
      <c r="S691" s="49" t="s">
        <v>74</v>
      </c>
      <c r="T691" s="48" t="s">
        <v>75</v>
      </c>
      <c r="U691" s="49" t="s">
        <v>3678</v>
      </c>
      <c r="V691" s="7" t="s">
        <v>214</v>
      </c>
      <c r="W691" s="49" t="s">
        <v>214</v>
      </c>
      <c r="X691" s="49" t="s">
        <v>214</v>
      </c>
      <c r="Y691" s="49" t="s">
        <v>214</v>
      </c>
      <c r="Z691" s="55" t="s">
        <v>214</v>
      </c>
      <c r="AA691" s="48" t="s">
        <v>19151</v>
      </c>
      <c r="AB691" s="90" t="s">
        <v>19150</v>
      </c>
      <c r="AC691" s="53" t="str">
        <f t="shared" si="428"/>
        <v>Link</v>
      </c>
      <c r="AD691" s="42">
        <v>5413</v>
      </c>
      <c r="AE691" s="55"/>
      <c r="AF691" s="55"/>
      <c r="AG691" s="56">
        <v>170444</v>
      </c>
      <c r="AH691" s="56"/>
      <c r="AI691" s="56"/>
    </row>
    <row r="692" spans="1:37" ht="15" x14ac:dyDescent="0.2">
      <c r="A692" s="64" t="s">
        <v>4553</v>
      </c>
      <c r="B692" s="33" t="s">
        <v>12632</v>
      </c>
      <c r="C692" s="7" t="s">
        <v>19164</v>
      </c>
      <c r="D692" s="112">
        <v>5</v>
      </c>
      <c r="E692" s="7"/>
      <c r="F692" s="112"/>
      <c r="G692" s="2" t="s">
        <v>19144</v>
      </c>
      <c r="H692" s="2" t="s">
        <v>4884</v>
      </c>
      <c r="I692" s="2" t="s">
        <v>6225</v>
      </c>
      <c r="J692" s="2" t="s">
        <v>55</v>
      </c>
      <c r="K692" s="2" t="s">
        <v>19165</v>
      </c>
      <c r="L692" s="2" t="s">
        <v>19166</v>
      </c>
      <c r="M692" s="45" t="str">
        <f t="shared" si="426"/>
        <v>@JCJets_Softball</v>
      </c>
      <c r="N692" s="45" t="str">
        <f t="shared" si="427"/>
        <v>Questionnaire</v>
      </c>
      <c r="O692" s="48" t="s">
        <v>19150</v>
      </c>
      <c r="P692" s="60" t="s">
        <v>4538</v>
      </c>
      <c r="Q692" s="48" t="s">
        <v>773</v>
      </c>
      <c r="R692" s="48" t="s">
        <v>468</v>
      </c>
      <c r="S692" s="49" t="s">
        <v>74</v>
      </c>
      <c r="T692" s="48" t="s">
        <v>75</v>
      </c>
      <c r="U692" s="49" t="s">
        <v>3678</v>
      </c>
      <c r="V692" s="7" t="s">
        <v>214</v>
      </c>
      <c r="W692" s="49" t="s">
        <v>214</v>
      </c>
      <c r="X692" s="49" t="s">
        <v>214</v>
      </c>
      <c r="Y692" s="49" t="s">
        <v>214</v>
      </c>
      <c r="Z692" s="55" t="s">
        <v>214</v>
      </c>
      <c r="AA692" s="48" t="s">
        <v>19151</v>
      </c>
      <c r="AB692" s="90" t="s">
        <v>19150</v>
      </c>
      <c r="AC692" s="53" t="str">
        <f t="shared" si="428"/>
        <v>Link</v>
      </c>
      <c r="AD692" s="42">
        <v>5413</v>
      </c>
      <c r="AE692" s="55"/>
      <c r="AF692" s="55"/>
      <c r="AG692" s="56">
        <v>170444</v>
      </c>
      <c r="AH692" s="56"/>
      <c r="AI692" s="56"/>
    </row>
    <row r="693" spans="1:37" ht="15" x14ac:dyDescent="0.2">
      <c r="A693" s="64" t="s">
        <v>4553</v>
      </c>
      <c r="B693" s="33" t="s">
        <v>12632</v>
      </c>
      <c r="C693" s="7" t="s">
        <v>19171</v>
      </c>
      <c r="D693" s="112">
        <v>5</v>
      </c>
      <c r="E693" s="7"/>
      <c r="F693" s="112"/>
      <c r="G693" s="2" t="s">
        <v>19172</v>
      </c>
      <c r="H693" s="2" t="s">
        <v>442</v>
      </c>
      <c r="I693" s="2" t="s">
        <v>19173</v>
      </c>
      <c r="J693" s="2" t="s">
        <v>48</v>
      </c>
      <c r="K693" s="2" t="s">
        <v>19174</v>
      </c>
      <c r="L693" s="2" t="s">
        <v>19175</v>
      </c>
      <c r="M693" s="45" t="str">
        <f t="shared" ref="M693:M695" si="429">HYPERLINK("twitter.com/kzoosoftball","@kzoosoftball")</f>
        <v>@kzoosoftball</v>
      </c>
      <c r="N693" s="48" t="s">
        <v>22</v>
      </c>
      <c r="O693" s="48" t="s">
        <v>19177</v>
      </c>
      <c r="P693" s="60" t="s">
        <v>4538</v>
      </c>
      <c r="Q693" s="48" t="s">
        <v>6510</v>
      </c>
      <c r="R693" s="48" t="s">
        <v>238</v>
      </c>
      <c r="S693" s="49" t="s">
        <v>74</v>
      </c>
      <c r="T693" s="48" t="s">
        <v>75</v>
      </c>
      <c r="U693" s="49" t="s">
        <v>3678</v>
      </c>
      <c r="V693" s="7" t="s">
        <v>214</v>
      </c>
      <c r="W693" s="49" t="s">
        <v>214</v>
      </c>
      <c r="X693" s="49" t="s">
        <v>214</v>
      </c>
      <c r="Y693" s="49" t="s">
        <v>214</v>
      </c>
      <c r="Z693" s="55" t="s">
        <v>214</v>
      </c>
      <c r="AA693" s="48" t="s">
        <v>19178</v>
      </c>
      <c r="AB693" s="84" t="s">
        <v>19177</v>
      </c>
      <c r="AC693" s="53" t="str">
        <f t="shared" ref="AC693:AC695" si="430">HYPERLINK("https://www.kvcc.edu/programs/","Link")</f>
        <v>Link</v>
      </c>
      <c r="AD693" s="42">
        <v>8549</v>
      </c>
      <c r="AE693" s="55"/>
      <c r="AF693" s="55"/>
      <c r="AG693" s="56">
        <v>170541</v>
      </c>
      <c r="AH693" s="56"/>
      <c r="AI693" s="56"/>
    </row>
    <row r="694" spans="1:37" ht="15" x14ac:dyDescent="0.2">
      <c r="A694" s="64" t="s">
        <v>4553</v>
      </c>
      <c r="B694" s="33" t="s">
        <v>12632</v>
      </c>
      <c r="C694" s="7" t="s">
        <v>19183</v>
      </c>
      <c r="D694" s="112">
        <v>5</v>
      </c>
      <c r="E694" s="7"/>
      <c r="F694" s="112"/>
      <c r="G694" s="2" t="s">
        <v>19172</v>
      </c>
      <c r="H694" s="2" t="s">
        <v>143</v>
      </c>
      <c r="I694" s="2" t="s">
        <v>19184</v>
      </c>
      <c r="J694" s="2" t="s">
        <v>55</v>
      </c>
      <c r="K694" s="2"/>
      <c r="L694" s="2"/>
      <c r="M694" s="45" t="str">
        <f t="shared" si="429"/>
        <v>@kzoosoftball</v>
      </c>
      <c r="N694" s="48" t="s">
        <v>22</v>
      </c>
      <c r="O694" s="48" t="s">
        <v>19177</v>
      </c>
      <c r="P694" s="60" t="s">
        <v>4538</v>
      </c>
      <c r="Q694" s="48" t="s">
        <v>6510</v>
      </c>
      <c r="R694" s="48" t="s">
        <v>238</v>
      </c>
      <c r="S694" s="49" t="s">
        <v>74</v>
      </c>
      <c r="T694" s="48" t="s">
        <v>75</v>
      </c>
      <c r="U694" s="49" t="s">
        <v>3678</v>
      </c>
      <c r="V694" s="7" t="s">
        <v>214</v>
      </c>
      <c r="W694" s="49" t="s">
        <v>214</v>
      </c>
      <c r="X694" s="49" t="s">
        <v>214</v>
      </c>
      <c r="Y694" s="49" t="s">
        <v>214</v>
      </c>
      <c r="Z694" s="55" t="s">
        <v>214</v>
      </c>
      <c r="AA694" s="48" t="s">
        <v>19178</v>
      </c>
      <c r="AB694" s="84" t="s">
        <v>19177</v>
      </c>
      <c r="AC694" s="53" t="str">
        <f t="shared" si="430"/>
        <v>Link</v>
      </c>
      <c r="AD694" s="42">
        <v>8549</v>
      </c>
      <c r="AE694" s="55"/>
      <c r="AF694" s="55"/>
      <c r="AG694" s="56">
        <v>170541</v>
      </c>
      <c r="AH694" s="56"/>
      <c r="AI694" s="56"/>
    </row>
    <row r="695" spans="1:37" ht="15" x14ac:dyDescent="0.2">
      <c r="A695" s="64" t="s">
        <v>4553</v>
      </c>
      <c r="B695" s="33" t="s">
        <v>12632</v>
      </c>
      <c r="C695" s="7" t="s">
        <v>19186</v>
      </c>
      <c r="D695" s="112">
        <v>5</v>
      </c>
      <c r="E695" s="7"/>
      <c r="F695" s="112"/>
      <c r="G695" s="2" t="s">
        <v>19172</v>
      </c>
      <c r="H695" s="2" t="s">
        <v>8725</v>
      </c>
      <c r="I695" s="2" t="s">
        <v>16760</v>
      </c>
      <c r="J695" s="2" t="s">
        <v>55</v>
      </c>
      <c r="K695" s="2"/>
      <c r="L695" s="2"/>
      <c r="M695" s="45" t="str">
        <f t="shared" si="429"/>
        <v>@kzoosoftball</v>
      </c>
      <c r="N695" s="48" t="s">
        <v>22</v>
      </c>
      <c r="O695" s="48" t="s">
        <v>19177</v>
      </c>
      <c r="P695" s="60" t="s">
        <v>4538</v>
      </c>
      <c r="Q695" s="48" t="s">
        <v>6510</v>
      </c>
      <c r="R695" s="48" t="s">
        <v>238</v>
      </c>
      <c r="S695" s="49" t="s">
        <v>74</v>
      </c>
      <c r="T695" s="48" t="s">
        <v>75</v>
      </c>
      <c r="U695" s="49" t="s">
        <v>3678</v>
      </c>
      <c r="V695" s="7" t="s">
        <v>214</v>
      </c>
      <c r="W695" s="49" t="s">
        <v>214</v>
      </c>
      <c r="X695" s="49" t="s">
        <v>214</v>
      </c>
      <c r="Y695" s="49" t="s">
        <v>214</v>
      </c>
      <c r="Z695" s="55" t="s">
        <v>214</v>
      </c>
      <c r="AA695" s="48" t="s">
        <v>19178</v>
      </c>
      <c r="AB695" s="84" t="s">
        <v>19177</v>
      </c>
      <c r="AC695" s="53" t="str">
        <f t="shared" si="430"/>
        <v>Link</v>
      </c>
      <c r="AD695" s="42">
        <v>8549</v>
      </c>
      <c r="AE695" s="55"/>
      <c r="AF695" s="55"/>
      <c r="AG695" s="56">
        <v>170541</v>
      </c>
      <c r="AH695" s="56"/>
      <c r="AI695" s="56"/>
    </row>
    <row r="696" spans="1:37" ht="15" x14ac:dyDescent="0.2">
      <c r="A696" s="64" t="s">
        <v>4553</v>
      </c>
      <c r="B696" s="33" t="s">
        <v>12632</v>
      </c>
      <c r="C696" s="7" t="s">
        <v>19191</v>
      </c>
      <c r="D696" s="112">
        <v>5</v>
      </c>
      <c r="E696" s="7"/>
      <c r="F696" s="112"/>
      <c r="G696" s="2" t="s">
        <v>19192</v>
      </c>
      <c r="H696" s="2" t="s">
        <v>658</v>
      </c>
      <c r="I696" s="2" t="s">
        <v>19193</v>
      </c>
      <c r="J696" s="2" t="s">
        <v>48</v>
      </c>
      <c r="K696" s="2" t="s">
        <v>19195</v>
      </c>
      <c r="L696" s="2" t="s">
        <v>19197</v>
      </c>
      <c r="M696" s="48"/>
      <c r="N696" s="48" t="s">
        <v>22</v>
      </c>
      <c r="O696" s="48" t="s">
        <v>19198</v>
      </c>
      <c r="P696" s="60" t="s">
        <v>4538</v>
      </c>
      <c r="Q696" s="48" t="s">
        <v>19199</v>
      </c>
      <c r="R696" s="60" t="s">
        <v>205</v>
      </c>
      <c r="S696" s="49" t="s">
        <v>74</v>
      </c>
      <c r="T696" s="48" t="s">
        <v>75</v>
      </c>
      <c r="U696" s="49" t="s">
        <v>3678</v>
      </c>
      <c r="V696" s="7" t="s">
        <v>214</v>
      </c>
      <c r="W696" s="49" t="s">
        <v>214</v>
      </c>
      <c r="X696" s="49" t="s">
        <v>214</v>
      </c>
      <c r="Y696" s="49" t="s">
        <v>214</v>
      </c>
      <c r="Z696" s="55" t="s">
        <v>214</v>
      </c>
      <c r="AA696" s="48" t="s">
        <v>19201</v>
      </c>
      <c r="AB696" s="90" t="s">
        <v>19198</v>
      </c>
      <c r="AC696" s="53" t="str">
        <f t="shared" ref="AC696:AC698" si="431">HYPERLINK("https://www.lakemichigancollege.edu/home/programs-majors/browse-all-programs","Link")</f>
        <v>Link</v>
      </c>
      <c r="AD696" s="42">
        <v>4059</v>
      </c>
      <c r="AE696" s="55"/>
      <c r="AF696" s="55"/>
      <c r="AG696" s="56">
        <v>170620</v>
      </c>
      <c r="AH696" s="56"/>
      <c r="AI696" s="56"/>
    </row>
    <row r="697" spans="1:37" ht="15" x14ac:dyDescent="0.2">
      <c r="A697" s="64" t="s">
        <v>4553</v>
      </c>
      <c r="B697" s="33" t="s">
        <v>12632</v>
      </c>
      <c r="C697" s="7" t="s">
        <v>19204</v>
      </c>
      <c r="D697" s="112">
        <v>5</v>
      </c>
      <c r="E697" s="7"/>
      <c r="F697" s="112"/>
      <c r="G697" s="2" t="s">
        <v>19192</v>
      </c>
      <c r="H697" s="2" t="s">
        <v>583</v>
      </c>
      <c r="I697" s="2" t="s">
        <v>19193</v>
      </c>
      <c r="J697" s="2" t="s">
        <v>55</v>
      </c>
      <c r="K697" s="2" t="s">
        <v>19205</v>
      </c>
      <c r="L697" s="2" t="s">
        <v>19197</v>
      </c>
      <c r="M697" s="48"/>
      <c r="N697" s="48" t="s">
        <v>22</v>
      </c>
      <c r="O697" s="48" t="s">
        <v>19198</v>
      </c>
      <c r="P697" s="60" t="s">
        <v>4538</v>
      </c>
      <c r="Q697" s="48" t="s">
        <v>19199</v>
      </c>
      <c r="R697" s="60" t="s">
        <v>205</v>
      </c>
      <c r="S697" s="49" t="s">
        <v>74</v>
      </c>
      <c r="T697" s="48" t="s">
        <v>75</v>
      </c>
      <c r="U697" s="49" t="s">
        <v>3678</v>
      </c>
      <c r="V697" s="7" t="s">
        <v>214</v>
      </c>
      <c r="W697" s="49" t="s">
        <v>214</v>
      </c>
      <c r="X697" s="49" t="s">
        <v>214</v>
      </c>
      <c r="Y697" s="49" t="s">
        <v>214</v>
      </c>
      <c r="Z697" s="55" t="s">
        <v>214</v>
      </c>
      <c r="AA697" s="48" t="s">
        <v>19201</v>
      </c>
      <c r="AB697" s="90" t="s">
        <v>19198</v>
      </c>
      <c r="AC697" s="53" t="str">
        <f t="shared" si="431"/>
        <v>Link</v>
      </c>
      <c r="AD697" s="42">
        <v>4059</v>
      </c>
      <c r="AE697" s="55"/>
      <c r="AF697" s="55"/>
      <c r="AG697" s="56">
        <v>170620</v>
      </c>
      <c r="AH697" s="56"/>
      <c r="AI697" s="56"/>
    </row>
    <row r="698" spans="1:37" ht="15" x14ac:dyDescent="0.2">
      <c r="A698" s="64" t="s">
        <v>4553</v>
      </c>
      <c r="B698" s="33" t="s">
        <v>12632</v>
      </c>
      <c r="C698" s="7" t="s">
        <v>19207</v>
      </c>
      <c r="D698" s="112">
        <v>5</v>
      </c>
      <c r="E698" s="7"/>
      <c r="F698" s="112"/>
      <c r="G698" s="2" t="s">
        <v>19192</v>
      </c>
      <c r="H698" s="2" t="s">
        <v>4746</v>
      </c>
      <c r="I698" s="2" t="s">
        <v>977</v>
      </c>
      <c r="J698" s="2" t="s">
        <v>55</v>
      </c>
      <c r="K698" s="2"/>
      <c r="L698" s="2"/>
      <c r="M698" s="48"/>
      <c r="N698" s="48" t="s">
        <v>22</v>
      </c>
      <c r="O698" s="48" t="s">
        <v>19198</v>
      </c>
      <c r="P698" s="60" t="s">
        <v>4538</v>
      </c>
      <c r="Q698" s="48" t="s">
        <v>19199</v>
      </c>
      <c r="R698" s="60" t="s">
        <v>205</v>
      </c>
      <c r="S698" s="49" t="s">
        <v>74</v>
      </c>
      <c r="T698" s="48" t="s">
        <v>75</v>
      </c>
      <c r="U698" s="49" t="s">
        <v>3678</v>
      </c>
      <c r="V698" s="7" t="s">
        <v>214</v>
      </c>
      <c r="W698" s="49" t="s">
        <v>214</v>
      </c>
      <c r="X698" s="49" t="s">
        <v>214</v>
      </c>
      <c r="Y698" s="49" t="s">
        <v>214</v>
      </c>
      <c r="Z698" s="55" t="s">
        <v>214</v>
      </c>
      <c r="AA698" s="48" t="s">
        <v>19201</v>
      </c>
      <c r="AB698" s="90" t="s">
        <v>19198</v>
      </c>
      <c r="AC698" s="53" t="str">
        <f t="shared" si="431"/>
        <v>Link</v>
      </c>
      <c r="AD698" s="42">
        <v>4059</v>
      </c>
      <c r="AE698" s="55"/>
      <c r="AF698" s="55"/>
      <c r="AG698" s="56">
        <v>170620</v>
      </c>
      <c r="AH698" s="56"/>
      <c r="AI698" s="56"/>
    </row>
    <row r="699" spans="1:37" ht="15" x14ac:dyDescent="0.2">
      <c r="A699" s="64" t="s">
        <v>4553</v>
      </c>
      <c r="B699" s="33" t="s">
        <v>12632</v>
      </c>
      <c r="C699" s="7" t="s">
        <v>19208</v>
      </c>
      <c r="D699" s="112">
        <v>5</v>
      </c>
      <c r="E699" s="7"/>
      <c r="F699" s="112"/>
      <c r="G699" s="2" t="s">
        <v>19209</v>
      </c>
      <c r="H699" s="2" t="s">
        <v>6702</v>
      </c>
      <c r="I699" s="2" t="s">
        <v>19211</v>
      </c>
      <c r="J699" s="2" t="s">
        <v>48</v>
      </c>
      <c r="K699" s="2" t="s">
        <v>19212</v>
      </c>
      <c r="L699" s="2" t="s">
        <v>19213</v>
      </c>
      <c r="M699" s="48"/>
      <c r="N699" s="45" t="str">
        <f t="shared" ref="N699:N703" si="432">HYPERLINK("https://lccstars.com/sports/sball/Recruitment_form","Questionnaire")</f>
        <v>Questionnaire</v>
      </c>
      <c r="O699" s="48" t="s">
        <v>19214</v>
      </c>
      <c r="P699" s="60" t="s">
        <v>4538</v>
      </c>
      <c r="Q699" s="48" t="s">
        <v>19215</v>
      </c>
      <c r="R699" s="48" t="s">
        <v>238</v>
      </c>
      <c r="S699" s="49" t="s">
        <v>74</v>
      </c>
      <c r="T699" s="48" t="s">
        <v>75</v>
      </c>
      <c r="U699" s="49" t="s">
        <v>3678</v>
      </c>
      <c r="V699" s="7" t="s">
        <v>214</v>
      </c>
      <c r="W699" s="49" t="s">
        <v>214</v>
      </c>
      <c r="X699" s="49" t="s">
        <v>214</v>
      </c>
      <c r="Y699" s="49" t="s">
        <v>214</v>
      </c>
      <c r="Z699" s="55" t="s">
        <v>214</v>
      </c>
      <c r="AA699" s="48" t="s">
        <v>19216</v>
      </c>
      <c r="AB699" s="84" t="s">
        <v>19214</v>
      </c>
      <c r="AC699" s="53" t="str">
        <f t="shared" ref="AC699:AC703" si="433">HYPERLINK("https://www.lcc.edu/academics/programs/","Link")</f>
        <v>Link</v>
      </c>
      <c r="AD699" s="42">
        <v>13583</v>
      </c>
      <c r="AE699" s="55"/>
      <c r="AF699" s="55"/>
      <c r="AG699" s="56">
        <v>170657</v>
      </c>
      <c r="AH699" s="56"/>
      <c r="AI699" s="56"/>
    </row>
    <row r="700" spans="1:37" ht="15" x14ac:dyDescent="0.2">
      <c r="A700" s="64" t="s">
        <v>4553</v>
      </c>
      <c r="B700" s="33" t="s">
        <v>12632</v>
      </c>
      <c r="C700" s="7" t="s">
        <v>19218</v>
      </c>
      <c r="D700" s="112">
        <v>5</v>
      </c>
      <c r="E700" s="7"/>
      <c r="F700" s="112"/>
      <c r="G700" s="2" t="s">
        <v>19209</v>
      </c>
      <c r="H700" s="2" t="s">
        <v>2806</v>
      </c>
      <c r="I700" s="2" t="s">
        <v>18974</v>
      </c>
      <c r="J700" s="2" t="s">
        <v>55</v>
      </c>
      <c r="K700" s="2"/>
      <c r="L700" s="2"/>
      <c r="M700" s="48"/>
      <c r="N700" s="45" t="str">
        <f t="shared" si="432"/>
        <v>Questionnaire</v>
      </c>
      <c r="O700" s="48" t="s">
        <v>19214</v>
      </c>
      <c r="P700" s="60" t="s">
        <v>4538</v>
      </c>
      <c r="Q700" s="48" t="s">
        <v>19215</v>
      </c>
      <c r="R700" s="48" t="s">
        <v>238</v>
      </c>
      <c r="S700" s="49" t="s">
        <v>74</v>
      </c>
      <c r="T700" s="48" t="s">
        <v>75</v>
      </c>
      <c r="U700" s="49" t="s">
        <v>3678</v>
      </c>
      <c r="V700" s="7" t="s">
        <v>214</v>
      </c>
      <c r="W700" s="49" t="s">
        <v>214</v>
      </c>
      <c r="X700" s="49" t="s">
        <v>214</v>
      </c>
      <c r="Y700" s="49" t="s">
        <v>214</v>
      </c>
      <c r="Z700" s="55" t="s">
        <v>214</v>
      </c>
      <c r="AA700" s="48" t="s">
        <v>19216</v>
      </c>
      <c r="AB700" s="84" t="s">
        <v>19214</v>
      </c>
      <c r="AC700" s="53" t="str">
        <f t="shared" si="433"/>
        <v>Link</v>
      </c>
      <c r="AD700" s="42">
        <v>13583</v>
      </c>
      <c r="AE700" s="55"/>
      <c r="AF700" s="55"/>
      <c r="AG700" s="56">
        <v>170657</v>
      </c>
      <c r="AH700" s="56"/>
      <c r="AI700" s="56"/>
    </row>
    <row r="701" spans="1:37" ht="15" x14ac:dyDescent="0.2">
      <c r="A701" s="64" t="s">
        <v>4553</v>
      </c>
      <c r="B701" s="33" t="s">
        <v>12632</v>
      </c>
      <c r="C701" s="7" t="s">
        <v>19221</v>
      </c>
      <c r="D701" s="112">
        <v>5</v>
      </c>
      <c r="E701" s="7"/>
      <c r="F701" s="112"/>
      <c r="G701" s="2" t="s">
        <v>19209</v>
      </c>
      <c r="H701" s="2" t="s">
        <v>5663</v>
      </c>
      <c r="I701" s="2" t="s">
        <v>19222</v>
      </c>
      <c r="J701" s="2" t="s">
        <v>55</v>
      </c>
      <c r="K701" s="2"/>
      <c r="L701" s="2"/>
      <c r="M701" s="48"/>
      <c r="N701" s="45" t="str">
        <f t="shared" si="432"/>
        <v>Questionnaire</v>
      </c>
      <c r="O701" s="48" t="s">
        <v>19214</v>
      </c>
      <c r="P701" s="60" t="s">
        <v>4538</v>
      </c>
      <c r="Q701" s="48" t="s">
        <v>19215</v>
      </c>
      <c r="R701" s="48" t="s">
        <v>238</v>
      </c>
      <c r="S701" s="49" t="s">
        <v>74</v>
      </c>
      <c r="T701" s="48" t="s">
        <v>75</v>
      </c>
      <c r="U701" s="49" t="s">
        <v>3678</v>
      </c>
      <c r="V701" s="7" t="s">
        <v>214</v>
      </c>
      <c r="W701" s="49" t="s">
        <v>214</v>
      </c>
      <c r="X701" s="49" t="s">
        <v>214</v>
      </c>
      <c r="Y701" s="49" t="s">
        <v>214</v>
      </c>
      <c r="Z701" s="55" t="s">
        <v>214</v>
      </c>
      <c r="AA701" s="48" t="s">
        <v>19216</v>
      </c>
      <c r="AB701" s="84" t="s">
        <v>19214</v>
      </c>
      <c r="AC701" s="53" t="str">
        <f t="shared" si="433"/>
        <v>Link</v>
      </c>
      <c r="AD701" s="42">
        <v>13583</v>
      </c>
      <c r="AE701" s="55"/>
      <c r="AF701" s="55"/>
      <c r="AG701" s="56">
        <v>170657</v>
      </c>
      <c r="AH701" s="56"/>
      <c r="AI701" s="56"/>
    </row>
    <row r="702" spans="1:37" ht="15" x14ac:dyDescent="0.2">
      <c r="A702" s="64" t="s">
        <v>4553</v>
      </c>
      <c r="B702" s="33" t="s">
        <v>12632</v>
      </c>
      <c r="C702" s="7" t="s">
        <v>19225</v>
      </c>
      <c r="D702" s="112">
        <v>5</v>
      </c>
      <c r="E702" s="7"/>
      <c r="F702" s="112"/>
      <c r="G702" s="2" t="s">
        <v>19209</v>
      </c>
      <c r="H702" s="2" t="s">
        <v>390</v>
      </c>
      <c r="I702" s="2" t="s">
        <v>19226</v>
      </c>
      <c r="J702" s="2" t="s">
        <v>55</v>
      </c>
      <c r="K702" s="2"/>
      <c r="L702" s="2"/>
      <c r="M702" s="48"/>
      <c r="N702" s="45" t="str">
        <f t="shared" si="432"/>
        <v>Questionnaire</v>
      </c>
      <c r="O702" s="48" t="s">
        <v>19214</v>
      </c>
      <c r="P702" s="60" t="s">
        <v>4538</v>
      </c>
      <c r="Q702" s="48" t="s">
        <v>19215</v>
      </c>
      <c r="R702" s="48" t="s">
        <v>238</v>
      </c>
      <c r="S702" s="49" t="s">
        <v>74</v>
      </c>
      <c r="T702" s="48" t="s">
        <v>75</v>
      </c>
      <c r="U702" s="49" t="s">
        <v>3678</v>
      </c>
      <c r="V702" s="7" t="s">
        <v>214</v>
      </c>
      <c r="W702" s="49" t="s">
        <v>214</v>
      </c>
      <c r="X702" s="49" t="s">
        <v>214</v>
      </c>
      <c r="Y702" s="49" t="s">
        <v>214</v>
      </c>
      <c r="Z702" s="55" t="s">
        <v>214</v>
      </c>
      <c r="AA702" s="48" t="s">
        <v>19216</v>
      </c>
      <c r="AB702" s="84" t="s">
        <v>19214</v>
      </c>
      <c r="AC702" s="53" t="str">
        <f t="shared" si="433"/>
        <v>Link</v>
      </c>
      <c r="AD702" s="42">
        <v>13583</v>
      </c>
      <c r="AE702" s="55"/>
      <c r="AF702" s="55"/>
      <c r="AG702" s="56">
        <v>170657</v>
      </c>
      <c r="AH702" s="56"/>
      <c r="AI702" s="56"/>
    </row>
    <row r="703" spans="1:37" ht="15" x14ac:dyDescent="0.2">
      <c r="A703" s="64" t="s">
        <v>4553</v>
      </c>
      <c r="B703" s="33" t="s">
        <v>12632</v>
      </c>
      <c r="C703" s="7" t="s">
        <v>19229</v>
      </c>
      <c r="D703" s="112">
        <v>5</v>
      </c>
      <c r="E703" s="7"/>
      <c r="F703" s="112"/>
      <c r="G703" s="2" t="s">
        <v>19209</v>
      </c>
      <c r="H703" s="2" t="s">
        <v>930</v>
      </c>
      <c r="I703" s="2" t="s">
        <v>2919</v>
      </c>
      <c r="J703" s="2" t="s">
        <v>55</v>
      </c>
      <c r="K703" s="2"/>
      <c r="L703" s="2"/>
      <c r="M703" s="48"/>
      <c r="N703" s="45" t="str">
        <f t="shared" si="432"/>
        <v>Questionnaire</v>
      </c>
      <c r="O703" s="48" t="s">
        <v>19214</v>
      </c>
      <c r="P703" s="60" t="s">
        <v>4538</v>
      </c>
      <c r="Q703" s="48" t="s">
        <v>19215</v>
      </c>
      <c r="R703" s="48" t="s">
        <v>238</v>
      </c>
      <c r="S703" s="49" t="s">
        <v>74</v>
      </c>
      <c r="T703" s="48" t="s">
        <v>75</v>
      </c>
      <c r="U703" s="49" t="s">
        <v>3678</v>
      </c>
      <c r="V703" s="7" t="s">
        <v>214</v>
      </c>
      <c r="W703" s="49" t="s">
        <v>214</v>
      </c>
      <c r="X703" s="49" t="s">
        <v>214</v>
      </c>
      <c r="Y703" s="49" t="s">
        <v>214</v>
      </c>
      <c r="Z703" s="55" t="s">
        <v>214</v>
      </c>
      <c r="AA703" s="48" t="s">
        <v>19216</v>
      </c>
      <c r="AB703" s="84" t="s">
        <v>19214</v>
      </c>
      <c r="AC703" s="53" t="str">
        <f t="shared" si="433"/>
        <v>Link</v>
      </c>
      <c r="AD703" s="42">
        <v>13583</v>
      </c>
      <c r="AE703" s="55"/>
      <c r="AF703" s="55"/>
      <c r="AG703" s="56">
        <v>170657</v>
      </c>
      <c r="AH703" s="56"/>
      <c r="AI703" s="56"/>
    </row>
    <row r="704" spans="1:37" ht="15" x14ac:dyDescent="0.2">
      <c r="A704" s="31" t="s">
        <v>4553</v>
      </c>
      <c r="B704" s="33" t="s">
        <v>12632</v>
      </c>
      <c r="C704" s="7"/>
      <c r="D704" s="112">
        <v>5</v>
      </c>
      <c r="E704" s="7"/>
      <c r="F704" s="112"/>
      <c r="G704" s="2" t="s">
        <v>19234</v>
      </c>
      <c r="H704" s="2" t="s">
        <v>991</v>
      </c>
      <c r="I704" s="2" t="s">
        <v>19235</v>
      </c>
      <c r="J704" s="2" t="s">
        <v>48</v>
      </c>
      <c r="K704" s="2" t="s">
        <v>19236</v>
      </c>
      <c r="L704" s="2" t="s">
        <v>19237</v>
      </c>
      <c r="M704" s="45" t="str">
        <f t="shared" ref="M704:M706" si="434">HYPERLINK("twitter.com/mccsoftball_","@mccsoftball_")</f>
        <v>@mccsoftball_</v>
      </c>
      <c r="N704" s="48" t="s">
        <v>22</v>
      </c>
      <c r="O704" s="48" t="s">
        <v>19243</v>
      </c>
      <c r="P704" s="60" t="s">
        <v>4538</v>
      </c>
      <c r="Q704" s="48" t="s">
        <v>757</v>
      </c>
      <c r="R704" s="48" t="s">
        <v>238</v>
      </c>
      <c r="S704" s="49" t="s">
        <v>74</v>
      </c>
      <c r="T704" s="48" t="s">
        <v>75</v>
      </c>
      <c r="U704" s="49" t="s">
        <v>3678</v>
      </c>
      <c r="V704" s="7" t="s">
        <v>214</v>
      </c>
      <c r="W704" s="49" t="s">
        <v>214</v>
      </c>
      <c r="X704" s="49" t="s">
        <v>214</v>
      </c>
      <c r="Y704" s="49" t="s">
        <v>214</v>
      </c>
      <c r="Z704" s="55" t="s">
        <v>214</v>
      </c>
      <c r="AA704" s="48" t="s">
        <v>19244</v>
      </c>
      <c r="AB704" s="84" t="s">
        <v>19243</v>
      </c>
      <c r="AC704" s="53" t="str">
        <f t="shared" ref="AC704:AC706" si="435">HYPERLINK("https://www.macomb.edu/future-students/programs/index.html","Link")</f>
        <v>Link</v>
      </c>
      <c r="AD704" s="42">
        <v>21734</v>
      </c>
      <c r="AE704" s="55"/>
      <c r="AF704" s="55"/>
      <c r="AG704" s="56">
        <v>170790</v>
      </c>
      <c r="AH704" s="7" t="s">
        <v>2459</v>
      </c>
      <c r="AI704" s="7"/>
      <c r="AJ704" s="7"/>
      <c r="AK704" s="7"/>
    </row>
    <row r="705" spans="1:37" ht="15" x14ac:dyDescent="0.2">
      <c r="A705" s="31" t="s">
        <v>4553</v>
      </c>
      <c r="B705" s="33" t="s">
        <v>12632</v>
      </c>
      <c r="C705" s="7"/>
      <c r="D705" s="112">
        <v>5</v>
      </c>
      <c r="E705" s="7"/>
      <c r="F705" s="112"/>
      <c r="G705" s="2" t="s">
        <v>19234</v>
      </c>
      <c r="H705" s="2" t="s">
        <v>19248</v>
      </c>
      <c r="I705" s="2" t="s">
        <v>223</v>
      </c>
      <c r="J705" s="2" t="s">
        <v>55</v>
      </c>
      <c r="K705" s="2"/>
      <c r="L705" s="2"/>
      <c r="M705" s="45" t="str">
        <f t="shared" si="434"/>
        <v>@mccsoftball_</v>
      </c>
      <c r="N705" s="48" t="s">
        <v>22</v>
      </c>
      <c r="O705" s="48" t="s">
        <v>19243</v>
      </c>
      <c r="P705" s="60" t="s">
        <v>4538</v>
      </c>
      <c r="Q705" s="48" t="s">
        <v>757</v>
      </c>
      <c r="R705" s="48" t="s">
        <v>238</v>
      </c>
      <c r="S705" s="49" t="s">
        <v>74</v>
      </c>
      <c r="T705" s="48" t="s">
        <v>75</v>
      </c>
      <c r="U705" s="49" t="s">
        <v>3678</v>
      </c>
      <c r="V705" s="7" t="s">
        <v>214</v>
      </c>
      <c r="W705" s="49" t="s">
        <v>214</v>
      </c>
      <c r="X705" s="49" t="s">
        <v>214</v>
      </c>
      <c r="Y705" s="49" t="s">
        <v>214</v>
      </c>
      <c r="Z705" s="55" t="s">
        <v>214</v>
      </c>
      <c r="AA705" s="48" t="s">
        <v>19244</v>
      </c>
      <c r="AB705" s="84" t="s">
        <v>19243</v>
      </c>
      <c r="AC705" s="53" t="str">
        <f t="shared" si="435"/>
        <v>Link</v>
      </c>
      <c r="AD705" s="42">
        <v>21734</v>
      </c>
      <c r="AE705" s="55"/>
      <c r="AF705" s="55"/>
      <c r="AG705" s="56">
        <v>170790</v>
      </c>
      <c r="AH705" s="7" t="s">
        <v>2459</v>
      </c>
      <c r="AI705" s="7"/>
      <c r="AJ705" s="7"/>
      <c r="AK705" s="7"/>
    </row>
    <row r="706" spans="1:37" ht="15" x14ac:dyDescent="0.2">
      <c r="A706" s="31" t="s">
        <v>4553</v>
      </c>
      <c r="B706" s="33" t="s">
        <v>12632</v>
      </c>
      <c r="C706" s="7"/>
      <c r="D706" s="112">
        <v>5</v>
      </c>
      <c r="E706" s="7"/>
      <c r="F706" s="112"/>
      <c r="G706" s="2" t="s">
        <v>19234</v>
      </c>
      <c r="H706" s="2" t="s">
        <v>94</v>
      </c>
      <c r="I706" s="2" t="s">
        <v>19254</v>
      </c>
      <c r="J706" s="2" t="s">
        <v>55</v>
      </c>
      <c r="K706" s="2"/>
      <c r="L706" s="2"/>
      <c r="M706" s="45" t="str">
        <f t="shared" si="434"/>
        <v>@mccsoftball_</v>
      </c>
      <c r="N706" s="48" t="s">
        <v>22</v>
      </c>
      <c r="O706" s="48" t="s">
        <v>19243</v>
      </c>
      <c r="P706" s="60" t="s">
        <v>4538</v>
      </c>
      <c r="Q706" s="48" t="s">
        <v>757</v>
      </c>
      <c r="R706" s="48" t="s">
        <v>238</v>
      </c>
      <c r="S706" s="49" t="s">
        <v>74</v>
      </c>
      <c r="T706" s="48" t="s">
        <v>75</v>
      </c>
      <c r="U706" s="49" t="s">
        <v>3678</v>
      </c>
      <c r="V706" s="7" t="s">
        <v>214</v>
      </c>
      <c r="W706" s="49" t="s">
        <v>214</v>
      </c>
      <c r="X706" s="49" t="s">
        <v>214</v>
      </c>
      <c r="Y706" s="49" t="s">
        <v>214</v>
      </c>
      <c r="Z706" s="55" t="s">
        <v>214</v>
      </c>
      <c r="AA706" s="48" t="s">
        <v>19244</v>
      </c>
      <c r="AB706" s="84" t="s">
        <v>19243</v>
      </c>
      <c r="AC706" s="53" t="str">
        <f t="shared" si="435"/>
        <v>Link</v>
      </c>
      <c r="AD706" s="42">
        <v>21734</v>
      </c>
      <c r="AE706" s="55"/>
      <c r="AF706" s="55"/>
      <c r="AG706" s="56">
        <v>170790</v>
      </c>
      <c r="AH706" s="7" t="s">
        <v>2459</v>
      </c>
      <c r="AI706" s="7"/>
      <c r="AJ706" s="7"/>
      <c r="AK706" s="7"/>
    </row>
    <row r="707" spans="1:37" ht="15" x14ac:dyDescent="0.2">
      <c r="A707" s="31" t="s">
        <v>4553</v>
      </c>
      <c r="B707" s="33" t="s">
        <v>12632</v>
      </c>
      <c r="C707" s="7"/>
      <c r="D707" s="112">
        <v>5</v>
      </c>
      <c r="E707" s="7"/>
      <c r="F707" s="112"/>
      <c r="G707" s="2" t="s">
        <v>19256</v>
      </c>
      <c r="H707" s="2" t="s">
        <v>6345</v>
      </c>
      <c r="I707" s="2" t="s">
        <v>19257</v>
      </c>
      <c r="J707" s="2" t="s">
        <v>48</v>
      </c>
      <c r="K707" s="2" t="s">
        <v>19258</v>
      </c>
      <c r="L707" s="2" t="s">
        <v>19259</v>
      </c>
      <c r="M707" s="45" t="str">
        <f t="shared" ref="M707:M708" si="436">HYPERLINK("twitter.com/mott_softball","@mott_softball")</f>
        <v>@mott_softball</v>
      </c>
      <c r="N707" s="45" t="str">
        <f t="shared" ref="N707:N708" si="437">HYPERLINK("https://www.mcc.edu/athletics/ss_athletic_recruit.shtml","Questionnaire")</f>
        <v>Questionnaire</v>
      </c>
      <c r="O707" s="48" t="s">
        <v>19264</v>
      </c>
      <c r="P707" s="60" t="s">
        <v>4538</v>
      </c>
      <c r="Q707" s="48" t="s">
        <v>19265</v>
      </c>
      <c r="R707" s="48" t="s">
        <v>238</v>
      </c>
      <c r="S707" s="49" t="s">
        <v>74</v>
      </c>
      <c r="T707" s="48" t="s">
        <v>75</v>
      </c>
      <c r="U707" s="49" t="s">
        <v>3678</v>
      </c>
      <c r="V707" s="7" t="s">
        <v>214</v>
      </c>
      <c r="W707" s="49" t="s">
        <v>214</v>
      </c>
      <c r="X707" s="49" t="s">
        <v>214</v>
      </c>
      <c r="Y707" s="49" t="s">
        <v>214</v>
      </c>
      <c r="Z707" s="55" t="s">
        <v>214</v>
      </c>
      <c r="AA707" s="48" t="s">
        <v>19266</v>
      </c>
      <c r="AB707" s="52" t="s">
        <v>19264</v>
      </c>
      <c r="AC707" s="53" t="str">
        <f t="shared" ref="AC707:AC708" si="438">HYPERLINK("https://www.mcc.edu/academics/index.shtml","Link")</f>
        <v>Link</v>
      </c>
      <c r="AD707" s="42">
        <v>8013</v>
      </c>
      <c r="AE707" s="55"/>
      <c r="AF707" s="55"/>
      <c r="AG707" s="56">
        <v>169275</v>
      </c>
      <c r="AH707" s="7" t="s">
        <v>2459</v>
      </c>
      <c r="AI707" s="7"/>
      <c r="AJ707" s="7"/>
      <c r="AK707" s="7"/>
    </row>
    <row r="708" spans="1:37" ht="15" x14ac:dyDescent="0.2">
      <c r="A708" s="31" t="s">
        <v>4553</v>
      </c>
      <c r="B708" s="33" t="s">
        <v>12632</v>
      </c>
      <c r="C708" s="7"/>
      <c r="D708" s="112">
        <v>5</v>
      </c>
      <c r="E708" s="7"/>
      <c r="F708" s="112"/>
      <c r="G708" s="2" t="s">
        <v>19256</v>
      </c>
      <c r="H708" s="2" t="s">
        <v>6345</v>
      </c>
      <c r="I708" s="2" t="s">
        <v>19257</v>
      </c>
      <c r="J708" s="2" t="s">
        <v>1048</v>
      </c>
      <c r="K708" s="2" t="s">
        <v>19269</v>
      </c>
      <c r="L708" s="2" t="s">
        <v>19259</v>
      </c>
      <c r="M708" s="45" t="str">
        <f t="shared" si="436"/>
        <v>@mott_softball</v>
      </c>
      <c r="N708" s="45" t="str">
        <f t="shared" si="437"/>
        <v>Questionnaire</v>
      </c>
      <c r="O708" s="48" t="s">
        <v>19264</v>
      </c>
      <c r="P708" s="60" t="s">
        <v>4538</v>
      </c>
      <c r="Q708" s="48" t="s">
        <v>19265</v>
      </c>
      <c r="R708" s="48" t="s">
        <v>238</v>
      </c>
      <c r="S708" s="49" t="s">
        <v>74</v>
      </c>
      <c r="T708" s="48" t="s">
        <v>75</v>
      </c>
      <c r="U708" s="49" t="s">
        <v>3678</v>
      </c>
      <c r="V708" s="7" t="s">
        <v>214</v>
      </c>
      <c r="W708" s="49" t="s">
        <v>214</v>
      </c>
      <c r="X708" s="49" t="s">
        <v>214</v>
      </c>
      <c r="Y708" s="49" t="s">
        <v>214</v>
      </c>
      <c r="Z708" s="55" t="s">
        <v>214</v>
      </c>
      <c r="AA708" s="48" t="s">
        <v>19266</v>
      </c>
      <c r="AB708" s="52" t="s">
        <v>19264</v>
      </c>
      <c r="AC708" s="53" t="str">
        <f t="shared" si="438"/>
        <v>Link</v>
      </c>
      <c r="AD708" s="42">
        <v>8013</v>
      </c>
      <c r="AE708" s="55"/>
      <c r="AF708" s="55"/>
      <c r="AG708" s="56">
        <v>169275</v>
      </c>
      <c r="AH708" s="7" t="s">
        <v>2459</v>
      </c>
      <c r="AI708" s="7"/>
      <c r="AJ708" s="7"/>
      <c r="AK708" s="7"/>
    </row>
    <row r="709" spans="1:37" ht="15" x14ac:dyDescent="0.2">
      <c r="A709" s="64" t="s">
        <v>4553</v>
      </c>
      <c r="B709" s="33" t="s">
        <v>12632</v>
      </c>
      <c r="C709" s="7" t="s">
        <v>19274</v>
      </c>
      <c r="D709" s="112">
        <v>5</v>
      </c>
      <c r="E709" s="7"/>
      <c r="F709" s="112"/>
      <c r="G709" s="2" t="s">
        <v>19275</v>
      </c>
      <c r="H709" s="2" t="s">
        <v>3279</v>
      </c>
      <c r="I709" s="2" t="s">
        <v>19276</v>
      </c>
      <c r="J709" s="2" t="s">
        <v>48</v>
      </c>
      <c r="K709" s="2" t="s">
        <v>19277</v>
      </c>
      <c r="L709" s="2" t="s">
        <v>19278</v>
      </c>
      <c r="M709" s="48"/>
      <c r="N709" s="45" t="str">
        <f>HYPERLINK("https://www.muskegoncc.edu/athletics/jayhawk-athletic-recruiting-form/","Questionnaire")</f>
        <v>Questionnaire</v>
      </c>
      <c r="O709" s="48" t="s">
        <v>19279</v>
      </c>
      <c r="P709" s="60" t="s">
        <v>4538</v>
      </c>
      <c r="Q709" s="48" t="s">
        <v>19280</v>
      </c>
      <c r="R709" s="48" t="s">
        <v>468</v>
      </c>
      <c r="S709" s="49" t="s">
        <v>74</v>
      </c>
      <c r="T709" s="48" t="s">
        <v>75</v>
      </c>
      <c r="U709" s="49" t="s">
        <v>3678</v>
      </c>
      <c r="V709" s="7" t="s">
        <v>214</v>
      </c>
      <c r="W709" s="49" t="s">
        <v>214</v>
      </c>
      <c r="X709" s="49" t="s">
        <v>214</v>
      </c>
      <c r="Y709" s="49" t="s">
        <v>214</v>
      </c>
      <c r="Z709" s="55" t="s">
        <v>214</v>
      </c>
      <c r="AA709" s="48" t="s">
        <v>19281</v>
      </c>
      <c r="AB709" s="84" t="s">
        <v>19279</v>
      </c>
      <c r="AC709" s="53" t="str">
        <f>HYPERLINK("http://www.muskegoncc.edu/degrees-and-certificates/areas-of-study/","Link")</f>
        <v>Link</v>
      </c>
      <c r="AD709" s="42">
        <v>4432</v>
      </c>
      <c r="AE709" s="55"/>
      <c r="AF709" s="55"/>
      <c r="AG709" s="56">
        <v>171304</v>
      </c>
      <c r="AH709" s="56"/>
      <c r="AI709" s="56"/>
    </row>
    <row r="710" spans="1:37" ht="15" x14ac:dyDescent="0.2">
      <c r="A710" s="31" t="s">
        <v>4553</v>
      </c>
      <c r="B710" s="33" t="s">
        <v>12632</v>
      </c>
      <c r="C710" s="7"/>
      <c r="D710" s="112">
        <v>5</v>
      </c>
      <c r="E710" s="7"/>
      <c r="F710" s="112"/>
      <c r="G710" s="2" t="s">
        <v>19283</v>
      </c>
      <c r="H710" s="2" t="s">
        <v>1217</v>
      </c>
      <c r="I710" s="2" t="s">
        <v>19284</v>
      </c>
      <c r="J710" s="2" t="s">
        <v>48</v>
      </c>
      <c r="K710" s="2" t="s">
        <v>19286</v>
      </c>
      <c r="L710" s="2" t="s">
        <v>19287</v>
      </c>
      <c r="M710" s="48"/>
      <c r="N710" s="48" t="s">
        <v>22</v>
      </c>
      <c r="O710" s="48" t="s">
        <v>19289</v>
      </c>
      <c r="P710" s="60" t="s">
        <v>4538</v>
      </c>
      <c r="Q710" s="48" t="s">
        <v>19291</v>
      </c>
      <c r="R710" s="60" t="s">
        <v>205</v>
      </c>
      <c r="S710" s="49" t="s">
        <v>74</v>
      </c>
      <c r="T710" s="48" t="s">
        <v>75</v>
      </c>
      <c r="U710" s="49" t="s">
        <v>3678</v>
      </c>
      <c r="V710" s="7" t="s">
        <v>214</v>
      </c>
      <c r="W710" s="49" t="s">
        <v>214</v>
      </c>
      <c r="X710" s="49" t="s">
        <v>214</v>
      </c>
      <c r="Y710" s="49" t="s">
        <v>214</v>
      </c>
      <c r="Z710" s="55" t="s">
        <v>214</v>
      </c>
      <c r="AA710" s="48" t="s">
        <v>214</v>
      </c>
      <c r="AB710" s="84" t="s">
        <v>19289</v>
      </c>
      <c r="AC710" s="53" t="str">
        <f>HYPERLINK("http://catalog.oaklandcc.edu/programs/","Link")</f>
        <v>Link</v>
      </c>
      <c r="AD710" s="42">
        <v>18923</v>
      </c>
      <c r="AE710" s="55"/>
      <c r="AF710" s="55"/>
      <c r="AG710" s="56">
        <v>171535</v>
      </c>
      <c r="AH710" s="7" t="s">
        <v>2459</v>
      </c>
      <c r="AI710" s="7"/>
      <c r="AJ710" s="7"/>
      <c r="AK710" s="7"/>
    </row>
    <row r="711" spans="1:37" ht="15" x14ac:dyDescent="0.2">
      <c r="A711" s="64" t="s">
        <v>4553</v>
      </c>
      <c r="B711" s="33" t="s">
        <v>12632</v>
      </c>
      <c r="C711" s="7" t="s">
        <v>19294</v>
      </c>
      <c r="D711" s="112">
        <v>5</v>
      </c>
      <c r="E711" s="7"/>
      <c r="F711" s="112"/>
      <c r="G711" s="2" t="s">
        <v>19296</v>
      </c>
      <c r="H711" s="2" t="s">
        <v>19297</v>
      </c>
      <c r="I711" s="2" t="s">
        <v>19298</v>
      </c>
      <c r="J711" s="2" t="s">
        <v>48</v>
      </c>
      <c r="K711" s="2" t="s">
        <v>19300</v>
      </c>
      <c r="L711" s="2" t="s">
        <v>19302</v>
      </c>
      <c r="M711" s="45" t="str">
        <f>HYPERLINK("twitter.com/SchoolcraftEag2","@SchoolcraftEag2")</f>
        <v>@SchoolcraftEag2</v>
      </c>
      <c r="N711" s="45" t="str">
        <f>HYPERLINK("https://www.schoolcraft.edu/athletics/join-a-sport","Questionnaire")</f>
        <v>Questionnaire</v>
      </c>
      <c r="O711" s="48" t="s">
        <v>19305</v>
      </c>
      <c r="P711" s="60" t="s">
        <v>4538</v>
      </c>
      <c r="Q711" s="48" t="s">
        <v>18196</v>
      </c>
      <c r="R711" s="48" t="s">
        <v>238</v>
      </c>
      <c r="S711" s="49" t="s">
        <v>74</v>
      </c>
      <c r="T711" s="48" t="s">
        <v>75</v>
      </c>
      <c r="U711" s="49" t="s">
        <v>3678</v>
      </c>
      <c r="V711" s="7" t="s">
        <v>214</v>
      </c>
      <c r="W711" s="49" t="s">
        <v>214</v>
      </c>
      <c r="X711" s="49" t="s">
        <v>214</v>
      </c>
      <c r="Y711" s="49" t="s">
        <v>214</v>
      </c>
      <c r="Z711" s="55" t="s">
        <v>214</v>
      </c>
      <c r="AA711" s="48" t="s">
        <v>19307</v>
      </c>
      <c r="AB711" s="84" t="s">
        <v>19305</v>
      </c>
      <c r="AC711" s="53" t="str">
        <f>HYPERLINK("https://www.schoolcraft.edu/academics/majors","Link")</f>
        <v>Link</v>
      </c>
      <c r="AD711" s="42">
        <v>11339</v>
      </c>
      <c r="AE711" s="55"/>
      <c r="AF711" s="55"/>
      <c r="AG711" s="56">
        <v>172200</v>
      </c>
      <c r="AH711" s="56"/>
      <c r="AI711" s="56"/>
    </row>
    <row r="712" spans="1:37" ht="15" x14ac:dyDescent="0.2">
      <c r="A712" s="31" t="s">
        <v>4553</v>
      </c>
      <c r="B712" s="33" t="s">
        <v>12632</v>
      </c>
      <c r="C712" s="7"/>
      <c r="D712" s="112">
        <v>5</v>
      </c>
      <c r="E712" s="7"/>
      <c r="F712" s="112"/>
      <c r="G712" s="2" t="s">
        <v>19309</v>
      </c>
      <c r="H712" s="7" t="s">
        <v>3385</v>
      </c>
      <c r="I712" s="7" t="s">
        <v>6937</v>
      </c>
      <c r="J712" s="7" t="s">
        <v>48</v>
      </c>
      <c r="K712" s="7" t="s">
        <v>19310</v>
      </c>
      <c r="L712" s="7" t="s">
        <v>19311</v>
      </c>
      <c r="M712" s="45" t="str">
        <f t="shared" ref="M712:M714" si="439">HYPERLINK("twitter.com/sc4_softball","@sc4_softball")</f>
        <v>@sc4_softball</v>
      </c>
      <c r="N712" s="48" t="s">
        <v>22</v>
      </c>
      <c r="O712" s="48" t="s">
        <v>19312</v>
      </c>
      <c r="P712" s="60" t="s">
        <v>4538</v>
      </c>
      <c r="Q712" s="48" t="s">
        <v>19313</v>
      </c>
      <c r="R712" s="48" t="s">
        <v>468</v>
      </c>
      <c r="S712" s="49" t="s">
        <v>74</v>
      </c>
      <c r="T712" s="48" t="s">
        <v>75</v>
      </c>
      <c r="U712" s="49" t="s">
        <v>3678</v>
      </c>
      <c r="V712" s="7" t="s">
        <v>214</v>
      </c>
      <c r="W712" s="49" t="s">
        <v>214</v>
      </c>
      <c r="X712" s="49" t="s">
        <v>214</v>
      </c>
      <c r="Y712" s="49" t="s">
        <v>214</v>
      </c>
      <c r="Z712" s="55" t="s">
        <v>214</v>
      </c>
      <c r="AA712" s="48" t="s">
        <v>19317</v>
      </c>
      <c r="AB712" s="84" t="s">
        <v>19312</v>
      </c>
      <c r="AC712" s="53" t="str">
        <f t="shared" ref="AC712:AC714" si="440">HYPERLINK("https://www.sc4.edu/programs/","Link")</f>
        <v>Link</v>
      </c>
      <c r="AD712" s="42">
        <v>3625</v>
      </c>
      <c r="AE712" s="55"/>
      <c r="AF712" s="55"/>
      <c r="AG712" s="56">
        <v>172291</v>
      </c>
      <c r="AH712" s="7" t="s">
        <v>2459</v>
      </c>
      <c r="AI712" s="7"/>
      <c r="AJ712" s="7"/>
      <c r="AK712" s="7"/>
    </row>
    <row r="713" spans="1:37" ht="15" x14ac:dyDescent="0.2">
      <c r="A713" s="31" t="s">
        <v>4553</v>
      </c>
      <c r="B713" s="33" t="s">
        <v>12632</v>
      </c>
      <c r="C713" s="7"/>
      <c r="D713" s="112">
        <v>5</v>
      </c>
      <c r="E713" s="7"/>
      <c r="F713" s="112"/>
      <c r="G713" s="2" t="s">
        <v>19309</v>
      </c>
      <c r="H713" s="7" t="s">
        <v>13787</v>
      </c>
      <c r="I713" s="7" t="s">
        <v>19320</v>
      </c>
      <c r="J713" s="7" t="s">
        <v>55</v>
      </c>
      <c r="K713" s="7"/>
      <c r="L713" s="7"/>
      <c r="M713" s="45" t="str">
        <f t="shared" si="439"/>
        <v>@sc4_softball</v>
      </c>
      <c r="N713" s="48" t="s">
        <v>22</v>
      </c>
      <c r="O713" s="48" t="s">
        <v>19312</v>
      </c>
      <c r="P713" s="60" t="s">
        <v>4538</v>
      </c>
      <c r="Q713" s="48" t="s">
        <v>19313</v>
      </c>
      <c r="R713" s="48" t="s">
        <v>468</v>
      </c>
      <c r="S713" s="49" t="s">
        <v>74</v>
      </c>
      <c r="T713" s="48" t="s">
        <v>75</v>
      </c>
      <c r="U713" s="49" t="s">
        <v>3678</v>
      </c>
      <c r="V713" s="7" t="s">
        <v>214</v>
      </c>
      <c r="W713" s="49" t="s">
        <v>214</v>
      </c>
      <c r="X713" s="49" t="s">
        <v>214</v>
      </c>
      <c r="Y713" s="49" t="s">
        <v>214</v>
      </c>
      <c r="Z713" s="55" t="s">
        <v>214</v>
      </c>
      <c r="AA713" s="48" t="s">
        <v>19317</v>
      </c>
      <c r="AB713" s="84" t="s">
        <v>19312</v>
      </c>
      <c r="AC713" s="53" t="str">
        <f t="shared" si="440"/>
        <v>Link</v>
      </c>
      <c r="AD713" s="42">
        <v>3625</v>
      </c>
      <c r="AE713" s="55"/>
      <c r="AF713" s="55"/>
      <c r="AG713" s="56">
        <v>172291</v>
      </c>
      <c r="AH713" s="7" t="s">
        <v>2459</v>
      </c>
      <c r="AI713" s="7"/>
      <c r="AJ713" s="7"/>
      <c r="AK713" s="7"/>
    </row>
    <row r="714" spans="1:37" ht="15" x14ac:dyDescent="0.2">
      <c r="A714" s="31" t="s">
        <v>4553</v>
      </c>
      <c r="B714" s="33" t="s">
        <v>12632</v>
      </c>
      <c r="C714" s="7"/>
      <c r="D714" s="112">
        <v>5</v>
      </c>
      <c r="E714" s="7"/>
      <c r="F714" s="112"/>
      <c r="G714" s="2" t="s">
        <v>19309</v>
      </c>
      <c r="H714" s="2" t="s">
        <v>539</v>
      </c>
      <c r="I714" s="2" t="s">
        <v>1267</v>
      </c>
      <c r="J714" s="7" t="s">
        <v>55</v>
      </c>
      <c r="K714" s="7"/>
      <c r="L714" s="7"/>
      <c r="M714" s="45" t="str">
        <f t="shared" si="439"/>
        <v>@sc4_softball</v>
      </c>
      <c r="N714" s="48" t="s">
        <v>22</v>
      </c>
      <c r="O714" s="48" t="s">
        <v>19312</v>
      </c>
      <c r="P714" s="60" t="s">
        <v>4538</v>
      </c>
      <c r="Q714" s="48" t="s">
        <v>19313</v>
      </c>
      <c r="R714" s="48" t="s">
        <v>468</v>
      </c>
      <c r="S714" s="49" t="s">
        <v>74</v>
      </c>
      <c r="T714" s="48" t="s">
        <v>75</v>
      </c>
      <c r="U714" s="49" t="s">
        <v>3678</v>
      </c>
      <c r="V714" s="7" t="s">
        <v>214</v>
      </c>
      <c r="W714" s="49" t="s">
        <v>214</v>
      </c>
      <c r="X714" s="49" t="s">
        <v>214</v>
      </c>
      <c r="Y714" s="49" t="s">
        <v>214</v>
      </c>
      <c r="Z714" s="55" t="s">
        <v>214</v>
      </c>
      <c r="AA714" s="48" t="s">
        <v>19317</v>
      </c>
      <c r="AB714" s="84" t="s">
        <v>19312</v>
      </c>
      <c r="AC714" s="53" t="str">
        <f t="shared" si="440"/>
        <v>Link</v>
      </c>
      <c r="AD714" s="42">
        <v>3625</v>
      </c>
      <c r="AE714" s="55"/>
      <c r="AF714" s="55"/>
      <c r="AG714" s="56">
        <v>172291</v>
      </c>
      <c r="AH714" s="7" t="s">
        <v>2459</v>
      </c>
      <c r="AI714" s="7"/>
      <c r="AJ714" s="7"/>
      <c r="AK714" s="7"/>
    </row>
    <row r="715" spans="1:37" ht="15" x14ac:dyDescent="0.2">
      <c r="A715" s="88" t="s">
        <v>4669</v>
      </c>
      <c r="B715" s="33" t="s">
        <v>12632</v>
      </c>
      <c r="C715" s="7" t="s">
        <v>19327</v>
      </c>
      <c r="D715" s="112">
        <v>5</v>
      </c>
      <c r="E715" s="7"/>
      <c r="F715" s="112"/>
      <c r="G715" s="2" t="s">
        <v>19328</v>
      </c>
      <c r="H715" s="2" t="s">
        <v>329</v>
      </c>
      <c r="I715" s="2" t="s">
        <v>19330</v>
      </c>
      <c r="J715" s="2" t="s">
        <v>48</v>
      </c>
      <c r="K715" s="2" t="s">
        <v>19331</v>
      </c>
      <c r="L715" s="2" t="s">
        <v>19332</v>
      </c>
      <c r="M715" s="48"/>
      <c r="N715" s="45" t="str">
        <f t="shared" ref="N715:N716" si="441">HYPERLINK("twitter.com/https://arccgoldenrams.com/recruits/Softball","Questionnaire")</f>
        <v>Questionnaire</v>
      </c>
      <c r="O715" s="48" t="s">
        <v>19333</v>
      </c>
      <c r="P715" s="60" t="s">
        <v>4661</v>
      </c>
      <c r="Q715" s="48" t="s">
        <v>19334</v>
      </c>
      <c r="R715" s="48" t="s">
        <v>186</v>
      </c>
      <c r="S715" s="49" t="s">
        <v>74</v>
      </c>
      <c r="T715" s="48" t="s">
        <v>75</v>
      </c>
      <c r="U715" s="49" t="s">
        <v>3678</v>
      </c>
      <c r="V715" s="7" t="s">
        <v>214</v>
      </c>
      <c r="W715" s="49" t="s">
        <v>214</v>
      </c>
      <c r="X715" s="49" t="s">
        <v>214</v>
      </c>
      <c r="Y715" s="49" t="s">
        <v>214</v>
      </c>
      <c r="Z715" s="55" t="s">
        <v>214</v>
      </c>
      <c r="AA715" s="39">
        <v>20522</v>
      </c>
      <c r="AB715" s="90" t="s">
        <v>19333</v>
      </c>
      <c r="AC715" s="53" t="str">
        <f t="shared" ref="AC715:AC716" si="442">HYPERLINK("https://www.anokaramsey.edu/academics/degrees-certificates/","Link")</f>
        <v>Link</v>
      </c>
      <c r="AD715" s="42">
        <v>9058</v>
      </c>
      <c r="AE715" s="55"/>
      <c r="AF715" s="55"/>
      <c r="AG715" s="56">
        <v>172963</v>
      </c>
      <c r="AH715" s="56"/>
      <c r="AI715" s="56"/>
    </row>
    <row r="716" spans="1:37" ht="15" x14ac:dyDescent="0.2">
      <c r="A716" s="88" t="s">
        <v>4669</v>
      </c>
      <c r="B716" s="33" t="s">
        <v>12632</v>
      </c>
      <c r="C716" s="7" t="s">
        <v>19338</v>
      </c>
      <c r="D716" s="112">
        <v>5</v>
      </c>
      <c r="E716" s="7"/>
      <c r="F716" s="112"/>
      <c r="G716" s="2" t="s">
        <v>19328</v>
      </c>
      <c r="H716" s="2" t="s">
        <v>1159</v>
      </c>
      <c r="I716" s="2" t="s">
        <v>19339</v>
      </c>
      <c r="J716" s="2" t="s">
        <v>139</v>
      </c>
      <c r="K716" s="2" t="s">
        <v>19340</v>
      </c>
      <c r="L716" s="2" t="s">
        <v>19342</v>
      </c>
      <c r="M716" s="48"/>
      <c r="N716" s="45" t="str">
        <f t="shared" si="441"/>
        <v>Questionnaire</v>
      </c>
      <c r="O716" s="48" t="s">
        <v>19333</v>
      </c>
      <c r="P716" s="60" t="s">
        <v>4661</v>
      </c>
      <c r="Q716" s="48" t="s">
        <v>19334</v>
      </c>
      <c r="R716" s="48" t="s">
        <v>186</v>
      </c>
      <c r="S716" s="49" t="s">
        <v>74</v>
      </c>
      <c r="T716" s="48" t="s">
        <v>75</v>
      </c>
      <c r="U716" s="49" t="s">
        <v>3678</v>
      </c>
      <c r="V716" s="7" t="s">
        <v>214</v>
      </c>
      <c r="W716" s="49" t="s">
        <v>214</v>
      </c>
      <c r="X716" s="49" t="s">
        <v>214</v>
      </c>
      <c r="Y716" s="49" t="s">
        <v>214</v>
      </c>
      <c r="Z716" s="55" t="s">
        <v>214</v>
      </c>
      <c r="AA716" s="39">
        <v>20522</v>
      </c>
      <c r="AB716" s="90" t="s">
        <v>19333</v>
      </c>
      <c r="AC716" s="53" t="str">
        <f t="shared" si="442"/>
        <v>Link</v>
      </c>
      <c r="AD716" s="42">
        <v>9058</v>
      </c>
      <c r="AE716" s="55"/>
      <c r="AF716" s="55"/>
      <c r="AG716" s="56">
        <v>172963</v>
      </c>
      <c r="AH716" s="56"/>
      <c r="AI716" s="56"/>
    </row>
    <row r="717" spans="1:37" ht="15" x14ac:dyDescent="0.2">
      <c r="A717" s="64" t="s">
        <v>4669</v>
      </c>
      <c r="B717" s="33" t="s">
        <v>12632</v>
      </c>
      <c r="C717" s="7" t="s">
        <v>19350</v>
      </c>
      <c r="D717" s="112">
        <v>5</v>
      </c>
      <c r="E717" s="7"/>
      <c r="F717" s="112"/>
      <c r="G717" s="2" t="s">
        <v>19351</v>
      </c>
      <c r="H717" s="2" t="s">
        <v>1589</v>
      </c>
      <c r="I717" s="2" t="s">
        <v>2924</v>
      </c>
      <c r="J717" s="2" t="s">
        <v>48</v>
      </c>
      <c r="K717" s="2" t="s">
        <v>19352</v>
      </c>
      <c r="L717" s="2"/>
      <c r="M717" s="45" t="str">
        <f t="shared" ref="M717:M718" si="443">HYPERLINK("twitter.com/clcraiders_sb","@clcraiders_sb")</f>
        <v>@clcraiders_sb</v>
      </c>
      <c r="N717" s="45" t="str">
        <f t="shared" ref="N717:N718" si="444">HYPERLINK("http://www.clcmn.edu/raider-athletics/want-to-be-a-raider/","Questionnaire")</f>
        <v>Questionnaire</v>
      </c>
      <c r="O717" s="48" t="s">
        <v>19354</v>
      </c>
      <c r="P717" s="60" t="s">
        <v>4661</v>
      </c>
      <c r="Q717" s="48" t="s">
        <v>19355</v>
      </c>
      <c r="R717" s="48" t="s">
        <v>172</v>
      </c>
      <c r="S717" s="49" t="s">
        <v>74</v>
      </c>
      <c r="T717" s="48" t="s">
        <v>75</v>
      </c>
      <c r="U717" s="49" t="s">
        <v>3678</v>
      </c>
      <c r="V717" s="7" t="s">
        <v>214</v>
      </c>
      <c r="W717" s="49" t="s">
        <v>214</v>
      </c>
      <c r="X717" s="49" t="s">
        <v>214</v>
      </c>
      <c r="Y717" s="49" t="s">
        <v>214</v>
      </c>
      <c r="Z717" s="55" t="s">
        <v>214</v>
      </c>
      <c r="AA717" s="39">
        <v>19000</v>
      </c>
      <c r="AB717" s="52" t="s">
        <v>19354</v>
      </c>
      <c r="AC717" s="53" t="str">
        <f t="shared" ref="AC717:AC718" si="445">HYPERLINK("http://www.clcmn.edu/program_listings_alphabetical/","Link")</f>
        <v>Link</v>
      </c>
      <c r="AD717" s="42">
        <v>3888</v>
      </c>
      <c r="AE717" s="55"/>
      <c r="AF717" s="55"/>
      <c r="AG717" s="56">
        <v>173203</v>
      </c>
      <c r="AH717" s="56"/>
      <c r="AI717" s="56"/>
    </row>
    <row r="718" spans="1:37" ht="15" x14ac:dyDescent="0.2">
      <c r="A718" s="64" t="s">
        <v>4669</v>
      </c>
      <c r="B718" s="33" t="s">
        <v>12632</v>
      </c>
      <c r="C718" s="7" t="s">
        <v>19356</v>
      </c>
      <c r="D718" s="112">
        <v>5</v>
      </c>
      <c r="E718" s="7"/>
      <c r="F718" s="112"/>
      <c r="G718" s="2" t="s">
        <v>19351</v>
      </c>
      <c r="H718" s="2" t="s">
        <v>17509</v>
      </c>
      <c r="I718" s="2" t="s">
        <v>6734</v>
      </c>
      <c r="J718" s="2" t="s">
        <v>55</v>
      </c>
      <c r="K718" s="2"/>
      <c r="L718" s="2"/>
      <c r="M718" s="45" t="str">
        <f t="shared" si="443"/>
        <v>@clcraiders_sb</v>
      </c>
      <c r="N718" s="45" t="str">
        <f t="shared" si="444"/>
        <v>Questionnaire</v>
      </c>
      <c r="O718" s="48" t="s">
        <v>19354</v>
      </c>
      <c r="P718" s="60" t="s">
        <v>4661</v>
      </c>
      <c r="Q718" s="48" t="s">
        <v>19355</v>
      </c>
      <c r="R718" s="48" t="s">
        <v>172</v>
      </c>
      <c r="S718" s="49" t="s">
        <v>74</v>
      </c>
      <c r="T718" s="48" t="s">
        <v>75</v>
      </c>
      <c r="U718" s="49" t="s">
        <v>3678</v>
      </c>
      <c r="V718" s="7" t="s">
        <v>214</v>
      </c>
      <c r="W718" s="49" t="s">
        <v>214</v>
      </c>
      <c r="X718" s="49" t="s">
        <v>214</v>
      </c>
      <c r="Y718" s="49" t="s">
        <v>214</v>
      </c>
      <c r="Z718" s="55" t="s">
        <v>214</v>
      </c>
      <c r="AA718" s="39">
        <v>19000</v>
      </c>
      <c r="AB718" s="52" t="s">
        <v>19354</v>
      </c>
      <c r="AC718" s="53" t="str">
        <f t="shared" si="445"/>
        <v>Link</v>
      </c>
      <c r="AD718" s="42">
        <v>3888</v>
      </c>
      <c r="AE718" s="55"/>
      <c r="AF718" s="55"/>
      <c r="AG718" s="56">
        <v>173203</v>
      </c>
      <c r="AH718" s="56"/>
      <c r="AI718" s="56"/>
    </row>
    <row r="719" spans="1:37" ht="15" x14ac:dyDescent="0.2">
      <c r="A719" s="31" t="s">
        <v>4669</v>
      </c>
      <c r="B719" s="33" t="s">
        <v>12632</v>
      </c>
      <c r="C719" s="7"/>
      <c r="D719" s="112">
        <v>5</v>
      </c>
      <c r="E719" s="7"/>
      <c r="F719" s="112"/>
      <c r="G719" s="2" t="s">
        <v>19359</v>
      </c>
      <c r="H719" s="2" t="s">
        <v>930</v>
      </c>
      <c r="I719" s="2" t="s">
        <v>18974</v>
      </c>
      <c r="J719" s="2" t="s">
        <v>48</v>
      </c>
      <c r="K719" s="2" t="s">
        <v>19362</v>
      </c>
      <c r="L719" s="2" t="s">
        <v>19363</v>
      </c>
      <c r="M719" s="48"/>
      <c r="N719" s="45" t="str">
        <f t="shared" ref="N719:N721" si="446">HYPERLINK("http://www.goblueknights.com/recruiting/Recruiting_Form","Questionnaire")</f>
        <v>Questionnaire</v>
      </c>
      <c r="O719" s="48" t="s">
        <v>19364</v>
      </c>
      <c r="P719" s="60" t="s">
        <v>4661</v>
      </c>
      <c r="Q719" s="48" t="s">
        <v>19365</v>
      </c>
      <c r="R719" s="48" t="s">
        <v>172</v>
      </c>
      <c r="S719" s="49" t="s">
        <v>74</v>
      </c>
      <c r="T719" s="48" t="s">
        <v>75</v>
      </c>
      <c r="U719" s="49" t="s">
        <v>3678</v>
      </c>
      <c r="V719" s="7" t="s">
        <v>214</v>
      </c>
      <c r="W719" s="49" t="s">
        <v>214</v>
      </c>
      <c r="X719" s="49" t="s">
        <v>214</v>
      </c>
      <c r="Y719" s="49" t="s">
        <v>214</v>
      </c>
      <c r="Z719" s="55" t="s">
        <v>214</v>
      </c>
      <c r="AA719" s="39">
        <v>19744</v>
      </c>
      <c r="AB719" s="84" t="s">
        <v>19364</v>
      </c>
      <c r="AC719" s="53" t="str">
        <f t="shared" ref="AC719:AC721" si="447">HYPERLINK("http://www.dctc.edu/academics/programs-majors/","Link")</f>
        <v>Link</v>
      </c>
      <c r="AD719" s="42">
        <v>2566</v>
      </c>
      <c r="AE719" s="55"/>
      <c r="AF719" s="55"/>
      <c r="AG719" s="56">
        <v>173416</v>
      </c>
      <c r="AH719" s="7" t="s">
        <v>2459</v>
      </c>
      <c r="AI719" s="7"/>
      <c r="AJ719" s="7"/>
      <c r="AK719" s="7"/>
    </row>
    <row r="720" spans="1:37" ht="15" x14ac:dyDescent="0.2">
      <c r="A720" s="31" t="s">
        <v>4669</v>
      </c>
      <c r="B720" s="33" t="s">
        <v>12632</v>
      </c>
      <c r="C720" s="7"/>
      <c r="D720" s="112">
        <v>5</v>
      </c>
      <c r="E720" s="7"/>
      <c r="F720" s="112"/>
      <c r="G720" s="2" t="s">
        <v>19359</v>
      </c>
      <c r="H720" s="2" t="s">
        <v>4308</v>
      </c>
      <c r="I720" s="2" t="s">
        <v>19369</v>
      </c>
      <c r="J720" s="2" t="s">
        <v>55</v>
      </c>
      <c r="K720" s="2"/>
      <c r="L720" s="2"/>
      <c r="M720" s="48"/>
      <c r="N720" s="45" t="str">
        <f t="shared" si="446"/>
        <v>Questionnaire</v>
      </c>
      <c r="O720" s="48" t="s">
        <v>19364</v>
      </c>
      <c r="P720" s="60" t="s">
        <v>4661</v>
      </c>
      <c r="Q720" s="48" t="s">
        <v>19365</v>
      </c>
      <c r="R720" s="48" t="s">
        <v>172</v>
      </c>
      <c r="S720" s="49" t="s">
        <v>74</v>
      </c>
      <c r="T720" s="48" t="s">
        <v>75</v>
      </c>
      <c r="U720" s="49" t="s">
        <v>3678</v>
      </c>
      <c r="V720" s="7" t="s">
        <v>214</v>
      </c>
      <c r="W720" s="49" t="s">
        <v>214</v>
      </c>
      <c r="X720" s="49" t="s">
        <v>214</v>
      </c>
      <c r="Y720" s="49" t="s">
        <v>214</v>
      </c>
      <c r="Z720" s="55" t="s">
        <v>214</v>
      </c>
      <c r="AA720" s="39">
        <v>19744</v>
      </c>
      <c r="AB720" s="84" t="s">
        <v>19364</v>
      </c>
      <c r="AC720" s="53" t="str">
        <f t="shared" si="447"/>
        <v>Link</v>
      </c>
      <c r="AD720" s="42">
        <v>2566</v>
      </c>
      <c r="AE720" s="55"/>
      <c r="AF720" s="55"/>
      <c r="AG720" s="56">
        <v>173416</v>
      </c>
      <c r="AH720" s="7" t="s">
        <v>2459</v>
      </c>
      <c r="AI720" s="7"/>
      <c r="AJ720" s="7"/>
      <c r="AK720" s="7"/>
    </row>
    <row r="721" spans="1:37" ht="15" x14ac:dyDescent="0.2">
      <c r="A721" s="31" t="s">
        <v>4669</v>
      </c>
      <c r="B721" s="33" t="s">
        <v>12632</v>
      </c>
      <c r="C721" s="7"/>
      <c r="D721" s="112">
        <v>5</v>
      </c>
      <c r="E721" s="7"/>
      <c r="F721" s="112"/>
      <c r="G721" s="2" t="s">
        <v>19359</v>
      </c>
      <c r="H721" s="2" t="s">
        <v>10716</v>
      </c>
      <c r="I721" s="2" t="s">
        <v>10718</v>
      </c>
      <c r="J721" s="2" t="s">
        <v>55</v>
      </c>
      <c r="K721" s="2"/>
      <c r="L721" s="2"/>
      <c r="M721" s="48"/>
      <c r="N721" s="45" t="str">
        <f t="shared" si="446"/>
        <v>Questionnaire</v>
      </c>
      <c r="O721" s="48" t="s">
        <v>19364</v>
      </c>
      <c r="P721" s="60" t="s">
        <v>4661</v>
      </c>
      <c r="Q721" s="48" t="s">
        <v>19365</v>
      </c>
      <c r="R721" s="48" t="s">
        <v>172</v>
      </c>
      <c r="S721" s="49" t="s">
        <v>74</v>
      </c>
      <c r="T721" s="48" t="s">
        <v>75</v>
      </c>
      <c r="U721" s="49" t="s">
        <v>3678</v>
      </c>
      <c r="V721" s="7" t="s">
        <v>214</v>
      </c>
      <c r="W721" s="49" t="s">
        <v>214</v>
      </c>
      <c r="X721" s="49" t="s">
        <v>214</v>
      </c>
      <c r="Y721" s="49" t="s">
        <v>214</v>
      </c>
      <c r="Z721" s="55" t="s">
        <v>214</v>
      </c>
      <c r="AA721" s="39">
        <v>19744</v>
      </c>
      <c r="AB721" s="84" t="s">
        <v>19364</v>
      </c>
      <c r="AC721" s="53" t="str">
        <f t="shared" si="447"/>
        <v>Link</v>
      </c>
      <c r="AD721" s="42">
        <v>2566</v>
      </c>
      <c r="AE721" s="55"/>
      <c r="AF721" s="55"/>
      <c r="AG721" s="56">
        <v>173416</v>
      </c>
      <c r="AH721" s="7" t="s">
        <v>2459</v>
      </c>
      <c r="AI721" s="7"/>
      <c r="AJ721" s="7"/>
      <c r="AK721" s="7"/>
    </row>
    <row r="722" spans="1:37" ht="15" x14ac:dyDescent="0.2">
      <c r="A722" s="64" t="s">
        <v>4669</v>
      </c>
      <c r="B722" s="33" t="s">
        <v>12632</v>
      </c>
      <c r="C722" s="7" t="s">
        <v>19373</v>
      </c>
      <c r="D722" s="112">
        <v>5</v>
      </c>
      <c r="E722" s="7"/>
      <c r="F722" s="112"/>
      <c r="G722" s="2" t="s">
        <v>19374</v>
      </c>
      <c r="H722" s="2" t="s">
        <v>421</v>
      </c>
      <c r="I722" s="2"/>
      <c r="J722" s="2" t="s">
        <v>48</v>
      </c>
      <c r="K722" s="2"/>
      <c r="L722" s="2"/>
      <c r="M722" s="45" t="str">
        <f>HYPERLINK("twitter.com/fondysoftball17","@fondysoftball17")</f>
        <v>@fondysoftball17</v>
      </c>
      <c r="N722" s="48" t="s">
        <v>22</v>
      </c>
      <c r="O722" s="48" t="s">
        <v>16558</v>
      </c>
      <c r="P722" s="47" t="s">
        <v>4661</v>
      </c>
      <c r="Q722" s="48" t="s">
        <v>19378</v>
      </c>
      <c r="R722" s="48" t="s">
        <v>172</v>
      </c>
      <c r="S722" s="49" t="s">
        <v>74</v>
      </c>
      <c r="T722" s="48" t="s">
        <v>75</v>
      </c>
      <c r="U722" s="49" t="s">
        <v>3678</v>
      </c>
      <c r="V722" s="7" t="s">
        <v>214</v>
      </c>
      <c r="W722" s="49" t="s">
        <v>214</v>
      </c>
      <c r="X722" s="49" t="s">
        <v>214</v>
      </c>
      <c r="Y722" s="49" t="s">
        <v>214</v>
      </c>
      <c r="Z722" s="55" t="s">
        <v>214</v>
      </c>
      <c r="AA722" s="71">
        <v>16054</v>
      </c>
      <c r="AB722" s="62" t="s">
        <v>16558</v>
      </c>
      <c r="AC722" s="53" t="str">
        <f>HYPERLINK("http://fdl.uwc.edu/academics/majors-degrees","Link")</f>
        <v>Link</v>
      </c>
      <c r="AD722" s="54">
        <v>2101</v>
      </c>
      <c r="AE722" s="55"/>
      <c r="AF722" s="55"/>
      <c r="AG722" s="56">
        <v>380368</v>
      </c>
      <c r="AH722" s="56"/>
      <c r="AI722" s="56"/>
    </row>
    <row r="723" spans="1:37" ht="15" x14ac:dyDescent="0.2">
      <c r="A723" s="31" t="s">
        <v>4669</v>
      </c>
      <c r="B723" s="33" t="s">
        <v>12632</v>
      </c>
      <c r="C723" s="7"/>
      <c r="D723" s="112">
        <v>5</v>
      </c>
      <c r="E723" s="7" t="s">
        <v>116</v>
      </c>
      <c r="F723" s="112"/>
      <c r="G723" s="2" t="s">
        <v>19382</v>
      </c>
      <c r="H723" s="2" t="s">
        <v>1266</v>
      </c>
      <c r="I723" s="2" t="s">
        <v>19383</v>
      </c>
      <c r="J723" s="2" t="s">
        <v>48</v>
      </c>
      <c r="K723" s="2" t="s">
        <v>19384</v>
      </c>
      <c r="L723" s="2" t="s">
        <v>19385</v>
      </c>
      <c r="M723" s="48"/>
      <c r="N723" s="45" t="str">
        <f>HYPERLINK("https://hibbing.edu/athletics/softball/recruiting-form","Questionnaire")</f>
        <v>Questionnaire</v>
      </c>
      <c r="O723" s="48" t="s">
        <v>19386</v>
      </c>
      <c r="P723" s="60" t="s">
        <v>4661</v>
      </c>
      <c r="Q723" s="48" t="s">
        <v>19387</v>
      </c>
      <c r="R723" s="48" t="s">
        <v>172</v>
      </c>
      <c r="S723" s="49" t="s">
        <v>74</v>
      </c>
      <c r="T723" s="48" t="s">
        <v>75</v>
      </c>
      <c r="U723" s="49" t="s">
        <v>3678</v>
      </c>
      <c r="V723" s="7" t="s">
        <v>214</v>
      </c>
      <c r="W723" s="49" t="s">
        <v>214</v>
      </c>
      <c r="X723" s="49" t="s">
        <v>214</v>
      </c>
      <c r="Y723" s="49" t="s">
        <v>214</v>
      </c>
      <c r="Z723" s="55" t="s">
        <v>214</v>
      </c>
      <c r="AA723" s="48" t="s">
        <v>19388</v>
      </c>
      <c r="AB723" s="84" t="s">
        <v>19386</v>
      </c>
      <c r="AC723" s="53" t="str">
        <f>HYPERLINK("http://hibbing.edu/academics/","Link")</f>
        <v>Link</v>
      </c>
      <c r="AD723" s="42">
        <v>1319</v>
      </c>
      <c r="AE723" s="55"/>
      <c r="AF723" s="55"/>
      <c r="AG723" s="56">
        <v>173735</v>
      </c>
      <c r="AH723" s="7" t="s">
        <v>2459</v>
      </c>
      <c r="AI723" s="7"/>
      <c r="AJ723" s="7"/>
      <c r="AK723" s="7"/>
    </row>
    <row r="724" spans="1:37" ht="15" x14ac:dyDescent="0.2">
      <c r="A724" s="31" t="s">
        <v>4669</v>
      </c>
      <c r="B724" s="33" t="s">
        <v>12632</v>
      </c>
      <c r="C724" s="7"/>
      <c r="D724" s="112">
        <v>5</v>
      </c>
      <c r="E724" s="7"/>
      <c r="F724" s="112"/>
      <c r="G724" s="2" t="s">
        <v>19390</v>
      </c>
      <c r="H724" s="2" t="s">
        <v>150</v>
      </c>
      <c r="I724" s="2" t="s">
        <v>6734</v>
      </c>
      <c r="J724" s="2" t="s">
        <v>48</v>
      </c>
      <c r="K724" s="2" t="s">
        <v>19391</v>
      </c>
      <c r="L724" s="2" t="s">
        <v>19392</v>
      </c>
      <c r="M724" s="45" t="str">
        <f>HYPERLINK("twitter.com/itascasb","@itascasb")</f>
        <v>@itascasb</v>
      </c>
      <c r="N724" s="45" t="str">
        <f>HYPERLINK("https://www.itascacc.edu/get-involved/athletics","Questionnaire")</f>
        <v>Questionnaire</v>
      </c>
      <c r="O724" s="48" t="s">
        <v>19395</v>
      </c>
      <c r="P724" s="60" t="s">
        <v>4661</v>
      </c>
      <c r="Q724" s="48" t="s">
        <v>5360</v>
      </c>
      <c r="R724" s="48" t="s">
        <v>172</v>
      </c>
      <c r="S724" s="49" t="s">
        <v>74</v>
      </c>
      <c r="T724" s="48" t="s">
        <v>75</v>
      </c>
      <c r="U724" s="49" t="s">
        <v>3678</v>
      </c>
      <c r="V724" s="7" t="s">
        <v>214</v>
      </c>
      <c r="W724" s="49" t="s">
        <v>214</v>
      </c>
      <c r="X724" s="49" t="s">
        <v>214</v>
      </c>
      <c r="Y724" s="49" t="s">
        <v>214</v>
      </c>
      <c r="Z724" s="55" t="s">
        <v>214</v>
      </c>
      <c r="AA724" s="48" t="s">
        <v>19397</v>
      </c>
      <c r="AB724" s="84" t="s">
        <v>19395</v>
      </c>
      <c r="AC724" s="53" t="str">
        <f>HYPERLINK("http://www.itascacc.edu/academics/area-of-study/","Link")</f>
        <v>Link</v>
      </c>
      <c r="AD724" s="42">
        <v>1218</v>
      </c>
      <c r="AE724" s="55"/>
      <c r="AF724" s="55"/>
      <c r="AG724" s="56">
        <v>173805</v>
      </c>
      <c r="AH724" s="7" t="s">
        <v>2459</v>
      </c>
      <c r="AI724" s="7"/>
      <c r="AJ724" s="7"/>
      <c r="AK724" s="7"/>
    </row>
    <row r="725" spans="1:37" ht="15" x14ac:dyDescent="0.2">
      <c r="A725" s="31" t="s">
        <v>4669</v>
      </c>
      <c r="B725" s="33" t="s">
        <v>12632</v>
      </c>
      <c r="C725" s="7"/>
      <c r="D725" s="112">
        <v>5</v>
      </c>
      <c r="E725" s="7"/>
      <c r="F725" s="112"/>
      <c r="G725" s="2" t="s">
        <v>19398</v>
      </c>
      <c r="H725" s="2" t="s">
        <v>2705</v>
      </c>
      <c r="I725" s="2" t="s">
        <v>2031</v>
      </c>
      <c r="J725" s="2" t="s">
        <v>48</v>
      </c>
      <c r="K725" s="2" t="s">
        <v>19399</v>
      </c>
      <c r="L725" s="2" t="s">
        <v>19400</v>
      </c>
      <c r="M725" s="48"/>
      <c r="N725" s="45" t="str">
        <f>HYPERLINK("https://www.mesabirange.edu/athletics/athletics-recruiting-form","Questionnaire")</f>
        <v>Questionnaire</v>
      </c>
      <c r="O725" s="48" t="s">
        <v>19405</v>
      </c>
      <c r="P725" s="60" t="s">
        <v>4661</v>
      </c>
      <c r="Q725" s="48" t="s">
        <v>1374</v>
      </c>
      <c r="R725" s="60" t="s">
        <v>205</v>
      </c>
      <c r="S725" s="49" t="s">
        <v>74</v>
      </c>
      <c r="T725" s="48" t="s">
        <v>75</v>
      </c>
      <c r="U725" s="49" t="s">
        <v>3678</v>
      </c>
      <c r="V725" s="7" t="s">
        <v>214</v>
      </c>
      <c r="W725" s="49" t="s">
        <v>214</v>
      </c>
      <c r="X725" s="49" t="s">
        <v>214</v>
      </c>
      <c r="Y725" s="49" t="s">
        <v>214</v>
      </c>
      <c r="Z725" s="55" t="s">
        <v>214</v>
      </c>
      <c r="AA725" s="48" t="s">
        <v>19406</v>
      </c>
      <c r="AB725" s="84" t="s">
        <v>19405</v>
      </c>
      <c r="AC725" s="53" t="str">
        <f>HYPERLINK("http://www.mesabirange.edu/programsdegrees/program-overview.html","Link")</f>
        <v>Link</v>
      </c>
      <c r="AD725" s="42">
        <v>1210</v>
      </c>
      <c r="AE725" s="55"/>
      <c r="AF725" s="55"/>
      <c r="AG725" s="56">
        <v>173993</v>
      </c>
      <c r="AH725" s="7" t="s">
        <v>2459</v>
      </c>
      <c r="AI725" s="7"/>
      <c r="AJ725" s="7"/>
      <c r="AK725" s="7"/>
    </row>
    <row r="726" spans="1:37" ht="15" x14ac:dyDescent="0.2">
      <c r="A726" s="64" t="s">
        <v>4669</v>
      </c>
      <c r="B726" s="33" t="s">
        <v>12632</v>
      </c>
      <c r="C726" s="7" t="s">
        <v>19410</v>
      </c>
      <c r="D726" s="112">
        <v>5</v>
      </c>
      <c r="E726" s="7"/>
      <c r="F726" s="112"/>
      <c r="G726" s="2" t="s">
        <v>19411</v>
      </c>
      <c r="H726" s="2" t="s">
        <v>363</v>
      </c>
      <c r="I726" s="2" t="s">
        <v>701</v>
      </c>
      <c r="J726" s="2" t="s">
        <v>48</v>
      </c>
      <c r="K726" s="2" t="s">
        <v>19412</v>
      </c>
      <c r="L726" s="2" t="s">
        <v>19413</v>
      </c>
      <c r="M726" s="48"/>
      <c r="N726" s="45" t="str">
        <f>HYPERLINK("http://athletics.minnesota.edu/information/Recrutingform","Questionnaire")</f>
        <v>Questionnaire</v>
      </c>
      <c r="O726" s="48" t="s">
        <v>19415</v>
      </c>
      <c r="P726" s="60" t="s">
        <v>4661</v>
      </c>
      <c r="Q726" s="48" t="s">
        <v>19417</v>
      </c>
      <c r="R726" s="48" t="s">
        <v>172</v>
      </c>
      <c r="S726" s="49" t="s">
        <v>74</v>
      </c>
      <c r="T726" s="48" t="s">
        <v>75</v>
      </c>
      <c r="U726" s="49" t="s">
        <v>3678</v>
      </c>
      <c r="V726" s="7" t="s">
        <v>214</v>
      </c>
      <c r="W726" s="49" t="s">
        <v>214</v>
      </c>
      <c r="X726" s="49" t="s">
        <v>214</v>
      </c>
      <c r="Y726" s="49" t="s">
        <v>214</v>
      </c>
      <c r="Z726" s="55" t="s">
        <v>214</v>
      </c>
      <c r="AA726" s="39">
        <v>16822</v>
      </c>
      <c r="AB726" s="84" t="s">
        <v>19415</v>
      </c>
      <c r="AC726" s="53" t="str">
        <f>HYPERLINK("http://www.minnesota.edu/programs/","Link")</f>
        <v>Link</v>
      </c>
      <c r="AD726" s="42">
        <v>6316</v>
      </c>
      <c r="AE726" s="55"/>
      <c r="AF726" s="55"/>
      <c r="AG726" s="56">
        <v>173559</v>
      </c>
      <c r="AH726" s="56"/>
      <c r="AI726" s="56"/>
    </row>
    <row r="727" spans="1:37" ht="15" x14ac:dyDescent="0.2">
      <c r="A727" s="64" t="s">
        <v>4669</v>
      </c>
      <c r="B727" s="33" t="s">
        <v>12632</v>
      </c>
      <c r="C727" s="7" t="s">
        <v>19418</v>
      </c>
      <c r="D727" s="112">
        <v>5</v>
      </c>
      <c r="E727" s="7"/>
      <c r="F727" s="112"/>
      <c r="G727" s="2" t="s">
        <v>19420</v>
      </c>
      <c r="H727" s="2" t="s">
        <v>12690</v>
      </c>
      <c r="I727" s="2" t="s">
        <v>19421</v>
      </c>
      <c r="J727" s="2" t="s">
        <v>48</v>
      </c>
      <c r="K727" s="2" t="s">
        <v>19422</v>
      </c>
      <c r="L727" s="2"/>
      <c r="M727" s="48"/>
      <c r="N727" s="45" t="str">
        <f>HYPERLINK("https://www.mnwestathletics.com/information/recruit","Questionnaire")</f>
        <v>Questionnaire</v>
      </c>
      <c r="O727" s="48" t="s">
        <v>19423</v>
      </c>
      <c r="P727" s="60" t="s">
        <v>4661</v>
      </c>
      <c r="Q727" s="48" t="s">
        <v>10333</v>
      </c>
      <c r="R727" s="48" t="s">
        <v>172</v>
      </c>
      <c r="S727" s="5" t="s">
        <v>74</v>
      </c>
      <c r="T727" s="48" t="s">
        <v>75</v>
      </c>
      <c r="U727" s="49" t="s">
        <v>3678</v>
      </c>
      <c r="V727" s="7" t="s">
        <v>214</v>
      </c>
      <c r="W727" s="49" t="s">
        <v>214</v>
      </c>
      <c r="X727" s="49" t="s">
        <v>214</v>
      </c>
      <c r="Y727" s="49" t="s">
        <v>214</v>
      </c>
      <c r="Z727" s="55" t="s">
        <v>214</v>
      </c>
      <c r="AA727" s="48" t="s">
        <v>19425</v>
      </c>
      <c r="AB727" s="84" t="s">
        <v>19423</v>
      </c>
      <c r="AC727" s="53" t="str">
        <f>HYPERLINK("http://www.mnwest.edu/programs-courses/degrees-awards","Link")</f>
        <v>Link</v>
      </c>
      <c r="AD727" s="42">
        <v>3050</v>
      </c>
      <c r="AE727" s="55"/>
      <c r="AF727" s="55"/>
      <c r="AG727" s="56">
        <v>173559</v>
      </c>
      <c r="AH727" s="56"/>
      <c r="AI727" s="56"/>
    </row>
    <row r="728" spans="1:37" ht="15" x14ac:dyDescent="0.2">
      <c r="A728" s="64" t="s">
        <v>4669</v>
      </c>
      <c r="B728" s="33" t="s">
        <v>12632</v>
      </c>
      <c r="C728" s="7" t="s">
        <v>19426</v>
      </c>
      <c r="D728" s="112">
        <v>5</v>
      </c>
      <c r="E728" s="7"/>
      <c r="F728" s="112"/>
      <c r="G728" s="2" t="s">
        <v>19427</v>
      </c>
      <c r="H728" s="2" t="s">
        <v>2599</v>
      </c>
      <c r="I728" s="2" t="s">
        <v>1792</v>
      </c>
      <c r="J728" s="2" t="s">
        <v>48</v>
      </c>
      <c r="K728" s="2" t="s">
        <v>19428</v>
      </c>
      <c r="L728" s="2" t="s">
        <v>19429</v>
      </c>
      <c r="M728" s="48"/>
      <c r="N728" s="45" t="str">
        <f t="shared" ref="N728:N729" si="448">HYPERLINK("https://northlandpioneers.com/sb_output.aspx?form=9","Questionnaire")</f>
        <v>Questionnaire</v>
      </c>
      <c r="O728" s="48" t="s">
        <v>19431</v>
      </c>
      <c r="P728" s="60" t="s">
        <v>4661</v>
      </c>
      <c r="Q728" s="48" t="s">
        <v>19432</v>
      </c>
      <c r="R728" s="60" t="s">
        <v>205</v>
      </c>
      <c r="S728" s="5" t="s">
        <v>74</v>
      </c>
      <c r="T728" s="48" t="s">
        <v>75</v>
      </c>
      <c r="U728" s="49" t="s">
        <v>3678</v>
      </c>
      <c r="V728" s="7" t="s">
        <v>214</v>
      </c>
      <c r="W728" s="49" t="s">
        <v>214</v>
      </c>
      <c r="X728" s="49" t="s">
        <v>214</v>
      </c>
      <c r="Y728" s="49" t="s">
        <v>214</v>
      </c>
      <c r="Z728" s="49" t="s">
        <v>214</v>
      </c>
      <c r="AA728" s="39">
        <v>17084</v>
      </c>
      <c r="AB728" s="84" t="s">
        <v>19433</v>
      </c>
      <c r="AC728" s="53" t="str">
        <f t="shared" ref="AC728:AC729" si="449">HYPERLINK("http://www.northlandcollege.edu/academics/programs/career-and-technical/","Link")</f>
        <v>Link</v>
      </c>
      <c r="AD728" s="42">
        <v>3599</v>
      </c>
      <c r="AE728" s="55"/>
      <c r="AF728" s="55"/>
      <c r="AG728" s="56">
        <v>174473</v>
      </c>
      <c r="AH728" s="56"/>
      <c r="AI728" s="56"/>
    </row>
    <row r="729" spans="1:37" ht="15" x14ac:dyDescent="0.2">
      <c r="A729" s="64" t="s">
        <v>4669</v>
      </c>
      <c r="B729" s="33" t="s">
        <v>12632</v>
      </c>
      <c r="C729" s="7" t="s">
        <v>19439</v>
      </c>
      <c r="D729" s="112">
        <v>5</v>
      </c>
      <c r="E729" s="7"/>
      <c r="F729" s="112"/>
      <c r="G729" s="2" t="s">
        <v>19427</v>
      </c>
      <c r="H729" s="2" t="s">
        <v>1875</v>
      </c>
      <c r="I729" s="2" t="s">
        <v>19440</v>
      </c>
      <c r="J729" s="2" t="s">
        <v>55</v>
      </c>
      <c r="K729" s="2" t="s">
        <v>19441</v>
      </c>
      <c r="L729" s="2"/>
      <c r="M729" s="48"/>
      <c r="N729" s="45" t="str">
        <f t="shared" si="448"/>
        <v>Questionnaire</v>
      </c>
      <c r="O729" s="48" t="s">
        <v>19431</v>
      </c>
      <c r="P729" s="60" t="s">
        <v>4661</v>
      </c>
      <c r="Q729" s="48" t="s">
        <v>19432</v>
      </c>
      <c r="R729" s="60" t="s">
        <v>205</v>
      </c>
      <c r="S729" s="5" t="s">
        <v>74</v>
      </c>
      <c r="T729" s="48" t="s">
        <v>75</v>
      </c>
      <c r="U729" s="49" t="s">
        <v>3678</v>
      </c>
      <c r="V729" s="7" t="s">
        <v>214</v>
      </c>
      <c r="W729" s="49" t="s">
        <v>214</v>
      </c>
      <c r="X729" s="49" t="s">
        <v>214</v>
      </c>
      <c r="Y729" s="49" t="s">
        <v>214</v>
      </c>
      <c r="Z729" s="49" t="s">
        <v>214</v>
      </c>
      <c r="AA729" s="39">
        <v>17084</v>
      </c>
      <c r="AB729" s="84" t="s">
        <v>19433</v>
      </c>
      <c r="AC729" s="53" t="str">
        <f t="shared" si="449"/>
        <v>Link</v>
      </c>
      <c r="AD729" s="42">
        <v>3599</v>
      </c>
      <c r="AE729" s="55"/>
      <c r="AF729" s="55"/>
      <c r="AG729" s="56">
        <v>174473</v>
      </c>
      <c r="AH729" s="56"/>
      <c r="AI729" s="56"/>
    </row>
    <row r="730" spans="1:37" ht="15" x14ac:dyDescent="0.2">
      <c r="A730" s="31" t="s">
        <v>4669</v>
      </c>
      <c r="B730" s="33" t="s">
        <v>12632</v>
      </c>
      <c r="C730" s="7"/>
      <c r="D730" s="112">
        <v>5</v>
      </c>
      <c r="E730" s="7"/>
      <c r="F730" s="112"/>
      <c r="G730" s="2" t="s">
        <v>19444</v>
      </c>
      <c r="H730" s="2" t="s">
        <v>19445</v>
      </c>
      <c r="I730" s="2" t="s">
        <v>19446</v>
      </c>
      <c r="J730" s="2" t="s">
        <v>48</v>
      </c>
      <c r="K730" s="95" t="str">
        <f>HYPERLINK("mailto:dieter.humbert@rainyriver.edu","dieter.humbert@rainyriver.edu")</f>
        <v>dieter.humbert@rainyriver.edu</v>
      </c>
      <c r="L730" s="2" t="s">
        <v>19448</v>
      </c>
      <c r="M730" s="48"/>
      <c r="N730" s="48" t="s">
        <v>22</v>
      </c>
      <c r="O730" s="48" t="s">
        <v>19449</v>
      </c>
      <c r="P730" s="60" t="s">
        <v>4661</v>
      </c>
      <c r="Q730" s="48" t="s">
        <v>19450</v>
      </c>
      <c r="R730" s="60" t="s">
        <v>205</v>
      </c>
      <c r="S730" s="49" t="s">
        <v>74</v>
      </c>
      <c r="T730" s="48" t="s">
        <v>75</v>
      </c>
      <c r="U730" s="49" t="s">
        <v>3678</v>
      </c>
      <c r="V730" s="7" t="s">
        <v>214</v>
      </c>
      <c r="W730" s="49" t="s">
        <v>214</v>
      </c>
      <c r="X730" s="49" t="s">
        <v>214</v>
      </c>
      <c r="Y730" s="49" t="s">
        <v>214</v>
      </c>
      <c r="Z730" s="55" t="s">
        <v>214</v>
      </c>
      <c r="AA730" s="48" t="s">
        <v>19451</v>
      </c>
      <c r="AB730" s="84" t="s">
        <v>19449</v>
      </c>
      <c r="AC730" s="53" t="str">
        <f t="shared" ref="AC730:AC731" si="450">HYPERLINK("http://www.rainyriver.edu/academics/programs/","Link")</f>
        <v>Link</v>
      </c>
      <c r="AD730" s="42">
        <v>322</v>
      </c>
      <c r="AE730" s="55"/>
      <c r="AF730" s="55"/>
      <c r="AG730" s="56">
        <v>174604</v>
      </c>
      <c r="AH730" s="7" t="s">
        <v>2459</v>
      </c>
      <c r="AI730" s="7"/>
      <c r="AJ730" s="7"/>
      <c r="AK730" s="7"/>
    </row>
    <row r="731" spans="1:37" ht="15" x14ac:dyDescent="0.2">
      <c r="A731" s="31" t="s">
        <v>4669</v>
      </c>
      <c r="B731" s="33" t="s">
        <v>12632</v>
      </c>
      <c r="C731" s="7"/>
      <c r="D731" s="112">
        <v>5</v>
      </c>
      <c r="E731" s="7"/>
      <c r="F731" s="112"/>
      <c r="G731" s="2" t="s">
        <v>19444</v>
      </c>
      <c r="H731" s="2" t="s">
        <v>4118</v>
      </c>
      <c r="I731" s="2" t="s">
        <v>19455</v>
      </c>
      <c r="J731" s="2" t="s">
        <v>55</v>
      </c>
      <c r="K731" s="2"/>
      <c r="L731" s="2"/>
      <c r="M731" s="48"/>
      <c r="N731" s="48" t="s">
        <v>22</v>
      </c>
      <c r="O731" s="48" t="s">
        <v>19449</v>
      </c>
      <c r="P731" s="60" t="s">
        <v>4661</v>
      </c>
      <c r="Q731" s="48" t="s">
        <v>19450</v>
      </c>
      <c r="R731" s="60" t="s">
        <v>205</v>
      </c>
      <c r="S731" s="49" t="s">
        <v>74</v>
      </c>
      <c r="T731" s="48" t="s">
        <v>75</v>
      </c>
      <c r="U731" s="49" t="s">
        <v>3678</v>
      </c>
      <c r="V731" s="7" t="s">
        <v>214</v>
      </c>
      <c r="W731" s="49" t="s">
        <v>214</v>
      </c>
      <c r="X731" s="49" t="s">
        <v>214</v>
      </c>
      <c r="Y731" s="49" t="s">
        <v>214</v>
      </c>
      <c r="Z731" s="55" t="s">
        <v>214</v>
      </c>
      <c r="AA731" s="48" t="s">
        <v>19451</v>
      </c>
      <c r="AB731" s="84" t="s">
        <v>19449</v>
      </c>
      <c r="AC731" s="53" t="str">
        <f t="shared" si="450"/>
        <v>Link</v>
      </c>
      <c r="AD731" s="42">
        <v>322</v>
      </c>
      <c r="AE731" s="55"/>
      <c r="AF731" s="55"/>
      <c r="AG731" s="56">
        <v>174604</v>
      </c>
      <c r="AH731" s="7" t="s">
        <v>2459</v>
      </c>
      <c r="AI731" s="7"/>
      <c r="AJ731" s="7"/>
      <c r="AK731" s="7"/>
    </row>
    <row r="732" spans="1:37" ht="15" x14ac:dyDescent="0.2">
      <c r="A732" s="31" t="s">
        <v>4669</v>
      </c>
      <c r="B732" s="33" t="s">
        <v>12632</v>
      </c>
      <c r="C732" s="7"/>
      <c r="D732" s="112">
        <v>5</v>
      </c>
      <c r="E732" s="7"/>
      <c r="F732" s="112"/>
      <c r="G732" s="2" t="s">
        <v>19456</v>
      </c>
      <c r="H732" s="2" t="s">
        <v>19457</v>
      </c>
      <c r="I732" s="2" t="s">
        <v>3795</v>
      </c>
      <c r="J732" s="2" t="s">
        <v>48</v>
      </c>
      <c r="K732" s="2" t="s">
        <v>19458</v>
      </c>
      <c r="L732" s="2" t="s">
        <v>19459</v>
      </c>
      <c r="M732" s="48"/>
      <c r="N732" s="45" t="str">
        <f>HYPERLINK("https://ridgewater.edu/athletics/athletics-inquiry-form/","Questionnaire")</f>
        <v>Questionnaire</v>
      </c>
      <c r="O732" s="48" t="s">
        <v>19461</v>
      </c>
      <c r="P732" s="60" t="s">
        <v>4661</v>
      </c>
      <c r="Q732" s="48" t="s">
        <v>19462</v>
      </c>
      <c r="R732" s="48" t="s">
        <v>172</v>
      </c>
      <c r="S732" s="49" t="s">
        <v>74</v>
      </c>
      <c r="T732" s="48" t="s">
        <v>75</v>
      </c>
      <c r="U732" s="49" t="s">
        <v>3678</v>
      </c>
      <c r="V732" s="7" t="s">
        <v>214</v>
      </c>
      <c r="W732" s="49" t="s">
        <v>214</v>
      </c>
      <c r="X732" s="49" t="s">
        <v>214</v>
      </c>
      <c r="Y732" s="49" t="s">
        <v>214</v>
      </c>
      <c r="Z732" s="55" t="s">
        <v>214</v>
      </c>
      <c r="AA732" s="39">
        <v>18688</v>
      </c>
      <c r="AB732" s="84" t="s">
        <v>19461</v>
      </c>
      <c r="AC732" s="53" t="str">
        <f>HYPERLINK("http://www.ridgewater.edu/programs-and-majors/Pages/default.aspx","Link")</f>
        <v>Link</v>
      </c>
      <c r="AD732" s="42">
        <v>3580</v>
      </c>
      <c r="AE732" s="55"/>
      <c r="AF732" s="55"/>
      <c r="AG732" s="56">
        <v>175236</v>
      </c>
      <c r="AH732" s="7" t="s">
        <v>2459</v>
      </c>
      <c r="AI732" s="7"/>
      <c r="AJ732" s="7"/>
      <c r="AK732" s="7"/>
    </row>
    <row r="733" spans="1:37" ht="15" x14ac:dyDescent="0.2">
      <c r="A733" s="31" t="s">
        <v>4669</v>
      </c>
      <c r="B733" s="33" t="s">
        <v>12632</v>
      </c>
      <c r="C733" s="7"/>
      <c r="D733" s="112">
        <v>5</v>
      </c>
      <c r="E733" s="7"/>
      <c r="F733" s="112"/>
      <c r="G733" s="2" t="s">
        <v>19467</v>
      </c>
      <c r="H733" s="2" t="s">
        <v>1875</v>
      </c>
      <c r="I733" s="2" t="s">
        <v>19468</v>
      </c>
      <c r="J733" s="2" t="s">
        <v>48</v>
      </c>
      <c r="K733" s="2" t="s">
        <v>19469</v>
      </c>
      <c r="L733" s="2" t="s">
        <v>19470</v>
      </c>
      <c r="M733" s="48"/>
      <c r="N733" s="45" t="str">
        <f>HYPERLINK("https://www.riverland.edu/riverland-athletics/inquiry-form/","Questionnaire")</f>
        <v>Questionnaire</v>
      </c>
      <c r="O733" s="48" t="s">
        <v>19471</v>
      </c>
      <c r="P733" s="60" t="s">
        <v>4661</v>
      </c>
      <c r="Q733" s="48" t="s">
        <v>2924</v>
      </c>
      <c r="R733" s="48" t="s">
        <v>172</v>
      </c>
      <c r="S733" s="49" t="s">
        <v>74</v>
      </c>
      <c r="T733" s="48" t="s">
        <v>75</v>
      </c>
      <c r="U733" s="49" t="s">
        <v>3678</v>
      </c>
      <c r="V733" s="7" t="s">
        <v>214</v>
      </c>
      <c r="W733" s="49" t="s">
        <v>214</v>
      </c>
      <c r="X733" s="49" t="s">
        <v>214</v>
      </c>
      <c r="Y733" s="49" t="s">
        <v>214</v>
      </c>
      <c r="Z733" s="55" t="s">
        <v>214</v>
      </c>
      <c r="AA733" s="39">
        <v>16187</v>
      </c>
      <c r="AB733" s="84" t="s">
        <v>19471</v>
      </c>
      <c r="AC733" s="53" t="str">
        <f>HYPERLINK("http://www.riverland.edu/academics/programs/","Link")</f>
        <v>Link</v>
      </c>
      <c r="AD733" s="42">
        <v>3202</v>
      </c>
      <c r="AE733" s="55"/>
      <c r="AF733" s="55"/>
      <c r="AG733" s="56">
        <v>173063</v>
      </c>
      <c r="AH733" s="7" t="s">
        <v>2459</v>
      </c>
      <c r="AI733" s="7"/>
      <c r="AJ733" s="7"/>
      <c r="AK733" s="7"/>
    </row>
    <row r="734" spans="1:37" ht="15" x14ac:dyDescent="0.2">
      <c r="A734" s="64" t="s">
        <v>4669</v>
      </c>
      <c r="B734" s="33" t="s">
        <v>12632</v>
      </c>
      <c r="C734" s="7" t="s">
        <v>19475</v>
      </c>
      <c r="D734" s="112">
        <v>5</v>
      </c>
      <c r="E734" s="7"/>
      <c r="F734" s="112"/>
      <c r="G734" s="2" t="s">
        <v>19476</v>
      </c>
      <c r="H734" s="2" t="s">
        <v>1412</v>
      </c>
      <c r="I734" s="2" t="s">
        <v>19477</v>
      </c>
      <c r="J734" s="2" t="s">
        <v>48</v>
      </c>
      <c r="K734" s="2" t="s">
        <v>19478</v>
      </c>
      <c r="L734" s="2" t="s">
        <v>19479</v>
      </c>
      <c r="M734" s="48"/>
      <c r="N734" s="45" t="str">
        <f t="shared" ref="N734:N735" si="451">HYPERLINK("http://www.rctcyellowjackets.com/information/prospective-athlete","Questionnaire")</f>
        <v>Questionnaire</v>
      </c>
      <c r="O734" s="48" t="s">
        <v>19480</v>
      </c>
      <c r="P734" s="60" t="s">
        <v>4661</v>
      </c>
      <c r="Q734" s="48" t="s">
        <v>6875</v>
      </c>
      <c r="R734" s="48" t="s">
        <v>238</v>
      </c>
      <c r="S734" s="49" t="s">
        <v>74</v>
      </c>
      <c r="T734" s="48" t="s">
        <v>75</v>
      </c>
      <c r="U734" s="49" t="s">
        <v>3678</v>
      </c>
      <c r="V734" s="7" t="s">
        <v>214</v>
      </c>
      <c r="W734" s="49" t="s">
        <v>214</v>
      </c>
      <c r="X734" s="49" t="s">
        <v>214</v>
      </c>
      <c r="Y734" s="49" t="s">
        <v>214</v>
      </c>
      <c r="Z734" s="55" t="s">
        <v>214</v>
      </c>
      <c r="AA734" s="39">
        <v>22288</v>
      </c>
      <c r="AB734" s="84" t="s">
        <v>19480</v>
      </c>
      <c r="AC734" s="53" t="str">
        <f t="shared" ref="AC734:AC735" si="452">HYPERLINK("https://www.rctc.edu/academics/","Link")</f>
        <v>Link</v>
      </c>
      <c r="AD734" s="42">
        <v>5280</v>
      </c>
      <c r="AE734" s="55"/>
      <c r="AF734" s="55"/>
      <c r="AG734" s="56">
        <v>174738</v>
      </c>
      <c r="AH734" s="56"/>
      <c r="AI734" s="56"/>
    </row>
    <row r="735" spans="1:37" ht="15" x14ac:dyDescent="0.2">
      <c r="A735" s="64" t="s">
        <v>4669</v>
      </c>
      <c r="B735" s="33" t="s">
        <v>12632</v>
      </c>
      <c r="C735" s="7" t="s">
        <v>19483</v>
      </c>
      <c r="D735" s="112">
        <v>5</v>
      </c>
      <c r="E735" s="7"/>
      <c r="F735" s="112"/>
      <c r="G735" s="2" t="s">
        <v>19476</v>
      </c>
      <c r="H735" s="2" t="s">
        <v>694</v>
      </c>
      <c r="I735" s="2" t="s">
        <v>19484</v>
      </c>
      <c r="J735" s="2" t="s">
        <v>55</v>
      </c>
      <c r="K735" s="6" t="s">
        <v>19485</v>
      </c>
      <c r="L735" s="2" t="s">
        <v>19486</v>
      </c>
      <c r="M735" s="48"/>
      <c r="N735" s="45" t="str">
        <f t="shared" si="451"/>
        <v>Questionnaire</v>
      </c>
      <c r="O735" s="48" t="s">
        <v>19480</v>
      </c>
      <c r="P735" s="60" t="s">
        <v>4661</v>
      </c>
      <c r="Q735" s="48" t="s">
        <v>6875</v>
      </c>
      <c r="R735" s="48" t="s">
        <v>238</v>
      </c>
      <c r="S735" s="49" t="s">
        <v>74</v>
      </c>
      <c r="T735" s="48" t="s">
        <v>75</v>
      </c>
      <c r="U735" s="49" t="s">
        <v>3678</v>
      </c>
      <c r="V735" s="7" t="s">
        <v>214</v>
      </c>
      <c r="W735" s="49" t="s">
        <v>214</v>
      </c>
      <c r="X735" s="49" t="s">
        <v>214</v>
      </c>
      <c r="Y735" s="49" t="s">
        <v>214</v>
      </c>
      <c r="Z735" s="55" t="s">
        <v>214</v>
      </c>
      <c r="AA735" s="39">
        <v>22288</v>
      </c>
      <c r="AB735" s="84" t="s">
        <v>19480</v>
      </c>
      <c r="AC735" s="53" t="str">
        <f t="shared" si="452"/>
        <v>Link</v>
      </c>
      <c r="AD735" s="42">
        <v>5280</v>
      </c>
      <c r="AE735" s="55"/>
      <c r="AF735" s="55"/>
      <c r="AG735" s="56">
        <v>174738</v>
      </c>
      <c r="AH735" s="56"/>
      <c r="AI735" s="56"/>
    </row>
    <row r="736" spans="1:37" ht="15" x14ac:dyDescent="0.2">
      <c r="A736" s="31" t="s">
        <v>4669</v>
      </c>
      <c r="B736" s="33" t="s">
        <v>12632</v>
      </c>
      <c r="C736" s="7"/>
      <c r="D736" s="112">
        <v>5</v>
      </c>
      <c r="E736" s="7"/>
      <c r="F736" s="112"/>
      <c r="G736" s="2" t="s">
        <v>19488</v>
      </c>
      <c r="H736" s="2" t="s">
        <v>19489</v>
      </c>
      <c r="I736" s="2" t="s">
        <v>19490</v>
      </c>
      <c r="J736" s="2" t="s">
        <v>48</v>
      </c>
      <c r="K736" s="2" t="s">
        <v>19492</v>
      </c>
      <c r="L736" s="2" t="s">
        <v>19493</v>
      </c>
      <c r="M736" s="48"/>
      <c r="N736" s="45" t="str">
        <f>HYPERLINK("https://www.vcc.edu/athletics/recruit-me/","Questionnaire")</f>
        <v>Questionnaire</v>
      </c>
      <c r="O736" s="48" t="s">
        <v>19494</v>
      </c>
      <c r="P736" s="60" t="s">
        <v>4661</v>
      </c>
      <c r="Q736" s="48" t="s">
        <v>19495</v>
      </c>
      <c r="R736" s="60" t="s">
        <v>205</v>
      </c>
      <c r="S736" s="49" t="s">
        <v>74</v>
      </c>
      <c r="T736" s="48" t="s">
        <v>75</v>
      </c>
      <c r="U736" s="49" t="s">
        <v>3678</v>
      </c>
      <c r="V736" s="7" t="s">
        <v>214</v>
      </c>
      <c r="W736" s="49" t="s">
        <v>214</v>
      </c>
      <c r="X736" s="49" t="s">
        <v>214</v>
      </c>
      <c r="Y736" s="49" t="s">
        <v>214</v>
      </c>
      <c r="Z736" s="55" t="s">
        <v>214</v>
      </c>
      <c r="AA736" s="48" t="s">
        <v>19496</v>
      </c>
      <c r="AB736" s="84" t="s">
        <v>19494</v>
      </c>
      <c r="AC736" s="53" t="str">
        <f>HYPERLINK("http://vcc.edu/programs-and-degrees/","Link")</f>
        <v>Link</v>
      </c>
      <c r="AD736" s="42">
        <v>653</v>
      </c>
      <c r="AE736" s="55"/>
      <c r="AF736" s="55"/>
      <c r="AG736" s="56">
        <v>175157</v>
      </c>
      <c r="AH736" s="7" t="s">
        <v>2459</v>
      </c>
      <c r="AI736" s="7"/>
      <c r="AJ736" s="7"/>
      <c r="AK736" s="7"/>
    </row>
    <row r="737" spans="1:35" ht="15" x14ac:dyDescent="0.2">
      <c r="A737" s="64" t="s">
        <v>6135</v>
      </c>
      <c r="B737" s="33" t="s">
        <v>12632</v>
      </c>
      <c r="C737" s="7" t="s">
        <v>19499</v>
      </c>
      <c r="D737" s="112">
        <v>5</v>
      </c>
      <c r="E737" s="7"/>
      <c r="F737" s="112"/>
      <c r="G737" s="2" t="s">
        <v>19501</v>
      </c>
      <c r="H737" s="2" t="s">
        <v>338</v>
      </c>
      <c r="I737" s="2" t="s">
        <v>2919</v>
      </c>
      <c r="J737" s="2" t="s">
        <v>48</v>
      </c>
      <c r="K737" s="2" t="s">
        <v>19502</v>
      </c>
      <c r="L737" s="2"/>
      <c r="M737" s="45" t="str">
        <f t="shared" ref="M737:M738" si="453">HYPERLINK("twitter.com/wearecoahoma_sb","@wearecoahoma_sb")</f>
        <v>@wearecoahoma_sb</v>
      </c>
      <c r="N737" s="45" t="str">
        <f t="shared" ref="N737:N738" si="454">HYPERLINK("https://coahomasports.com/sb_output.aspx?form=3","Questionnaire")</f>
        <v>Questionnaire</v>
      </c>
      <c r="O737" s="48" t="s">
        <v>19504</v>
      </c>
      <c r="P737" s="60" t="s">
        <v>6149</v>
      </c>
      <c r="Q737" s="48" t="s">
        <v>19506</v>
      </c>
      <c r="R737" s="48" t="s">
        <v>172</v>
      </c>
      <c r="S737" s="49" t="s">
        <v>74</v>
      </c>
      <c r="T737" s="48" t="s">
        <v>75</v>
      </c>
      <c r="U737" s="49" t="s">
        <v>12676</v>
      </c>
      <c r="V737" s="7" t="s">
        <v>214</v>
      </c>
      <c r="W737" s="49" t="s">
        <v>214</v>
      </c>
      <c r="X737" s="49" t="s">
        <v>214</v>
      </c>
      <c r="Y737" s="49" t="s">
        <v>214</v>
      </c>
      <c r="Z737" s="55" t="s">
        <v>214</v>
      </c>
      <c r="AA737" s="39">
        <v>9123</v>
      </c>
      <c r="AB737" s="52" t="s">
        <v>19504</v>
      </c>
      <c r="AC737" s="53" t="str">
        <f t="shared" ref="AC737:AC738" si="455">HYPERLINK("http://www.coahomacc.edu/programs-of-study/index","Link")</f>
        <v>Link</v>
      </c>
      <c r="AD737" s="42">
        <v>2064</v>
      </c>
      <c r="AE737" s="55"/>
      <c r="AF737" s="55"/>
      <c r="AG737" s="56">
        <v>175519</v>
      </c>
      <c r="AH737" s="56"/>
      <c r="AI737" s="56"/>
    </row>
    <row r="738" spans="1:35" ht="15" x14ac:dyDescent="0.2">
      <c r="A738" s="64" t="s">
        <v>6135</v>
      </c>
      <c r="B738" s="33" t="s">
        <v>12632</v>
      </c>
      <c r="C738" s="7" t="s">
        <v>19509</v>
      </c>
      <c r="D738" s="112">
        <v>5</v>
      </c>
      <c r="E738" s="7"/>
      <c r="F738" s="112"/>
      <c r="G738" s="2" t="s">
        <v>19501</v>
      </c>
      <c r="H738" s="2" t="s">
        <v>577</v>
      </c>
      <c r="I738" s="2" t="s">
        <v>19510</v>
      </c>
      <c r="J738" s="2" t="s">
        <v>55</v>
      </c>
      <c r="K738" s="2"/>
      <c r="L738" s="2"/>
      <c r="M738" s="45" t="str">
        <f t="shared" si="453"/>
        <v>@wearecoahoma_sb</v>
      </c>
      <c r="N738" s="45" t="str">
        <f t="shared" si="454"/>
        <v>Questionnaire</v>
      </c>
      <c r="O738" s="48" t="s">
        <v>19504</v>
      </c>
      <c r="P738" s="60" t="s">
        <v>6149</v>
      </c>
      <c r="Q738" s="48" t="s">
        <v>19506</v>
      </c>
      <c r="R738" s="48" t="s">
        <v>172</v>
      </c>
      <c r="S738" s="49" t="s">
        <v>74</v>
      </c>
      <c r="T738" s="48" t="s">
        <v>75</v>
      </c>
      <c r="U738" s="49" t="s">
        <v>12676</v>
      </c>
      <c r="V738" s="7" t="s">
        <v>214</v>
      </c>
      <c r="W738" s="49" t="s">
        <v>214</v>
      </c>
      <c r="X738" s="49" t="s">
        <v>214</v>
      </c>
      <c r="Y738" s="49" t="s">
        <v>214</v>
      </c>
      <c r="Z738" s="55" t="s">
        <v>214</v>
      </c>
      <c r="AA738" s="39">
        <v>9123</v>
      </c>
      <c r="AB738" s="52" t="s">
        <v>19504</v>
      </c>
      <c r="AC738" s="53" t="str">
        <f t="shared" si="455"/>
        <v>Link</v>
      </c>
      <c r="AD738" s="42">
        <v>2064</v>
      </c>
      <c r="AE738" s="55"/>
      <c r="AF738" s="55"/>
      <c r="AG738" s="56">
        <v>175519</v>
      </c>
      <c r="AH738" s="56"/>
      <c r="AI738" s="56"/>
    </row>
    <row r="739" spans="1:35" ht="13" x14ac:dyDescent="0.15">
      <c r="A739" s="64" t="s">
        <v>6135</v>
      </c>
      <c r="B739" s="2" t="s">
        <v>12632</v>
      </c>
      <c r="C739" s="7" t="s">
        <v>19515</v>
      </c>
      <c r="D739" s="44">
        <v>5</v>
      </c>
      <c r="E739" s="7" t="s">
        <v>116</v>
      </c>
      <c r="F739" s="7"/>
      <c r="G739" s="2" t="s">
        <v>19517</v>
      </c>
      <c r="H739" s="7" t="s">
        <v>9043</v>
      </c>
      <c r="I739" s="7" t="s">
        <v>5255</v>
      </c>
      <c r="J739" s="7" t="s">
        <v>55</v>
      </c>
      <c r="K739" s="7"/>
      <c r="L739" s="7"/>
      <c r="M739" s="48"/>
      <c r="N739" s="48"/>
      <c r="O739" s="48" t="s">
        <v>19520</v>
      </c>
      <c r="P739" s="60" t="s">
        <v>6149</v>
      </c>
      <c r="Q739" s="6" t="s">
        <v>19521</v>
      </c>
      <c r="R739" s="94" t="s">
        <v>205</v>
      </c>
      <c r="S739" s="4" t="s">
        <v>74</v>
      </c>
      <c r="T739" s="4" t="s">
        <v>75</v>
      </c>
      <c r="U739" s="5" t="s">
        <v>3678</v>
      </c>
      <c r="V739" s="2" t="s">
        <v>214</v>
      </c>
      <c r="W739" s="4" t="s">
        <v>214</v>
      </c>
      <c r="X739" s="4" t="s">
        <v>214</v>
      </c>
      <c r="Y739" s="4" t="s">
        <v>214</v>
      </c>
      <c r="Z739" s="8" t="s">
        <v>214</v>
      </c>
      <c r="AA739" s="6" t="s">
        <v>19522</v>
      </c>
      <c r="AB739" s="66" t="s">
        <v>19520</v>
      </c>
      <c r="AC739" s="67" t="str">
        <f t="shared" ref="AC739:AC741" si="456">HYPERLINK("http://www.colin.edu/majors-programs/","Link")</f>
        <v>Link</v>
      </c>
      <c r="AD739" s="42">
        <v>3006</v>
      </c>
      <c r="AE739" s="8"/>
      <c r="AF739" s="8"/>
      <c r="AG739" s="56">
        <v>175573</v>
      </c>
      <c r="AH739" s="56"/>
      <c r="AI739" s="56"/>
    </row>
    <row r="740" spans="1:35" ht="15" x14ac:dyDescent="0.2">
      <c r="A740" s="64" t="s">
        <v>6135</v>
      </c>
      <c r="B740" s="33" t="s">
        <v>12632</v>
      </c>
      <c r="C740" s="7" t="s">
        <v>19528</v>
      </c>
      <c r="D740" s="112">
        <v>5</v>
      </c>
      <c r="E740" s="7"/>
      <c r="F740" s="112"/>
      <c r="G740" s="2" t="s">
        <v>19517</v>
      </c>
      <c r="H740" s="2" t="s">
        <v>19529</v>
      </c>
      <c r="I740" s="2" t="s">
        <v>11848</v>
      </c>
      <c r="J740" s="2" t="s">
        <v>48</v>
      </c>
      <c r="K740" s="2" t="s">
        <v>19530</v>
      </c>
      <c r="L740" s="2" t="s">
        <v>19531</v>
      </c>
      <c r="M740" s="45" t="str">
        <f t="shared" ref="M740:M741" si="457">HYPERLINK("twitter.com/colinsoftball","@colinsoftball")</f>
        <v>@colinsoftball</v>
      </c>
      <c r="N740" s="48" t="s">
        <v>22</v>
      </c>
      <c r="O740" s="48" t="s">
        <v>19520</v>
      </c>
      <c r="P740" s="60" t="s">
        <v>6149</v>
      </c>
      <c r="Q740" s="48" t="s">
        <v>19521</v>
      </c>
      <c r="R740" s="60" t="s">
        <v>205</v>
      </c>
      <c r="S740" s="49" t="s">
        <v>74</v>
      </c>
      <c r="T740" s="48" t="s">
        <v>75</v>
      </c>
      <c r="U740" s="49" t="s">
        <v>3678</v>
      </c>
      <c r="V740" s="7" t="s">
        <v>214</v>
      </c>
      <c r="W740" s="49" t="s">
        <v>214</v>
      </c>
      <c r="X740" s="49" t="s">
        <v>214</v>
      </c>
      <c r="Y740" s="49" t="s">
        <v>214</v>
      </c>
      <c r="Z740" s="55" t="s">
        <v>214</v>
      </c>
      <c r="AA740" s="48" t="s">
        <v>19522</v>
      </c>
      <c r="AB740" s="52" t="s">
        <v>19520</v>
      </c>
      <c r="AC740" s="53" t="str">
        <f t="shared" si="456"/>
        <v>Link</v>
      </c>
      <c r="AD740" s="42">
        <v>3006</v>
      </c>
      <c r="AE740" s="55"/>
      <c r="AF740" s="55"/>
      <c r="AG740" s="56">
        <v>175573</v>
      </c>
      <c r="AH740" s="56"/>
      <c r="AI740" s="56"/>
    </row>
    <row r="741" spans="1:35" ht="15" x14ac:dyDescent="0.2">
      <c r="A741" s="64" t="s">
        <v>6135</v>
      </c>
      <c r="B741" s="33" t="s">
        <v>12632</v>
      </c>
      <c r="C741" s="7" t="s">
        <v>19535</v>
      </c>
      <c r="D741" s="112">
        <v>5</v>
      </c>
      <c r="E741" s="7"/>
      <c r="F741" s="112" t="s">
        <v>126</v>
      </c>
      <c r="G741" s="2" t="s">
        <v>19517</v>
      </c>
      <c r="H741" s="2" t="s">
        <v>19536</v>
      </c>
      <c r="I741" s="2"/>
      <c r="J741" s="2"/>
      <c r="K741" s="2"/>
      <c r="L741" s="2"/>
      <c r="M741" s="45" t="str">
        <f t="shared" si="457"/>
        <v>@colinsoftball</v>
      </c>
      <c r="N741" s="48" t="s">
        <v>22</v>
      </c>
      <c r="O741" s="48" t="s">
        <v>19520</v>
      </c>
      <c r="P741" s="60" t="s">
        <v>6149</v>
      </c>
      <c r="Q741" s="48" t="s">
        <v>19521</v>
      </c>
      <c r="R741" s="60" t="s">
        <v>205</v>
      </c>
      <c r="S741" s="49" t="s">
        <v>74</v>
      </c>
      <c r="T741" s="48" t="s">
        <v>75</v>
      </c>
      <c r="U741" s="49" t="s">
        <v>3678</v>
      </c>
      <c r="V741" s="7" t="s">
        <v>214</v>
      </c>
      <c r="W741" s="49" t="s">
        <v>214</v>
      </c>
      <c r="X741" s="49" t="s">
        <v>214</v>
      </c>
      <c r="Y741" s="49" t="s">
        <v>214</v>
      </c>
      <c r="Z741" s="55" t="s">
        <v>214</v>
      </c>
      <c r="AA741" s="48" t="s">
        <v>19522</v>
      </c>
      <c r="AB741" s="52" t="s">
        <v>19520</v>
      </c>
      <c r="AC741" s="53" t="str">
        <f t="shared" si="456"/>
        <v>Link</v>
      </c>
      <c r="AD741" s="42">
        <v>3006</v>
      </c>
      <c r="AE741" s="55"/>
      <c r="AF741" s="55"/>
      <c r="AG741" s="56">
        <v>175573</v>
      </c>
      <c r="AH741" s="56"/>
      <c r="AI741" s="56"/>
    </row>
    <row r="742" spans="1:35" ht="15" x14ac:dyDescent="0.2">
      <c r="A742" s="64" t="s">
        <v>6135</v>
      </c>
      <c r="B742" s="33" t="s">
        <v>12632</v>
      </c>
      <c r="C742" s="7" t="s">
        <v>19542</v>
      </c>
      <c r="D742" s="112">
        <v>5</v>
      </c>
      <c r="E742" s="7"/>
      <c r="F742" s="112"/>
      <c r="G742" s="2" t="s">
        <v>19543</v>
      </c>
      <c r="H742" s="2" t="s">
        <v>4258</v>
      </c>
      <c r="I742" s="2" t="s">
        <v>3206</v>
      </c>
      <c r="J742" s="2" t="s">
        <v>48</v>
      </c>
      <c r="K742" s="2" t="s">
        <v>19544</v>
      </c>
      <c r="L742" s="2" t="s">
        <v>19545</v>
      </c>
      <c r="M742" s="45" t="str">
        <f t="shared" ref="M742:M743" si="458">HYPERLINK("twitter.com/ecccsoftball","@ecccsoftball")</f>
        <v>@ecccsoftball</v>
      </c>
      <c r="N742" s="45" t="str">
        <f t="shared" ref="N742:N743" si="459">HYPERLINK("https://sports2.eastcentral.edu/prospective-student-athlete-form/","Questionnaire")</f>
        <v>Questionnaire</v>
      </c>
      <c r="O742" s="48" t="s">
        <v>19550</v>
      </c>
      <c r="P742" s="60" t="s">
        <v>6149</v>
      </c>
      <c r="Q742" s="48" t="s">
        <v>1371</v>
      </c>
      <c r="R742" s="60" t="s">
        <v>205</v>
      </c>
      <c r="S742" s="5" t="s">
        <v>74</v>
      </c>
      <c r="T742" s="48" t="s">
        <v>75</v>
      </c>
      <c r="U742" s="49" t="s">
        <v>3678</v>
      </c>
      <c r="V742" s="7" t="s">
        <v>214</v>
      </c>
      <c r="W742" s="49" t="s">
        <v>214</v>
      </c>
      <c r="X742" s="49" t="s">
        <v>214</v>
      </c>
      <c r="Y742" s="49" t="s">
        <v>214</v>
      </c>
      <c r="Z742" s="55" t="s">
        <v>214</v>
      </c>
      <c r="AA742" s="48" t="s">
        <v>19551</v>
      </c>
      <c r="AB742" s="84" t="s">
        <v>19550</v>
      </c>
      <c r="AC742" s="53" t="str">
        <f t="shared" ref="AC742:AC743" si="460">HYPERLINK("https://www.eccc.edu/programs-study","Link")</f>
        <v>Link</v>
      </c>
      <c r="AD742" s="42">
        <v>2966</v>
      </c>
      <c r="AE742" s="55"/>
      <c r="AF742" s="55"/>
      <c r="AG742" s="56">
        <v>175643</v>
      </c>
      <c r="AH742" s="56"/>
      <c r="AI742" s="56"/>
    </row>
    <row r="743" spans="1:35" ht="15" x14ac:dyDescent="0.2">
      <c r="A743" s="64" t="s">
        <v>6135</v>
      </c>
      <c r="B743" s="33" t="s">
        <v>12632</v>
      </c>
      <c r="C743" s="7" t="s">
        <v>19553</v>
      </c>
      <c r="D743" s="112">
        <v>5</v>
      </c>
      <c r="E743" s="7"/>
      <c r="F743" s="112"/>
      <c r="G743" s="2" t="s">
        <v>19543</v>
      </c>
      <c r="H743" s="2" t="s">
        <v>2316</v>
      </c>
      <c r="I743" s="2" t="s">
        <v>19554</v>
      </c>
      <c r="J743" s="2" t="s">
        <v>55</v>
      </c>
      <c r="K743" s="2" t="s">
        <v>19555</v>
      </c>
      <c r="L743" s="2" t="s">
        <v>19556</v>
      </c>
      <c r="M743" s="45" t="str">
        <f t="shared" si="458"/>
        <v>@ecccsoftball</v>
      </c>
      <c r="N743" s="45" t="str">
        <f t="shared" si="459"/>
        <v>Questionnaire</v>
      </c>
      <c r="O743" s="48" t="s">
        <v>19550</v>
      </c>
      <c r="P743" s="60" t="s">
        <v>6149</v>
      </c>
      <c r="Q743" s="48" t="s">
        <v>1371</v>
      </c>
      <c r="R743" s="60" t="s">
        <v>205</v>
      </c>
      <c r="S743" s="5" t="s">
        <v>74</v>
      </c>
      <c r="T743" s="48" t="s">
        <v>75</v>
      </c>
      <c r="U743" s="49" t="s">
        <v>3678</v>
      </c>
      <c r="V743" s="7" t="s">
        <v>214</v>
      </c>
      <c r="W743" s="49" t="s">
        <v>214</v>
      </c>
      <c r="X743" s="49" t="s">
        <v>214</v>
      </c>
      <c r="Y743" s="49" t="s">
        <v>214</v>
      </c>
      <c r="Z743" s="55" t="s">
        <v>214</v>
      </c>
      <c r="AA743" s="48" t="s">
        <v>19551</v>
      </c>
      <c r="AB743" s="84" t="s">
        <v>19550</v>
      </c>
      <c r="AC743" s="53" t="str">
        <f t="shared" si="460"/>
        <v>Link</v>
      </c>
      <c r="AD743" s="42">
        <v>2966</v>
      </c>
      <c r="AE743" s="55"/>
      <c r="AF743" s="55"/>
      <c r="AG743" s="56">
        <v>175643</v>
      </c>
      <c r="AH743" s="56"/>
      <c r="AI743" s="56"/>
    </row>
    <row r="744" spans="1:35" ht="15" x14ac:dyDescent="0.2">
      <c r="A744" s="64" t="s">
        <v>6135</v>
      </c>
      <c r="B744" s="33" t="s">
        <v>12632</v>
      </c>
      <c r="C744" s="7" t="s">
        <v>19559</v>
      </c>
      <c r="D744" s="112">
        <v>5</v>
      </c>
      <c r="E744" s="7"/>
      <c r="F744" s="112"/>
      <c r="G744" s="2" t="s">
        <v>19560</v>
      </c>
      <c r="H744" s="2" t="s">
        <v>2924</v>
      </c>
      <c r="I744" s="2" t="s">
        <v>19561</v>
      </c>
      <c r="J744" s="2" t="s">
        <v>48</v>
      </c>
      <c r="K744" s="2" t="s">
        <v>19563</v>
      </c>
      <c r="L744" s="2" t="s">
        <v>19565</v>
      </c>
      <c r="M744" s="45" t="str">
        <f t="shared" ref="M744:M745" si="461">HYPERLINK("twitter.com/emcc_sb","@emcc_sb")</f>
        <v>@emcc_sb</v>
      </c>
      <c r="N744" s="45" t="str">
        <f t="shared" ref="N744:N745" si="462">HYPERLINK("https://www.emccathletics.com/recruits/index","Questionnaire")</f>
        <v>Questionnaire</v>
      </c>
      <c r="O744" s="48" t="s">
        <v>19566</v>
      </c>
      <c r="P744" s="60" t="s">
        <v>6149</v>
      </c>
      <c r="Q744" s="48" t="s">
        <v>19567</v>
      </c>
      <c r="R744" s="60" t="s">
        <v>205</v>
      </c>
      <c r="S744" s="49" t="s">
        <v>74</v>
      </c>
      <c r="T744" s="48" t="s">
        <v>75</v>
      </c>
      <c r="U744" s="49" t="s">
        <v>3678</v>
      </c>
      <c r="V744" s="7" t="s">
        <v>214</v>
      </c>
      <c r="W744" s="49" t="s">
        <v>214</v>
      </c>
      <c r="X744" s="49" t="s">
        <v>214</v>
      </c>
      <c r="Y744" s="49" t="s">
        <v>214</v>
      </c>
      <c r="Z744" s="55" t="s">
        <v>214</v>
      </c>
      <c r="AA744" s="48" t="s">
        <v>19568</v>
      </c>
      <c r="AB744" s="84" t="s">
        <v>19566</v>
      </c>
      <c r="AC744" s="53" t="str">
        <f t="shared" ref="AC744:AC745" si="463">HYPERLINK("http://www.eastms.edu/programs/index.html","Link")</f>
        <v>Link</v>
      </c>
      <c r="AD744" s="42">
        <v>3905</v>
      </c>
      <c r="AE744" s="55"/>
      <c r="AF744" s="55"/>
      <c r="AG744" s="56">
        <v>175652</v>
      </c>
      <c r="AH744" s="56"/>
      <c r="AI744" s="56"/>
    </row>
    <row r="745" spans="1:35" ht="15" x14ac:dyDescent="0.2">
      <c r="A745" s="64" t="s">
        <v>6135</v>
      </c>
      <c r="B745" s="33" t="s">
        <v>12632</v>
      </c>
      <c r="C745" s="7" t="s">
        <v>19569</v>
      </c>
      <c r="D745" s="112">
        <v>5</v>
      </c>
      <c r="E745" s="7"/>
      <c r="F745" s="112"/>
      <c r="G745" s="2" t="s">
        <v>19560</v>
      </c>
      <c r="H745" s="2" t="s">
        <v>2225</v>
      </c>
      <c r="I745" s="2" t="s">
        <v>8621</v>
      </c>
      <c r="J745" s="2" t="s">
        <v>55</v>
      </c>
      <c r="K745" s="2" t="s">
        <v>19570</v>
      </c>
      <c r="L745" s="2" t="s">
        <v>19571</v>
      </c>
      <c r="M745" s="45" t="str">
        <f t="shared" si="461"/>
        <v>@emcc_sb</v>
      </c>
      <c r="N745" s="45" t="str">
        <f t="shared" si="462"/>
        <v>Questionnaire</v>
      </c>
      <c r="O745" s="48" t="s">
        <v>19566</v>
      </c>
      <c r="P745" s="60" t="s">
        <v>6149</v>
      </c>
      <c r="Q745" s="48" t="s">
        <v>19567</v>
      </c>
      <c r="R745" s="60" t="s">
        <v>205</v>
      </c>
      <c r="S745" s="49" t="s">
        <v>74</v>
      </c>
      <c r="T745" s="48" t="s">
        <v>75</v>
      </c>
      <c r="U745" s="49" t="s">
        <v>3678</v>
      </c>
      <c r="V745" s="7" t="s">
        <v>214</v>
      </c>
      <c r="W745" s="49" t="s">
        <v>214</v>
      </c>
      <c r="X745" s="49" t="s">
        <v>214</v>
      </c>
      <c r="Y745" s="49" t="s">
        <v>214</v>
      </c>
      <c r="Z745" s="55" t="s">
        <v>214</v>
      </c>
      <c r="AA745" s="48" t="s">
        <v>19568</v>
      </c>
      <c r="AB745" s="84" t="s">
        <v>19566</v>
      </c>
      <c r="AC745" s="53" t="str">
        <f t="shared" si="463"/>
        <v>Link</v>
      </c>
      <c r="AD745" s="42">
        <v>3905</v>
      </c>
      <c r="AE745" s="55"/>
      <c r="AF745" s="55"/>
      <c r="AG745" s="56">
        <v>175652</v>
      </c>
      <c r="AH745" s="56"/>
      <c r="AI745" s="56"/>
    </row>
    <row r="746" spans="1:35" ht="15" x14ac:dyDescent="0.2">
      <c r="A746" s="64" t="s">
        <v>6135</v>
      </c>
      <c r="B746" s="33" t="s">
        <v>12632</v>
      </c>
      <c r="C746" s="7" t="s">
        <v>19576</v>
      </c>
      <c r="D746" s="112">
        <v>5</v>
      </c>
      <c r="E746" s="7"/>
      <c r="F746" s="112"/>
      <c r="G746" s="2" t="s">
        <v>19577</v>
      </c>
      <c r="H746" s="2" t="s">
        <v>754</v>
      </c>
      <c r="I746" s="2" t="s">
        <v>19578</v>
      </c>
      <c r="J746" s="2" t="s">
        <v>48</v>
      </c>
      <c r="K746" s="2" t="s">
        <v>19579</v>
      </c>
      <c r="L746" s="2" t="s">
        <v>19580</v>
      </c>
      <c r="M746" s="45" t="str">
        <f t="shared" ref="M746:M748" si="464">HYPERLINK("twitter.com/ladyeaglesfbl","@ladyeaglesfbl")</f>
        <v>@ladyeaglesfbl</v>
      </c>
      <c r="N746" s="45" t="str">
        <f t="shared" ref="N746:N748" si="465">HYPERLINK("https://sports.hindscc.edu/sb_output.aspx?form=3","Questionnaire")</f>
        <v>Questionnaire</v>
      </c>
      <c r="O746" s="48" t="s">
        <v>19582</v>
      </c>
      <c r="P746" s="60" t="s">
        <v>6149</v>
      </c>
      <c r="Q746" s="48" t="s">
        <v>13880</v>
      </c>
      <c r="R746" s="60" t="s">
        <v>205</v>
      </c>
      <c r="S746" s="49" t="s">
        <v>74</v>
      </c>
      <c r="T746" s="48" t="s">
        <v>75</v>
      </c>
      <c r="U746" s="73" t="s">
        <v>12676</v>
      </c>
      <c r="V746" s="7" t="s">
        <v>214</v>
      </c>
      <c r="W746" s="49" t="s">
        <v>214</v>
      </c>
      <c r="X746" s="49" t="s">
        <v>214</v>
      </c>
      <c r="Y746" s="49" t="s">
        <v>214</v>
      </c>
      <c r="Z746" s="55" t="s">
        <v>214</v>
      </c>
      <c r="AA746" s="48" t="s">
        <v>19585</v>
      </c>
      <c r="AB746" s="52" t="s">
        <v>19582</v>
      </c>
      <c r="AC746" s="53" t="str">
        <f t="shared" ref="AC746:AC748" si="466">HYPERLINK("https://www.hindscc.edu/programs-of-study/index#gsc.tab=0","Link")</f>
        <v>Link</v>
      </c>
      <c r="AD746" s="42">
        <v>11524</v>
      </c>
      <c r="AE746" s="55"/>
      <c r="AF746" s="55"/>
      <c r="AG746" s="56">
        <v>175786</v>
      </c>
      <c r="AH746" s="56"/>
      <c r="AI746" s="56"/>
    </row>
    <row r="747" spans="1:35" ht="15" x14ac:dyDescent="0.2">
      <c r="A747" s="64" t="s">
        <v>6135</v>
      </c>
      <c r="B747" s="33" t="s">
        <v>12632</v>
      </c>
      <c r="C747" s="7" t="s">
        <v>19586</v>
      </c>
      <c r="D747" s="112">
        <v>5</v>
      </c>
      <c r="E747" s="7"/>
      <c r="F747" s="112"/>
      <c r="G747" s="2" t="s">
        <v>19577</v>
      </c>
      <c r="H747" s="2" t="s">
        <v>222</v>
      </c>
      <c r="I747" s="2" t="s">
        <v>1242</v>
      </c>
      <c r="J747" s="2" t="s">
        <v>55</v>
      </c>
      <c r="K747" s="2" t="s">
        <v>19587</v>
      </c>
      <c r="L747" s="2" t="s">
        <v>19588</v>
      </c>
      <c r="M747" s="45" t="str">
        <f t="shared" si="464"/>
        <v>@ladyeaglesfbl</v>
      </c>
      <c r="N747" s="45" t="str">
        <f t="shared" si="465"/>
        <v>Questionnaire</v>
      </c>
      <c r="O747" s="48" t="s">
        <v>19582</v>
      </c>
      <c r="P747" s="60" t="s">
        <v>6149</v>
      </c>
      <c r="Q747" s="48" t="s">
        <v>13880</v>
      </c>
      <c r="R747" s="60" t="s">
        <v>205</v>
      </c>
      <c r="S747" s="49" t="s">
        <v>74</v>
      </c>
      <c r="T747" s="48" t="s">
        <v>75</v>
      </c>
      <c r="U747" s="73" t="s">
        <v>12676</v>
      </c>
      <c r="V747" s="7" t="s">
        <v>214</v>
      </c>
      <c r="W747" s="49" t="s">
        <v>214</v>
      </c>
      <c r="X747" s="49" t="s">
        <v>214</v>
      </c>
      <c r="Y747" s="49" t="s">
        <v>214</v>
      </c>
      <c r="Z747" s="55" t="s">
        <v>214</v>
      </c>
      <c r="AA747" s="48" t="s">
        <v>19585</v>
      </c>
      <c r="AB747" s="52" t="s">
        <v>19582</v>
      </c>
      <c r="AC747" s="53" t="str">
        <f t="shared" si="466"/>
        <v>Link</v>
      </c>
      <c r="AD747" s="42">
        <v>11524</v>
      </c>
      <c r="AE747" s="55"/>
      <c r="AF747" s="55"/>
      <c r="AG747" s="56">
        <v>175786</v>
      </c>
      <c r="AH747" s="56"/>
      <c r="AI747" s="56"/>
    </row>
    <row r="748" spans="1:35" ht="15" x14ac:dyDescent="0.2">
      <c r="A748" s="64" t="s">
        <v>6135</v>
      </c>
      <c r="B748" s="33" t="s">
        <v>12632</v>
      </c>
      <c r="C748" s="7" t="s">
        <v>19595</v>
      </c>
      <c r="D748" s="112">
        <v>5</v>
      </c>
      <c r="E748" s="7"/>
      <c r="F748" s="112"/>
      <c r="G748" s="2" t="s">
        <v>19577</v>
      </c>
      <c r="H748" s="2" t="s">
        <v>658</v>
      </c>
      <c r="I748" s="2" t="s">
        <v>19596</v>
      </c>
      <c r="J748" s="2" t="s">
        <v>55</v>
      </c>
      <c r="K748" s="2"/>
      <c r="L748" s="2"/>
      <c r="M748" s="45" t="str">
        <f t="shared" si="464"/>
        <v>@ladyeaglesfbl</v>
      </c>
      <c r="N748" s="45" t="str">
        <f t="shared" si="465"/>
        <v>Questionnaire</v>
      </c>
      <c r="O748" s="48" t="s">
        <v>19582</v>
      </c>
      <c r="P748" s="60" t="s">
        <v>6149</v>
      </c>
      <c r="Q748" s="48" t="s">
        <v>13880</v>
      </c>
      <c r="R748" s="60" t="s">
        <v>205</v>
      </c>
      <c r="S748" s="49" t="s">
        <v>74</v>
      </c>
      <c r="T748" s="48" t="s">
        <v>75</v>
      </c>
      <c r="U748" s="73" t="s">
        <v>12676</v>
      </c>
      <c r="V748" s="7" t="s">
        <v>214</v>
      </c>
      <c r="W748" s="49" t="s">
        <v>214</v>
      </c>
      <c r="X748" s="49" t="s">
        <v>214</v>
      </c>
      <c r="Y748" s="49" t="s">
        <v>214</v>
      </c>
      <c r="Z748" s="55" t="s">
        <v>214</v>
      </c>
      <c r="AA748" s="48" t="s">
        <v>19585</v>
      </c>
      <c r="AB748" s="52" t="s">
        <v>19582</v>
      </c>
      <c r="AC748" s="53" t="str">
        <f t="shared" si="466"/>
        <v>Link</v>
      </c>
      <c r="AD748" s="42">
        <v>11524</v>
      </c>
      <c r="AE748" s="55"/>
      <c r="AF748" s="55"/>
      <c r="AG748" s="56">
        <v>175786</v>
      </c>
      <c r="AH748" s="56"/>
      <c r="AI748" s="56"/>
    </row>
    <row r="749" spans="1:35" ht="15" x14ac:dyDescent="0.2">
      <c r="A749" s="64" t="s">
        <v>6135</v>
      </c>
      <c r="B749" s="33" t="s">
        <v>12632</v>
      </c>
      <c r="C749" s="7" t="s">
        <v>19598</v>
      </c>
      <c r="D749" s="44">
        <v>5</v>
      </c>
      <c r="E749" s="7" t="s">
        <v>116</v>
      </c>
      <c r="F749" s="7"/>
      <c r="G749" s="2" t="s">
        <v>19599</v>
      </c>
      <c r="H749" s="7" t="s">
        <v>3711</v>
      </c>
      <c r="I749" s="7" t="s">
        <v>111</v>
      </c>
      <c r="J749" s="7" t="s">
        <v>48</v>
      </c>
      <c r="K749" s="7" t="s">
        <v>19602</v>
      </c>
      <c r="L749" s="7" t="s">
        <v>19603</v>
      </c>
      <c r="M749" s="45" t="str">
        <f t="shared" ref="M749:M752" si="467">HYPERLINK("twitter.com/softball_holmes","@softball_holmes")</f>
        <v>@softball_holmes</v>
      </c>
      <c r="N749" s="45" t="str">
        <f t="shared" ref="N749:N752" si="468">HYPERLINK("https://www.holmesathletics.com/athletics/Recruiting/index","Questionnaire")</f>
        <v>Questionnaire</v>
      </c>
      <c r="O749" s="48" t="s">
        <v>19604</v>
      </c>
      <c r="P749" s="60" t="s">
        <v>6149</v>
      </c>
      <c r="Q749" s="48" t="s">
        <v>13628</v>
      </c>
      <c r="R749" s="60" t="s">
        <v>205</v>
      </c>
      <c r="S749" s="49" t="s">
        <v>74</v>
      </c>
      <c r="T749" s="48" t="s">
        <v>75</v>
      </c>
      <c r="U749" s="73" t="s">
        <v>3678</v>
      </c>
      <c r="V749" s="7" t="s">
        <v>214</v>
      </c>
      <c r="W749" s="49" t="s">
        <v>214</v>
      </c>
      <c r="X749" s="49" t="s">
        <v>214</v>
      </c>
      <c r="Y749" s="49" t="s">
        <v>214</v>
      </c>
      <c r="Z749" s="55" t="s">
        <v>214</v>
      </c>
      <c r="AA749" s="48" t="s">
        <v>19607</v>
      </c>
      <c r="AB749" s="52" t="s">
        <v>19604</v>
      </c>
      <c r="AC749" s="53" t="str">
        <f t="shared" ref="AC749:AC752" si="469">HYPERLINK("https://www.holmescc.edu/departments/academic/programs.aspx","Link")</f>
        <v>Link</v>
      </c>
      <c r="AD749" s="42">
        <v>5756</v>
      </c>
      <c r="AE749" s="55"/>
      <c r="AF749" s="55"/>
      <c r="AG749" s="56">
        <v>175810</v>
      </c>
      <c r="AH749" s="85"/>
      <c r="AI749" s="85"/>
    </row>
    <row r="750" spans="1:35" ht="15" x14ac:dyDescent="0.2">
      <c r="A750" s="64" t="s">
        <v>6135</v>
      </c>
      <c r="B750" s="33" t="s">
        <v>12632</v>
      </c>
      <c r="C750" s="7" t="s">
        <v>19610</v>
      </c>
      <c r="D750" s="112">
        <v>5</v>
      </c>
      <c r="E750" s="7"/>
      <c r="F750" s="112" t="s">
        <v>126</v>
      </c>
      <c r="G750" s="2" t="s">
        <v>19599</v>
      </c>
      <c r="H750" s="2" t="s">
        <v>19611</v>
      </c>
      <c r="I750" s="2"/>
      <c r="J750" s="2"/>
      <c r="K750" s="2"/>
      <c r="L750" s="2"/>
      <c r="M750" s="45" t="str">
        <f t="shared" si="467"/>
        <v>@softball_holmes</v>
      </c>
      <c r="N750" s="45" t="str">
        <f t="shared" si="468"/>
        <v>Questionnaire</v>
      </c>
      <c r="O750" s="48" t="s">
        <v>19604</v>
      </c>
      <c r="P750" s="60" t="s">
        <v>6149</v>
      </c>
      <c r="Q750" s="48" t="s">
        <v>13628</v>
      </c>
      <c r="R750" s="60" t="s">
        <v>205</v>
      </c>
      <c r="S750" s="49" t="s">
        <v>74</v>
      </c>
      <c r="T750" s="48" t="s">
        <v>75</v>
      </c>
      <c r="U750" s="73" t="s">
        <v>3678</v>
      </c>
      <c r="V750" s="7" t="s">
        <v>214</v>
      </c>
      <c r="W750" s="49" t="s">
        <v>214</v>
      </c>
      <c r="X750" s="49" t="s">
        <v>214</v>
      </c>
      <c r="Y750" s="49" t="s">
        <v>214</v>
      </c>
      <c r="Z750" s="55" t="s">
        <v>214</v>
      </c>
      <c r="AA750" s="48" t="s">
        <v>19607</v>
      </c>
      <c r="AB750" s="52" t="s">
        <v>19604</v>
      </c>
      <c r="AC750" s="53" t="str">
        <f t="shared" si="469"/>
        <v>Link</v>
      </c>
      <c r="AD750" s="42">
        <v>5756</v>
      </c>
      <c r="AE750" s="55"/>
      <c r="AF750" s="55"/>
      <c r="AG750" s="56">
        <v>175810</v>
      </c>
      <c r="AH750" s="56"/>
      <c r="AI750" s="56"/>
    </row>
    <row r="751" spans="1:35" ht="15" x14ac:dyDescent="0.2">
      <c r="A751" s="64" t="s">
        <v>6135</v>
      </c>
      <c r="B751" s="33" t="s">
        <v>12632</v>
      </c>
      <c r="C751" s="7" t="s">
        <v>19610</v>
      </c>
      <c r="D751" s="112">
        <v>5</v>
      </c>
      <c r="E751" s="7" t="s">
        <v>116</v>
      </c>
      <c r="F751" s="112"/>
      <c r="G751" s="2" t="s">
        <v>19599</v>
      </c>
      <c r="H751" s="2" t="s">
        <v>421</v>
      </c>
      <c r="I751" s="2"/>
      <c r="J751" s="2" t="s">
        <v>48</v>
      </c>
      <c r="K751" s="2"/>
      <c r="L751" s="2"/>
      <c r="M751" s="45" t="str">
        <f t="shared" si="467"/>
        <v>@softball_holmes</v>
      </c>
      <c r="N751" s="45" t="str">
        <f t="shared" si="468"/>
        <v>Questionnaire</v>
      </c>
      <c r="O751" s="48" t="s">
        <v>19604</v>
      </c>
      <c r="P751" s="60" t="s">
        <v>6149</v>
      </c>
      <c r="Q751" s="48" t="s">
        <v>13628</v>
      </c>
      <c r="R751" s="60" t="s">
        <v>205</v>
      </c>
      <c r="S751" s="49" t="s">
        <v>74</v>
      </c>
      <c r="T751" s="48" t="s">
        <v>75</v>
      </c>
      <c r="U751" s="73" t="s">
        <v>3678</v>
      </c>
      <c r="V751" s="7" t="s">
        <v>214</v>
      </c>
      <c r="W751" s="49" t="s">
        <v>214</v>
      </c>
      <c r="X751" s="49" t="s">
        <v>214</v>
      </c>
      <c r="Y751" s="49" t="s">
        <v>214</v>
      </c>
      <c r="Z751" s="55" t="s">
        <v>214</v>
      </c>
      <c r="AA751" s="48" t="s">
        <v>19607</v>
      </c>
      <c r="AB751" s="52" t="s">
        <v>19604</v>
      </c>
      <c r="AC751" s="53" t="str">
        <f t="shared" si="469"/>
        <v>Link</v>
      </c>
      <c r="AD751" s="42">
        <v>5756</v>
      </c>
      <c r="AE751" s="55"/>
      <c r="AF751" s="55"/>
      <c r="AG751" s="56">
        <v>175810</v>
      </c>
      <c r="AH751" s="56"/>
      <c r="AI751" s="56"/>
    </row>
    <row r="752" spans="1:35" ht="15" x14ac:dyDescent="0.2">
      <c r="A752" s="64" t="s">
        <v>6135</v>
      </c>
      <c r="B752" s="33" t="s">
        <v>12632</v>
      </c>
      <c r="C752" s="7" t="s">
        <v>19617</v>
      </c>
      <c r="D752" s="112">
        <v>5</v>
      </c>
      <c r="E752" s="7"/>
      <c r="F752" s="112"/>
      <c r="G752" s="2" t="s">
        <v>19599</v>
      </c>
      <c r="H752" s="2" t="s">
        <v>19618</v>
      </c>
      <c r="I752" s="2" t="s">
        <v>8612</v>
      </c>
      <c r="J752" s="2" t="s">
        <v>55</v>
      </c>
      <c r="K752" s="2" t="s">
        <v>19619</v>
      </c>
      <c r="L752" s="2" t="s">
        <v>19620</v>
      </c>
      <c r="M752" s="45" t="str">
        <f t="shared" si="467"/>
        <v>@softball_holmes</v>
      </c>
      <c r="N752" s="45" t="str">
        <f t="shared" si="468"/>
        <v>Questionnaire</v>
      </c>
      <c r="O752" s="48" t="s">
        <v>19604</v>
      </c>
      <c r="P752" s="60" t="s">
        <v>6149</v>
      </c>
      <c r="Q752" s="48" t="s">
        <v>13628</v>
      </c>
      <c r="R752" s="60" t="s">
        <v>205</v>
      </c>
      <c r="S752" s="49" t="s">
        <v>74</v>
      </c>
      <c r="T752" s="48" t="s">
        <v>75</v>
      </c>
      <c r="U752" s="73" t="s">
        <v>3678</v>
      </c>
      <c r="V752" s="7" t="s">
        <v>214</v>
      </c>
      <c r="W752" s="49" t="s">
        <v>214</v>
      </c>
      <c r="X752" s="49" t="s">
        <v>214</v>
      </c>
      <c r="Y752" s="49" t="s">
        <v>214</v>
      </c>
      <c r="Z752" s="55" t="s">
        <v>214</v>
      </c>
      <c r="AA752" s="48" t="s">
        <v>19607</v>
      </c>
      <c r="AB752" s="52" t="s">
        <v>19604</v>
      </c>
      <c r="AC752" s="53" t="str">
        <f t="shared" si="469"/>
        <v>Link</v>
      </c>
      <c r="AD752" s="42">
        <v>5756</v>
      </c>
      <c r="AE752" s="55"/>
      <c r="AF752" s="55"/>
      <c r="AG752" s="56">
        <v>175810</v>
      </c>
      <c r="AH752" s="56"/>
      <c r="AI752" s="56"/>
    </row>
    <row r="753" spans="1:35" ht="15" x14ac:dyDescent="0.2">
      <c r="A753" s="64" t="s">
        <v>6135</v>
      </c>
      <c r="B753" s="33" t="s">
        <v>12632</v>
      </c>
      <c r="C753" s="7" t="s">
        <v>19623</v>
      </c>
      <c r="D753" s="112">
        <v>5</v>
      </c>
      <c r="E753" s="7"/>
      <c r="F753" s="112"/>
      <c r="G753" s="2" t="s">
        <v>19625</v>
      </c>
      <c r="H753" s="2" t="s">
        <v>369</v>
      </c>
      <c r="I753" s="2" t="s">
        <v>4954</v>
      </c>
      <c r="J753" s="2" t="s">
        <v>48</v>
      </c>
      <c r="K753" s="2" t="s">
        <v>19626</v>
      </c>
      <c r="L753" s="2" t="s">
        <v>19627</v>
      </c>
      <c r="M753" s="45" t="str">
        <f t="shared" ref="M753:M754" si="470">HYPERLINK("twitter.com/iccsoftball","@iccsoftball")</f>
        <v>@iccsoftball</v>
      </c>
      <c r="N753" s="45" t="str">
        <f t="shared" ref="N753:N754" si="471">HYPERLINK("twitter.com/https://www.letsgoicc.com/recruits/softballquestionnaire","Questionnaire")</f>
        <v>Questionnaire</v>
      </c>
      <c r="O753" s="48" t="s">
        <v>19631</v>
      </c>
      <c r="P753" s="60" t="s">
        <v>6149</v>
      </c>
      <c r="Q753" s="48" t="s">
        <v>7581</v>
      </c>
      <c r="R753" s="60" t="s">
        <v>205</v>
      </c>
      <c r="S753" s="49" t="s">
        <v>74</v>
      </c>
      <c r="T753" s="48" t="s">
        <v>75</v>
      </c>
      <c r="U753" s="73" t="s">
        <v>3678</v>
      </c>
      <c r="V753" s="7" t="s">
        <v>214</v>
      </c>
      <c r="W753" s="49" t="s">
        <v>214</v>
      </c>
      <c r="X753" s="49" t="s">
        <v>214</v>
      </c>
      <c r="Y753" s="49" t="s">
        <v>214</v>
      </c>
      <c r="Z753" s="55" t="s">
        <v>214</v>
      </c>
      <c r="AA753" s="48" t="s">
        <v>19632</v>
      </c>
      <c r="AB753" s="84" t="s">
        <v>19631</v>
      </c>
      <c r="AC753" s="53" t="str">
        <f t="shared" ref="AC753:AC754" si="472">HYPERLINK("http://www.iccms.edu/programs?portalid=0","Link")</f>
        <v>Link</v>
      </c>
      <c r="AD753" s="42">
        <v>5425</v>
      </c>
      <c r="AE753" s="55"/>
      <c r="AF753" s="55"/>
      <c r="AG753" s="56">
        <v>175829</v>
      </c>
      <c r="AH753" s="56"/>
      <c r="AI753" s="56"/>
    </row>
    <row r="754" spans="1:35" ht="15" x14ac:dyDescent="0.2">
      <c r="A754" s="64" t="s">
        <v>6135</v>
      </c>
      <c r="B754" s="33" t="s">
        <v>12632</v>
      </c>
      <c r="C754" s="7" t="s">
        <v>19634</v>
      </c>
      <c r="D754" s="112">
        <v>5</v>
      </c>
      <c r="E754" s="7"/>
      <c r="F754" s="112"/>
      <c r="G754" s="2" t="s">
        <v>19625</v>
      </c>
      <c r="H754" s="2" t="s">
        <v>694</v>
      </c>
      <c r="I754" s="2" t="s">
        <v>2482</v>
      </c>
      <c r="J754" s="2" t="s">
        <v>55</v>
      </c>
      <c r="K754" s="2" t="s">
        <v>19635</v>
      </c>
      <c r="L754" s="2" t="s">
        <v>19636</v>
      </c>
      <c r="M754" s="45" t="str">
        <f t="shared" si="470"/>
        <v>@iccsoftball</v>
      </c>
      <c r="N754" s="45" t="str">
        <f t="shared" si="471"/>
        <v>Questionnaire</v>
      </c>
      <c r="O754" s="48" t="s">
        <v>19631</v>
      </c>
      <c r="P754" s="60" t="s">
        <v>6149</v>
      </c>
      <c r="Q754" s="48" t="s">
        <v>7581</v>
      </c>
      <c r="R754" s="60" t="s">
        <v>205</v>
      </c>
      <c r="S754" s="49" t="s">
        <v>74</v>
      </c>
      <c r="T754" s="48" t="s">
        <v>75</v>
      </c>
      <c r="U754" s="73" t="s">
        <v>3678</v>
      </c>
      <c r="V754" s="7" t="s">
        <v>214</v>
      </c>
      <c r="W754" s="49" t="s">
        <v>214</v>
      </c>
      <c r="X754" s="49" t="s">
        <v>214</v>
      </c>
      <c r="Y754" s="49" t="s">
        <v>214</v>
      </c>
      <c r="Z754" s="55" t="s">
        <v>214</v>
      </c>
      <c r="AA754" s="48" t="s">
        <v>19632</v>
      </c>
      <c r="AB754" s="84" t="s">
        <v>19631</v>
      </c>
      <c r="AC754" s="53" t="str">
        <f t="shared" si="472"/>
        <v>Link</v>
      </c>
      <c r="AD754" s="42">
        <v>5425</v>
      </c>
      <c r="AE754" s="55"/>
      <c r="AF754" s="55"/>
      <c r="AG754" s="56">
        <v>175829</v>
      </c>
      <c r="AH754" s="56"/>
      <c r="AI754" s="56"/>
    </row>
    <row r="755" spans="1:35" ht="15" x14ac:dyDescent="0.2">
      <c r="A755" s="64" t="s">
        <v>6135</v>
      </c>
      <c r="B755" s="33" t="s">
        <v>12632</v>
      </c>
      <c r="C755" s="7" t="s">
        <v>19641</v>
      </c>
      <c r="D755" s="112">
        <v>5</v>
      </c>
      <c r="E755" s="7"/>
      <c r="F755" s="112"/>
      <c r="G755" s="2" t="s">
        <v>19642</v>
      </c>
      <c r="H755" s="2" t="s">
        <v>1492</v>
      </c>
      <c r="I755" s="2" t="s">
        <v>578</v>
      </c>
      <c r="J755" s="2" t="s">
        <v>48</v>
      </c>
      <c r="K755" s="2" t="s">
        <v>19644</v>
      </c>
      <c r="L755" s="2" t="s">
        <v>19646</v>
      </c>
      <c r="M755" s="48"/>
      <c r="N755" s="45" t="str">
        <f t="shared" ref="N755:N757" si="473">HYPERLINK("https://jcjcathletics.com/sb_output.aspx?form=3&amp;path=general","Questionnaire")</f>
        <v>Questionnaire</v>
      </c>
      <c r="O755" s="48" t="s">
        <v>19650</v>
      </c>
      <c r="P755" s="60" t="s">
        <v>6149</v>
      </c>
      <c r="Q755" s="48" t="s">
        <v>19651</v>
      </c>
      <c r="R755" s="60" t="s">
        <v>205</v>
      </c>
      <c r="S755" s="49" t="s">
        <v>74</v>
      </c>
      <c r="T755" s="48" t="s">
        <v>75</v>
      </c>
      <c r="U755" s="73" t="s">
        <v>3678</v>
      </c>
      <c r="V755" s="7" t="s">
        <v>214</v>
      </c>
      <c r="W755" s="49" t="s">
        <v>214</v>
      </c>
      <c r="X755" s="49" t="s">
        <v>214</v>
      </c>
      <c r="Y755" s="49" t="s">
        <v>214</v>
      </c>
      <c r="Z755" s="55" t="s">
        <v>214</v>
      </c>
      <c r="AA755" s="48" t="s">
        <v>19655</v>
      </c>
      <c r="AB755" s="84" t="s">
        <v>19650</v>
      </c>
      <c r="AC755" s="53" t="str">
        <f t="shared" ref="AC755:AC757" si="474">HYPERLINK("http://www.jcjc.edu/programs/programs_alphabetical_listing.php","Link")</f>
        <v>Link</v>
      </c>
      <c r="AD755" s="42">
        <v>4680</v>
      </c>
      <c r="AE755" s="55"/>
      <c r="AF755" s="55"/>
      <c r="AG755" s="56">
        <v>175883</v>
      </c>
      <c r="AH755" s="56"/>
      <c r="AI755" s="56"/>
    </row>
    <row r="756" spans="1:35" ht="15" x14ac:dyDescent="0.2">
      <c r="A756" s="64" t="s">
        <v>6135</v>
      </c>
      <c r="B756" s="33" t="s">
        <v>12632</v>
      </c>
      <c r="C756" s="7" t="s">
        <v>19661</v>
      </c>
      <c r="D756" s="112">
        <v>5</v>
      </c>
      <c r="E756" s="7"/>
      <c r="F756" s="112"/>
      <c r="G756" s="2" t="s">
        <v>19642</v>
      </c>
      <c r="H756" s="2" t="s">
        <v>481</v>
      </c>
      <c r="I756" s="2" t="s">
        <v>19663</v>
      </c>
      <c r="J756" s="2" t="s">
        <v>55</v>
      </c>
      <c r="K756" s="2" t="s">
        <v>19664</v>
      </c>
      <c r="L756" s="2" t="s">
        <v>19646</v>
      </c>
      <c r="M756" s="48"/>
      <c r="N756" s="45" t="str">
        <f t="shared" si="473"/>
        <v>Questionnaire</v>
      </c>
      <c r="O756" s="48" t="s">
        <v>19650</v>
      </c>
      <c r="P756" s="60" t="s">
        <v>6149</v>
      </c>
      <c r="Q756" s="48" t="s">
        <v>19651</v>
      </c>
      <c r="R756" s="60" t="s">
        <v>205</v>
      </c>
      <c r="S756" s="49" t="s">
        <v>74</v>
      </c>
      <c r="T756" s="48" t="s">
        <v>75</v>
      </c>
      <c r="U756" s="73" t="s">
        <v>3678</v>
      </c>
      <c r="V756" s="7" t="s">
        <v>214</v>
      </c>
      <c r="W756" s="49" t="s">
        <v>214</v>
      </c>
      <c r="X756" s="49" t="s">
        <v>214</v>
      </c>
      <c r="Y756" s="49" t="s">
        <v>214</v>
      </c>
      <c r="Z756" s="55" t="s">
        <v>214</v>
      </c>
      <c r="AA756" s="48" t="s">
        <v>19655</v>
      </c>
      <c r="AB756" s="84" t="s">
        <v>19650</v>
      </c>
      <c r="AC756" s="53" t="str">
        <f t="shared" si="474"/>
        <v>Link</v>
      </c>
      <c r="AD756" s="42">
        <v>4680</v>
      </c>
      <c r="AE756" s="55"/>
      <c r="AF756" s="55"/>
      <c r="AG756" s="56">
        <v>175883</v>
      </c>
      <c r="AH756" s="56"/>
      <c r="AI756" s="56"/>
    </row>
    <row r="757" spans="1:35" ht="15" x14ac:dyDescent="0.2">
      <c r="A757" s="64" t="s">
        <v>6135</v>
      </c>
      <c r="B757" s="33" t="s">
        <v>12632</v>
      </c>
      <c r="C757" s="7" t="s">
        <v>19668</v>
      </c>
      <c r="D757" s="112">
        <v>5</v>
      </c>
      <c r="E757" s="7"/>
      <c r="F757" s="112"/>
      <c r="G757" s="2" t="s">
        <v>19642</v>
      </c>
      <c r="H757" s="2" t="s">
        <v>1717</v>
      </c>
      <c r="I757" s="2" t="s">
        <v>7089</v>
      </c>
      <c r="J757" s="2" t="s">
        <v>55</v>
      </c>
      <c r="K757" s="2" t="s">
        <v>19672</v>
      </c>
      <c r="L757" s="2" t="s">
        <v>19646</v>
      </c>
      <c r="M757" s="48"/>
      <c r="N757" s="45" t="str">
        <f t="shared" si="473"/>
        <v>Questionnaire</v>
      </c>
      <c r="O757" s="48" t="s">
        <v>19650</v>
      </c>
      <c r="P757" s="60" t="s">
        <v>6149</v>
      </c>
      <c r="Q757" s="48" t="s">
        <v>19651</v>
      </c>
      <c r="R757" s="60" t="s">
        <v>205</v>
      </c>
      <c r="S757" s="49" t="s">
        <v>74</v>
      </c>
      <c r="T757" s="48" t="s">
        <v>75</v>
      </c>
      <c r="U757" s="73" t="s">
        <v>3678</v>
      </c>
      <c r="V757" s="7" t="s">
        <v>214</v>
      </c>
      <c r="W757" s="49" t="s">
        <v>214</v>
      </c>
      <c r="X757" s="49" t="s">
        <v>214</v>
      </c>
      <c r="Y757" s="49" t="s">
        <v>214</v>
      </c>
      <c r="Z757" s="55" t="s">
        <v>214</v>
      </c>
      <c r="AA757" s="48" t="s">
        <v>19655</v>
      </c>
      <c r="AB757" s="84" t="s">
        <v>19650</v>
      </c>
      <c r="AC757" s="53" t="str">
        <f t="shared" si="474"/>
        <v>Link</v>
      </c>
      <c r="AD757" s="42">
        <v>4680</v>
      </c>
      <c r="AE757" s="55"/>
      <c r="AF757" s="55"/>
      <c r="AG757" s="56">
        <v>175883</v>
      </c>
      <c r="AH757" s="56"/>
      <c r="AI757" s="56"/>
    </row>
    <row r="758" spans="1:35" ht="15" x14ac:dyDescent="0.2">
      <c r="A758" s="64" t="s">
        <v>6135</v>
      </c>
      <c r="B758" s="33" t="s">
        <v>12632</v>
      </c>
      <c r="C758" s="7" t="s">
        <v>19675</v>
      </c>
      <c r="D758" s="112">
        <v>5</v>
      </c>
      <c r="E758" s="7"/>
      <c r="F758" s="112"/>
      <c r="G758" s="2" t="s">
        <v>19676</v>
      </c>
      <c r="H758" s="2" t="s">
        <v>4846</v>
      </c>
      <c r="I758" s="2" t="s">
        <v>578</v>
      </c>
      <c r="J758" s="2" t="s">
        <v>48</v>
      </c>
      <c r="K758" s="2" t="s">
        <v>19677</v>
      </c>
      <c r="L758" s="2" t="s">
        <v>19678</v>
      </c>
      <c r="M758" s="48"/>
      <c r="N758" s="48" t="s">
        <v>22</v>
      </c>
      <c r="O758" s="48" t="s">
        <v>19679</v>
      </c>
      <c r="P758" s="60" t="s">
        <v>6149</v>
      </c>
      <c r="Q758" s="48" t="s">
        <v>19680</v>
      </c>
      <c r="R758" s="48" t="s">
        <v>468</v>
      </c>
      <c r="S758" s="49" t="s">
        <v>74</v>
      </c>
      <c r="T758" s="48" t="s">
        <v>75</v>
      </c>
      <c r="U758" s="73" t="s">
        <v>3678</v>
      </c>
      <c r="V758" s="7" t="s">
        <v>214</v>
      </c>
      <c r="W758" s="49" t="s">
        <v>214</v>
      </c>
      <c r="X758" s="49" t="s">
        <v>214</v>
      </c>
      <c r="Y758" s="49" t="s">
        <v>214</v>
      </c>
      <c r="Z758" s="55" t="s">
        <v>214</v>
      </c>
      <c r="AA758" s="48" t="s">
        <v>19682</v>
      </c>
      <c r="AB758" s="84" t="s">
        <v>19679</v>
      </c>
      <c r="AC758" s="53" t="str">
        <f t="shared" ref="AC758:AC759" si="475">HYPERLINK("http://www.mcc.cc.ms.us/workforce-education/programs-of-study/index","Link")</f>
        <v>Link</v>
      </c>
      <c r="AD758" s="42">
        <v>3598</v>
      </c>
      <c r="AE758" s="55"/>
      <c r="AF758" s="55"/>
      <c r="AG758" s="56">
        <v>175935</v>
      </c>
      <c r="AH758" s="56"/>
      <c r="AI758" s="56"/>
    </row>
    <row r="759" spans="1:35" ht="15" x14ac:dyDescent="0.2">
      <c r="A759" s="64" t="s">
        <v>6135</v>
      </c>
      <c r="B759" s="33" t="s">
        <v>12632</v>
      </c>
      <c r="C759" s="7" t="s">
        <v>19685</v>
      </c>
      <c r="D759" s="112">
        <v>5</v>
      </c>
      <c r="E759" s="7"/>
      <c r="F759" s="112"/>
      <c r="G759" s="2" t="s">
        <v>19676</v>
      </c>
      <c r="H759" s="2" t="s">
        <v>19686</v>
      </c>
      <c r="I759" s="2" t="s">
        <v>19687</v>
      </c>
      <c r="J759" s="2" t="s">
        <v>55</v>
      </c>
      <c r="K759" s="95" t="s">
        <v>19688</v>
      </c>
      <c r="L759" s="2" t="s">
        <v>19689</v>
      </c>
      <c r="M759" s="48"/>
      <c r="N759" s="48" t="s">
        <v>22</v>
      </c>
      <c r="O759" s="48" t="s">
        <v>19679</v>
      </c>
      <c r="P759" s="60" t="s">
        <v>6149</v>
      </c>
      <c r="Q759" s="48" t="s">
        <v>19680</v>
      </c>
      <c r="R759" s="48" t="s">
        <v>468</v>
      </c>
      <c r="S759" s="49" t="s">
        <v>74</v>
      </c>
      <c r="T759" s="48" t="s">
        <v>75</v>
      </c>
      <c r="U759" s="73" t="s">
        <v>3678</v>
      </c>
      <c r="V759" s="7" t="s">
        <v>214</v>
      </c>
      <c r="W759" s="49" t="s">
        <v>214</v>
      </c>
      <c r="X759" s="49" t="s">
        <v>214</v>
      </c>
      <c r="Y759" s="49" t="s">
        <v>214</v>
      </c>
      <c r="Z759" s="55" t="s">
        <v>214</v>
      </c>
      <c r="AA759" s="48" t="s">
        <v>19682</v>
      </c>
      <c r="AB759" s="84" t="s">
        <v>19679</v>
      </c>
      <c r="AC759" s="53" t="str">
        <f t="shared" si="475"/>
        <v>Link</v>
      </c>
      <c r="AD759" s="42">
        <v>3598</v>
      </c>
      <c r="AE759" s="55"/>
      <c r="AF759" s="55"/>
      <c r="AG759" s="56">
        <v>175935</v>
      </c>
      <c r="AH759" s="56"/>
      <c r="AI759" s="56"/>
    </row>
    <row r="760" spans="1:35" ht="15" x14ac:dyDescent="0.2">
      <c r="A760" s="64" t="s">
        <v>6135</v>
      </c>
      <c r="B760" s="33" t="s">
        <v>12632</v>
      </c>
      <c r="C760" s="7" t="s">
        <v>19695</v>
      </c>
      <c r="D760" s="112">
        <v>5</v>
      </c>
      <c r="E760" s="7"/>
      <c r="F760" s="112"/>
      <c r="G760" s="2" t="s">
        <v>19696</v>
      </c>
      <c r="H760" s="2" t="s">
        <v>2705</v>
      </c>
      <c r="I760" s="2" t="s">
        <v>19697</v>
      </c>
      <c r="J760" s="2" t="s">
        <v>48</v>
      </c>
      <c r="K760" s="2" t="s">
        <v>19700</v>
      </c>
      <c r="L760" s="2" t="s">
        <v>19701</v>
      </c>
      <c r="M760" s="48"/>
      <c r="N760" s="48" t="s">
        <v>22</v>
      </c>
      <c r="O760" s="48" t="s">
        <v>19702</v>
      </c>
      <c r="P760" s="60" t="s">
        <v>6149</v>
      </c>
      <c r="Q760" s="48" t="s">
        <v>5891</v>
      </c>
      <c r="R760" s="48" t="s">
        <v>468</v>
      </c>
      <c r="S760" s="49" t="s">
        <v>74</v>
      </c>
      <c r="T760" s="48" t="s">
        <v>75</v>
      </c>
      <c r="U760" s="73" t="s">
        <v>3678</v>
      </c>
      <c r="V760" s="7" t="s">
        <v>214</v>
      </c>
      <c r="W760" s="49" t="s">
        <v>214</v>
      </c>
      <c r="X760" s="49" t="s">
        <v>214</v>
      </c>
      <c r="Y760" s="49" t="s">
        <v>214</v>
      </c>
      <c r="Z760" s="55" t="s">
        <v>214</v>
      </c>
      <c r="AA760" s="48" t="s">
        <v>19703</v>
      </c>
      <c r="AB760" s="52" t="s">
        <v>19702</v>
      </c>
      <c r="AC760" s="53" t="str">
        <f t="shared" ref="AC760:AC761" si="476">HYPERLINK("https://www.msdelta.edu/programs-of-study","Link")</f>
        <v>Link</v>
      </c>
      <c r="AD760" s="42">
        <v>2321</v>
      </c>
      <c r="AE760" s="55"/>
      <c r="AF760" s="55"/>
      <c r="AG760" s="56">
        <v>176008</v>
      </c>
      <c r="AH760" s="56"/>
      <c r="AI760" s="56"/>
    </row>
    <row r="761" spans="1:35" ht="15" x14ac:dyDescent="0.2">
      <c r="A761" s="64" t="s">
        <v>6135</v>
      </c>
      <c r="B761" s="33" t="s">
        <v>12632</v>
      </c>
      <c r="C761" s="7" t="s">
        <v>19706</v>
      </c>
      <c r="D761" s="112">
        <v>5</v>
      </c>
      <c r="E761" s="7"/>
      <c r="F761" s="112"/>
      <c r="G761" s="2" t="s">
        <v>19696</v>
      </c>
      <c r="H761" s="2" t="s">
        <v>3511</v>
      </c>
      <c r="I761" s="2" t="s">
        <v>1349</v>
      </c>
      <c r="J761" s="2" t="s">
        <v>55</v>
      </c>
      <c r="K761" s="2" t="s">
        <v>19707</v>
      </c>
      <c r="L761" s="2" t="s">
        <v>19701</v>
      </c>
      <c r="M761" s="48"/>
      <c r="N761" s="48" t="s">
        <v>22</v>
      </c>
      <c r="O761" s="48" t="s">
        <v>19702</v>
      </c>
      <c r="P761" s="60" t="s">
        <v>6149</v>
      </c>
      <c r="Q761" s="48" t="s">
        <v>5891</v>
      </c>
      <c r="R761" s="48" t="s">
        <v>468</v>
      </c>
      <c r="S761" s="49" t="s">
        <v>74</v>
      </c>
      <c r="T761" s="48" t="s">
        <v>75</v>
      </c>
      <c r="U761" s="73" t="s">
        <v>3678</v>
      </c>
      <c r="V761" s="7" t="s">
        <v>214</v>
      </c>
      <c r="W761" s="49" t="s">
        <v>214</v>
      </c>
      <c r="X761" s="49" t="s">
        <v>214</v>
      </c>
      <c r="Y761" s="49" t="s">
        <v>214</v>
      </c>
      <c r="Z761" s="55" t="s">
        <v>214</v>
      </c>
      <c r="AA761" s="48" t="s">
        <v>19703</v>
      </c>
      <c r="AB761" s="52" t="s">
        <v>19702</v>
      </c>
      <c r="AC761" s="53" t="str">
        <f t="shared" si="476"/>
        <v>Link</v>
      </c>
      <c r="AD761" s="42">
        <v>2321</v>
      </c>
      <c r="AE761" s="55"/>
      <c r="AF761" s="55"/>
      <c r="AG761" s="56">
        <v>176008</v>
      </c>
      <c r="AH761" s="56"/>
      <c r="AI761" s="56"/>
    </row>
    <row r="762" spans="1:35" ht="15" x14ac:dyDescent="0.2">
      <c r="A762" s="64" t="s">
        <v>6135</v>
      </c>
      <c r="B762" s="33" t="s">
        <v>12632</v>
      </c>
      <c r="C762" s="7" t="s">
        <v>19709</v>
      </c>
      <c r="D762" s="112">
        <v>5</v>
      </c>
      <c r="E762" s="7"/>
      <c r="F762" s="112"/>
      <c r="G762" s="2" t="s">
        <v>19712</v>
      </c>
      <c r="H762" s="2" t="s">
        <v>173</v>
      </c>
      <c r="I762" s="2" t="s">
        <v>19714</v>
      </c>
      <c r="J762" s="2" t="s">
        <v>48</v>
      </c>
      <c r="K762" s="2" t="s">
        <v>19716</v>
      </c>
      <c r="L762" s="2" t="s">
        <v>19717</v>
      </c>
      <c r="M762" s="45" t="str">
        <f t="shared" ref="M762:M764" si="477">HYPERLINK("twitter.com/msgcsoftball","@msgcsoftball")</f>
        <v>@msgcsoftball</v>
      </c>
      <c r="N762" s="45" t="str">
        <f t="shared" ref="N762:N764" si="478">HYPERLINK("http://www.mgcccbulldogs.com/sports/sball/recruitForm","Questionnaire")</f>
        <v>Questionnaire</v>
      </c>
      <c r="O762" s="48" t="s">
        <v>19719</v>
      </c>
      <c r="P762" s="60" t="s">
        <v>6149</v>
      </c>
      <c r="Q762" s="48" t="s">
        <v>19720</v>
      </c>
      <c r="R762" s="60" t="s">
        <v>205</v>
      </c>
      <c r="S762" s="5" t="s">
        <v>74</v>
      </c>
      <c r="T762" s="48" t="s">
        <v>75</v>
      </c>
      <c r="U762" s="73" t="s">
        <v>3678</v>
      </c>
      <c r="V762" s="7" t="s">
        <v>214</v>
      </c>
      <c r="W762" s="49" t="s">
        <v>214</v>
      </c>
      <c r="X762" s="49" t="s">
        <v>214</v>
      </c>
      <c r="Y762" s="49" t="s">
        <v>214</v>
      </c>
      <c r="Z762" s="55" t="s">
        <v>214</v>
      </c>
      <c r="AA762" s="48" t="s">
        <v>19722</v>
      </c>
      <c r="AB762" s="52" t="s">
        <v>19719</v>
      </c>
      <c r="AC762" s="53" t="str">
        <f t="shared" ref="AC762:AC764" si="479">HYPERLINK("https://www.mgccc.edu/programs-of-study/","Link")</f>
        <v>Link</v>
      </c>
      <c r="AD762" s="42">
        <v>8956</v>
      </c>
      <c r="AE762" s="55"/>
      <c r="AF762" s="55"/>
      <c r="AG762" s="56">
        <v>176071</v>
      </c>
      <c r="AH762" s="56"/>
      <c r="AI762" s="56"/>
    </row>
    <row r="763" spans="1:35" ht="15" x14ac:dyDescent="0.2">
      <c r="A763" s="64" t="s">
        <v>6135</v>
      </c>
      <c r="B763" s="33" t="s">
        <v>12632</v>
      </c>
      <c r="C763" s="7" t="s">
        <v>19723</v>
      </c>
      <c r="D763" s="112">
        <v>5</v>
      </c>
      <c r="E763" s="7"/>
      <c r="F763" s="112"/>
      <c r="G763" s="2" t="s">
        <v>19712</v>
      </c>
      <c r="H763" s="2" t="s">
        <v>4599</v>
      </c>
      <c r="I763" s="2" t="s">
        <v>19725</v>
      </c>
      <c r="J763" s="2" t="s">
        <v>55</v>
      </c>
      <c r="K763" s="2" t="s">
        <v>19726</v>
      </c>
      <c r="L763" s="2" t="s">
        <v>19727</v>
      </c>
      <c r="M763" s="45" t="str">
        <f t="shared" si="477"/>
        <v>@msgcsoftball</v>
      </c>
      <c r="N763" s="45" t="str">
        <f t="shared" si="478"/>
        <v>Questionnaire</v>
      </c>
      <c r="O763" s="48" t="s">
        <v>19719</v>
      </c>
      <c r="P763" s="60" t="s">
        <v>6149</v>
      </c>
      <c r="Q763" s="48" t="s">
        <v>19720</v>
      </c>
      <c r="R763" s="60" t="s">
        <v>205</v>
      </c>
      <c r="S763" s="5" t="s">
        <v>74</v>
      </c>
      <c r="T763" s="48" t="s">
        <v>75</v>
      </c>
      <c r="U763" s="73" t="s">
        <v>3678</v>
      </c>
      <c r="V763" s="7" t="s">
        <v>214</v>
      </c>
      <c r="W763" s="49" t="s">
        <v>214</v>
      </c>
      <c r="X763" s="49" t="s">
        <v>214</v>
      </c>
      <c r="Y763" s="49" t="s">
        <v>214</v>
      </c>
      <c r="Z763" s="55" t="s">
        <v>214</v>
      </c>
      <c r="AA763" s="48" t="s">
        <v>19722</v>
      </c>
      <c r="AB763" s="52" t="s">
        <v>19719</v>
      </c>
      <c r="AC763" s="53" t="str">
        <f t="shared" si="479"/>
        <v>Link</v>
      </c>
      <c r="AD763" s="42">
        <v>8956</v>
      </c>
      <c r="AE763" s="55"/>
      <c r="AF763" s="55"/>
      <c r="AG763" s="56">
        <v>176071</v>
      </c>
      <c r="AH763" s="56"/>
      <c r="AI763" s="56"/>
    </row>
    <row r="764" spans="1:35" ht="15" x14ac:dyDescent="0.2">
      <c r="A764" s="64" t="s">
        <v>6135</v>
      </c>
      <c r="B764" s="33" t="s">
        <v>12632</v>
      </c>
      <c r="C764" s="7" t="s">
        <v>19731</v>
      </c>
      <c r="D764" s="112">
        <v>5</v>
      </c>
      <c r="E764" s="7"/>
      <c r="F764" s="112"/>
      <c r="G764" s="2" t="s">
        <v>19712</v>
      </c>
      <c r="H764" s="2" t="s">
        <v>1726</v>
      </c>
      <c r="I764" s="2" t="s">
        <v>2396</v>
      </c>
      <c r="J764" s="2" t="s">
        <v>55</v>
      </c>
      <c r="K764" s="2" t="s">
        <v>19733</v>
      </c>
      <c r="L764" s="2" t="s">
        <v>19734</v>
      </c>
      <c r="M764" s="45" t="str">
        <f t="shared" si="477"/>
        <v>@msgcsoftball</v>
      </c>
      <c r="N764" s="45" t="str">
        <f t="shared" si="478"/>
        <v>Questionnaire</v>
      </c>
      <c r="O764" s="48" t="s">
        <v>19719</v>
      </c>
      <c r="P764" s="60" t="s">
        <v>6149</v>
      </c>
      <c r="Q764" s="48" t="s">
        <v>19720</v>
      </c>
      <c r="R764" s="60" t="s">
        <v>205</v>
      </c>
      <c r="S764" s="5" t="s">
        <v>74</v>
      </c>
      <c r="T764" s="48" t="s">
        <v>75</v>
      </c>
      <c r="U764" s="73" t="s">
        <v>3678</v>
      </c>
      <c r="V764" s="7" t="s">
        <v>214</v>
      </c>
      <c r="W764" s="49" t="s">
        <v>214</v>
      </c>
      <c r="X764" s="49" t="s">
        <v>214</v>
      </c>
      <c r="Y764" s="49" t="s">
        <v>214</v>
      </c>
      <c r="Z764" s="55" t="s">
        <v>214</v>
      </c>
      <c r="AA764" s="48" t="s">
        <v>19722</v>
      </c>
      <c r="AB764" s="52" t="s">
        <v>19719</v>
      </c>
      <c r="AC764" s="53" t="str">
        <f t="shared" si="479"/>
        <v>Link</v>
      </c>
      <c r="AD764" s="42">
        <v>8956</v>
      </c>
      <c r="AE764" s="55"/>
      <c r="AF764" s="55"/>
      <c r="AG764" s="56">
        <v>176071</v>
      </c>
      <c r="AH764" s="56"/>
      <c r="AI764" s="56"/>
    </row>
    <row r="765" spans="1:35" ht="15" x14ac:dyDescent="0.2">
      <c r="A765" s="64" t="s">
        <v>6135</v>
      </c>
      <c r="B765" s="33" t="s">
        <v>12632</v>
      </c>
      <c r="C765" s="7" t="s">
        <v>19737</v>
      </c>
      <c r="D765" s="112">
        <v>5</v>
      </c>
      <c r="E765" s="7"/>
      <c r="F765" s="112"/>
      <c r="G765" s="2" t="s">
        <v>19738</v>
      </c>
      <c r="H765" s="2" t="s">
        <v>6331</v>
      </c>
      <c r="I765" s="2" t="s">
        <v>1697</v>
      </c>
      <c r="J765" s="2" t="s">
        <v>48</v>
      </c>
      <c r="K765" s="2" t="s">
        <v>19741</v>
      </c>
      <c r="L765" s="2" t="s">
        <v>19743</v>
      </c>
      <c r="M765" s="45" t="str">
        <f t="shared" ref="M765:M766" si="480">HYPERLINK("twitter.com/nemccsoftball","@nemccsoftball")</f>
        <v>@nemccsoftball</v>
      </c>
      <c r="N765" s="45" t="str">
        <f t="shared" ref="N765:N766" si="481">HYPERLINK("https://www.nemccathletics.com/athletics/psaform","Questionnaire")</f>
        <v>Questionnaire</v>
      </c>
      <c r="O765" s="48" t="s">
        <v>19744</v>
      </c>
      <c r="P765" s="60" t="s">
        <v>6149</v>
      </c>
      <c r="Q765" s="48" t="s">
        <v>19746</v>
      </c>
      <c r="R765" s="60" t="s">
        <v>205</v>
      </c>
      <c r="S765" s="49" t="s">
        <v>74</v>
      </c>
      <c r="T765" s="48" t="s">
        <v>75</v>
      </c>
      <c r="U765" s="73" t="s">
        <v>3678</v>
      </c>
      <c r="V765" s="7" t="s">
        <v>214</v>
      </c>
      <c r="W765" s="49" t="s">
        <v>214</v>
      </c>
      <c r="X765" s="49" t="s">
        <v>214</v>
      </c>
      <c r="Y765" s="49" t="s">
        <v>214</v>
      </c>
      <c r="Z765" s="55" t="s">
        <v>214</v>
      </c>
      <c r="AA765" s="48" t="s">
        <v>19751</v>
      </c>
      <c r="AB765" s="84" t="s">
        <v>19744</v>
      </c>
      <c r="AC765" s="53" t="str">
        <f t="shared" ref="AC765:AC766" si="482">HYPERLINK("http://catalog.nemcc.edu/content.php?catoid=3&amp;navoid=89","Link")</f>
        <v>Link</v>
      </c>
      <c r="AD765" s="42">
        <v>3521</v>
      </c>
      <c r="AE765" s="55"/>
      <c r="AF765" s="55"/>
      <c r="AG765" s="56">
        <v>176169</v>
      </c>
      <c r="AH765" s="56"/>
      <c r="AI765" s="56"/>
    </row>
    <row r="766" spans="1:35" ht="15" x14ac:dyDescent="0.2">
      <c r="A766" s="64" t="s">
        <v>6135</v>
      </c>
      <c r="B766" s="33" t="s">
        <v>12632</v>
      </c>
      <c r="C766" s="7" t="s">
        <v>19752</v>
      </c>
      <c r="D766" s="112">
        <v>5</v>
      </c>
      <c r="E766" s="7"/>
      <c r="F766" s="112"/>
      <c r="G766" s="2" t="s">
        <v>19738</v>
      </c>
      <c r="H766" s="2" t="s">
        <v>3279</v>
      </c>
      <c r="I766" s="2" t="s">
        <v>17394</v>
      </c>
      <c r="J766" s="2" t="s">
        <v>55</v>
      </c>
      <c r="K766" s="2" t="s">
        <v>19754</v>
      </c>
      <c r="L766" s="2" t="s">
        <v>19755</v>
      </c>
      <c r="M766" s="45" t="str">
        <f t="shared" si="480"/>
        <v>@nemccsoftball</v>
      </c>
      <c r="N766" s="45" t="str">
        <f t="shared" si="481"/>
        <v>Questionnaire</v>
      </c>
      <c r="O766" s="48" t="s">
        <v>19744</v>
      </c>
      <c r="P766" s="60" t="s">
        <v>6149</v>
      </c>
      <c r="Q766" s="48" t="s">
        <v>19746</v>
      </c>
      <c r="R766" s="60" t="s">
        <v>205</v>
      </c>
      <c r="S766" s="49" t="s">
        <v>74</v>
      </c>
      <c r="T766" s="48" t="s">
        <v>75</v>
      </c>
      <c r="U766" s="49" t="s">
        <v>3678</v>
      </c>
      <c r="V766" s="7" t="s">
        <v>214</v>
      </c>
      <c r="W766" s="49" t="s">
        <v>214</v>
      </c>
      <c r="X766" s="49" t="s">
        <v>214</v>
      </c>
      <c r="Y766" s="49" t="s">
        <v>214</v>
      </c>
      <c r="Z766" s="55" t="s">
        <v>214</v>
      </c>
      <c r="AA766" s="48" t="s">
        <v>19751</v>
      </c>
      <c r="AB766" s="84" t="s">
        <v>19744</v>
      </c>
      <c r="AC766" s="53" t="str">
        <f t="shared" si="482"/>
        <v>Link</v>
      </c>
      <c r="AD766" s="42">
        <v>3521</v>
      </c>
      <c r="AE766" s="55"/>
      <c r="AF766" s="55"/>
      <c r="AG766" s="56">
        <v>176169</v>
      </c>
      <c r="AH766" s="56"/>
      <c r="AI766" s="56"/>
    </row>
    <row r="767" spans="1:35" ht="15" x14ac:dyDescent="0.2">
      <c r="A767" s="64" t="s">
        <v>6135</v>
      </c>
      <c r="B767" s="33" t="s">
        <v>12632</v>
      </c>
      <c r="C767" s="7" t="s">
        <v>19758</v>
      </c>
      <c r="D767" s="112">
        <v>5</v>
      </c>
      <c r="E767" s="7"/>
      <c r="F767" s="112"/>
      <c r="G767" s="2" t="s">
        <v>19760</v>
      </c>
      <c r="H767" s="2" t="s">
        <v>683</v>
      </c>
      <c r="I767" s="2" t="s">
        <v>19761</v>
      </c>
      <c r="J767" s="2" t="s">
        <v>48</v>
      </c>
      <c r="K767" s="2" t="s">
        <v>19764</v>
      </c>
      <c r="L767" s="2" t="s">
        <v>19765</v>
      </c>
      <c r="M767" s="45" t="str">
        <f t="shared" ref="M767:M768" si="483">HYPERLINK("twitter.com/NWCCSoftball","@NWCCSoftball")</f>
        <v>@NWCCSoftball</v>
      </c>
      <c r="N767" s="45" t="str">
        <f t="shared" ref="N767:N768" si="484">HYPERLINK("https://nwccrangers.com/sb_output.aspx?form=3","Questionnaire")</f>
        <v>Questionnaire</v>
      </c>
      <c r="O767" s="48" t="s">
        <v>19766</v>
      </c>
      <c r="P767" s="60" t="s">
        <v>6149</v>
      </c>
      <c r="Q767" s="48" t="s">
        <v>19768</v>
      </c>
      <c r="R767" s="60" t="s">
        <v>205</v>
      </c>
      <c r="S767" s="49" t="s">
        <v>74</v>
      </c>
      <c r="T767" s="48" t="s">
        <v>75</v>
      </c>
      <c r="U767" s="49" t="s">
        <v>3678</v>
      </c>
      <c r="V767" s="7" t="s">
        <v>214</v>
      </c>
      <c r="W767" s="49" t="s">
        <v>214</v>
      </c>
      <c r="X767" s="49" t="s">
        <v>214</v>
      </c>
      <c r="Y767" s="49" t="s">
        <v>214</v>
      </c>
      <c r="Z767" s="55" t="s">
        <v>214</v>
      </c>
      <c r="AA767" s="48" t="s">
        <v>19772</v>
      </c>
      <c r="AB767" s="84" t="s">
        <v>19766</v>
      </c>
      <c r="AC767" s="53" t="str">
        <f t="shared" ref="AC767:AC768" si="485">HYPERLINK("http://www.northwestms.edu/index.php/?page_id=1951","Link")</f>
        <v>Link</v>
      </c>
      <c r="AD767" s="42">
        <v>7905</v>
      </c>
      <c r="AE767" s="55"/>
      <c r="AF767" s="55"/>
      <c r="AG767" s="56">
        <v>176178</v>
      </c>
      <c r="AH767" s="56"/>
      <c r="AI767" s="56"/>
    </row>
    <row r="768" spans="1:35" ht="15" x14ac:dyDescent="0.2">
      <c r="A768" s="64" t="s">
        <v>6135</v>
      </c>
      <c r="B768" s="33" t="s">
        <v>12632</v>
      </c>
      <c r="C768" s="7" t="s">
        <v>19773</v>
      </c>
      <c r="D768" s="112">
        <v>5</v>
      </c>
      <c r="E768" s="7" t="s">
        <v>116</v>
      </c>
      <c r="F768" s="7"/>
      <c r="G768" s="2" t="s">
        <v>19760</v>
      </c>
      <c r="H768" s="7" t="s">
        <v>6708</v>
      </c>
      <c r="I768" s="7" t="s">
        <v>378</v>
      </c>
      <c r="J768" s="7" t="s">
        <v>55</v>
      </c>
      <c r="K768" s="7" t="s">
        <v>19774</v>
      </c>
      <c r="L768" s="2"/>
      <c r="M768" s="45" t="str">
        <f t="shared" si="483"/>
        <v>@NWCCSoftball</v>
      </c>
      <c r="N768" s="45" t="str">
        <f t="shared" si="484"/>
        <v>Questionnaire</v>
      </c>
      <c r="O768" s="48" t="s">
        <v>19766</v>
      </c>
      <c r="P768" s="60" t="s">
        <v>6149</v>
      </c>
      <c r="Q768" s="48" t="s">
        <v>19768</v>
      </c>
      <c r="R768" s="60" t="s">
        <v>205</v>
      </c>
      <c r="S768" s="49" t="s">
        <v>74</v>
      </c>
      <c r="T768" s="48" t="s">
        <v>75</v>
      </c>
      <c r="U768" s="49" t="s">
        <v>3678</v>
      </c>
      <c r="V768" s="7" t="s">
        <v>214</v>
      </c>
      <c r="W768" s="49" t="s">
        <v>214</v>
      </c>
      <c r="X768" s="49" t="s">
        <v>214</v>
      </c>
      <c r="Y768" s="49" t="s">
        <v>214</v>
      </c>
      <c r="Z768" s="55" t="s">
        <v>214</v>
      </c>
      <c r="AA768" s="48" t="s">
        <v>19772</v>
      </c>
      <c r="AB768" s="84" t="s">
        <v>19766</v>
      </c>
      <c r="AC768" s="53" t="str">
        <f t="shared" si="485"/>
        <v>Link</v>
      </c>
      <c r="AD768" s="42">
        <v>7905</v>
      </c>
      <c r="AE768" s="55"/>
      <c r="AF768" s="55"/>
      <c r="AG768" s="56">
        <v>176178</v>
      </c>
      <c r="AH768" s="56"/>
      <c r="AI768" s="56"/>
    </row>
    <row r="769" spans="1:37" ht="15" x14ac:dyDescent="0.2">
      <c r="A769" s="64" t="s">
        <v>6135</v>
      </c>
      <c r="B769" s="33" t="s">
        <v>12632</v>
      </c>
      <c r="C769" s="7" t="s">
        <v>19778</v>
      </c>
      <c r="D769" s="112">
        <v>5</v>
      </c>
      <c r="E769" s="7"/>
      <c r="F769" s="112"/>
      <c r="G769" s="2" t="s">
        <v>19779</v>
      </c>
      <c r="H769" s="95" t="s">
        <v>193</v>
      </c>
      <c r="I769" s="2" t="s">
        <v>7763</v>
      </c>
      <c r="J769" s="2" t="s">
        <v>48</v>
      </c>
      <c r="K769" s="95" t="s">
        <v>19780</v>
      </c>
      <c r="L769" s="2" t="s">
        <v>19781</v>
      </c>
      <c r="M769" s="48"/>
      <c r="N769" s="48" t="s">
        <v>22</v>
      </c>
      <c r="O769" s="48" t="s">
        <v>19782</v>
      </c>
      <c r="P769" s="60" t="s">
        <v>6149</v>
      </c>
      <c r="Q769" s="48" t="s">
        <v>19783</v>
      </c>
      <c r="R769" s="60" t="s">
        <v>205</v>
      </c>
      <c r="S769" s="49" t="s">
        <v>74</v>
      </c>
      <c r="T769" s="48" t="s">
        <v>75</v>
      </c>
      <c r="U769" s="73" t="s">
        <v>3678</v>
      </c>
      <c r="V769" s="7" t="s">
        <v>214</v>
      </c>
      <c r="W769" s="49" t="s">
        <v>214</v>
      </c>
      <c r="X769" s="49" t="s">
        <v>214</v>
      </c>
      <c r="Y769" s="49" t="s">
        <v>214</v>
      </c>
      <c r="Z769" s="55" t="s">
        <v>214</v>
      </c>
      <c r="AA769" s="48" t="s">
        <v>19784</v>
      </c>
      <c r="AB769" s="84" t="s">
        <v>19782</v>
      </c>
      <c r="AC769" s="53" t="str">
        <f t="shared" ref="AC769:AC770" si="486">HYPERLINK("http://www.prcc.edu/academics/plans","Link")</f>
        <v>Link</v>
      </c>
      <c r="AD769" s="42">
        <v>4281</v>
      </c>
      <c r="AE769" s="55"/>
      <c r="AF769" s="55"/>
      <c r="AG769" s="56">
        <v>176239</v>
      </c>
      <c r="AH769" s="56"/>
      <c r="AI769" s="56"/>
    </row>
    <row r="770" spans="1:37" ht="15" x14ac:dyDescent="0.2">
      <c r="A770" s="64" t="s">
        <v>6135</v>
      </c>
      <c r="B770" s="33" t="s">
        <v>12632</v>
      </c>
      <c r="C770" s="7" t="s">
        <v>19786</v>
      </c>
      <c r="D770" s="112">
        <v>5</v>
      </c>
      <c r="E770" s="7"/>
      <c r="F770" s="112"/>
      <c r="G770" s="2" t="s">
        <v>19779</v>
      </c>
      <c r="H770" s="95" t="s">
        <v>1629</v>
      </c>
      <c r="I770" s="2" t="s">
        <v>19787</v>
      </c>
      <c r="J770" s="2" t="s">
        <v>1558</v>
      </c>
      <c r="K770" s="2"/>
      <c r="L770" s="2"/>
      <c r="M770" s="48"/>
      <c r="N770" s="48" t="s">
        <v>22</v>
      </c>
      <c r="O770" s="48" t="s">
        <v>19782</v>
      </c>
      <c r="P770" s="60" t="s">
        <v>6149</v>
      </c>
      <c r="Q770" s="48" t="s">
        <v>19783</v>
      </c>
      <c r="R770" s="60" t="s">
        <v>205</v>
      </c>
      <c r="S770" s="49" t="s">
        <v>74</v>
      </c>
      <c r="T770" s="48" t="s">
        <v>75</v>
      </c>
      <c r="U770" s="73" t="s">
        <v>3678</v>
      </c>
      <c r="V770" s="7" t="s">
        <v>214</v>
      </c>
      <c r="W770" s="49" t="s">
        <v>214</v>
      </c>
      <c r="X770" s="49" t="s">
        <v>214</v>
      </c>
      <c r="Y770" s="49" t="s">
        <v>214</v>
      </c>
      <c r="Z770" s="55" t="s">
        <v>214</v>
      </c>
      <c r="AA770" s="48" t="s">
        <v>19784</v>
      </c>
      <c r="AB770" s="84" t="s">
        <v>19782</v>
      </c>
      <c r="AC770" s="53" t="str">
        <f t="shared" si="486"/>
        <v>Link</v>
      </c>
      <c r="AD770" s="42">
        <v>4281</v>
      </c>
      <c r="AE770" s="55"/>
      <c r="AF770" s="55"/>
      <c r="AG770" s="56">
        <v>176239</v>
      </c>
      <c r="AH770" s="56"/>
      <c r="AI770" s="56"/>
    </row>
    <row r="771" spans="1:37" ht="15" x14ac:dyDescent="0.2">
      <c r="A771" s="64" t="s">
        <v>6135</v>
      </c>
      <c r="B771" s="33" t="s">
        <v>12632</v>
      </c>
      <c r="C771" s="7" t="s">
        <v>19788</v>
      </c>
      <c r="D771" s="112">
        <v>5</v>
      </c>
      <c r="E771" s="7"/>
      <c r="F771" s="112"/>
      <c r="G771" s="2" t="s">
        <v>19789</v>
      </c>
      <c r="H771" s="2" t="s">
        <v>19790</v>
      </c>
      <c r="I771" s="2" t="s">
        <v>263</v>
      </c>
      <c r="J771" s="2" t="s">
        <v>48</v>
      </c>
      <c r="K771" s="2" t="s">
        <v>19791</v>
      </c>
      <c r="L771" s="2" t="s">
        <v>19793</v>
      </c>
      <c r="M771" s="45" t="str">
        <f t="shared" ref="M771:M772" si="487">HYPERLINK("twitter.com/smccbearssb","@smccbearssb")</f>
        <v>@smccbearssb</v>
      </c>
      <c r="N771" s="48" t="s">
        <v>22</v>
      </c>
      <c r="O771" s="48" t="s">
        <v>19796</v>
      </c>
      <c r="P771" s="60" t="s">
        <v>6149</v>
      </c>
      <c r="Q771" s="48" t="s">
        <v>13733</v>
      </c>
      <c r="R771" s="60" t="s">
        <v>205</v>
      </c>
      <c r="S771" s="49" t="s">
        <v>74</v>
      </c>
      <c r="T771" s="48" t="s">
        <v>75</v>
      </c>
      <c r="U771" s="73" t="s">
        <v>3678</v>
      </c>
      <c r="V771" s="7" t="s">
        <v>214</v>
      </c>
      <c r="W771" s="49" t="s">
        <v>214</v>
      </c>
      <c r="X771" s="49" t="s">
        <v>214</v>
      </c>
      <c r="Y771" s="49" t="s">
        <v>214</v>
      </c>
      <c r="Z771" s="55" t="s">
        <v>214</v>
      </c>
      <c r="AA771" s="48" t="s">
        <v>19797</v>
      </c>
      <c r="AB771" s="52" t="s">
        <v>19796</v>
      </c>
      <c r="AC771" s="53" t="str">
        <f t="shared" ref="AC771:AC772" si="488">HYPERLINK("http://www.smcc.edu/_resources/pdf/about/catalog/catalog.pdf","Link")</f>
        <v>Link</v>
      </c>
      <c r="AD771" s="42">
        <v>1917</v>
      </c>
      <c r="AE771" s="55"/>
      <c r="AF771" s="55"/>
      <c r="AG771" s="56">
        <v>176354</v>
      </c>
      <c r="AH771" s="56"/>
      <c r="AI771" s="56"/>
    </row>
    <row r="772" spans="1:37" ht="15" x14ac:dyDescent="0.2">
      <c r="A772" s="64" t="s">
        <v>6135</v>
      </c>
      <c r="B772" s="33" t="s">
        <v>12632</v>
      </c>
      <c r="C772" s="7" t="s">
        <v>19798</v>
      </c>
      <c r="D772" s="112">
        <v>5</v>
      </c>
      <c r="E772" s="7"/>
      <c r="F772" s="112"/>
      <c r="G772" s="2" t="s">
        <v>19789</v>
      </c>
      <c r="H772" s="2" t="s">
        <v>1629</v>
      </c>
      <c r="I772" s="2" t="s">
        <v>3363</v>
      </c>
      <c r="J772" s="2" t="s">
        <v>55</v>
      </c>
      <c r="K772" s="2" t="s">
        <v>19799</v>
      </c>
      <c r="L772" s="2" t="s">
        <v>19800</v>
      </c>
      <c r="M772" s="45" t="str">
        <f t="shared" si="487"/>
        <v>@smccbearssb</v>
      </c>
      <c r="N772" s="48" t="s">
        <v>22</v>
      </c>
      <c r="O772" s="48" t="s">
        <v>19796</v>
      </c>
      <c r="P772" s="60" t="s">
        <v>6149</v>
      </c>
      <c r="Q772" s="48" t="s">
        <v>13733</v>
      </c>
      <c r="R772" s="60" t="s">
        <v>205</v>
      </c>
      <c r="S772" s="49" t="s">
        <v>74</v>
      </c>
      <c r="T772" s="48" t="s">
        <v>75</v>
      </c>
      <c r="U772" s="73" t="s">
        <v>3678</v>
      </c>
      <c r="V772" s="7" t="s">
        <v>214</v>
      </c>
      <c r="W772" s="49" t="s">
        <v>214</v>
      </c>
      <c r="X772" s="49" t="s">
        <v>214</v>
      </c>
      <c r="Y772" s="49" t="s">
        <v>214</v>
      </c>
      <c r="Z772" s="55" t="s">
        <v>214</v>
      </c>
      <c r="AA772" s="48" t="s">
        <v>19797</v>
      </c>
      <c r="AB772" s="52" t="s">
        <v>19796</v>
      </c>
      <c r="AC772" s="53" t="str">
        <f t="shared" si="488"/>
        <v>Link</v>
      </c>
      <c r="AD772" s="42">
        <v>1917</v>
      </c>
      <c r="AE772" s="55"/>
      <c r="AF772" s="55"/>
      <c r="AG772" s="56">
        <v>176354</v>
      </c>
      <c r="AH772" s="56"/>
      <c r="AI772" s="56"/>
    </row>
    <row r="773" spans="1:37" ht="15" x14ac:dyDescent="0.2">
      <c r="A773" s="64" t="s">
        <v>6237</v>
      </c>
      <c r="B773" s="33" t="s">
        <v>12632</v>
      </c>
      <c r="C773" s="7" t="s">
        <v>19804</v>
      </c>
      <c r="D773" s="112">
        <v>5</v>
      </c>
      <c r="E773" s="7"/>
      <c r="F773" s="112"/>
      <c r="G773" s="2" t="s">
        <v>19543</v>
      </c>
      <c r="H773" s="2" t="s">
        <v>2705</v>
      </c>
      <c r="I773" s="2" t="s">
        <v>19805</v>
      </c>
      <c r="J773" s="2" t="s">
        <v>48</v>
      </c>
      <c r="K773" s="2" t="s">
        <v>19806</v>
      </c>
      <c r="L773" s="2" t="s">
        <v>19807</v>
      </c>
      <c r="M773" s="45" t="str">
        <f t="shared" ref="M773:M774" si="489">HYPERLINK("twitter.com/ecccsoftball","@ecccsoftball")</f>
        <v>@ecccsoftball</v>
      </c>
      <c r="N773" s="45" t="str">
        <f t="shared" ref="N773:N774" si="490">HYPERLINK("https://sports2.eastcentral.edu/prospective-student-athlete-form/","Questionnaire")</f>
        <v>Questionnaire</v>
      </c>
      <c r="O773" s="48" t="s">
        <v>19810</v>
      </c>
      <c r="P773" s="60" t="s">
        <v>2246</v>
      </c>
      <c r="Q773" s="48" t="s">
        <v>8136</v>
      </c>
      <c r="R773" s="48" t="s">
        <v>172</v>
      </c>
      <c r="S773" s="49" t="s">
        <v>74</v>
      </c>
      <c r="T773" s="48" t="s">
        <v>75</v>
      </c>
      <c r="U773" s="5" t="s">
        <v>3678</v>
      </c>
      <c r="V773" s="7" t="s">
        <v>214</v>
      </c>
      <c r="W773" s="49" t="s">
        <v>214</v>
      </c>
      <c r="X773" s="49" t="s">
        <v>214</v>
      </c>
      <c r="Y773" s="49" t="s">
        <v>214</v>
      </c>
      <c r="Z773" s="55" t="s">
        <v>214</v>
      </c>
      <c r="AA773" s="48" t="s">
        <v>19811</v>
      </c>
      <c r="AB773" s="84" t="s">
        <v>19812</v>
      </c>
      <c r="AC773" s="53" t="str">
        <f t="shared" ref="AC773:AC774" si="491">HYPERLINK("http://www.eastcentral.edu/academics/","Link")</f>
        <v>Link</v>
      </c>
      <c r="AD773" s="42">
        <v>2966</v>
      </c>
      <c r="AE773" s="55"/>
      <c r="AF773" s="55"/>
      <c r="AG773" s="56">
        <v>175643</v>
      </c>
      <c r="AH773" s="56"/>
      <c r="AI773" s="56"/>
    </row>
    <row r="774" spans="1:37" ht="15" x14ac:dyDescent="0.2">
      <c r="A774" s="64" t="s">
        <v>6237</v>
      </c>
      <c r="B774" s="33" t="s">
        <v>12632</v>
      </c>
      <c r="C774" s="7" t="s">
        <v>19817</v>
      </c>
      <c r="D774" s="112">
        <v>5</v>
      </c>
      <c r="E774" s="7"/>
      <c r="F774" s="112"/>
      <c r="G774" s="2" t="s">
        <v>19543</v>
      </c>
      <c r="H774" s="2" t="s">
        <v>19818</v>
      </c>
      <c r="I774" s="2" t="s">
        <v>19819</v>
      </c>
      <c r="J774" s="2" t="s">
        <v>55</v>
      </c>
      <c r="K774" s="2" t="s">
        <v>19820</v>
      </c>
      <c r="L774" s="2" t="s">
        <v>19807</v>
      </c>
      <c r="M774" s="45" t="str">
        <f t="shared" si="489"/>
        <v>@ecccsoftball</v>
      </c>
      <c r="N774" s="45" t="str">
        <f t="shared" si="490"/>
        <v>Questionnaire</v>
      </c>
      <c r="O774" s="48" t="s">
        <v>19810</v>
      </c>
      <c r="P774" s="60" t="s">
        <v>2246</v>
      </c>
      <c r="Q774" s="48" t="s">
        <v>8136</v>
      </c>
      <c r="R774" s="48" t="s">
        <v>172</v>
      </c>
      <c r="S774" s="49" t="s">
        <v>74</v>
      </c>
      <c r="T774" s="48" t="s">
        <v>75</v>
      </c>
      <c r="U774" s="5" t="s">
        <v>3678</v>
      </c>
      <c r="V774" s="7" t="s">
        <v>214</v>
      </c>
      <c r="W774" s="49" t="s">
        <v>214</v>
      </c>
      <c r="X774" s="49" t="s">
        <v>214</v>
      </c>
      <c r="Y774" s="49" t="s">
        <v>214</v>
      </c>
      <c r="Z774" s="55" t="s">
        <v>214</v>
      </c>
      <c r="AA774" s="48" t="s">
        <v>19811</v>
      </c>
      <c r="AB774" s="84" t="s">
        <v>19812</v>
      </c>
      <c r="AC774" s="53" t="str">
        <f t="shared" si="491"/>
        <v>Link</v>
      </c>
      <c r="AD774" s="42">
        <v>2966</v>
      </c>
      <c r="AE774" s="55"/>
      <c r="AF774" s="55"/>
      <c r="AG774" s="56">
        <v>175643</v>
      </c>
      <c r="AH774" s="56"/>
      <c r="AI774" s="56"/>
    </row>
    <row r="775" spans="1:37" ht="13" x14ac:dyDescent="0.15">
      <c r="A775" s="64" t="s">
        <v>6237</v>
      </c>
      <c r="B775" s="36" t="s">
        <v>12632</v>
      </c>
      <c r="C775" s="7" t="s">
        <v>19824</v>
      </c>
      <c r="D775" s="44">
        <v>5</v>
      </c>
      <c r="E775" s="7"/>
      <c r="F775" s="44"/>
      <c r="G775" s="2" t="s">
        <v>9577</v>
      </c>
      <c r="H775" s="7" t="s">
        <v>2816</v>
      </c>
      <c r="I775" s="7" t="s">
        <v>19825</v>
      </c>
      <c r="J775" s="7" t="s">
        <v>139</v>
      </c>
      <c r="K775" s="7" t="s">
        <v>19826</v>
      </c>
      <c r="L775" s="7" t="s">
        <v>19827</v>
      </c>
      <c r="M775" s="48"/>
      <c r="N775" s="48"/>
      <c r="O775" s="48" t="s">
        <v>19828</v>
      </c>
      <c r="P775" s="60" t="s">
        <v>2246</v>
      </c>
      <c r="Q775" s="6" t="s">
        <v>17704</v>
      </c>
      <c r="R775" s="94" t="s">
        <v>205</v>
      </c>
      <c r="S775" s="4" t="s">
        <v>74</v>
      </c>
      <c r="T775" s="6" t="s">
        <v>75</v>
      </c>
      <c r="U775" s="4" t="s">
        <v>3678</v>
      </c>
      <c r="V775" s="7" t="s">
        <v>214</v>
      </c>
      <c r="W775" s="4" t="s">
        <v>214</v>
      </c>
      <c r="X775" s="4" t="s">
        <v>214</v>
      </c>
      <c r="Y775" s="4" t="s">
        <v>214</v>
      </c>
      <c r="Z775" s="8" t="s">
        <v>214</v>
      </c>
      <c r="AA775" s="6" t="s">
        <v>9587</v>
      </c>
      <c r="AB775" s="84" t="s">
        <v>19828</v>
      </c>
      <c r="AC775" s="67" t="str">
        <f t="shared" ref="AC775:AC778" si="492">HYPERLINK("https://www.jeffco.edu/academics/programsdepartments#.WtJ62-jwa3A","Link")</f>
        <v>Link</v>
      </c>
      <c r="AD775" s="42">
        <v>4692</v>
      </c>
      <c r="AE775" s="8"/>
      <c r="AF775" s="8"/>
      <c r="AG775" s="56">
        <v>170444</v>
      </c>
      <c r="AH775" s="56"/>
      <c r="AI775" s="56"/>
    </row>
    <row r="776" spans="1:37" ht="15" x14ac:dyDescent="0.2">
      <c r="A776" s="64" t="s">
        <v>6237</v>
      </c>
      <c r="B776" s="33" t="s">
        <v>12632</v>
      </c>
      <c r="C776" s="7" t="s">
        <v>19834</v>
      </c>
      <c r="D776" s="112">
        <v>5</v>
      </c>
      <c r="E776" s="7"/>
      <c r="F776" s="112"/>
      <c r="G776" s="2" t="s">
        <v>9577</v>
      </c>
      <c r="H776" s="2" t="s">
        <v>2622</v>
      </c>
      <c r="I776" s="2" t="s">
        <v>5667</v>
      </c>
      <c r="J776" s="2" t="s">
        <v>48</v>
      </c>
      <c r="K776" s="2" t="s">
        <v>19835</v>
      </c>
      <c r="L776" s="2" t="s">
        <v>19836</v>
      </c>
      <c r="M776" s="45" t="str">
        <f t="shared" ref="M776:M778" si="493">HYPERLINK("twitter.com/jc_benchwarmers","@jc_benchwarmers")</f>
        <v>@jc_benchwarmers</v>
      </c>
      <c r="N776" s="45" t="str">
        <f t="shared" ref="N776:N778" si="494">HYPERLINK("twitter.com/https://www.jeffco.edu/athletics/teams/softball/recruit-profile","Questionnaire")</f>
        <v>Questionnaire</v>
      </c>
      <c r="O776" s="48" t="s">
        <v>19828</v>
      </c>
      <c r="P776" s="60" t="s">
        <v>2246</v>
      </c>
      <c r="Q776" s="48" t="s">
        <v>17704</v>
      </c>
      <c r="R776" s="60" t="s">
        <v>205</v>
      </c>
      <c r="S776" s="49" t="s">
        <v>74</v>
      </c>
      <c r="T776" s="48" t="s">
        <v>75</v>
      </c>
      <c r="U776" s="49" t="s">
        <v>3678</v>
      </c>
      <c r="V776" s="7" t="s">
        <v>214</v>
      </c>
      <c r="W776" s="49" t="s">
        <v>214</v>
      </c>
      <c r="X776" s="49" t="s">
        <v>214</v>
      </c>
      <c r="Y776" s="49" t="s">
        <v>214</v>
      </c>
      <c r="Z776" s="55" t="s">
        <v>214</v>
      </c>
      <c r="AA776" s="48" t="s">
        <v>9587</v>
      </c>
      <c r="AB776" s="84" t="s">
        <v>19828</v>
      </c>
      <c r="AC776" s="53" t="str">
        <f t="shared" si="492"/>
        <v>Link</v>
      </c>
      <c r="AD776" s="42">
        <v>4692</v>
      </c>
      <c r="AE776" s="55"/>
      <c r="AF776" s="55"/>
      <c r="AG776" s="56">
        <v>170444</v>
      </c>
      <c r="AH776" s="56"/>
      <c r="AI776" s="56"/>
    </row>
    <row r="777" spans="1:37" ht="15" x14ac:dyDescent="0.2">
      <c r="A777" s="64" t="s">
        <v>6237</v>
      </c>
      <c r="B777" s="33" t="s">
        <v>12632</v>
      </c>
      <c r="C777" s="7" t="s">
        <v>19843</v>
      </c>
      <c r="D777" s="112">
        <v>5</v>
      </c>
      <c r="E777" s="7"/>
      <c r="F777" s="112"/>
      <c r="G777" s="2" t="s">
        <v>9577</v>
      </c>
      <c r="H777" s="2" t="s">
        <v>4379</v>
      </c>
      <c r="I777" s="2" t="s">
        <v>7082</v>
      </c>
      <c r="J777" s="2" t="s">
        <v>55</v>
      </c>
      <c r="K777" s="2" t="s">
        <v>19844</v>
      </c>
      <c r="L777" s="2" t="s">
        <v>19827</v>
      </c>
      <c r="M777" s="45" t="str">
        <f t="shared" si="493"/>
        <v>@jc_benchwarmers</v>
      </c>
      <c r="N777" s="45" t="str">
        <f t="shared" si="494"/>
        <v>Questionnaire</v>
      </c>
      <c r="O777" s="48" t="s">
        <v>19828</v>
      </c>
      <c r="P777" s="60" t="s">
        <v>2246</v>
      </c>
      <c r="Q777" s="48" t="s">
        <v>17704</v>
      </c>
      <c r="R777" s="60" t="s">
        <v>205</v>
      </c>
      <c r="S777" s="49" t="s">
        <v>74</v>
      </c>
      <c r="T777" s="48" t="s">
        <v>75</v>
      </c>
      <c r="U777" s="49" t="s">
        <v>3678</v>
      </c>
      <c r="V777" s="7" t="s">
        <v>214</v>
      </c>
      <c r="W777" s="49" t="s">
        <v>214</v>
      </c>
      <c r="X777" s="49" t="s">
        <v>214</v>
      </c>
      <c r="Y777" s="49" t="s">
        <v>214</v>
      </c>
      <c r="Z777" s="55" t="s">
        <v>214</v>
      </c>
      <c r="AA777" s="48" t="s">
        <v>9587</v>
      </c>
      <c r="AB777" s="84" t="s">
        <v>19828</v>
      </c>
      <c r="AC777" s="53" t="str">
        <f t="shared" si="492"/>
        <v>Link</v>
      </c>
      <c r="AD777" s="42">
        <v>4692</v>
      </c>
      <c r="AE777" s="55"/>
      <c r="AF777" s="55"/>
      <c r="AG777" s="56">
        <v>170444</v>
      </c>
      <c r="AH777" s="56"/>
      <c r="AI777" s="56"/>
    </row>
    <row r="778" spans="1:37" ht="15" x14ac:dyDescent="0.2">
      <c r="A778" s="64" t="s">
        <v>6237</v>
      </c>
      <c r="B778" s="33" t="s">
        <v>12632</v>
      </c>
      <c r="C778" s="7" t="s">
        <v>19846</v>
      </c>
      <c r="D778" s="112">
        <v>5</v>
      </c>
      <c r="E778" s="7"/>
      <c r="F778" s="112"/>
      <c r="G778" s="2" t="s">
        <v>9577</v>
      </c>
      <c r="H778" s="2" t="s">
        <v>1492</v>
      </c>
      <c r="I778" s="2" t="s">
        <v>1794</v>
      </c>
      <c r="J778" s="2" t="s">
        <v>55</v>
      </c>
      <c r="K778" s="2" t="s">
        <v>19847</v>
      </c>
      <c r="L778" s="2" t="s">
        <v>19827</v>
      </c>
      <c r="M778" s="45" t="str">
        <f t="shared" si="493"/>
        <v>@jc_benchwarmers</v>
      </c>
      <c r="N778" s="45" t="str">
        <f t="shared" si="494"/>
        <v>Questionnaire</v>
      </c>
      <c r="O778" s="48" t="s">
        <v>19828</v>
      </c>
      <c r="P778" s="60" t="s">
        <v>2246</v>
      </c>
      <c r="Q778" s="48" t="s">
        <v>17704</v>
      </c>
      <c r="R778" s="60" t="s">
        <v>205</v>
      </c>
      <c r="S778" s="49" t="s">
        <v>74</v>
      </c>
      <c r="T778" s="48" t="s">
        <v>75</v>
      </c>
      <c r="U778" s="49" t="s">
        <v>3678</v>
      </c>
      <c r="V778" s="7" t="s">
        <v>214</v>
      </c>
      <c r="W778" s="49" t="s">
        <v>214</v>
      </c>
      <c r="X778" s="49" t="s">
        <v>214</v>
      </c>
      <c r="Y778" s="49" t="s">
        <v>214</v>
      </c>
      <c r="Z778" s="55" t="s">
        <v>214</v>
      </c>
      <c r="AA778" s="48" t="s">
        <v>9587</v>
      </c>
      <c r="AB778" s="84" t="s">
        <v>19828</v>
      </c>
      <c r="AC778" s="53" t="str">
        <f t="shared" si="492"/>
        <v>Link</v>
      </c>
      <c r="AD778" s="42">
        <v>4692</v>
      </c>
      <c r="AE778" s="55"/>
      <c r="AF778" s="55"/>
      <c r="AG778" s="56">
        <v>170444</v>
      </c>
      <c r="AH778" s="56"/>
      <c r="AI778" s="56"/>
    </row>
    <row r="779" spans="1:37" ht="15" x14ac:dyDescent="0.2">
      <c r="A779" s="31" t="s">
        <v>6237</v>
      </c>
      <c r="B779" s="33" t="s">
        <v>12632</v>
      </c>
      <c r="C779" s="7"/>
      <c r="D779" s="112">
        <v>5</v>
      </c>
      <c r="E779" s="7"/>
      <c r="F779" s="112"/>
      <c r="G779" s="2" t="s">
        <v>19851</v>
      </c>
      <c r="H779" s="2" t="s">
        <v>19852</v>
      </c>
      <c r="I779" s="2" t="s">
        <v>19853</v>
      </c>
      <c r="J779" s="2" t="s">
        <v>48</v>
      </c>
      <c r="K779" s="2" t="s">
        <v>19854</v>
      </c>
      <c r="L779" s="2" t="s">
        <v>19855</v>
      </c>
      <c r="M779" s="48"/>
      <c r="N779" s="48" t="s">
        <v>22</v>
      </c>
      <c r="O779" s="48" t="s">
        <v>19856</v>
      </c>
      <c r="P779" s="60" t="s">
        <v>2246</v>
      </c>
      <c r="Q779" s="48" t="s">
        <v>6594</v>
      </c>
      <c r="R779" s="48" t="s">
        <v>354</v>
      </c>
      <c r="S779" s="49" t="s">
        <v>74</v>
      </c>
      <c r="T779" s="48" t="s">
        <v>75</v>
      </c>
      <c r="U779" s="49" t="s">
        <v>3678</v>
      </c>
      <c r="V779" s="7" t="s">
        <v>214</v>
      </c>
      <c r="W779" s="49" t="s">
        <v>214</v>
      </c>
      <c r="X779" s="49" t="s">
        <v>214</v>
      </c>
      <c r="Y779" s="49" t="s">
        <v>214</v>
      </c>
      <c r="Z779" s="55" t="s">
        <v>214</v>
      </c>
      <c r="AA779" s="48" t="s">
        <v>19861</v>
      </c>
      <c r="AB779" s="84" t="s">
        <v>19856</v>
      </c>
      <c r="AC779" s="53" t="str">
        <f t="shared" ref="AC779:AC784" si="495">HYPERLINK("http://www.mcckc.edu/programs/","Link")</f>
        <v>Link</v>
      </c>
      <c r="AD779" s="42">
        <v>14788</v>
      </c>
      <c r="AE779" s="55"/>
      <c r="AF779" s="55"/>
      <c r="AG779" s="56">
        <v>178022</v>
      </c>
      <c r="AH779" s="7" t="s">
        <v>2459</v>
      </c>
      <c r="AI779" s="7"/>
      <c r="AJ779" s="7"/>
      <c r="AK779" s="7"/>
    </row>
    <row r="780" spans="1:37" ht="15" x14ac:dyDescent="0.2">
      <c r="A780" s="31" t="s">
        <v>6237</v>
      </c>
      <c r="B780" s="33" t="s">
        <v>12632</v>
      </c>
      <c r="C780" s="7"/>
      <c r="D780" s="112">
        <v>5</v>
      </c>
      <c r="E780" s="7"/>
      <c r="F780" s="112"/>
      <c r="G780" s="2" t="s">
        <v>19851</v>
      </c>
      <c r="H780" s="2" t="s">
        <v>19863</v>
      </c>
      <c r="I780" s="2" t="s">
        <v>5957</v>
      </c>
      <c r="J780" s="2" t="s">
        <v>55</v>
      </c>
      <c r="K780" s="2" t="s">
        <v>19864</v>
      </c>
      <c r="L780" s="2"/>
      <c r="M780" s="48"/>
      <c r="N780" s="48" t="s">
        <v>22</v>
      </c>
      <c r="O780" s="48" t="s">
        <v>19856</v>
      </c>
      <c r="P780" s="60" t="s">
        <v>2246</v>
      </c>
      <c r="Q780" s="48" t="s">
        <v>6594</v>
      </c>
      <c r="R780" s="48" t="s">
        <v>354</v>
      </c>
      <c r="S780" s="49" t="s">
        <v>74</v>
      </c>
      <c r="T780" s="48" t="s">
        <v>75</v>
      </c>
      <c r="U780" s="49" t="s">
        <v>3678</v>
      </c>
      <c r="V780" s="7" t="s">
        <v>214</v>
      </c>
      <c r="W780" s="49" t="s">
        <v>214</v>
      </c>
      <c r="X780" s="49" t="s">
        <v>214</v>
      </c>
      <c r="Y780" s="49" t="s">
        <v>214</v>
      </c>
      <c r="Z780" s="55" t="s">
        <v>214</v>
      </c>
      <c r="AA780" s="48" t="s">
        <v>19861</v>
      </c>
      <c r="AB780" s="84" t="s">
        <v>19856</v>
      </c>
      <c r="AC780" s="53" t="str">
        <f t="shared" si="495"/>
        <v>Link</v>
      </c>
      <c r="AD780" s="42">
        <v>14788</v>
      </c>
      <c r="AE780" s="55"/>
      <c r="AF780" s="55"/>
      <c r="AG780" s="56">
        <v>178022</v>
      </c>
      <c r="AH780" s="7" t="s">
        <v>2459</v>
      </c>
      <c r="AI780" s="7"/>
      <c r="AJ780" s="7"/>
      <c r="AK780" s="7"/>
    </row>
    <row r="781" spans="1:37" ht="15" x14ac:dyDescent="0.2">
      <c r="A781" s="31" t="s">
        <v>6237</v>
      </c>
      <c r="B781" s="33" t="s">
        <v>12632</v>
      </c>
      <c r="C781" s="7"/>
      <c r="D781" s="112">
        <v>5</v>
      </c>
      <c r="E781" s="7"/>
      <c r="F781" s="112"/>
      <c r="G781" s="2" t="s">
        <v>19851</v>
      </c>
      <c r="H781" s="2" t="s">
        <v>19865</v>
      </c>
      <c r="I781" s="2" t="s">
        <v>2219</v>
      </c>
      <c r="J781" s="2" t="s">
        <v>139</v>
      </c>
      <c r="K781" s="2"/>
      <c r="L781" s="2"/>
      <c r="M781" s="48"/>
      <c r="N781" s="48" t="s">
        <v>22</v>
      </c>
      <c r="O781" s="48" t="s">
        <v>19856</v>
      </c>
      <c r="P781" s="60" t="s">
        <v>2246</v>
      </c>
      <c r="Q781" s="48" t="s">
        <v>6594</v>
      </c>
      <c r="R781" s="48" t="s">
        <v>354</v>
      </c>
      <c r="S781" s="49" t="s">
        <v>74</v>
      </c>
      <c r="T781" s="48" t="s">
        <v>75</v>
      </c>
      <c r="U781" s="49" t="s">
        <v>3678</v>
      </c>
      <c r="V781" s="7" t="s">
        <v>214</v>
      </c>
      <c r="W781" s="49" t="s">
        <v>214</v>
      </c>
      <c r="X781" s="49" t="s">
        <v>214</v>
      </c>
      <c r="Y781" s="49" t="s">
        <v>214</v>
      </c>
      <c r="Z781" s="55" t="s">
        <v>214</v>
      </c>
      <c r="AA781" s="48" t="s">
        <v>19861</v>
      </c>
      <c r="AB781" s="84" t="s">
        <v>19856</v>
      </c>
      <c r="AC781" s="53" t="str">
        <f t="shared" si="495"/>
        <v>Link</v>
      </c>
      <c r="AD781" s="42">
        <v>14788</v>
      </c>
      <c r="AE781" s="55"/>
      <c r="AF781" s="55"/>
      <c r="AG781" s="56">
        <v>178022</v>
      </c>
      <c r="AH781" s="7" t="s">
        <v>2459</v>
      </c>
      <c r="AI781" s="7"/>
      <c r="AJ781" s="7"/>
      <c r="AK781" s="7"/>
    </row>
    <row r="782" spans="1:37" ht="15" x14ac:dyDescent="0.2">
      <c r="A782" s="64" t="s">
        <v>6237</v>
      </c>
      <c r="B782" s="33" t="s">
        <v>12632</v>
      </c>
      <c r="C782" s="7" t="s">
        <v>19867</v>
      </c>
      <c r="D782" s="112">
        <v>5</v>
      </c>
      <c r="E782" s="7"/>
      <c r="F782" s="112"/>
      <c r="G782" s="2" t="s">
        <v>19851</v>
      </c>
      <c r="H782" s="2" t="s">
        <v>19852</v>
      </c>
      <c r="I782" s="2" t="s">
        <v>19853</v>
      </c>
      <c r="J782" s="2" t="s">
        <v>48</v>
      </c>
      <c r="K782" s="2" t="s">
        <v>19854</v>
      </c>
      <c r="L782" s="2" t="s">
        <v>19855</v>
      </c>
      <c r="M782" s="48"/>
      <c r="N782" s="48" t="s">
        <v>22</v>
      </c>
      <c r="O782" s="48" t="s">
        <v>19856</v>
      </c>
      <c r="P782" s="60" t="s">
        <v>2246</v>
      </c>
      <c r="Q782" s="48" t="s">
        <v>6594</v>
      </c>
      <c r="R782" s="48" t="s">
        <v>354</v>
      </c>
      <c r="S782" s="49" t="s">
        <v>74</v>
      </c>
      <c r="T782" s="48" t="s">
        <v>75</v>
      </c>
      <c r="U782" s="49" t="s">
        <v>3678</v>
      </c>
      <c r="V782" s="7" t="s">
        <v>214</v>
      </c>
      <c r="W782" s="49" t="s">
        <v>214</v>
      </c>
      <c r="X782" s="49" t="s">
        <v>214</v>
      </c>
      <c r="Y782" s="49" t="s">
        <v>214</v>
      </c>
      <c r="Z782" s="55" t="s">
        <v>214</v>
      </c>
      <c r="AA782" s="48" t="s">
        <v>19861</v>
      </c>
      <c r="AB782" s="84" t="s">
        <v>19856</v>
      </c>
      <c r="AC782" s="53" t="str">
        <f t="shared" si="495"/>
        <v>Link</v>
      </c>
      <c r="AD782" s="42">
        <v>14788</v>
      </c>
      <c r="AE782" s="55"/>
      <c r="AF782" s="55"/>
      <c r="AG782" s="56">
        <v>178022</v>
      </c>
      <c r="AH782" s="56"/>
      <c r="AI782" s="56"/>
    </row>
    <row r="783" spans="1:37" ht="15" x14ac:dyDescent="0.2">
      <c r="A783" s="64" t="s">
        <v>6237</v>
      </c>
      <c r="B783" s="33" t="s">
        <v>12632</v>
      </c>
      <c r="C783" s="7" t="s">
        <v>19871</v>
      </c>
      <c r="D783" s="112">
        <v>5</v>
      </c>
      <c r="E783" s="7"/>
      <c r="F783" s="112"/>
      <c r="G783" s="2" t="s">
        <v>19851</v>
      </c>
      <c r="H783" s="2" t="s">
        <v>19863</v>
      </c>
      <c r="I783" s="2" t="s">
        <v>5957</v>
      </c>
      <c r="J783" s="2" t="s">
        <v>55</v>
      </c>
      <c r="K783" s="2" t="s">
        <v>19864</v>
      </c>
      <c r="L783" s="2"/>
      <c r="M783" s="48"/>
      <c r="N783" s="48" t="s">
        <v>22</v>
      </c>
      <c r="O783" s="48" t="s">
        <v>19856</v>
      </c>
      <c r="P783" s="60" t="s">
        <v>2246</v>
      </c>
      <c r="Q783" s="48" t="s">
        <v>6594</v>
      </c>
      <c r="R783" s="48" t="s">
        <v>354</v>
      </c>
      <c r="S783" s="49" t="s">
        <v>74</v>
      </c>
      <c r="T783" s="48" t="s">
        <v>75</v>
      </c>
      <c r="U783" s="49" t="s">
        <v>3678</v>
      </c>
      <c r="V783" s="7" t="s">
        <v>214</v>
      </c>
      <c r="W783" s="49" t="s">
        <v>214</v>
      </c>
      <c r="X783" s="49" t="s">
        <v>214</v>
      </c>
      <c r="Y783" s="49" t="s">
        <v>214</v>
      </c>
      <c r="Z783" s="55" t="s">
        <v>214</v>
      </c>
      <c r="AA783" s="48" t="s">
        <v>19861</v>
      </c>
      <c r="AB783" s="84" t="s">
        <v>19856</v>
      </c>
      <c r="AC783" s="53" t="str">
        <f t="shared" si="495"/>
        <v>Link</v>
      </c>
      <c r="AD783" s="42">
        <v>14788</v>
      </c>
      <c r="AE783" s="55"/>
      <c r="AF783" s="55"/>
      <c r="AG783" s="56">
        <v>178022</v>
      </c>
      <c r="AH783" s="56"/>
      <c r="AI783" s="56"/>
    </row>
    <row r="784" spans="1:37" ht="15" x14ac:dyDescent="0.2">
      <c r="A784" s="64" t="s">
        <v>6237</v>
      </c>
      <c r="B784" s="33" t="s">
        <v>12632</v>
      </c>
      <c r="C784" s="7" t="s">
        <v>19874</v>
      </c>
      <c r="D784" s="112">
        <v>5</v>
      </c>
      <c r="E784" s="7"/>
      <c r="F784" s="112"/>
      <c r="G784" s="2" t="s">
        <v>19851</v>
      </c>
      <c r="H784" s="2" t="s">
        <v>19865</v>
      </c>
      <c r="I784" s="2" t="s">
        <v>2219</v>
      </c>
      <c r="J784" s="2" t="s">
        <v>139</v>
      </c>
      <c r="K784" s="2"/>
      <c r="L784" s="2"/>
      <c r="M784" s="48"/>
      <c r="N784" s="48" t="s">
        <v>22</v>
      </c>
      <c r="O784" s="48" t="s">
        <v>19856</v>
      </c>
      <c r="P784" s="60" t="s">
        <v>2246</v>
      </c>
      <c r="Q784" s="48" t="s">
        <v>6594</v>
      </c>
      <c r="R784" s="48" t="s">
        <v>354</v>
      </c>
      <c r="S784" s="49" t="s">
        <v>74</v>
      </c>
      <c r="T784" s="48" t="s">
        <v>75</v>
      </c>
      <c r="U784" s="49" t="s">
        <v>3678</v>
      </c>
      <c r="V784" s="7" t="s">
        <v>214</v>
      </c>
      <c r="W784" s="49" t="s">
        <v>214</v>
      </c>
      <c r="X784" s="49" t="s">
        <v>214</v>
      </c>
      <c r="Y784" s="49" t="s">
        <v>214</v>
      </c>
      <c r="Z784" s="55" t="s">
        <v>214</v>
      </c>
      <c r="AA784" s="48" t="s">
        <v>19861</v>
      </c>
      <c r="AB784" s="84" t="s">
        <v>19856</v>
      </c>
      <c r="AC784" s="53" t="str">
        <f t="shared" si="495"/>
        <v>Link</v>
      </c>
      <c r="AD784" s="42">
        <v>14788</v>
      </c>
      <c r="AE784" s="55"/>
      <c r="AF784" s="55"/>
      <c r="AG784" s="56">
        <v>178022</v>
      </c>
      <c r="AH784" s="56"/>
      <c r="AI784" s="56"/>
    </row>
    <row r="785" spans="1:37" ht="15" x14ac:dyDescent="0.2">
      <c r="A785" s="31" t="s">
        <v>6237</v>
      </c>
      <c r="B785" s="33" t="s">
        <v>12632</v>
      </c>
      <c r="C785" s="7"/>
      <c r="D785" s="112">
        <v>5</v>
      </c>
      <c r="E785" s="7"/>
      <c r="F785" s="112"/>
      <c r="G785" s="2" t="s">
        <v>19876</v>
      </c>
      <c r="H785" s="2" t="s">
        <v>329</v>
      </c>
      <c r="I785" s="2" t="s">
        <v>10526</v>
      </c>
      <c r="J785" s="2" t="s">
        <v>48</v>
      </c>
      <c r="K785" s="2" t="s">
        <v>19878</v>
      </c>
      <c r="L785" s="2" t="s">
        <v>19880</v>
      </c>
      <c r="M785" s="48"/>
      <c r="N785" s="48" t="s">
        <v>22</v>
      </c>
      <c r="O785" s="48" t="s">
        <v>19882</v>
      </c>
      <c r="P785" s="60" t="s">
        <v>2246</v>
      </c>
      <c r="Q785" s="48" t="s">
        <v>19883</v>
      </c>
      <c r="R785" s="60" t="s">
        <v>205</v>
      </c>
      <c r="S785" s="49" t="s">
        <v>74</v>
      </c>
      <c r="T785" s="48" t="s">
        <v>75</v>
      </c>
      <c r="U785" s="49" t="s">
        <v>3678</v>
      </c>
      <c r="V785" s="7" t="s">
        <v>214</v>
      </c>
      <c r="W785" s="49" t="s">
        <v>214</v>
      </c>
      <c r="X785" s="49" t="s">
        <v>214</v>
      </c>
      <c r="Y785" s="49" t="s">
        <v>214</v>
      </c>
      <c r="Z785" s="55" t="s">
        <v>214</v>
      </c>
      <c r="AA785" s="48" t="s">
        <v>19884</v>
      </c>
      <c r="AB785" s="84" t="s">
        <v>19882</v>
      </c>
      <c r="AC785" s="53" t="str">
        <f t="shared" ref="AC785:AC788" si="496">HYPERLINK("http://www.mineralarea.edu/programsAndCourses/degreesAndCertificates/default.aspx","Link")</f>
        <v>Link</v>
      </c>
      <c r="AD785" s="42">
        <v>4173</v>
      </c>
      <c r="AE785" s="55"/>
      <c r="AF785" s="55"/>
      <c r="AG785" s="56">
        <v>178217</v>
      </c>
      <c r="AH785" s="7" t="s">
        <v>2459</v>
      </c>
      <c r="AI785" s="7"/>
      <c r="AJ785" s="7"/>
      <c r="AK785" s="7"/>
    </row>
    <row r="786" spans="1:37" ht="15" x14ac:dyDescent="0.2">
      <c r="A786" s="31" t="s">
        <v>6237</v>
      </c>
      <c r="B786" s="33" t="s">
        <v>12632</v>
      </c>
      <c r="C786" s="7"/>
      <c r="D786" s="112">
        <v>5</v>
      </c>
      <c r="E786" s="7"/>
      <c r="F786" s="112"/>
      <c r="G786" s="2" t="s">
        <v>19876</v>
      </c>
      <c r="H786" s="2" t="s">
        <v>4659</v>
      </c>
      <c r="I786" s="2" t="s">
        <v>19890</v>
      </c>
      <c r="J786" s="2" t="s">
        <v>55</v>
      </c>
      <c r="K786" s="2" t="s">
        <v>19891</v>
      </c>
      <c r="L786" s="2" t="s">
        <v>19880</v>
      </c>
      <c r="M786" s="48"/>
      <c r="N786" s="48" t="s">
        <v>22</v>
      </c>
      <c r="O786" s="48" t="s">
        <v>19882</v>
      </c>
      <c r="P786" s="60" t="s">
        <v>2246</v>
      </c>
      <c r="Q786" s="48" t="s">
        <v>19883</v>
      </c>
      <c r="R786" s="60" t="s">
        <v>205</v>
      </c>
      <c r="S786" s="49" t="s">
        <v>74</v>
      </c>
      <c r="T786" s="48" t="s">
        <v>75</v>
      </c>
      <c r="U786" s="49" t="s">
        <v>3678</v>
      </c>
      <c r="V786" s="7" t="s">
        <v>214</v>
      </c>
      <c r="W786" s="49" t="s">
        <v>214</v>
      </c>
      <c r="X786" s="49" t="s">
        <v>214</v>
      </c>
      <c r="Y786" s="49" t="s">
        <v>214</v>
      </c>
      <c r="Z786" s="55" t="s">
        <v>214</v>
      </c>
      <c r="AA786" s="48" t="s">
        <v>19884</v>
      </c>
      <c r="AB786" s="84" t="s">
        <v>19882</v>
      </c>
      <c r="AC786" s="53" t="str">
        <f t="shared" si="496"/>
        <v>Link</v>
      </c>
      <c r="AD786" s="42">
        <v>4173</v>
      </c>
      <c r="AE786" s="55"/>
      <c r="AF786" s="55"/>
      <c r="AG786" s="56">
        <v>178217</v>
      </c>
      <c r="AH786" s="7" t="s">
        <v>2459</v>
      </c>
      <c r="AI786" s="7"/>
      <c r="AJ786" s="7"/>
      <c r="AK786" s="7"/>
    </row>
    <row r="787" spans="1:37" ht="15" x14ac:dyDescent="0.2">
      <c r="A787" s="64" t="s">
        <v>6237</v>
      </c>
      <c r="B787" s="33" t="s">
        <v>12632</v>
      </c>
      <c r="C787" s="7" t="s">
        <v>19892</v>
      </c>
      <c r="D787" s="112">
        <v>5</v>
      </c>
      <c r="E787" s="7"/>
      <c r="F787" s="112"/>
      <c r="G787" s="2" t="s">
        <v>19876</v>
      </c>
      <c r="H787" s="2" t="s">
        <v>329</v>
      </c>
      <c r="I787" s="2" t="s">
        <v>10526</v>
      </c>
      <c r="J787" s="2" t="s">
        <v>48</v>
      </c>
      <c r="K787" s="2" t="s">
        <v>19878</v>
      </c>
      <c r="L787" s="2" t="s">
        <v>19880</v>
      </c>
      <c r="M787" s="48"/>
      <c r="N787" s="48" t="s">
        <v>22</v>
      </c>
      <c r="O787" s="48" t="s">
        <v>19882</v>
      </c>
      <c r="P787" s="60" t="s">
        <v>2246</v>
      </c>
      <c r="Q787" s="48" t="s">
        <v>19883</v>
      </c>
      <c r="R787" s="60" t="s">
        <v>205</v>
      </c>
      <c r="S787" s="49" t="s">
        <v>74</v>
      </c>
      <c r="T787" s="48" t="s">
        <v>75</v>
      </c>
      <c r="U787" s="49" t="s">
        <v>3678</v>
      </c>
      <c r="V787" s="7" t="s">
        <v>214</v>
      </c>
      <c r="W787" s="49" t="s">
        <v>214</v>
      </c>
      <c r="X787" s="49" t="s">
        <v>214</v>
      </c>
      <c r="Y787" s="49" t="s">
        <v>214</v>
      </c>
      <c r="Z787" s="55" t="s">
        <v>214</v>
      </c>
      <c r="AA787" s="48" t="s">
        <v>19884</v>
      </c>
      <c r="AB787" s="84" t="s">
        <v>19882</v>
      </c>
      <c r="AC787" s="53" t="str">
        <f t="shared" si="496"/>
        <v>Link</v>
      </c>
      <c r="AD787" s="42">
        <v>4173</v>
      </c>
      <c r="AE787" s="55"/>
      <c r="AF787" s="55"/>
      <c r="AG787" s="56">
        <v>178217</v>
      </c>
      <c r="AH787" s="56"/>
      <c r="AI787" s="56"/>
    </row>
    <row r="788" spans="1:37" ht="15" x14ac:dyDescent="0.2">
      <c r="A788" s="64" t="s">
        <v>6237</v>
      </c>
      <c r="B788" s="33" t="s">
        <v>12632</v>
      </c>
      <c r="C788" s="7" t="s">
        <v>19897</v>
      </c>
      <c r="D788" s="112">
        <v>5</v>
      </c>
      <c r="E788" s="7"/>
      <c r="F788" s="112"/>
      <c r="G788" s="2" t="s">
        <v>19876</v>
      </c>
      <c r="H788" s="2" t="s">
        <v>4659</v>
      </c>
      <c r="I788" s="2" t="s">
        <v>19890</v>
      </c>
      <c r="J788" s="2" t="s">
        <v>55</v>
      </c>
      <c r="K788" s="2" t="s">
        <v>19891</v>
      </c>
      <c r="L788" s="2" t="s">
        <v>19880</v>
      </c>
      <c r="M788" s="48"/>
      <c r="N788" s="48" t="s">
        <v>22</v>
      </c>
      <c r="O788" s="48" t="s">
        <v>19882</v>
      </c>
      <c r="P788" s="60" t="s">
        <v>2246</v>
      </c>
      <c r="Q788" s="48" t="s">
        <v>19883</v>
      </c>
      <c r="R788" s="60" t="s">
        <v>205</v>
      </c>
      <c r="S788" s="49" t="s">
        <v>74</v>
      </c>
      <c r="T788" s="48" t="s">
        <v>75</v>
      </c>
      <c r="U788" s="49" t="s">
        <v>3678</v>
      </c>
      <c r="V788" s="7" t="s">
        <v>214</v>
      </c>
      <c r="W788" s="49" t="s">
        <v>214</v>
      </c>
      <c r="X788" s="49" t="s">
        <v>214</v>
      </c>
      <c r="Y788" s="49" t="s">
        <v>214</v>
      </c>
      <c r="Z788" s="55" t="s">
        <v>214</v>
      </c>
      <c r="AA788" s="48" t="s">
        <v>19884</v>
      </c>
      <c r="AB788" s="84" t="s">
        <v>19882</v>
      </c>
      <c r="AC788" s="53" t="str">
        <f t="shared" si="496"/>
        <v>Link</v>
      </c>
      <c r="AD788" s="42">
        <v>4173</v>
      </c>
      <c r="AE788" s="55"/>
      <c r="AF788" s="55"/>
      <c r="AG788" s="56">
        <v>178217</v>
      </c>
      <c r="AH788" s="56"/>
      <c r="AI788" s="56"/>
    </row>
    <row r="789" spans="1:37" ht="15" x14ac:dyDescent="0.2">
      <c r="A789" s="64" t="s">
        <v>6237</v>
      </c>
      <c r="B789" s="33" t="s">
        <v>12632</v>
      </c>
      <c r="C789" s="7" t="s">
        <v>19900</v>
      </c>
      <c r="D789" s="112">
        <v>5</v>
      </c>
      <c r="E789" s="7"/>
      <c r="F789" s="112"/>
      <c r="G789" s="2" t="s">
        <v>19901</v>
      </c>
      <c r="H789" s="2" t="s">
        <v>363</v>
      </c>
      <c r="I789" s="2" t="s">
        <v>19903</v>
      </c>
      <c r="J789" s="2" t="s">
        <v>48</v>
      </c>
      <c r="K789" s="2" t="s">
        <v>19904</v>
      </c>
      <c r="L789" s="2" t="s">
        <v>19905</v>
      </c>
      <c r="M789" s="45" t="str">
        <f t="shared" ref="M789:M790" si="497">HYPERLINK("twitter.com/ncmcsoftball","@ncmcsoftball")</f>
        <v>@ncmcsoftball</v>
      </c>
      <c r="N789" s="45" t="str">
        <f t="shared" ref="N789:N790" si="498">HYPERLINK("https://www.ncmcpirates.com/sports/sball/Softball_Questionnaire","Questionnaire")</f>
        <v>Questionnaire</v>
      </c>
      <c r="O789" s="48" t="s">
        <v>19908</v>
      </c>
      <c r="P789" s="60" t="s">
        <v>2246</v>
      </c>
      <c r="Q789" s="48" t="s">
        <v>19910</v>
      </c>
      <c r="R789" s="60" t="s">
        <v>205</v>
      </c>
      <c r="S789" s="49" t="s">
        <v>74</v>
      </c>
      <c r="T789" s="48" t="s">
        <v>75</v>
      </c>
      <c r="U789" s="49" t="s">
        <v>3678</v>
      </c>
      <c r="V789" s="7" t="s">
        <v>214</v>
      </c>
      <c r="W789" s="49" t="s">
        <v>214</v>
      </c>
      <c r="X789" s="49" t="s">
        <v>214</v>
      </c>
      <c r="Y789" s="49" t="s">
        <v>214</v>
      </c>
      <c r="Z789" s="55" t="s">
        <v>214</v>
      </c>
      <c r="AA789" s="48" t="s">
        <v>19914</v>
      </c>
      <c r="AB789" s="84" t="s">
        <v>19908</v>
      </c>
      <c r="AC789" s="53" t="str">
        <f t="shared" ref="AC789:AC790" si="499">HYPERLINK("http://www.ncmissouri.edu/academics/ncmc/degrees-and-certificates/","Link")</f>
        <v>Link</v>
      </c>
      <c r="AD789" s="42">
        <v>1720</v>
      </c>
      <c r="AE789" s="55"/>
      <c r="AF789" s="55"/>
      <c r="AG789" s="56">
        <v>179715</v>
      </c>
      <c r="AH789" s="56"/>
      <c r="AI789" s="56"/>
    </row>
    <row r="790" spans="1:37" ht="15" x14ac:dyDescent="0.2">
      <c r="A790" s="64" t="s">
        <v>6237</v>
      </c>
      <c r="B790" s="33" t="s">
        <v>12632</v>
      </c>
      <c r="C790" s="7" t="s">
        <v>19915</v>
      </c>
      <c r="D790" s="112">
        <v>5</v>
      </c>
      <c r="E790" s="7"/>
      <c r="F790" s="112"/>
      <c r="G790" s="2" t="s">
        <v>19901</v>
      </c>
      <c r="H790" s="2" t="s">
        <v>539</v>
      </c>
      <c r="I790" s="2" t="s">
        <v>1975</v>
      </c>
      <c r="J790" s="2" t="s">
        <v>55</v>
      </c>
      <c r="K790" s="2" t="s">
        <v>19917</v>
      </c>
      <c r="L790" s="2" t="s">
        <v>19918</v>
      </c>
      <c r="M790" s="45" t="str">
        <f t="shared" si="497"/>
        <v>@ncmcsoftball</v>
      </c>
      <c r="N790" s="45" t="str">
        <f t="shared" si="498"/>
        <v>Questionnaire</v>
      </c>
      <c r="O790" s="48" t="s">
        <v>19908</v>
      </c>
      <c r="P790" s="60" t="s">
        <v>2246</v>
      </c>
      <c r="Q790" s="48" t="s">
        <v>19910</v>
      </c>
      <c r="R790" s="60" t="s">
        <v>205</v>
      </c>
      <c r="S790" s="49" t="s">
        <v>74</v>
      </c>
      <c r="T790" s="48" t="s">
        <v>75</v>
      </c>
      <c r="U790" s="49" t="s">
        <v>3678</v>
      </c>
      <c r="V790" s="7" t="s">
        <v>214</v>
      </c>
      <c r="W790" s="49" t="s">
        <v>214</v>
      </c>
      <c r="X790" s="49" t="s">
        <v>214</v>
      </c>
      <c r="Y790" s="49" t="s">
        <v>214</v>
      </c>
      <c r="Z790" s="55" t="s">
        <v>214</v>
      </c>
      <c r="AA790" s="48" t="s">
        <v>19914</v>
      </c>
      <c r="AB790" s="84" t="s">
        <v>19908</v>
      </c>
      <c r="AC790" s="53" t="str">
        <f t="shared" si="499"/>
        <v>Link</v>
      </c>
      <c r="AD790" s="42">
        <v>1720</v>
      </c>
      <c r="AE790" s="55"/>
      <c r="AF790" s="55"/>
      <c r="AG790" s="56">
        <v>179715</v>
      </c>
      <c r="AH790" s="56"/>
      <c r="AI790" s="56"/>
    </row>
    <row r="791" spans="1:37" ht="15" x14ac:dyDescent="0.2">
      <c r="A791" s="64" t="s">
        <v>6237</v>
      </c>
      <c r="B791" s="33" t="s">
        <v>12632</v>
      </c>
      <c r="C791" s="7" t="s">
        <v>19919</v>
      </c>
      <c r="D791" s="112">
        <v>5</v>
      </c>
      <c r="E791" s="7"/>
      <c r="F791" s="112"/>
      <c r="G791" s="2" t="s">
        <v>19920</v>
      </c>
      <c r="H791" s="2" t="s">
        <v>2289</v>
      </c>
      <c r="I791" s="2" t="s">
        <v>19922</v>
      </c>
      <c r="J791" s="2" t="s">
        <v>48</v>
      </c>
      <c r="K791" s="95" t="s">
        <v>19923</v>
      </c>
      <c r="L791" s="2" t="s">
        <v>19924</v>
      </c>
      <c r="M791" s="45" t="str">
        <f t="shared" ref="M791:M792" si="500">HYPERLINK("twitter.com/SCCougsSoftball","@SCCougsSoftball")</f>
        <v>@SCCougsSoftball</v>
      </c>
      <c r="N791" s="48" t="s">
        <v>22</v>
      </c>
      <c r="O791" s="48" t="s">
        <v>19927</v>
      </c>
      <c r="P791" s="60" t="s">
        <v>2246</v>
      </c>
      <c r="Q791" s="48" t="s">
        <v>19928</v>
      </c>
      <c r="R791" s="60" t="s">
        <v>205</v>
      </c>
      <c r="S791" s="49" t="s">
        <v>74</v>
      </c>
      <c r="T791" s="48" t="s">
        <v>75</v>
      </c>
      <c r="U791" s="49" t="s">
        <v>3678</v>
      </c>
      <c r="V791" s="7" t="s">
        <v>214</v>
      </c>
      <c r="W791" s="49" t="s">
        <v>214</v>
      </c>
      <c r="X791" s="49" t="s">
        <v>214</v>
      </c>
      <c r="Y791" s="49" t="s">
        <v>214</v>
      </c>
      <c r="Z791" s="55" t="s">
        <v>214</v>
      </c>
      <c r="AA791" s="48" t="s">
        <v>19929</v>
      </c>
      <c r="AB791" s="84" t="s">
        <v>19927</v>
      </c>
      <c r="AC791" s="53" t="str">
        <f t="shared" ref="AC791:AC792" si="501">HYPERLINK("https://www.stchas.edu/academics/majors-degrees-certificates","Link")</f>
        <v>Link</v>
      </c>
      <c r="AD791" s="42">
        <v>6755</v>
      </c>
      <c r="AE791" s="55"/>
      <c r="AF791" s="55"/>
      <c r="AG791" s="56">
        <v>262031</v>
      </c>
      <c r="AH791" s="56"/>
      <c r="AI791" s="56"/>
    </row>
    <row r="792" spans="1:37" ht="15" x14ac:dyDescent="0.2">
      <c r="A792" s="64" t="s">
        <v>6237</v>
      </c>
      <c r="B792" s="33" t="s">
        <v>12632</v>
      </c>
      <c r="C792" s="7" t="s">
        <v>19933</v>
      </c>
      <c r="D792" s="112">
        <v>5</v>
      </c>
      <c r="E792" s="7"/>
      <c r="F792" s="112"/>
      <c r="G792" s="2" t="s">
        <v>19920</v>
      </c>
      <c r="H792" s="2" t="s">
        <v>19934</v>
      </c>
      <c r="I792" s="2" t="s">
        <v>19935</v>
      </c>
      <c r="J792" s="2" t="s">
        <v>55</v>
      </c>
      <c r="K792" s="2" t="s">
        <v>19936</v>
      </c>
      <c r="L792" s="2"/>
      <c r="M792" s="45" t="str">
        <f t="shared" si="500"/>
        <v>@SCCougsSoftball</v>
      </c>
      <c r="N792" s="48" t="s">
        <v>22</v>
      </c>
      <c r="O792" s="48" t="s">
        <v>19927</v>
      </c>
      <c r="P792" s="60" t="s">
        <v>2246</v>
      </c>
      <c r="Q792" s="48" t="s">
        <v>19928</v>
      </c>
      <c r="R792" s="60" t="s">
        <v>205</v>
      </c>
      <c r="S792" s="49" t="s">
        <v>74</v>
      </c>
      <c r="T792" s="48" t="s">
        <v>75</v>
      </c>
      <c r="U792" s="49" t="s">
        <v>3678</v>
      </c>
      <c r="V792" s="7" t="s">
        <v>214</v>
      </c>
      <c r="W792" s="49" t="s">
        <v>214</v>
      </c>
      <c r="X792" s="49" t="s">
        <v>214</v>
      </c>
      <c r="Y792" s="49" t="s">
        <v>214</v>
      </c>
      <c r="Z792" s="55" t="s">
        <v>214</v>
      </c>
      <c r="AA792" s="48" t="s">
        <v>19929</v>
      </c>
      <c r="AB792" s="84" t="s">
        <v>19927</v>
      </c>
      <c r="AC792" s="53" t="str">
        <f t="shared" si="501"/>
        <v>Link</v>
      </c>
      <c r="AD792" s="42">
        <v>6755</v>
      </c>
      <c r="AE792" s="55"/>
      <c r="AF792" s="55"/>
      <c r="AG792" s="56">
        <v>262031</v>
      </c>
      <c r="AH792" s="56"/>
      <c r="AI792" s="56"/>
    </row>
    <row r="793" spans="1:37" ht="15" x14ac:dyDescent="0.2">
      <c r="A793" s="64" t="s">
        <v>6237</v>
      </c>
      <c r="B793" s="33" t="s">
        <v>12632</v>
      </c>
      <c r="C793" s="7" t="s">
        <v>19939</v>
      </c>
      <c r="D793" s="112">
        <v>5</v>
      </c>
      <c r="E793" s="7"/>
      <c r="F793" s="112"/>
      <c r="G793" s="2" t="s">
        <v>19940</v>
      </c>
      <c r="H793" s="2" t="s">
        <v>531</v>
      </c>
      <c r="I793" s="2" t="s">
        <v>19941</v>
      </c>
      <c r="J793" s="2" t="s">
        <v>48</v>
      </c>
      <c r="K793" s="2" t="s">
        <v>19942</v>
      </c>
      <c r="L793" s="2" t="s">
        <v>19943</v>
      </c>
      <c r="M793" s="48"/>
      <c r="N793" s="45" t="str">
        <f t="shared" ref="N793:N796" si="502">HYPERLINK("https://archersathletics.com/recruits/Recruit_Page","Questionnaire")</f>
        <v>Questionnaire</v>
      </c>
      <c r="O793" s="48" t="s">
        <v>19944</v>
      </c>
      <c r="P793" s="60" t="s">
        <v>2246</v>
      </c>
      <c r="Q793" s="48" t="s">
        <v>2259</v>
      </c>
      <c r="R793" s="48" t="s">
        <v>354</v>
      </c>
      <c r="S793" s="49" t="s">
        <v>74</v>
      </c>
      <c r="T793" s="48" t="s">
        <v>75</v>
      </c>
      <c r="U793" s="49" t="s">
        <v>3678</v>
      </c>
      <c r="V793" s="7" t="s">
        <v>214</v>
      </c>
      <c r="W793" s="49" t="s">
        <v>214</v>
      </c>
      <c r="X793" s="49" t="s">
        <v>214</v>
      </c>
      <c r="Y793" s="49" t="s">
        <v>214</v>
      </c>
      <c r="Z793" s="55" t="s">
        <v>214</v>
      </c>
      <c r="AA793" s="48" t="s">
        <v>19945</v>
      </c>
      <c r="AB793" s="84" t="s">
        <v>19944</v>
      </c>
      <c r="AC793" s="53" t="str">
        <f t="shared" ref="AC793:AC796" si="503">HYPERLINK("http://www.stlcc.edu/Programs/","Link")</f>
        <v>Link</v>
      </c>
      <c r="AD793" s="42">
        <v>19052</v>
      </c>
      <c r="AE793" s="55"/>
      <c r="AF793" s="55"/>
      <c r="AG793" s="56">
        <v>179113</v>
      </c>
      <c r="AH793" s="56"/>
      <c r="AI793" s="56"/>
    </row>
    <row r="794" spans="1:37" ht="15" x14ac:dyDescent="0.2">
      <c r="A794" s="64" t="s">
        <v>6237</v>
      </c>
      <c r="B794" s="33" t="s">
        <v>12632</v>
      </c>
      <c r="C794" s="7" t="s">
        <v>19948</v>
      </c>
      <c r="D794" s="112">
        <v>5</v>
      </c>
      <c r="E794" s="7"/>
      <c r="F794" s="112"/>
      <c r="G794" s="2" t="s">
        <v>19940</v>
      </c>
      <c r="H794" s="2" t="s">
        <v>1541</v>
      </c>
      <c r="I794" s="2" t="s">
        <v>19941</v>
      </c>
      <c r="J794" s="2" t="s">
        <v>55</v>
      </c>
      <c r="K794" s="2" t="s">
        <v>19949</v>
      </c>
      <c r="L794" s="2" t="s">
        <v>19950</v>
      </c>
      <c r="M794" s="48"/>
      <c r="N794" s="45" t="str">
        <f t="shared" si="502"/>
        <v>Questionnaire</v>
      </c>
      <c r="O794" s="48" t="s">
        <v>19944</v>
      </c>
      <c r="P794" s="60" t="s">
        <v>2246</v>
      </c>
      <c r="Q794" s="48" t="s">
        <v>2259</v>
      </c>
      <c r="R794" s="48" t="s">
        <v>354</v>
      </c>
      <c r="S794" s="49" t="s">
        <v>74</v>
      </c>
      <c r="T794" s="48" t="s">
        <v>75</v>
      </c>
      <c r="U794" s="49" t="s">
        <v>3678</v>
      </c>
      <c r="V794" s="7" t="s">
        <v>214</v>
      </c>
      <c r="W794" s="49" t="s">
        <v>214</v>
      </c>
      <c r="X794" s="49" t="s">
        <v>214</v>
      </c>
      <c r="Y794" s="49" t="s">
        <v>214</v>
      </c>
      <c r="Z794" s="55" t="s">
        <v>214</v>
      </c>
      <c r="AA794" s="48" t="s">
        <v>19945</v>
      </c>
      <c r="AB794" s="84" t="s">
        <v>19944</v>
      </c>
      <c r="AC794" s="53" t="str">
        <f t="shared" si="503"/>
        <v>Link</v>
      </c>
      <c r="AD794" s="42">
        <v>19052</v>
      </c>
      <c r="AE794" s="55"/>
      <c r="AF794" s="55"/>
      <c r="AG794" s="56">
        <v>179113</v>
      </c>
      <c r="AH794" s="56"/>
      <c r="AI794" s="56"/>
    </row>
    <row r="795" spans="1:37" ht="15" x14ac:dyDescent="0.2">
      <c r="A795" s="64" t="s">
        <v>6237</v>
      </c>
      <c r="B795" s="33" t="s">
        <v>12632</v>
      </c>
      <c r="C795" s="7" t="s">
        <v>19956</v>
      </c>
      <c r="D795" s="112">
        <v>5</v>
      </c>
      <c r="E795" s="7"/>
      <c r="F795" s="112"/>
      <c r="G795" s="2" t="s">
        <v>19940</v>
      </c>
      <c r="H795" s="2" t="s">
        <v>402</v>
      </c>
      <c r="I795" s="2" t="s">
        <v>1906</v>
      </c>
      <c r="J795" s="2" t="s">
        <v>55</v>
      </c>
      <c r="K795" s="2" t="s">
        <v>19957</v>
      </c>
      <c r="L795" s="2"/>
      <c r="M795" s="48"/>
      <c r="N795" s="45" t="str">
        <f t="shared" si="502"/>
        <v>Questionnaire</v>
      </c>
      <c r="O795" s="48" t="s">
        <v>19944</v>
      </c>
      <c r="P795" s="60" t="s">
        <v>2246</v>
      </c>
      <c r="Q795" s="48" t="s">
        <v>2259</v>
      </c>
      <c r="R795" s="48" t="s">
        <v>354</v>
      </c>
      <c r="S795" s="49" t="s">
        <v>74</v>
      </c>
      <c r="T795" s="48" t="s">
        <v>75</v>
      </c>
      <c r="U795" s="49" t="s">
        <v>3678</v>
      </c>
      <c r="V795" s="7" t="s">
        <v>214</v>
      </c>
      <c r="W795" s="49" t="s">
        <v>214</v>
      </c>
      <c r="X795" s="49" t="s">
        <v>214</v>
      </c>
      <c r="Y795" s="49" t="s">
        <v>214</v>
      </c>
      <c r="Z795" s="55" t="s">
        <v>214</v>
      </c>
      <c r="AA795" s="48" t="s">
        <v>19945</v>
      </c>
      <c r="AB795" s="84" t="s">
        <v>19944</v>
      </c>
      <c r="AC795" s="53" t="str">
        <f t="shared" si="503"/>
        <v>Link</v>
      </c>
      <c r="AD795" s="42">
        <v>19052</v>
      </c>
      <c r="AE795" s="55"/>
      <c r="AF795" s="55"/>
      <c r="AG795" s="56">
        <v>179113</v>
      </c>
      <c r="AH795" s="56"/>
      <c r="AI795" s="56"/>
    </row>
    <row r="796" spans="1:37" ht="15" x14ac:dyDescent="0.2">
      <c r="A796" s="64" t="s">
        <v>6237</v>
      </c>
      <c r="B796" s="33" t="s">
        <v>12632</v>
      </c>
      <c r="C796" s="7" t="s">
        <v>19959</v>
      </c>
      <c r="D796" s="112">
        <v>5</v>
      </c>
      <c r="E796" s="7"/>
      <c r="F796" s="112"/>
      <c r="G796" s="2" t="s">
        <v>19940</v>
      </c>
      <c r="H796" s="2" t="s">
        <v>991</v>
      </c>
      <c r="I796" s="2" t="s">
        <v>19960</v>
      </c>
      <c r="J796" s="2" t="s">
        <v>55</v>
      </c>
      <c r="K796" s="2"/>
      <c r="L796" s="2"/>
      <c r="M796" s="48"/>
      <c r="N796" s="45" t="str">
        <f t="shared" si="502"/>
        <v>Questionnaire</v>
      </c>
      <c r="O796" s="48" t="s">
        <v>19944</v>
      </c>
      <c r="P796" s="60" t="s">
        <v>2246</v>
      </c>
      <c r="Q796" s="48" t="s">
        <v>2259</v>
      </c>
      <c r="R796" s="48" t="s">
        <v>354</v>
      </c>
      <c r="S796" s="49" t="s">
        <v>74</v>
      </c>
      <c r="T796" s="48" t="s">
        <v>75</v>
      </c>
      <c r="U796" s="49" t="s">
        <v>3678</v>
      </c>
      <c r="V796" s="7" t="s">
        <v>214</v>
      </c>
      <c r="W796" s="49" t="s">
        <v>214</v>
      </c>
      <c r="X796" s="49" t="s">
        <v>214</v>
      </c>
      <c r="Y796" s="49" t="s">
        <v>214</v>
      </c>
      <c r="Z796" s="55" t="s">
        <v>214</v>
      </c>
      <c r="AA796" s="48" t="s">
        <v>19945</v>
      </c>
      <c r="AB796" s="84" t="s">
        <v>19944</v>
      </c>
      <c r="AC796" s="53" t="str">
        <f t="shared" si="503"/>
        <v>Link</v>
      </c>
      <c r="AD796" s="42">
        <v>19052</v>
      </c>
      <c r="AE796" s="55"/>
      <c r="AF796" s="55"/>
      <c r="AG796" s="56">
        <v>179113</v>
      </c>
      <c r="AH796" s="56"/>
      <c r="AI796" s="56"/>
    </row>
    <row r="797" spans="1:37" ht="15" x14ac:dyDescent="0.2">
      <c r="A797" s="64" t="s">
        <v>6237</v>
      </c>
      <c r="B797" s="33" t="s">
        <v>12632</v>
      </c>
      <c r="C797" s="7" t="s">
        <v>19964</v>
      </c>
      <c r="D797" s="112">
        <v>5</v>
      </c>
      <c r="E797" s="7"/>
      <c r="F797" s="112"/>
      <c r="G797" s="2" t="s">
        <v>19965</v>
      </c>
      <c r="H797" s="2" t="s">
        <v>16848</v>
      </c>
      <c r="I797" s="2" t="s">
        <v>19966</v>
      </c>
      <c r="J797" s="2" t="s">
        <v>48</v>
      </c>
      <c r="K797" s="2" t="s">
        <v>19967</v>
      </c>
      <c r="L797" s="2" t="s">
        <v>19968</v>
      </c>
      <c r="M797" s="45" t="str">
        <f t="shared" ref="M797:M798" si="504">HYPERLINK("twitter.com/sfccmosb","@sfccmosb")</f>
        <v>@sfccmosb</v>
      </c>
      <c r="N797" s="45" t="str">
        <f t="shared" ref="N797:N798" si="505">HYPERLINK("https://sfccmoroadrunners.com/student-athletes/prospects","Questionnaire")</f>
        <v>Questionnaire</v>
      </c>
      <c r="O797" s="48" t="s">
        <v>19974</v>
      </c>
      <c r="P797" s="60" t="s">
        <v>2246</v>
      </c>
      <c r="Q797" s="48" t="s">
        <v>19975</v>
      </c>
      <c r="R797" s="48" t="s">
        <v>172</v>
      </c>
      <c r="S797" s="49" t="s">
        <v>74</v>
      </c>
      <c r="T797" s="48" t="s">
        <v>75</v>
      </c>
      <c r="U797" s="49" t="s">
        <v>3678</v>
      </c>
      <c r="V797" s="7" t="s">
        <v>214</v>
      </c>
      <c r="W797" s="49" t="s">
        <v>214</v>
      </c>
      <c r="X797" s="49" t="s">
        <v>214</v>
      </c>
      <c r="Y797" s="49" t="s">
        <v>214</v>
      </c>
      <c r="Z797" s="55" t="s">
        <v>214</v>
      </c>
      <c r="AA797" s="48" t="s">
        <v>19976</v>
      </c>
      <c r="AB797" s="84" t="s">
        <v>19974</v>
      </c>
      <c r="AC797" s="53" t="str">
        <f t="shared" ref="AC797:AC798" si="506">HYPERLINK("https://www.sfccmo.edu/academics-programs/sfcc-online/degrees-classes-offered/","Link")</f>
        <v>Link</v>
      </c>
      <c r="AD797" s="42">
        <v>5144</v>
      </c>
      <c r="AE797" s="55"/>
      <c r="AF797" s="55"/>
      <c r="AG797" s="56">
        <v>179539</v>
      </c>
      <c r="AH797" s="56"/>
      <c r="AI797" s="56"/>
    </row>
    <row r="798" spans="1:37" ht="15" x14ac:dyDescent="0.2">
      <c r="A798" s="64" t="s">
        <v>6237</v>
      </c>
      <c r="B798" s="33" t="s">
        <v>12632</v>
      </c>
      <c r="C798" s="7" t="s">
        <v>19978</v>
      </c>
      <c r="D798" s="112">
        <v>5</v>
      </c>
      <c r="E798" s="7"/>
      <c r="F798" s="112"/>
      <c r="G798" s="2" t="s">
        <v>19965</v>
      </c>
      <c r="H798" s="2" t="s">
        <v>1963</v>
      </c>
      <c r="I798" s="2" t="s">
        <v>19979</v>
      </c>
      <c r="J798" s="2" t="s">
        <v>55</v>
      </c>
      <c r="K798" s="2" t="s">
        <v>19980</v>
      </c>
      <c r="L798" s="2"/>
      <c r="M798" s="45" t="str">
        <f t="shared" si="504"/>
        <v>@sfccmosb</v>
      </c>
      <c r="N798" s="45" t="str">
        <f t="shared" si="505"/>
        <v>Questionnaire</v>
      </c>
      <c r="O798" s="48" t="s">
        <v>19974</v>
      </c>
      <c r="P798" s="60" t="s">
        <v>2246</v>
      </c>
      <c r="Q798" s="48" t="s">
        <v>19975</v>
      </c>
      <c r="R798" s="48" t="s">
        <v>172</v>
      </c>
      <c r="S798" s="49" t="s">
        <v>74</v>
      </c>
      <c r="T798" s="48" t="s">
        <v>75</v>
      </c>
      <c r="U798" s="49" t="s">
        <v>3678</v>
      </c>
      <c r="V798" s="7" t="s">
        <v>214</v>
      </c>
      <c r="W798" s="49" t="s">
        <v>214</v>
      </c>
      <c r="X798" s="49" t="s">
        <v>214</v>
      </c>
      <c r="Y798" s="49" t="s">
        <v>214</v>
      </c>
      <c r="Z798" s="55" t="s">
        <v>214</v>
      </c>
      <c r="AA798" s="48" t="s">
        <v>19976</v>
      </c>
      <c r="AB798" s="84" t="s">
        <v>19974</v>
      </c>
      <c r="AC798" s="53" t="str">
        <f t="shared" si="506"/>
        <v>Link</v>
      </c>
      <c r="AD798" s="42">
        <v>5144</v>
      </c>
      <c r="AE798" s="55"/>
      <c r="AF798" s="55"/>
      <c r="AG798" s="56">
        <v>179539</v>
      </c>
      <c r="AH798" s="56"/>
      <c r="AI798" s="56"/>
    </row>
    <row r="799" spans="1:37" ht="15" x14ac:dyDescent="0.2">
      <c r="A799" s="64" t="s">
        <v>6237</v>
      </c>
      <c r="B799" s="33" t="s">
        <v>12632</v>
      </c>
      <c r="C799" s="7" t="s">
        <v>19986</v>
      </c>
      <c r="D799" s="112">
        <v>5</v>
      </c>
      <c r="E799" s="7"/>
      <c r="F799" s="112"/>
      <c r="G799" s="2" t="s">
        <v>19987</v>
      </c>
      <c r="H799" s="2" t="s">
        <v>94</v>
      </c>
      <c r="I799" s="2" t="s">
        <v>19988</v>
      </c>
      <c r="J799" s="2" t="s">
        <v>48</v>
      </c>
      <c r="K799" s="2" t="s">
        <v>19989</v>
      </c>
      <c r="L799" s="2" t="s">
        <v>19990</v>
      </c>
      <c r="M799" s="48"/>
      <c r="N799" s="45" t="str">
        <f t="shared" ref="N799:N800" si="507">HYPERLINK("http://www.raidersathletics.com/sports/sball/Softball_Questionnaire","Questionnaire")</f>
        <v>Questionnaire</v>
      </c>
      <c r="O799" s="48" t="s">
        <v>19991</v>
      </c>
      <c r="P799" s="60" t="s">
        <v>2246</v>
      </c>
      <c r="Q799" s="48" t="s">
        <v>19992</v>
      </c>
      <c r="R799" s="48" t="s">
        <v>172</v>
      </c>
      <c r="S799" s="49" t="s">
        <v>74</v>
      </c>
      <c r="T799" s="48" t="s">
        <v>75</v>
      </c>
      <c r="U799" s="49" t="s">
        <v>3678</v>
      </c>
      <c r="V799" s="7" t="s">
        <v>214</v>
      </c>
      <c r="W799" s="49" t="s">
        <v>214</v>
      </c>
      <c r="X799" s="49" t="s">
        <v>214</v>
      </c>
      <c r="Y799" s="49" t="s">
        <v>214</v>
      </c>
      <c r="Z799" s="55" t="s">
        <v>214</v>
      </c>
      <c r="AA799" s="48" t="s">
        <v>19993</v>
      </c>
      <c r="AB799" s="84" t="s">
        <v>19991</v>
      </c>
      <c r="AC799" s="53" t="str">
        <f t="shared" ref="AC799:AC800" si="508">HYPERLINK("https://trcc.edu/academics/programsofstudy.php","Link")</f>
        <v>Link</v>
      </c>
      <c r="AD799" s="42">
        <v>3499</v>
      </c>
      <c r="AE799" s="55"/>
      <c r="AF799" s="55"/>
      <c r="AG799" s="56">
        <v>179645</v>
      </c>
      <c r="AH799" s="56"/>
      <c r="AI799" s="56"/>
    </row>
    <row r="800" spans="1:37" ht="15" x14ac:dyDescent="0.2">
      <c r="A800" s="64" t="s">
        <v>6237</v>
      </c>
      <c r="B800" s="33" t="s">
        <v>12632</v>
      </c>
      <c r="C800" s="7" t="s">
        <v>19995</v>
      </c>
      <c r="D800" s="112">
        <v>5</v>
      </c>
      <c r="E800" s="7"/>
      <c r="F800" s="112"/>
      <c r="G800" s="2" t="s">
        <v>19987</v>
      </c>
      <c r="H800" s="2" t="s">
        <v>361</v>
      </c>
      <c r="I800" s="2" t="s">
        <v>19996</v>
      </c>
      <c r="J800" s="2" t="s">
        <v>55</v>
      </c>
      <c r="K800" s="2" t="s">
        <v>19997</v>
      </c>
      <c r="L800" s="2" t="s">
        <v>19990</v>
      </c>
      <c r="M800" s="48"/>
      <c r="N800" s="45" t="str">
        <f t="shared" si="507"/>
        <v>Questionnaire</v>
      </c>
      <c r="O800" s="48" t="s">
        <v>19991</v>
      </c>
      <c r="P800" s="60" t="s">
        <v>2246</v>
      </c>
      <c r="Q800" s="48" t="s">
        <v>19992</v>
      </c>
      <c r="R800" s="48" t="s">
        <v>172</v>
      </c>
      <c r="S800" s="49" t="s">
        <v>74</v>
      </c>
      <c r="T800" s="48" t="s">
        <v>75</v>
      </c>
      <c r="U800" s="49" t="s">
        <v>3678</v>
      </c>
      <c r="V800" s="7" t="s">
        <v>214</v>
      </c>
      <c r="W800" s="49" t="s">
        <v>214</v>
      </c>
      <c r="X800" s="49" t="s">
        <v>214</v>
      </c>
      <c r="Y800" s="49" t="s">
        <v>214</v>
      </c>
      <c r="Z800" s="55" t="s">
        <v>214</v>
      </c>
      <c r="AA800" s="48" t="s">
        <v>19993</v>
      </c>
      <c r="AB800" s="84" t="s">
        <v>19991</v>
      </c>
      <c r="AC800" s="53" t="str">
        <f t="shared" si="508"/>
        <v>Link</v>
      </c>
      <c r="AD800" s="42">
        <v>3499</v>
      </c>
      <c r="AE800" s="55"/>
      <c r="AF800" s="55"/>
      <c r="AG800" s="56">
        <v>179645</v>
      </c>
      <c r="AH800" s="56"/>
      <c r="AI800" s="56"/>
    </row>
    <row r="801" spans="1:37" ht="15" x14ac:dyDescent="0.2">
      <c r="A801" s="64" t="s">
        <v>3523</v>
      </c>
      <c r="B801" s="33" t="s">
        <v>12632</v>
      </c>
      <c r="C801" s="7" t="s">
        <v>20000</v>
      </c>
      <c r="D801" s="112">
        <v>5</v>
      </c>
      <c r="E801" s="7"/>
      <c r="F801" s="112"/>
      <c r="G801" s="2" t="s">
        <v>20003</v>
      </c>
      <c r="H801" s="2" t="s">
        <v>991</v>
      </c>
      <c r="I801" s="2" t="s">
        <v>20004</v>
      </c>
      <c r="J801" s="2" t="s">
        <v>48</v>
      </c>
      <c r="K801" s="2" t="s">
        <v>20005</v>
      </c>
      <c r="L801" s="2" t="s">
        <v>20006</v>
      </c>
      <c r="M801" s="45" t="str">
        <f t="shared" ref="M801:M803" si="509">HYPERLINK("twitter.com/dccbucssoftball","@dccbucssoftball")</f>
        <v>@dccbucssoftball</v>
      </c>
      <c r="N801" s="45" t="str">
        <f t="shared" ref="N801:N803" si="510">HYPERLINK("https://dawsonbucs.com/sports/sball/softball_prospects","Questionnaire")</f>
        <v>Questionnaire</v>
      </c>
      <c r="O801" s="48" t="s">
        <v>20011</v>
      </c>
      <c r="P801" s="60" t="s">
        <v>3515</v>
      </c>
      <c r="Q801" s="48" t="s">
        <v>20012</v>
      </c>
      <c r="R801" s="60" t="s">
        <v>205</v>
      </c>
      <c r="S801" s="49" t="s">
        <v>74</v>
      </c>
      <c r="T801" s="48" t="s">
        <v>75</v>
      </c>
      <c r="U801" s="49" t="s">
        <v>3678</v>
      </c>
      <c r="V801" s="7" t="s">
        <v>214</v>
      </c>
      <c r="W801" s="49" t="s">
        <v>214</v>
      </c>
      <c r="X801" s="49" t="s">
        <v>214</v>
      </c>
      <c r="Y801" s="49" t="s">
        <v>214</v>
      </c>
      <c r="Z801" s="55" t="s">
        <v>214</v>
      </c>
      <c r="AA801" s="48" t="s">
        <v>20013</v>
      </c>
      <c r="AB801" s="84" t="s">
        <v>20011</v>
      </c>
      <c r="AC801" s="53" t="str">
        <f t="shared" ref="AC801:AC803" si="511">HYPERLINK("https://www.dawson.edu/academics/programs-and-degrees/","Link")</f>
        <v>Link</v>
      </c>
      <c r="AD801" s="42">
        <v>297</v>
      </c>
      <c r="AE801" s="55"/>
      <c r="AF801" s="55"/>
      <c r="AG801" s="56">
        <v>180151</v>
      </c>
      <c r="AH801" s="56"/>
      <c r="AI801" s="56"/>
    </row>
    <row r="802" spans="1:37" ht="15" x14ac:dyDescent="0.2">
      <c r="A802" s="64" t="s">
        <v>3523</v>
      </c>
      <c r="B802" s="33" t="s">
        <v>12632</v>
      </c>
      <c r="C802" s="7" t="s">
        <v>20017</v>
      </c>
      <c r="D802" s="112">
        <v>5</v>
      </c>
      <c r="E802" s="7"/>
      <c r="F802" s="112"/>
      <c r="G802" s="2" t="s">
        <v>20003</v>
      </c>
      <c r="H802" s="2" t="s">
        <v>19088</v>
      </c>
      <c r="I802" s="2" t="s">
        <v>20018</v>
      </c>
      <c r="J802" s="2" t="s">
        <v>55</v>
      </c>
      <c r="K802" s="2" t="s">
        <v>20019</v>
      </c>
      <c r="L802" s="2" t="s">
        <v>20020</v>
      </c>
      <c r="M802" s="45" t="str">
        <f t="shared" si="509"/>
        <v>@dccbucssoftball</v>
      </c>
      <c r="N802" s="45" t="str">
        <f t="shared" si="510"/>
        <v>Questionnaire</v>
      </c>
      <c r="O802" s="48" t="s">
        <v>20011</v>
      </c>
      <c r="P802" s="60" t="s">
        <v>3515</v>
      </c>
      <c r="Q802" s="48" t="s">
        <v>20012</v>
      </c>
      <c r="R802" s="60" t="s">
        <v>205</v>
      </c>
      <c r="S802" s="49" t="s">
        <v>74</v>
      </c>
      <c r="T802" s="48" t="s">
        <v>75</v>
      </c>
      <c r="U802" s="49" t="s">
        <v>3678</v>
      </c>
      <c r="V802" s="7" t="s">
        <v>214</v>
      </c>
      <c r="W802" s="49" t="s">
        <v>214</v>
      </c>
      <c r="X802" s="49" t="s">
        <v>214</v>
      </c>
      <c r="Y802" s="49" t="s">
        <v>214</v>
      </c>
      <c r="Z802" s="55" t="s">
        <v>214</v>
      </c>
      <c r="AA802" s="48" t="s">
        <v>20013</v>
      </c>
      <c r="AB802" s="84" t="s">
        <v>20011</v>
      </c>
      <c r="AC802" s="53" t="str">
        <f t="shared" si="511"/>
        <v>Link</v>
      </c>
      <c r="AD802" s="42">
        <v>297</v>
      </c>
      <c r="AE802" s="55"/>
      <c r="AF802" s="55"/>
      <c r="AG802" s="56">
        <v>180151</v>
      </c>
      <c r="AH802" s="56"/>
      <c r="AI802" s="56"/>
    </row>
    <row r="803" spans="1:37" ht="15" x14ac:dyDescent="0.2">
      <c r="A803" s="64" t="s">
        <v>3523</v>
      </c>
      <c r="B803" s="33" t="s">
        <v>12632</v>
      </c>
      <c r="C803" s="7" t="s">
        <v>20026</v>
      </c>
      <c r="D803" s="112">
        <v>5</v>
      </c>
      <c r="E803" s="7"/>
      <c r="F803" s="112"/>
      <c r="G803" s="2" t="s">
        <v>20003</v>
      </c>
      <c r="H803" s="2" t="s">
        <v>790</v>
      </c>
      <c r="I803" s="2" t="s">
        <v>20027</v>
      </c>
      <c r="J803" s="2" t="s">
        <v>55</v>
      </c>
      <c r="K803" s="2"/>
      <c r="L803" s="2"/>
      <c r="M803" s="45" t="str">
        <f t="shared" si="509"/>
        <v>@dccbucssoftball</v>
      </c>
      <c r="N803" s="45" t="str">
        <f t="shared" si="510"/>
        <v>Questionnaire</v>
      </c>
      <c r="O803" s="48" t="s">
        <v>20011</v>
      </c>
      <c r="P803" s="60" t="s">
        <v>3515</v>
      </c>
      <c r="Q803" s="48" t="s">
        <v>20012</v>
      </c>
      <c r="R803" s="60" t="s">
        <v>205</v>
      </c>
      <c r="S803" s="49" t="s">
        <v>74</v>
      </c>
      <c r="T803" s="48" t="s">
        <v>75</v>
      </c>
      <c r="U803" s="49" t="s">
        <v>3678</v>
      </c>
      <c r="V803" s="7" t="s">
        <v>214</v>
      </c>
      <c r="W803" s="49" t="s">
        <v>214</v>
      </c>
      <c r="X803" s="49" t="s">
        <v>214</v>
      </c>
      <c r="Y803" s="49" t="s">
        <v>214</v>
      </c>
      <c r="Z803" s="55" t="s">
        <v>214</v>
      </c>
      <c r="AA803" s="48" t="s">
        <v>20013</v>
      </c>
      <c r="AB803" s="84" t="s">
        <v>20011</v>
      </c>
      <c r="AC803" s="53" t="str">
        <f t="shared" si="511"/>
        <v>Link</v>
      </c>
      <c r="AD803" s="42">
        <v>297</v>
      </c>
      <c r="AE803" s="55"/>
      <c r="AF803" s="55"/>
      <c r="AG803" s="56">
        <v>180151</v>
      </c>
      <c r="AH803" s="56"/>
      <c r="AI803" s="56"/>
    </row>
    <row r="804" spans="1:37" ht="15" x14ac:dyDescent="0.2">
      <c r="A804" s="64" t="s">
        <v>3523</v>
      </c>
      <c r="B804" s="36" t="s">
        <v>12632</v>
      </c>
      <c r="C804" s="7" t="s">
        <v>20031</v>
      </c>
      <c r="D804" s="112">
        <v>5</v>
      </c>
      <c r="E804" s="7"/>
      <c r="F804" s="112"/>
      <c r="G804" s="2" t="s">
        <v>20032</v>
      </c>
      <c r="H804" s="2" t="s">
        <v>9539</v>
      </c>
      <c r="I804" s="2" t="s">
        <v>20034</v>
      </c>
      <c r="J804" s="2" t="s">
        <v>48</v>
      </c>
      <c r="K804" s="2" t="s">
        <v>20035</v>
      </c>
      <c r="L804" s="2" t="s">
        <v>20036</v>
      </c>
      <c r="M804" s="48"/>
      <c r="N804" s="45" t="str">
        <f t="shared" ref="N804:N806" si="512">HYPERLINK("https://milesgoldenbears.com/sb_output.aspx?form=3","Questionnaire")</f>
        <v>Questionnaire</v>
      </c>
      <c r="O804" s="48" t="s">
        <v>20037</v>
      </c>
      <c r="P804" s="60" t="s">
        <v>3515</v>
      </c>
      <c r="Q804" s="6" t="s">
        <v>20038</v>
      </c>
      <c r="R804" s="60" t="s">
        <v>205</v>
      </c>
      <c r="S804" s="4" t="s">
        <v>74</v>
      </c>
      <c r="T804" s="6" t="s">
        <v>75</v>
      </c>
      <c r="U804" s="4" t="s">
        <v>3678</v>
      </c>
      <c r="V804" s="7" t="s">
        <v>214</v>
      </c>
      <c r="W804" s="4" t="s">
        <v>214</v>
      </c>
      <c r="X804" s="4" t="s">
        <v>214</v>
      </c>
      <c r="Y804" s="4" t="s">
        <v>214</v>
      </c>
      <c r="Z804" s="8" t="s">
        <v>214</v>
      </c>
      <c r="AA804" s="6" t="s">
        <v>20040</v>
      </c>
      <c r="AB804" s="90" t="s">
        <v>20037</v>
      </c>
      <c r="AC804" s="67" t="str">
        <f t="shared" ref="AC804:AC806" si="513">HYPERLINK("https://www.milescc.edu/degreesprograms/","Link")</f>
        <v>Link</v>
      </c>
      <c r="AD804" s="42">
        <v>497</v>
      </c>
      <c r="AE804" s="8"/>
      <c r="AF804" s="8"/>
      <c r="AG804" s="56">
        <v>180373</v>
      </c>
      <c r="AH804" s="56"/>
      <c r="AI804" s="56"/>
    </row>
    <row r="805" spans="1:37" ht="15" x14ac:dyDescent="0.2">
      <c r="A805" s="64" t="s">
        <v>3523</v>
      </c>
      <c r="B805" s="36" t="s">
        <v>12632</v>
      </c>
      <c r="C805" s="7" t="s">
        <v>20041</v>
      </c>
      <c r="D805" s="112">
        <v>5</v>
      </c>
      <c r="E805" s="7"/>
      <c r="F805" s="112"/>
      <c r="G805" s="2" t="s">
        <v>20032</v>
      </c>
      <c r="H805" s="2" t="s">
        <v>2348</v>
      </c>
      <c r="I805" s="2" t="s">
        <v>2943</v>
      </c>
      <c r="J805" s="2" t="s">
        <v>55</v>
      </c>
      <c r="K805" s="2" t="s">
        <v>20042</v>
      </c>
      <c r="L805" s="2"/>
      <c r="M805" s="48"/>
      <c r="N805" s="45" t="str">
        <f t="shared" si="512"/>
        <v>Questionnaire</v>
      </c>
      <c r="O805" s="48" t="s">
        <v>20037</v>
      </c>
      <c r="P805" s="60" t="s">
        <v>3515</v>
      </c>
      <c r="Q805" s="6" t="s">
        <v>20038</v>
      </c>
      <c r="R805" s="60" t="s">
        <v>205</v>
      </c>
      <c r="S805" s="4" t="s">
        <v>74</v>
      </c>
      <c r="T805" s="6" t="s">
        <v>75</v>
      </c>
      <c r="U805" s="4" t="s">
        <v>3678</v>
      </c>
      <c r="V805" s="7" t="s">
        <v>214</v>
      </c>
      <c r="W805" s="4" t="s">
        <v>214</v>
      </c>
      <c r="X805" s="4" t="s">
        <v>214</v>
      </c>
      <c r="Y805" s="4" t="s">
        <v>214</v>
      </c>
      <c r="Z805" s="8" t="s">
        <v>214</v>
      </c>
      <c r="AA805" s="6" t="s">
        <v>20040</v>
      </c>
      <c r="AB805" s="90" t="s">
        <v>20037</v>
      </c>
      <c r="AC805" s="67" t="str">
        <f t="shared" si="513"/>
        <v>Link</v>
      </c>
      <c r="AD805" s="42">
        <v>497</v>
      </c>
      <c r="AE805" s="8"/>
      <c r="AF805" s="8"/>
      <c r="AG805" s="56">
        <v>180373</v>
      </c>
      <c r="AH805" s="56"/>
      <c r="AI805" s="56"/>
    </row>
    <row r="806" spans="1:37" ht="15" x14ac:dyDescent="0.2">
      <c r="A806" s="64" t="s">
        <v>3523</v>
      </c>
      <c r="B806" s="36" t="s">
        <v>12632</v>
      </c>
      <c r="C806" s="7" t="s">
        <v>20046</v>
      </c>
      <c r="D806" s="112">
        <v>5</v>
      </c>
      <c r="E806" s="7"/>
      <c r="F806" s="112"/>
      <c r="G806" s="2" t="s">
        <v>20032</v>
      </c>
      <c r="H806" s="2" t="s">
        <v>201</v>
      </c>
      <c r="I806" s="2" t="s">
        <v>1448</v>
      </c>
      <c r="J806" s="2" t="s">
        <v>55</v>
      </c>
      <c r="K806" s="2"/>
      <c r="L806" s="2"/>
      <c r="M806" s="48"/>
      <c r="N806" s="45" t="str">
        <f t="shared" si="512"/>
        <v>Questionnaire</v>
      </c>
      <c r="O806" s="48" t="s">
        <v>20037</v>
      </c>
      <c r="P806" s="60" t="s">
        <v>3515</v>
      </c>
      <c r="Q806" s="6" t="s">
        <v>20038</v>
      </c>
      <c r="R806" s="60" t="s">
        <v>205</v>
      </c>
      <c r="S806" s="4" t="s">
        <v>74</v>
      </c>
      <c r="T806" s="6" t="s">
        <v>75</v>
      </c>
      <c r="U806" s="4" t="s">
        <v>3678</v>
      </c>
      <c r="V806" s="7" t="s">
        <v>214</v>
      </c>
      <c r="W806" s="4" t="s">
        <v>214</v>
      </c>
      <c r="X806" s="4" t="s">
        <v>214</v>
      </c>
      <c r="Y806" s="4" t="s">
        <v>214</v>
      </c>
      <c r="Z806" s="8" t="s">
        <v>214</v>
      </c>
      <c r="AA806" s="6" t="s">
        <v>20040</v>
      </c>
      <c r="AB806" s="90" t="s">
        <v>20037</v>
      </c>
      <c r="AC806" s="67" t="str">
        <f t="shared" si="513"/>
        <v>Link</v>
      </c>
      <c r="AD806" s="42">
        <v>497</v>
      </c>
      <c r="AE806" s="8"/>
      <c r="AF806" s="8"/>
      <c r="AG806" s="56">
        <v>180373</v>
      </c>
      <c r="AH806" s="56"/>
      <c r="AI806" s="56"/>
    </row>
    <row r="807" spans="1:37" ht="15" x14ac:dyDescent="0.2">
      <c r="A807" s="64" t="s">
        <v>4734</v>
      </c>
      <c r="B807" s="7" t="s">
        <v>12632</v>
      </c>
      <c r="C807" s="7" t="s">
        <v>20052</v>
      </c>
      <c r="D807" s="112">
        <v>5</v>
      </c>
      <c r="E807" s="7"/>
      <c r="F807" s="7"/>
      <c r="G807" s="2" t="s">
        <v>20053</v>
      </c>
      <c r="H807" s="2" t="s">
        <v>2549</v>
      </c>
      <c r="I807" s="2" t="s">
        <v>18779</v>
      </c>
      <c r="J807" s="2" t="s">
        <v>48</v>
      </c>
      <c r="K807" s="2" t="s">
        <v>20054</v>
      </c>
      <c r="L807" s="2" t="s">
        <v>20055</v>
      </c>
      <c r="M807" s="48"/>
      <c r="N807" s="48" t="s">
        <v>22</v>
      </c>
      <c r="O807" s="48" t="s">
        <v>20056</v>
      </c>
      <c r="P807" s="60" t="s">
        <v>3105</v>
      </c>
      <c r="Q807" s="48" t="s">
        <v>20057</v>
      </c>
      <c r="R807" s="48" t="s">
        <v>186</v>
      </c>
      <c r="S807" s="49" t="s">
        <v>74</v>
      </c>
      <c r="T807" s="48" t="s">
        <v>75</v>
      </c>
      <c r="U807" s="49" t="s">
        <v>3678</v>
      </c>
      <c r="V807" s="7" t="s">
        <v>214</v>
      </c>
      <c r="W807" s="49" t="s">
        <v>214</v>
      </c>
      <c r="X807" s="49" t="s">
        <v>214</v>
      </c>
      <c r="Y807" s="49" t="s">
        <v>214</v>
      </c>
      <c r="Z807" s="55" t="s">
        <v>214</v>
      </c>
      <c r="AA807" s="48" t="s">
        <v>20059</v>
      </c>
      <c r="AB807" s="90" t="s">
        <v>20056</v>
      </c>
      <c r="AC807" s="67" t="str">
        <f t="shared" ref="AC807:AC808" si="514">HYPERLINK("https://www.cccneb.edu/programs/","Link")</f>
        <v>Link</v>
      </c>
      <c r="AD807" s="42">
        <v>6316</v>
      </c>
      <c r="AE807" s="55"/>
      <c r="AF807" s="55"/>
      <c r="AG807" s="56">
        <v>180902</v>
      </c>
      <c r="AH807" s="56"/>
      <c r="AI807" s="56"/>
      <c r="AJ807" s="56"/>
      <c r="AK807" s="56"/>
    </row>
    <row r="808" spans="1:37" ht="15" x14ac:dyDescent="0.2">
      <c r="A808" s="64" t="s">
        <v>4734</v>
      </c>
      <c r="B808" s="7" t="s">
        <v>12632</v>
      </c>
      <c r="C808" s="7" t="s">
        <v>20062</v>
      </c>
      <c r="D808" s="112">
        <v>5</v>
      </c>
      <c r="E808" s="7"/>
      <c r="F808" s="7"/>
      <c r="G808" s="2" t="s">
        <v>20053</v>
      </c>
      <c r="H808" s="2" t="s">
        <v>130</v>
      </c>
      <c r="I808" s="2" t="s">
        <v>2638</v>
      </c>
      <c r="J808" s="2" t="s">
        <v>55</v>
      </c>
      <c r="K808" s="2"/>
      <c r="L808" s="2"/>
      <c r="M808" s="48"/>
      <c r="N808" s="48" t="s">
        <v>22</v>
      </c>
      <c r="O808" s="48" t="s">
        <v>20056</v>
      </c>
      <c r="P808" s="60" t="s">
        <v>3105</v>
      </c>
      <c r="Q808" s="48" t="s">
        <v>20057</v>
      </c>
      <c r="R808" s="48" t="s">
        <v>186</v>
      </c>
      <c r="S808" s="49" t="s">
        <v>74</v>
      </c>
      <c r="T808" s="48" t="s">
        <v>75</v>
      </c>
      <c r="U808" s="49" t="s">
        <v>3678</v>
      </c>
      <c r="V808" s="7" t="s">
        <v>214</v>
      </c>
      <c r="W808" s="49" t="s">
        <v>214</v>
      </c>
      <c r="X808" s="49" t="s">
        <v>214</v>
      </c>
      <c r="Y808" s="49" t="s">
        <v>214</v>
      </c>
      <c r="Z808" s="55" t="s">
        <v>214</v>
      </c>
      <c r="AA808" s="48" t="s">
        <v>20059</v>
      </c>
      <c r="AB808" s="90" t="s">
        <v>20056</v>
      </c>
      <c r="AC808" s="67" t="str">
        <f t="shared" si="514"/>
        <v>Link</v>
      </c>
      <c r="AD808" s="42">
        <v>6316</v>
      </c>
      <c r="AE808" s="55"/>
      <c r="AF808" s="55"/>
      <c r="AG808" s="56">
        <v>180902</v>
      </c>
      <c r="AH808" s="56"/>
      <c r="AI808" s="56"/>
      <c r="AJ808" s="56"/>
      <c r="AK808" s="56"/>
    </row>
    <row r="809" spans="1:37" ht="15" x14ac:dyDescent="0.2">
      <c r="A809" s="64" t="s">
        <v>4734</v>
      </c>
      <c r="B809" s="7" t="s">
        <v>12632</v>
      </c>
      <c r="C809" s="7" t="s">
        <v>20065</v>
      </c>
      <c r="D809" s="112">
        <v>5</v>
      </c>
      <c r="E809" s="7"/>
      <c r="F809" s="7"/>
      <c r="G809" s="2" t="s">
        <v>20066</v>
      </c>
      <c r="H809" s="2" t="s">
        <v>20067</v>
      </c>
      <c r="I809" s="2" t="s">
        <v>3729</v>
      </c>
      <c r="J809" s="2" t="s">
        <v>48</v>
      </c>
      <c r="K809" s="2" t="s">
        <v>20068</v>
      </c>
      <c r="L809" s="2"/>
      <c r="M809" s="150" t="str">
        <f t="shared" ref="M809:M811" si="515">HYPERLINK("twitter.com/mccindians_sb","@mccindians_sb")</f>
        <v>@mccindians_sb</v>
      </c>
      <c r="N809" s="150" t="str">
        <f t="shared" ref="N809:N811" si="516">HYPERLINK("https://mccindians.com/sb_output.aspx?form=3&amp;tab=prospectiveathlete","Questionnaire")</f>
        <v>Questionnaire</v>
      </c>
      <c r="O809" s="48" t="s">
        <v>20079</v>
      </c>
      <c r="P809" s="60" t="s">
        <v>3105</v>
      </c>
      <c r="Q809" s="48" t="s">
        <v>20080</v>
      </c>
      <c r="R809" s="60" t="s">
        <v>205</v>
      </c>
      <c r="S809" s="49" t="s">
        <v>74</v>
      </c>
      <c r="T809" s="48" t="s">
        <v>75</v>
      </c>
      <c r="U809" s="49" t="s">
        <v>3678</v>
      </c>
      <c r="V809" s="7" t="s">
        <v>214</v>
      </c>
      <c r="W809" s="49" t="s">
        <v>214</v>
      </c>
      <c r="X809" s="49" t="s">
        <v>214</v>
      </c>
      <c r="Y809" s="49" t="s">
        <v>214</v>
      </c>
      <c r="Z809" s="55" t="s">
        <v>214</v>
      </c>
      <c r="AA809" s="48" t="s">
        <v>214</v>
      </c>
      <c r="AB809" s="84" t="s">
        <v>20079</v>
      </c>
      <c r="AC809" s="67" t="str">
        <f t="shared" ref="AC809:AC811" si="517">HYPERLINK("http://www.mpcc.edu/programs","Link")</f>
        <v>Link</v>
      </c>
      <c r="AD809" s="55" t="s">
        <v>214</v>
      </c>
      <c r="AE809" s="55"/>
      <c r="AF809" s="55"/>
      <c r="AG809" s="7"/>
      <c r="AH809" s="7"/>
      <c r="AI809" s="7"/>
      <c r="AJ809" s="7"/>
      <c r="AK809" s="7"/>
    </row>
    <row r="810" spans="1:37" ht="15" x14ac:dyDescent="0.2">
      <c r="A810" s="64" t="s">
        <v>4734</v>
      </c>
      <c r="B810" s="7" t="s">
        <v>12632</v>
      </c>
      <c r="C810" s="7" t="s">
        <v>20085</v>
      </c>
      <c r="D810" s="112">
        <v>5</v>
      </c>
      <c r="E810" s="7"/>
      <c r="F810" s="7"/>
      <c r="G810" s="2" t="s">
        <v>20066</v>
      </c>
      <c r="H810" s="2" t="s">
        <v>234</v>
      </c>
      <c r="I810" s="2" t="s">
        <v>6796</v>
      </c>
      <c r="J810" s="2" t="s">
        <v>1423</v>
      </c>
      <c r="K810" s="2"/>
      <c r="L810" s="2"/>
      <c r="M810" s="150" t="str">
        <f t="shared" si="515"/>
        <v>@mccindians_sb</v>
      </c>
      <c r="N810" s="150" t="str">
        <f t="shared" si="516"/>
        <v>Questionnaire</v>
      </c>
      <c r="O810" s="48" t="s">
        <v>20079</v>
      </c>
      <c r="P810" s="60" t="s">
        <v>3105</v>
      </c>
      <c r="Q810" s="48" t="s">
        <v>20080</v>
      </c>
      <c r="R810" s="60" t="s">
        <v>205</v>
      </c>
      <c r="S810" s="49" t="s">
        <v>74</v>
      </c>
      <c r="T810" s="48" t="s">
        <v>75</v>
      </c>
      <c r="U810" s="49" t="s">
        <v>3678</v>
      </c>
      <c r="V810" s="7" t="s">
        <v>214</v>
      </c>
      <c r="W810" s="49" t="s">
        <v>214</v>
      </c>
      <c r="X810" s="49" t="s">
        <v>214</v>
      </c>
      <c r="Y810" s="49" t="s">
        <v>214</v>
      </c>
      <c r="Z810" s="55" t="s">
        <v>214</v>
      </c>
      <c r="AA810" s="48" t="s">
        <v>214</v>
      </c>
      <c r="AB810" s="84" t="s">
        <v>20079</v>
      </c>
      <c r="AC810" s="67" t="str">
        <f t="shared" si="517"/>
        <v>Link</v>
      </c>
      <c r="AD810" s="55" t="s">
        <v>214</v>
      </c>
      <c r="AE810" s="55"/>
      <c r="AF810" s="55"/>
      <c r="AG810" s="7"/>
      <c r="AH810" s="7"/>
      <c r="AI810" s="7"/>
      <c r="AJ810" s="7"/>
      <c r="AK810" s="7"/>
    </row>
    <row r="811" spans="1:37" ht="15" x14ac:dyDescent="0.2">
      <c r="A811" s="64" t="s">
        <v>4734</v>
      </c>
      <c r="B811" s="7" t="s">
        <v>12632</v>
      </c>
      <c r="C811" s="7" t="s">
        <v>20087</v>
      </c>
      <c r="D811" s="112">
        <v>5</v>
      </c>
      <c r="E811" s="7"/>
      <c r="F811" s="7"/>
      <c r="G811" s="2" t="s">
        <v>20066</v>
      </c>
      <c r="H811" s="2" t="s">
        <v>3951</v>
      </c>
      <c r="I811" s="2" t="s">
        <v>3729</v>
      </c>
      <c r="J811" s="2" t="s">
        <v>139</v>
      </c>
      <c r="K811" s="2"/>
      <c r="L811" s="2"/>
      <c r="M811" s="150" t="str">
        <f t="shared" si="515"/>
        <v>@mccindians_sb</v>
      </c>
      <c r="N811" s="150" t="str">
        <f t="shared" si="516"/>
        <v>Questionnaire</v>
      </c>
      <c r="O811" s="48" t="s">
        <v>20079</v>
      </c>
      <c r="P811" s="60" t="s">
        <v>3105</v>
      </c>
      <c r="Q811" s="48" t="s">
        <v>20080</v>
      </c>
      <c r="R811" s="60" t="s">
        <v>205</v>
      </c>
      <c r="S811" s="49" t="s">
        <v>74</v>
      </c>
      <c r="T811" s="48" t="s">
        <v>75</v>
      </c>
      <c r="U811" s="49" t="s">
        <v>3678</v>
      </c>
      <c r="V811" s="7" t="s">
        <v>214</v>
      </c>
      <c r="W811" s="49" t="s">
        <v>214</v>
      </c>
      <c r="X811" s="49" t="s">
        <v>214</v>
      </c>
      <c r="Y811" s="49" t="s">
        <v>214</v>
      </c>
      <c r="Z811" s="55" t="s">
        <v>214</v>
      </c>
      <c r="AA811" s="48" t="s">
        <v>214</v>
      </c>
      <c r="AB811" s="84" t="s">
        <v>20079</v>
      </c>
      <c r="AC811" s="67" t="str">
        <f t="shared" si="517"/>
        <v>Link</v>
      </c>
      <c r="AD811" s="55" t="s">
        <v>214</v>
      </c>
      <c r="AE811" s="55"/>
      <c r="AF811" s="55"/>
      <c r="AG811" s="7"/>
      <c r="AH811" s="7"/>
      <c r="AI811" s="7"/>
      <c r="AJ811" s="7"/>
      <c r="AK811" s="7"/>
    </row>
    <row r="812" spans="1:37" ht="15" x14ac:dyDescent="0.2">
      <c r="A812" s="64" t="s">
        <v>4734</v>
      </c>
      <c r="B812" s="7" t="s">
        <v>12632</v>
      </c>
      <c r="C812" s="7" t="s">
        <v>20093</v>
      </c>
      <c r="D812" s="112">
        <v>5</v>
      </c>
      <c r="E812" s="7"/>
      <c r="F812" s="7"/>
      <c r="G812" s="2" t="s">
        <v>20094</v>
      </c>
      <c r="H812" s="2" t="s">
        <v>12506</v>
      </c>
      <c r="I812" s="2" t="s">
        <v>12577</v>
      </c>
      <c r="J812" s="2" t="s">
        <v>48</v>
      </c>
      <c r="K812" s="2" t="s">
        <v>20095</v>
      </c>
      <c r="L812" s="2" t="s">
        <v>20096</v>
      </c>
      <c r="M812" s="48"/>
      <c r="N812" s="48" t="s">
        <v>22</v>
      </c>
      <c r="O812" s="48" t="s">
        <v>20097</v>
      </c>
      <c r="P812" s="60" t="s">
        <v>3105</v>
      </c>
      <c r="Q812" s="48" t="s">
        <v>20099</v>
      </c>
      <c r="R812" s="48" t="s">
        <v>172</v>
      </c>
      <c r="S812" s="49" t="s">
        <v>74</v>
      </c>
      <c r="T812" s="48" t="s">
        <v>75</v>
      </c>
      <c r="U812" s="49" t="s">
        <v>3678</v>
      </c>
      <c r="V812" s="7" t="s">
        <v>214</v>
      </c>
      <c r="W812" s="49" t="s">
        <v>214</v>
      </c>
      <c r="X812" s="49" t="s">
        <v>214</v>
      </c>
      <c r="Y812" s="49" t="s">
        <v>214</v>
      </c>
      <c r="Z812" s="55" t="s">
        <v>214</v>
      </c>
      <c r="AA812" s="48" t="s">
        <v>20102</v>
      </c>
      <c r="AB812" s="84" t="s">
        <v>20097</v>
      </c>
      <c r="AC812" s="67" t="str">
        <f t="shared" ref="AC812:AC813" si="518">HYPERLINK("http://www.mpcc.edu/campuses/north-platte","Link")</f>
        <v>Link</v>
      </c>
      <c r="AD812" s="55" t="s">
        <v>214</v>
      </c>
      <c r="AE812" s="55"/>
      <c r="AF812" s="55"/>
      <c r="AG812" s="7"/>
      <c r="AH812" s="7"/>
      <c r="AI812" s="7"/>
      <c r="AJ812" s="7"/>
      <c r="AK812" s="7"/>
    </row>
    <row r="813" spans="1:37" ht="15" x14ac:dyDescent="0.2">
      <c r="A813" s="64" t="s">
        <v>4734</v>
      </c>
      <c r="B813" s="7" t="s">
        <v>12632</v>
      </c>
      <c r="C813" s="7" t="s">
        <v>20103</v>
      </c>
      <c r="D813" s="112">
        <v>5</v>
      </c>
      <c r="E813" s="7"/>
      <c r="F813" s="7"/>
      <c r="G813" s="2" t="s">
        <v>20094</v>
      </c>
      <c r="H813" s="2" t="s">
        <v>20105</v>
      </c>
      <c r="I813" s="2" t="s">
        <v>117</v>
      </c>
      <c r="J813" s="2" t="s">
        <v>55</v>
      </c>
      <c r="K813" s="2"/>
      <c r="L813" s="2"/>
      <c r="M813" s="48"/>
      <c r="N813" s="48" t="s">
        <v>22</v>
      </c>
      <c r="O813" s="48" t="s">
        <v>20097</v>
      </c>
      <c r="P813" s="60" t="s">
        <v>3105</v>
      </c>
      <c r="Q813" s="48" t="s">
        <v>20099</v>
      </c>
      <c r="R813" s="48" t="s">
        <v>172</v>
      </c>
      <c r="S813" s="49" t="s">
        <v>74</v>
      </c>
      <c r="T813" s="48" t="s">
        <v>75</v>
      </c>
      <c r="U813" s="49" t="s">
        <v>3678</v>
      </c>
      <c r="V813" s="7" t="s">
        <v>214</v>
      </c>
      <c r="W813" s="49" t="s">
        <v>214</v>
      </c>
      <c r="X813" s="49" t="s">
        <v>214</v>
      </c>
      <c r="Y813" s="49" t="s">
        <v>214</v>
      </c>
      <c r="Z813" s="55" t="s">
        <v>214</v>
      </c>
      <c r="AA813" s="48" t="s">
        <v>20102</v>
      </c>
      <c r="AB813" s="84" t="s">
        <v>20097</v>
      </c>
      <c r="AC813" s="67" t="str">
        <f t="shared" si="518"/>
        <v>Link</v>
      </c>
      <c r="AD813" s="55" t="s">
        <v>214</v>
      </c>
      <c r="AE813" s="55"/>
      <c r="AF813" s="55"/>
      <c r="AG813" s="7"/>
      <c r="AH813" s="7"/>
      <c r="AI813" s="7"/>
      <c r="AJ813" s="7"/>
      <c r="AK813" s="7"/>
    </row>
    <row r="814" spans="1:37" ht="15" x14ac:dyDescent="0.2">
      <c r="A814" s="64" t="s">
        <v>4734</v>
      </c>
      <c r="B814" s="7" t="s">
        <v>12632</v>
      </c>
      <c r="C814" s="7" t="s">
        <v>20112</v>
      </c>
      <c r="D814" s="112">
        <v>5</v>
      </c>
      <c r="E814" s="7"/>
      <c r="F814" s="7"/>
      <c r="G814" s="2" t="s">
        <v>20114</v>
      </c>
      <c r="H814" s="2" t="s">
        <v>3704</v>
      </c>
      <c r="I814" s="2" t="s">
        <v>20117</v>
      </c>
      <c r="J814" s="2" t="s">
        <v>48</v>
      </c>
      <c r="K814" s="2" t="s">
        <v>20118</v>
      </c>
      <c r="L814" s="7" t="s">
        <v>20119</v>
      </c>
      <c r="M814" s="48"/>
      <c r="N814" s="150" t="str">
        <f t="shared" ref="N814:N815" si="519">HYPERLINK("https://northeasthawks.com/recruits/forms","Questionnaire")</f>
        <v>Questionnaire</v>
      </c>
      <c r="O814" s="48" t="s">
        <v>20120</v>
      </c>
      <c r="P814" s="60" t="s">
        <v>3105</v>
      </c>
      <c r="Q814" s="48" t="s">
        <v>8798</v>
      </c>
      <c r="R814" s="48" t="s">
        <v>172</v>
      </c>
      <c r="S814" s="49" t="s">
        <v>74</v>
      </c>
      <c r="T814" s="48" t="s">
        <v>75</v>
      </c>
      <c r="U814" s="49" t="s">
        <v>3678</v>
      </c>
      <c r="V814" s="7" t="s">
        <v>214</v>
      </c>
      <c r="W814" s="49" t="s">
        <v>214</v>
      </c>
      <c r="X814" s="49" t="s">
        <v>214</v>
      </c>
      <c r="Y814" s="49" t="s">
        <v>214</v>
      </c>
      <c r="Z814" s="55" t="s">
        <v>214</v>
      </c>
      <c r="AA814" s="48" t="s">
        <v>20121</v>
      </c>
      <c r="AB814" s="84" t="s">
        <v>20120</v>
      </c>
      <c r="AC814" s="67" t="str">
        <f t="shared" ref="AC814:AC815" si="520">HYPERLINK("http://northeast.edu/Degrees-and-Programs/","Link")</f>
        <v>Link</v>
      </c>
      <c r="AD814" s="42">
        <v>5075</v>
      </c>
      <c r="AE814" s="55"/>
      <c r="AF814" s="55"/>
      <c r="AG814" s="56">
        <v>181491</v>
      </c>
      <c r="AH814" s="56"/>
      <c r="AI814" s="56"/>
      <c r="AJ814" s="56"/>
      <c r="AK814" s="56"/>
    </row>
    <row r="815" spans="1:37" ht="15" x14ac:dyDescent="0.2">
      <c r="A815" s="64" t="s">
        <v>4734</v>
      </c>
      <c r="B815" s="7" t="s">
        <v>12632</v>
      </c>
      <c r="C815" s="7" t="s">
        <v>20122</v>
      </c>
      <c r="D815" s="112">
        <v>5</v>
      </c>
      <c r="E815" s="7"/>
      <c r="F815" s="7"/>
      <c r="G815" s="2" t="s">
        <v>20114</v>
      </c>
      <c r="H815" s="2" t="s">
        <v>5580</v>
      </c>
      <c r="I815" s="2" t="s">
        <v>20123</v>
      </c>
      <c r="J815" s="2" t="s">
        <v>55</v>
      </c>
      <c r="K815" s="2" t="s">
        <v>20124</v>
      </c>
      <c r="L815" s="2"/>
      <c r="M815" s="48"/>
      <c r="N815" s="150" t="str">
        <f t="shared" si="519"/>
        <v>Questionnaire</v>
      </c>
      <c r="O815" s="48" t="s">
        <v>20120</v>
      </c>
      <c r="P815" s="60" t="s">
        <v>3105</v>
      </c>
      <c r="Q815" s="48" t="s">
        <v>8798</v>
      </c>
      <c r="R815" s="48" t="s">
        <v>172</v>
      </c>
      <c r="S815" s="49" t="s">
        <v>74</v>
      </c>
      <c r="T815" s="48" t="s">
        <v>75</v>
      </c>
      <c r="U815" s="49" t="s">
        <v>3678</v>
      </c>
      <c r="V815" s="7" t="s">
        <v>214</v>
      </c>
      <c r="W815" s="49" t="s">
        <v>214</v>
      </c>
      <c r="X815" s="49" t="s">
        <v>214</v>
      </c>
      <c r="Y815" s="49" t="s">
        <v>214</v>
      </c>
      <c r="Z815" s="55" t="s">
        <v>214</v>
      </c>
      <c r="AA815" s="48" t="s">
        <v>20121</v>
      </c>
      <c r="AB815" s="84" t="s">
        <v>20120</v>
      </c>
      <c r="AC815" s="67" t="str">
        <f t="shared" si="520"/>
        <v>Link</v>
      </c>
      <c r="AD815" s="42">
        <v>5075</v>
      </c>
      <c r="AE815" s="55"/>
      <c r="AF815" s="55"/>
      <c r="AG815" s="56">
        <v>181491</v>
      </c>
      <c r="AH815" s="56"/>
      <c r="AI815" s="56"/>
      <c r="AJ815" s="56"/>
      <c r="AK815" s="56"/>
    </row>
    <row r="816" spans="1:37" ht="15" x14ac:dyDescent="0.2">
      <c r="A816" s="64" t="s">
        <v>4734</v>
      </c>
      <c r="B816" s="7" t="s">
        <v>12632</v>
      </c>
      <c r="C816" s="7" t="s">
        <v>20129</v>
      </c>
      <c r="D816" s="112">
        <v>5</v>
      </c>
      <c r="E816" s="7"/>
      <c r="F816" s="7"/>
      <c r="G816" s="2" t="s">
        <v>20130</v>
      </c>
      <c r="H816" s="2" t="s">
        <v>1234</v>
      </c>
      <c r="I816" s="2" t="s">
        <v>20131</v>
      </c>
      <c r="J816" s="2" t="s">
        <v>48</v>
      </c>
      <c r="K816" s="2" t="s">
        <v>20132</v>
      </c>
      <c r="L816" s="2" t="s">
        <v>20133</v>
      </c>
      <c r="M816" s="150" t="str">
        <f t="shared" ref="M816:M817" si="521">HYPERLINK("twitter.com/Sccsoftball19","@Sccsoftball19")</f>
        <v>@Sccsoftball19</v>
      </c>
      <c r="N816" s="150" t="str">
        <f t="shared" ref="N816:N817" si="522">HYPERLINK("https://sccstorm.com/information/Athletic_Prospect_Forms","Questionnaire")</f>
        <v>Questionnaire</v>
      </c>
      <c r="O816" s="48" t="s">
        <v>20140</v>
      </c>
      <c r="P816" s="60" t="s">
        <v>3105</v>
      </c>
      <c r="Q816" s="48" t="s">
        <v>4736</v>
      </c>
      <c r="R816" s="48" t="s">
        <v>62</v>
      </c>
      <c r="S816" s="49" t="s">
        <v>74</v>
      </c>
      <c r="T816" s="48" t="s">
        <v>75</v>
      </c>
      <c r="U816" s="49" t="s">
        <v>3678</v>
      </c>
      <c r="V816" s="7" t="s">
        <v>214</v>
      </c>
      <c r="W816" s="49" t="s">
        <v>214</v>
      </c>
      <c r="X816" s="49" t="s">
        <v>214</v>
      </c>
      <c r="Y816" s="49" t="s">
        <v>214</v>
      </c>
      <c r="Z816" s="55" t="s">
        <v>214</v>
      </c>
      <c r="AA816" s="48" t="s">
        <v>20141</v>
      </c>
      <c r="AB816" s="84" t="s">
        <v>20140</v>
      </c>
      <c r="AC816" s="67" t="str">
        <f t="shared" ref="AC816:AC817" si="523">HYPERLINK("https://www.southeast.edu/academics/","Link")</f>
        <v>Link</v>
      </c>
      <c r="AD816" s="42">
        <v>9262</v>
      </c>
      <c r="AE816" s="55"/>
      <c r="AF816" s="55"/>
      <c r="AG816" s="56">
        <v>181640</v>
      </c>
      <c r="AH816" s="56"/>
      <c r="AI816" s="56"/>
      <c r="AJ816" s="56"/>
      <c r="AK816" s="56"/>
    </row>
    <row r="817" spans="1:37" ht="15" x14ac:dyDescent="0.2">
      <c r="A817" s="64" t="s">
        <v>4734</v>
      </c>
      <c r="B817" s="7" t="s">
        <v>12632</v>
      </c>
      <c r="C817" s="7" t="s">
        <v>20144</v>
      </c>
      <c r="D817" s="112">
        <v>5</v>
      </c>
      <c r="E817" s="7"/>
      <c r="F817" s="7"/>
      <c r="G817" s="2" t="s">
        <v>20130</v>
      </c>
      <c r="H817" s="2" t="s">
        <v>5933</v>
      </c>
      <c r="I817" s="2" t="s">
        <v>9025</v>
      </c>
      <c r="J817" s="2" t="s">
        <v>3703</v>
      </c>
      <c r="K817" s="2" t="s">
        <v>20145</v>
      </c>
      <c r="L817" s="2"/>
      <c r="M817" s="150" t="str">
        <f t="shared" si="521"/>
        <v>@Sccsoftball19</v>
      </c>
      <c r="N817" s="150" t="str">
        <f t="shared" si="522"/>
        <v>Questionnaire</v>
      </c>
      <c r="O817" s="48" t="s">
        <v>20140</v>
      </c>
      <c r="P817" s="60" t="s">
        <v>3105</v>
      </c>
      <c r="Q817" s="48" t="s">
        <v>4736</v>
      </c>
      <c r="R817" s="48" t="s">
        <v>62</v>
      </c>
      <c r="S817" s="49" t="s">
        <v>74</v>
      </c>
      <c r="T817" s="48" t="s">
        <v>75</v>
      </c>
      <c r="U817" s="49" t="s">
        <v>3678</v>
      </c>
      <c r="V817" s="7" t="s">
        <v>214</v>
      </c>
      <c r="W817" s="49" t="s">
        <v>214</v>
      </c>
      <c r="X817" s="49" t="s">
        <v>214</v>
      </c>
      <c r="Y817" s="49" t="s">
        <v>214</v>
      </c>
      <c r="Z817" s="55" t="s">
        <v>214</v>
      </c>
      <c r="AA817" s="48" t="s">
        <v>20141</v>
      </c>
      <c r="AB817" s="84" t="s">
        <v>20140</v>
      </c>
      <c r="AC817" s="67" t="str">
        <f t="shared" si="523"/>
        <v>Link</v>
      </c>
      <c r="AD817" s="42">
        <v>9262</v>
      </c>
      <c r="AE817" s="55"/>
      <c r="AF817" s="55"/>
      <c r="AG817" s="56">
        <v>181640</v>
      </c>
      <c r="AH817" s="56"/>
      <c r="AI817" s="56"/>
      <c r="AJ817" s="56"/>
      <c r="AK817" s="56"/>
    </row>
    <row r="818" spans="1:37" ht="15" x14ac:dyDescent="0.2">
      <c r="A818" s="64" t="s">
        <v>4734</v>
      </c>
      <c r="B818" s="7" t="s">
        <v>12632</v>
      </c>
      <c r="C818" s="7" t="s">
        <v>20147</v>
      </c>
      <c r="D818" s="112">
        <v>5</v>
      </c>
      <c r="E818" s="7"/>
      <c r="F818" s="7"/>
      <c r="G818" s="2" t="s">
        <v>20148</v>
      </c>
      <c r="H818" s="2" t="s">
        <v>1060</v>
      </c>
      <c r="I818" s="2" t="s">
        <v>18538</v>
      </c>
      <c r="J818" s="2" t="s">
        <v>48</v>
      </c>
      <c r="K818" s="2" t="s">
        <v>20149</v>
      </c>
      <c r="L818" s="2" t="s">
        <v>20150</v>
      </c>
      <c r="M818" s="48"/>
      <c r="N818" s="48" t="s">
        <v>22</v>
      </c>
      <c r="O818" s="48" t="s">
        <v>20151</v>
      </c>
      <c r="P818" s="60" t="s">
        <v>3105</v>
      </c>
      <c r="Q818" s="48" t="s">
        <v>20153</v>
      </c>
      <c r="R818" s="48" t="s">
        <v>172</v>
      </c>
      <c r="S818" s="49" t="s">
        <v>74</v>
      </c>
      <c r="T818" s="48" t="s">
        <v>75</v>
      </c>
      <c r="U818" s="49" t="s">
        <v>3678</v>
      </c>
      <c r="V818" s="7" t="s">
        <v>214</v>
      </c>
      <c r="W818" s="49" t="s">
        <v>214</v>
      </c>
      <c r="X818" s="49" t="s">
        <v>214</v>
      </c>
      <c r="Y818" s="49" t="s">
        <v>214</v>
      </c>
      <c r="Z818" s="55" t="s">
        <v>214</v>
      </c>
      <c r="AA818" s="48" t="s">
        <v>20154</v>
      </c>
      <c r="AB818" s="84" t="s">
        <v>20151</v>
      </c>
      <c r="AC818" s="67" t="str">
        <f>HYPERLINK("https://www.wncc.edu/academics/programs","Link")</f>
        <v>Link</v>
      </c>
      <c r="AD818" s="42">
        <v>1719</v>
      </c>
      <c r="AE818" s="55"/>
      <c r="AF818" s="55"/>
      <c r="AG818" s="56">
        <v>181817</v>
      </c>
      <c r="AH818" s="56"/>
      <c r="AI818" s="56"/>
      <c r="AJ818" s="56"/>
      <c r="AK818" s="56"/>
    </row>
    <row r="819" spans="1:37" ht="13" x14ac:dyDescent="0.15">
      <c r="A819" s="64" t="s">
        <v>18491</v>
      </c>
      <c r="B819" s="7" t="s">
        <v>12632</v>
      </c>
      <c r="C819" s="7" t="s">
        <v>20155</v>
      </c>
      <c r="D819" s="44">
        <v>5</v>
      </c>
      <c r="E819" s="7"/>
      <c r="F819" s="7"/>
      <c r="G819" s="7" t="s">
        <v>20156</v>
      </c>
      <c r="H819" s="7" t="s">
        <v>3899</v>
      </c>
      <c r="I819" s="7" t="s">
        <v>194</v>
      </c>
      <c r="J819" s="7" t="s">
        <v>55</v>
      </c>
      <c r="K819" s="7"/>
      <c r="L819" s="7"/>
      <c r="M819" s="150" t="str">
        <f t="shared" ref="M819:M822" si="524">HYPERLINK("twitter.com/csn_softball","@csn_softball")</f>
        <v>@csn_softball</v>
      </c>
      <c r="N819" s="150" t="str">
        <f t="shared" ref="N819:N822" si="525">HYPERLINK("https://csncoyotes.com/sb_output.aspx?form=3","Questionnaire")</f>
        <v>Questionnaire</v>
      </c>
      <c r="O819" s="48" t="s">
        <v>20157</v>
      </c>
      <c r="P819" s="60" t="s">
        <v>9603</v>
      </c>
      <c r="Q819" s="48" t="s">
        <v>1727</v>
      </c>
      <c r="R819" s="48" t="s">
        <v>62</v>
      </c>
      <c r="S819" s="49" t="s">
        <v>74</v>
      </c>
      <c r="T819" s="48" t="s">
        <v>75</v>
      </c>
      <c r="U819" s="49" t="s">
        <v>3678</v>
      </c>
      <c r="V819" s="48" t="s">
        <v>214</v>
      </c>
      <c r="W819" s="49" t="s">
        <v>214</v>
      </c>
      <c r="X819" s="49" t="s">
        <v>214</v>
      </c>
      <c r="Y819" s="49" t="s">
        <v>214</v>
      </c>
      <c r="Z819" s="55" t="s">
        <v>214</v>
      </c>
      <c r="AA819" s="48" t="s">
        <v>20158</v>
      </c>
      <c r="AB819" s="84" t="s">
        <v>20157</v>
      </c>
      <c r="AC819" s="67" t="str">
        <f t="shared" ref="AC819:AC822" si="526">HYPERLINK("https://www.csn.edu/degrees","Link")</f>
        <v>Link</v>
      </c>
      <c r="AD819" s="42">
        <v>33556</v>
      </c>
      <c r="AE819" s="55"/>
      <c r="AF819" s="55"/>
      <c r="AG819" s="56">
        <v>182005</v>
      </c>
      <c r="AH819" s="42"/>
      <c r="AI819" s="55"/>
      <c r="AJ819" s="55"/>
      <c r="AK819" s="85"/>
    </row>
    <row r="820" spans="1:37" ht="13" x14ac:dyDescent="0.15">
      <c r="A820" s="64" t="s">
        <v>18491</v>
      </c>
      <c r="B820" s="7" t="s">
        <v>12632</v>
      </c>
      <c r="C820" s="7" t="s">
        <v>20159</v>
      </c>
      <c r="D820" s="44">
        <v>5</v>
      </c>
      <c r="E820" s="7"/>
      <c r="F820" s="7"/>
      <c r="G820" s="7" t="s">
        <v>20156</v>
      </c>
      <c r="H820" s="7" t="s">
        <v>306</v>
      </c>
      <c r="I820" s="7" t="s">
        <v>19045</v>
      </c>
      <c r="J820" s="7" t="s">
        <v>55</v>
      </c>
      <c r="K820" s="7"/>
      <c r="L820" s="7"/>
      <c r="M820" s="150" t="str">
        <f t="shared" si="524"/>
        <v>@csn_softball</v>
      </c>
      <c r="N820" s="150" t="str">
        <f t="shared" si="525"/>
        <v>Questionnaire</v>
      </c>
      <c r="O820" s="48" t="s">
        <v>20157</v>
      </c>
      <c r="P820" s="60" t="s">
        <v>9603</v>
      </c>
      <c r="Q820" s="48" t="s">
        <v>1727</v>
      </c>
      <c r="R820" s="48" t="s">
        <v>62</v>
      </c>
      <c r="S820" s="49" t="s">
        <v>74</v>
      </c>
      <c r="T820" s="48" t="s">
        <v>75</v>
      </c>
      <c r="U820" s="49" t="s">
        <v>3678</v>
      </c>
      <c r="V820" s="48" t="s">
        <v>214</v>
      </c>
      <c r="W820" s="49" t="s">
        <v>214</v>
      </c>
      <c r="X820" s="49" t="s">
        <v>214</v>
      </c>
      <c r="Y820" s="49" t="s">
        <v>214</v>
      </c>
      <c r="Z820" s="55" t="s">
        <v>214</v>
      </c>
      <c r="AA820" s="48" t="s">
        <v>20158</v>
      </c>
      <c r="AB820" s="84" t="s">
        <v>20157</v>
      </c>
      <c r="AC820" s="67" t="str">
        <f t="shared" si="526"/>
        <v>Link</v>
      </c>
      <c r="AD820" s="42">
        <v>33556</v>
      </c>
      <c r="AE820" s="55"/>
      <c r="AF820" s="55"/>
      <c r="AG820" s="56">
        <v>182005</v>
      </c>
      <c r="AH820" s="42"/>
      <c r="AI820" s="55"/>
      <c r="AJ820" s="55"/>
      <c r="AK820" s="85"/>
    </row>
    <row r="821" spans="1:37" ht="15" x14ac:dyDescent="0.2">
      <c r="A821" s="64" t="s">
        <v>18491</v>
      </c>
      <c r="B821" s="7" t="s">
        <v>12632</v>
      </c>
      <c r="C821" s="7" t="s">
        <v>20160</v>
      </c>
      <c r="D821" s="112">
        <v>5</v>
      </c>
      <c r="E821" s="7"/>
      <c r="F821" s="7"/>
      <c r="G821" s="2" t="s">
        <v>20156</v>
      </c>
      <c r="H821" s="2" t="s">
        <v>981</v>
      </c>
      <c r="I821" s="2" t="s">
        <v>1553</v>
      </c>
      <c r="J821" s="2" t="s">
        <v>48</v>
      </c>
      <c r="K821" s="2" t="s">
        <v>20161</v>
      </c>
      <c r="L821" s="2" t="s">
        <v>20162</v>
      </c>
      <c r="M821" s="150" t="str">
        <f t="shared" si="524"/>
        <v>@csn_softball</v>
      </c>
      <c r="N821" s="150" t="str">
        <f t="shared" si="525"/>
        <v>Questionnaire</v>
      </c>
      <c r="O821" s="48" t="s">
        <v>20157</v>
      </c>
      <c r="P821" s="60" t="s">
        <v>9603</v>
      </c>
      <c r="Q821" s="48" t="s">
        <v>1727</v>
      </c>
      <c r="R821" s="48" t="s">
        <v>62</v>
      </c>
      <c r="S821" s="49" t="s">
        <v>74</v>
      </c>
      <c r="T821" s="48" t="s">
        <v>75</v>
      </c>
      <c r="U821" s="49" t="s">
        <v>3678</v>
      </c>
      <c r="V821" s="7" t="s">
        <v>214</v>
      </c>
      <c r="W821" s="49" t="s">
        <v>214</v>
      </c>
      <c r="X821" s="49" t="s">
        <v>214</v>
      </c>
      <c r="Y821" s="49" t="s">
        <v>214</v>
      </c>
      <c r="Z821" s="55" t="s">
        <v>214</v>
      </c>
      <c r="AA821" s="48" t="s">
        <v>20158</v>
      </c>
      <c r="AB821" s="84" t="s">
        <v>20157</v>
      </c>
      <c r="AC821" s="67" t="str">
        <f t="shared" si="526"/>
        <v>Link</v>
      </c>
      <c r="AD821" s="42">
        <v>33556</v>
      </c>
      <c r="AE821" s="55"/>
      <c r="AF821" s="55"/>
      <c r="AG821" s="56">
        <v>182005</v>
      </c>
      <c r="AH821" s="56"/>
      <c r="AI821" s="56"/>
      <c r="AJ821" s="56"/>
      <c r="AK821" s="56"/>
    </row>
    <row r="822" spans="1:37" ht="15" x14ac:dyDescent="0.2">
      <c r="A822" s="64" t="s">
        <v>18491</v>
      </c>
      <c r="B822" s="7" t="s">
        <v>12632</v>
      </c>
      <c r="C822" s="7" t="s">
        <v>20163</v>
      </c>
      <c r="D822" s="112">
        <v>5</v>
      </c>
      <c r="E822" s="7"/>
      <c r="F822" s="7"/>
      <c r="G822" s="2" t="s">
        <v>20156</v>
      </c>
      <c r="H822" s="2" t="s">
        <v>92</v>
      </c>
      <c r="I822" s="2" t="s">
        <v>20164</v>
      </c>
      <c r="J822" s="2" t="s">
        <v>55</v>
      </c>
      <c r="K822" s="2" t="s">
        <v>20165</v>
      </c>
      <c r="L822" s="2" t="s">
        <v>20166</v>
      </c>
      <c r="M822" s="150" t="str">
        <f t="shared" si="524"/>
        <v>@csn_softball</v>
      </c>
      <c r="N822" s="150" t="str">
        <f t="shared" si="525"/>
        <v>Questionnaire</v>
      </c>
      <c r="O822" s="48" t="s">
        <v>20157</v>
      </c>
      <c r="P822" s="60" t="s">
        <v>9603</v>
      </c>
      <c r="Q822" s="48" t="s">
        <v>1727</v>
      </c>
      <c r="R822" s="48" t="s">
        <v>62</v>
      </c>
      <c r="S822" s="49" t="s">
        <v>74</v>
      </c>
      <c r="T822" s="48" t="s">
        <v>75</v>
      </c>
      <c r="U822" s="49" t="s">
        <v>3678</v>
      </c>
      <c r="V822" s="7" t="s">
        <v>214</v>
      </c>
      <c r="W822" s="49" t="s">
        <v>214</v>
      </c>
      <c r="X822" s="49" t="s">
        <v>214</v>
      </c>
      <c r="Y822" s="49" t="s">
        <v>214</v>
      </c>
      <c r="Z822" s="55" t="s">
        <v>214</v>
      </c>
      <c r="AA822" s="48" t="s">
        <v>20158</v>
      </c>
      <c r="AB822" s="84" t="s">
        <v>20157</v>
      </c>
      <c r="AC822" s="67" t="str">
        <f t="shared" si="526"/>
        <v>Link</v>
      </c>
      <c r="AD822" s="42">
        <v>33556</v>
      </c>
      <c r="AE822" s="55"/>
      <c r="AF822" s="55"/>
      <c r="AG822" s="56">
        <v>182005</v>
      </c>
      <c r="AH822" s="56"/>
      <c r="AI822" s="56"/>
      <c r="AJ822" s="56"/>
      <c r="AK822" s="56"/>
    </row>
    <row r="823" spans="1:37" ht="15" x14ac:dyDescent="0.2">
      <c r="A823" s="64" t="s">
        <v>6998</v>
      </c>
      <c r="B823" s="7" t="s">
        <v>12632</v>
      </c>
      <c r="C823" s="7" t="s">
        <v>20167</v>
      </c>
      <c r="D823" s="112">
        <v>5</v>
      </c>
      <c r="E823" s="7"/>
      <c r="F823" s="7"/>
      <c r="G823" s="2" t="s">
        <v>20168</v>
      </c>
      <c r="H823" s="2" t="s">
        <v>20169</v>
      </c>
      <c r="I823" s="2"/>
      <c r="J823" s="2" t="s">
        <v>3472</v>
      </c>
      <c r="K823" s="2" t="s">
        <v>20170</v>
      </c>
      <c r="L823" s="2" t="s">
        <v>20171</v>
      </c>
      <c r="M823" s="48"/>
      <c r="N823" s="150" t="str">
        <f t="shared" ref="N823:N825" si="527">HYPERLINK("https://www.bergenccbulldogs.com/RECRUITMENT","Questionnaire")</f>
        <v>Questionnaire</v>
      </c>
      <c r="O823" s="48" t="s">
        <v>20172</v>
      </c>
      <c r="P823" s="60" t="s">
        <v>3272</v>
      </c>
      <c r="Q823" s="48" t="s">
        <v>20173</v>
      </c>
      <c r="R823" s="48" t="s">
        <v>468</v>
      </c>
      <c r="S823" s="49" t="s">
        <v>74</v>
      </c>
      <c r="T823" s="48" t="s">
        <v>75</v>
      </c>
      <c r="U823" s="49" t="s">
        <v>3678</v>
      </c>
      <c r="V823" s="7" t="s">
        <v>214</v>
      </c>
      <c r="W823" s="49" t="s">
        <v>214</v>
      </c>
      <c r="X823" s="49" t="s">
        <v>214</v>
      </c>
      <c r="Y823" s="49" t="s">
        <v>214</v>
      </c>
      <c r="Z823" s="55" t="s">
        <v>214</v>
      </c>
      <c r="AA823" s="48" t="s">
        <v>20174</v>
      </c>
      <c r="AB823" s="90" t="s">
        <v>20172</v>
      </c>
      <c r="AC823" s="67" t="str">
        <f t="shared" ref="AC823:AC825" si="528">HYPERLINK("https://bergen.edu/academics/academic-divisions-departments/","Link")</f>
        <v>Link</v>
      </c>
      <c r="AD823" s="42">
        <v>14519</v>
      </c>
      <c r="AE823" s="55"/>
      <c r="AF823" s="55"/>
      <c r="AG823" s="56">
        <v>183743</v>
      </c>
      <c r="AH823" s="56"/>
      <c r="AI823" s="56"/>
      <c r="AJ823" s="56"/>
      <c r="AK823" s="56"/>
    </row>
    <row r="824" spans="1:37" ht="15" x14ac:dyDescent="0.2">
      <c r="A824" s="64" t="s">
        <v>6998</v>
      </c>
      <c r="B824" s="7" t="s">
        <v>12632</v>
      </c>
      <c r="C824" s="7" t="s">
        <v>20175</v>
      </c>
      <c r="D824" s="112">
        <v>5</v>
      </c>
      <c r="E824" s="7"/>
      <c r="F824" s="7"/>
      <c r="G824" s="2" t="s">
        <v>20168</v>
      </c>
      <c r="H824" s="2" t="s">
        <v>421</v>
      </c>
      <c r="I824" s="2"/>
      <c r="J824" s="2" t="s">
        <v>48</v>
      </c>
      <c r="K824" s="2"/>
      <c r="L824" s="2"/>
      <c r="M824" s="48"/>
      <c r="N824" s="150" t="str">
        <f t="shared" si="527"/>
        <v>Questionnaire</v>
      </c>
      <c r="O824" s="48" t="s">
        <v>20172</v>
      </c>
      <c r="P824" s="60" t="s">
        <v>3272</v>
      </c>
      <c r="Q824" s="48" t="s">
        <v>20173</v>
      </c>
      <c r="R824" s="48" t="s">
        <v>468</v>
      </c>
      <c r="S824" s="49" t="s">
        <v>74</v>
      </c>
      <c r="T824" s="48" t="s">
        <v>75</v>
      </c>
      <c r="U824" s="49" t="s">
        <v>3678</v>
      </c>
      <c r="V824" s="7" t="s">
        <v>214</v>
      </c>
      <c r="W824" s="49" t="s">
        <v>214</v>
      </c>
      <c r="X824" s="49" t="s">
        <v>214</v>
      </c>
      <c r="Y824" s="49" t="s">
        <v>214</v>
      </c>
      <c r="Z824" s="55" t="s">
        <v>214</v>
      </c>
      <c r="AA824" s="48" t="s">
        <v>20174</v>
      </c>
      <c r="AB824" s="90" t="s">
        <v>20172</v>
      </c>
      <c r="AC824" s="67" t="str">
        <f t="shared" si="528"/>
        <v>Link</v>
      </c>
      <c r="AD824" s="42">
        <v>14519</v>
      </c>
      <c r="AE824" s="55"/>
      <c r="AF824" s="55"/>
      <c r="AG824" s="56">
        <v>183743</v>
      </c>
      <c r="AH824" s="56"/>
      <c r="AI824" s="56"/>
      <c r="AJ824" s="56"/>
      <c r="AK824" s="56"/>
    </row>
    <row r="825" spans="1:37" ht="15" x14ac:dyDescent="0.2">
      <c r="A825" s="64" t="s">
        <v>6998</v>
      </c>
      <c r="B825" s="7" t="s">
        <v>12632</v>
      </c>
      <c r="C825" s="7" t="s">
        <v>20176</v>
      </c>
      <c r="D825" s="112">
        <v>5</v>
      </c>
      <c r="E825" s="7"/>
      <c r="F825" s="7"/>
      <c r="G825" s="2" t="s">
        <v>20168</v>
      </c>
      <c r="H825" s="2" t="s">
        <v>7739</v>
      </c>
      <c r="I825" s="2" t="s">
        <v>4184</v>
      </c>
      <c r="J825" s="2" t="s">
        <v>55</v>
      </c>
      <c r="K825" s="2"/>
      <c r="L825" s="2"/>
      <c r="M825" s="48"/>
      <c r="N825" s="150" t="str">
        <f t="shared" si="527"/>
        <v>Questionnaire</v>
      </c>
      <c r="O825" s="48" t="s">
        <v>20172</v>
      </c>
      <c r="P825" s="60" t="s">
        <v>3272</v>
      </c>
      <c r="Q825" s="48" t="s">
        <v>20173</v>
      </c>
      <c r="R825" s="48" t="s">
        <v>468</v>
      </c>
      <c r="S825" s="49" t="s">
        <v>74</v>
      </c>
      <c r="T825" s="48" t="s">
        <v>75</v>
      </c>
      <c r="U825" s="49" t="s">
        <v>3678</v>
      </c>
      <c r="V825" s="7" t="s">
        <v>214</v>
      </c>
      <c r="W825" s="49" t="s">
        <v>214</v>
      </c>
      <c r="X825" s="49" t="s">
        <v>214</v>
      </c>
      <c r="Y825" s="49" t="s">
        <v>214</v>
      </c>
      <c r="Z825" s="55" t="s">
        <v>214</v>
      </c>
      <c r="AA825" s="48" t="s">
        <v>20174</v>
      </c>
      <c r="AB825" s="90" t="s">
        <v>20172</v>
      </c>
      <c r="AC825" s="67" t="str">
        <f t="shared" si="528"/>
        <v>Link</v>
      </c>
      <c r="AD825" s="42">
        <v>14519</v>
      </c>
      <c r="AE825" s="55"/>
      <c r="AF825" s="55"/>
      <c r="AG825" s="56">
        <v>183743</v>
      </c>
      <c r="AH825" s="56"/>
      <c r="AI825" s="56"/>
      <c r="AJ825" s="56"/>
      <c r="AK825" s="56"/>
    </row>
    <row r="826" spans="1:37" ht="15" x14ac:dyDescent="0.2">
      <c r="A826" s="64" t="s">
        <v>6998</v>
      </c>
      <c r="B826" s="7" t="s">
        <v>12632</v>
      </c>
      <c r="C826" s="7" t="s">
        <v>20177</v>
      </c>
      <c r="D826" s="112">
        <v>5</v>
      </c>
      <c r="E826" s="7"/>
      <c r="F826" s="7"/>
      <c r="G826" s="2" t="s">
        <v>20178</v>
      </c>
      <c r="H826" s="2" t="s">
        <v>18097</v>
      </c>
      <c r="I826" s="2" t="s">
        <v>20179</v>
      </c>
      <c r="J826" s="2" t="s">
        <v>48</v>
      </c>
      <c r="K826" s="2" t="s">
        <v>20180</v>
      </c>
      <c r="L826" s="2" t="s">
        <v>20181</v>
      </c>
      <c r="M826" s="48"/>
      <c r="N826" s="48" t="s">
        <v>22</v>
      </c>
      <c r="O826" s="48" t="s">
        <v>20182</v>
      </c>
      <c r="P826" s="60" t="s">
        <v>3272</v>
      </c>
      <c r="Q826" s="48" t="s">
        <v>20183</v>
      </c>
      <c r="R826" s="60" t="s">
        <v>205</v>
      </c>
      <c r="S826" s="49" t="s">
        <v>74</v>
      </c>
      <c r="T826" s="48" t="s">
        <v>75</v>
      </c>
      <c r="U826" s="49" t="s">
        <v>3678</v>
      </c>
      <c r="V826" s="7" t="s">
        <v>214</v>
      </c>
      <c r="W826" s="49" t="s">
        <v>214</v>
      </c>
      <c r="X826" s="49" t="s">
        <v>214</v>
      </c>
      <c r="Y826" s="49" t="s">
        <v>214</v>
      </c>
      <c r="Z826" s="55" t="s">
        <v>214</v>
      </c>
      <c r="AA826" s="48" t="s">
        <v>20184</v>
      </c>
      <c r="AB826" s="84" t="s">
        <v>20182</v>
      </c>
      <c r="AC826" s="67" t="str">
        <f t="shared" ref="AC826:AC829" si="529">HYPERLINK("http://catalog.brookdalecc.edu/content.php?catoid=6&amp;navoid=382","Link")</f>
        <v>Link</v>
      </c>
      <c r="AD826" s="42">
        <v>13165</v>
      </c>
      <c r="AE826" s="55"/>
      <c r="AF826" s="55"/>
      <c r="AG826" s="56">
        <v>183859</v>
      </c>
      <c r="AH826" s="56"/>
      <c r="AI826" s="56"/>
      <c r="AJ826" s="56"/>
      <c r="AK826" s="56"/>
    </row>
    <row r="827" spans="1:37" ht="15" x14ac:dyDescent="0.2">
      <c r="A827" s="64" t="s">
        <v>6998</v>
      </c>
      <c r="B827" s="7" t="s">
        <v>12632</v>
      </c>
      <c r="C827" s="7" t="s">
        <v>20185</v>
      </c>
      <c r="D827" s="112">
        <v>5</v>
      </c>
      <c r="E827" s="7"/>
      <c r="F827" s="7"/>
      <c r="G827" s="2" t="s">
        <v>20178</v>
      </c>
      <c r="H827" s="2" t="s">
        <v>18097</v>
      </c>
      <c r="I827" s="2" t="s">
        <v>20179</v>
      </c>
      <c r="J827" s="2" t="s">
        <v>1048</v>
      </c>
      <c r="K827" s="2" t="s">
        <v>20186</v>
      </c>
      <c r="L827" s="2" t="s">
        <v>20181</v>
      </c>
      <c r="M827" s="48"/>
      <c r="N827" s="48" t="s">
        <v>22</v>
      </c>
      <c r="O827" s="48" t="s">
        <v>20182</v>
      </c>
      <c r="P827" s="60" t="s">
        <v>3272</v>
      </c>
      <c r="Q827" s="48" t="s">
        <v>20183</v>
      </c>
      <c r="R827" s="60" t="s">
        <v>205</v>
      </c>
      <c r="S827" s="49" t="s">
        <v>74</v>
      </c>
      <c r="T827" s="48" t="s">
        <v>75</v>
      </c>
      <c r="U827" s="49" t="s">
        <v>3678</v>
      </c>
      <c r="V827" s="7" t="s">
        <v>214</v>
      </c>
      <c r="W827" s="49" t="s">
        <v>214</v>
      </c>
      <c r="X827" s="49" t="s">
        <v>214</v>
      </c>
      <c r="Y827" s="49" t="s">
        <v>214</v>
      </c>
      <c r="Z827" s="55" t="s">
        <v>214</v>
      </c>
      <c r="AA827" s="48" t="s">
        <v>20184</v>
      </c>
      <c r="AB827" s="84" t="s">
        <v>20182</v>
      </c>
      <c r="AC827" s="67" t="str">
        <f t="shared" si="529"/>
        <v>Link</v>
      </c>
      <c r="AD827" s="42">
        <v>13165</v>
      </c>
      <c r="AE827" s="55"/>
      <c r="AF827" s="55"/>
      <c r="AG827" s="56">
        <v>183859</v>
      </c>
      <c r="AH827" s="56"/>
      <c r="AI827" s="56"/>
      <c r="AJ827" s="56"/>
      <c r="AK827" s="56"/>
    </row>
    <row r="828" spans="1:37" ht="15" x14ac:dyDescent="0.2">
      <c r="A828" s="64" t="s">
        <v>6998</v>
      </c>
      <c r="B828" s="7" t="s">
        <v>12632</v>
      </c>
      <c r="C828" s="7" t="s">
        <v>20187</v>
      </c>
      <c r="D828" s="112">
        <v>5</v>
      </c>
      <c r="E828" s="7"/>
      <c r="F828" s="7"/>
      <c r="G828" s="2" t="s">
        <v>20178</v>
      </c>
      <c r="H828" s="2" t="s">
        <v>991</v>
      </c>
      <c r="I828" s="2" t="s">
        <v>6824</v>
      </c>
      <c r="J828" s="2" t="s">
        <v>55</v>
      </c>
      <c r="K828" s="2" t="s">
        <v>20188</v>
      </c>
      <c r="L828" s="2"/>
      <c r="M828" s="48"/>
      <c r="N828" s="48" t="s">
        <v>22</v>
      </c>
      <c r="O828" s="48" t="s">
        <v>20182</v>
      </c>
      <c r="P828" s="60" t="s">
        <v>3272</v>
      </c>
      <c r="Q828" s="48" t="s">
        <v>20183</v>
      </c>
      <c r="R828" s="60" t="s">
        <v>205</v>
      </c>
      <c r="S828" s="49" t="s">
        <v>74</v>
      </c>
      <c r="T828" s="48" t="s">
        <v>75</v>
      </c>
      <c r="U828" s="49" t="s">
        <v>3678</v>
      </c>
      <c r="V828" s="7" t="s">
        <v>214</v>
      </c>
      <c r="W828" s="49" t="s">
        <v>214</v>
      </c>
      <c r="X828" s="49" t="s">
        <v>214</v>
      </c>
      <c r="Y828" s="49" t="s">
        <v>214</v>
      </c>
      <c r="Z828" s="55" t="s">
        <v>214</v>
      </c>
      <c r="AA828" s="48" t="s">
        <v>20184</v>
      </c>
      <c r="AB828" s="84" t="s">
        <v>20182</v>
      </c>
      <c r="AC828" s="67" t="str">
        <f t="shared" si="529"/>
        <v>Link</v>
      </c>
      <c r="AD828" s="42">
        <v>13165</v>
      </c>
      <c r="AE828" s="55"/>
      <c r="AF828" s="55"/>
      <c r="AG828" s="56">
        <v>183859</v>
      </c>
      <c r="AH828" s="56"/>
      <c r="AI828" s="56"/>
      <c r="AJ828" s="56"/>
      <c r="AK828" s="56"/>
    </row>
    <row r="829" spans="1:37" ht="15" x14ac:dyDescent="0.2">
      <c r="A829" s="64" t="s">
        <v>6998</v>
      </c>
      <c r="B829" s="7" t="s">
        <v>12632</v>
      </c>
      <c r="C829" s="7" t="s">
        <v>20189</v>
      </c>
      <c r="D829" s="112">
        <v>5</v>
      </c>
      <c r="E829" s="7"/>
      <c r="F829" s="7"/>
      <c r="G829" s="2" t="s">
        <v>20178</v>
      </c>
      <c r="H829" s="2" t="s">
        <v>3315</v>
      </c>
      <c r="I829" s="2" t="s">
        <v>2686</v>
      </c>
      <c r="J829" s="2" t="s">
        <v>55</v>
      </c>
      <c r="K829" s="2"/>
      <c r="L829" s="2"/>
      <c r="M829" s="48"/>
      <c r="N829" s="48" t="s">
        <v>22</v>
      </c>
      <c r="O829" s="48" t="s">
        <v>20182</v>
      </c>
      <c r="P829" s="60" t="s">
        <v>3272</v>
      </c>
      <c r="Q829" s="48" t="s">
        <v>20183</v>
      </c>
      <c r="R829" s="60" t="s">
        <v>205</v>
      </c>
      <c r="S829" s="49" t="s">
        <v>74</v>
      </c>
      <c r="T829" s="48" t="s">
        <v>75</v>
      </c>
      <c r="U829" s="49" t="s">
        <v>3678</v>
      </c>
      <c r="V829" s="7" t="s">
        <v>214</v>
      </c>
      <c r="W829" s="49" t="s">
        <v>214</v>
      </c>
      <c r="X829" s="49" t="s">
        <v>214</v>
      </c>
      <c r="Y829" s="49" t="s">
        <v>214</v>
      </c>
      <c r="Z829" s="55" t="s">
        <v>214</v>
      </c>
      <c r="AA829" s="48" t="s">
        <v>20184</v>
      </c>
      <c r="AB829" s="84" t="s">
        <v>20182</v>
      </c>
      <c r="AC829" s="67" t="str">
        <f t="shared" si="529"/>
        <v>Link</v>
      </c>
      <c r="AD829" s="42">
        <v>13165</v>
      </c>
      <c r="AE829" s="55"/>
      <c r="AF829" s="55"/>
      <c r="AG829" s="56">
        <v>183859</v>
      </c>
      <c r="AH829" s="56"/>
      <c r="AI829" s="56"/>
      <c r="AJ829" s="56"/>
      <c r="AK829" s="56"/>
    </row>
    <row r="830" spans="1:37" ht="15" x14ac:dyDescent="0.2">
      <c r="A830" s="64" t="s">
        <v>6998</v>
      </c>
      <c r="B830" s="7" t="s">
        <v>12632</v>
      </c>
      <c r="C830" s="7" t="s">
        <v>20190</v>
      </c>
      <c r="D830" s="112">
        <v>5</v>
      </c>
      <c r="E830" s="7"/>
      <c r="F830" s="7"/>
      <c r="G830" s="2" t="s">
        <v>20191</v>
      </c>
      <c r="H830" s="2" t="s">
        <v>15830</v>
      </c>
      <c r="I830" s="2" t="s">
        <v>20192</v>
      </c>
      <c r="J830" s="2" t="s">
        <v>48</v>
      </c>
      <c r="K830" s="2" t="s">
        <v>20193</v>
      </c>
      <c r="L830" s="2" t="s">
        <v>20194</v>
      </c>
      <c r="M830" s="48"/>
      <c r="N830" s="150" t="str">
        <f t="shared" ref="N830:N832" si="530">HYPERLINK("https://www.camdencc.edu/student_life/athletics/prospective-athlete-form/","Questionnaire")</f>
        <v>Questionnaire</v>
      </c>
      <c r="O830" s="48" t="s">
        <v>20195</v>
      </c>
      <c r="P830" s="60" t="s">
        <v>3272</v>
      </c>
      <c r="Q830" s="48" t="s">
        <v>20196</v>
      </c>
      <c r="R830" s="60" t="s">
        <v>205</v>
      </c>
      <c r="S830" s="49" t="s">
        <v>74</v>
      </c>
      <c r="T830" s="48" t="s">
        <v>75</v>
      </c>
      <c r="U830" s="49" t="s">
        <v>3678</v>
      </c>
      <c r="V830" s="7" t="s">
        <v>214</v>
      </c>
      <c r="W830" s="49" t="s">
        <v>214</v>
      </c>
      <c r="X830" s="49" t="s">
        <v>214</v>
      </c>
      <c r="Y830" s="49" t="s">
        <v>214</v>
      </c>
      <c r="Z830" s="55" t="s">
        <v>214</v>
      </c>
      <c r="AA830" s="48" t="s">
        <v>20197</v>
      </c>
      <c r="AB830" s="52" t="s">
        <v>20195</v>
      </c>
      <c r="AC830" s="67" t="str">
        <f t="shared" ref="AC830:AC832" si="531">HYPERLINK("https://camdencc.edu/academics-1/catalog/","Link")</f>
        <v>Link</v>
      </c>
      <c r="AD830" s="42">
        <v>10997</v>
      </c>
      <c r="AE830" s="55"/>
      <c r="AF830" s="55"/>
      <c r="AG830" s="56">
        <v>183938</v>
      </c>
      <c r="AH830" s="56"/>
      <c r="AI830" s="56"/>
      <c r="AJ830" s="56"/>
      <c r="AK830" s="56"/>
    </row>
    <row r="831" spans="1:37" ht="15" x14ac:dyDescent="0.2">
      <c r="A831" s="64" t="s">
        <v>6998</v>
      </c>
      <c r="B831" s="7" t="s">
        <v>12632</v>
      </c>
      <c r="C831" s="7" t="s">
        <v>20198</v>
      </c>
      <c r="D831" s="112">
        <v>5</v>
      </c>
      <c r="E831" s="7"/>
      <c r="F831" s="7"/>
      <c r="G831" s="2" t="s">
        <v>20191</v>
      </c>
      <c r="H831" s="2" t="s">
        <v>15830</v>
      </c>
      <c r="I831" s="2" t="s">
        <v>20192</v>
      </c>
      <c r="J831" s="2" t="s">
        <v>1048</v>
      </c>
      <c r="K831" s="2" t="s">
        <v>20199</v>
      </c>
      <c r="L831" s="2" t="s">
        <v>20194</v>
      </c>
      <c r="M831" s="48"/>
      <c r="N831" s="150" t="str">
        <f t="shared" si="530"/>
        <v>Questionnaire</v>
      </c>
      <c r="O831" s="48" t="s">
        <v>20195</v>
      </c>
      <c r="P831" s="60" t="s">
        <v>3272</v>
      </c>
      <c r="Q831" s="48" t="s">
        <v>20196</v>
      </c>
      <c r="R831" s="60" t="s">
        <v>205</v>
      </c>
      <c r="S831" s="49" t="s">
        <v>74</v>
      </c>
      <c r="T831" s="48" t="s">
        <v>75</v>
      </c>
      <c r="U831" s="49" t="s">
        <v>3678</v>
      </c>
      <c r="V831" s="7" t="s">
        <v>214</v>
      </c>
      <c r="W831" s="49" t="s">
        <v>214</v>
      </c>
      <c r="X831" s="49" t="s">
        <v>214</v>
      </c>
      <c r="Y831" s="49" t="s">
        <v>214</v>
      </c>
      <c r="Z831" s="55" t="s">
        <v>214</v>
      </c>
      <c r="AA831" s="48" t="s">
        <v>20197</v>
      </c>
      <c r="AB831" s="52" t="s">
        <v>20195</v>
      </c>
      <c r="AC831" s="67" t="str">
        <f t="shared" si="531"/>
        <v>Link</v>
      </c>
      <c r="AD831" s="42">
        <v>10997</v>
      </c>
      <c r="AE831" s="55"/>
      <c r="AF831" s="55"/>
      <c r="AG831" s="56">
        <v>183938</v>
      </c>
      <c r="AH831" s="56"/>
      <c r="AI831" s="56"/>
      <c r="AJ831" s="56"/>
      <c r="AK831" s="56"/>
    </row>
    <row r="832" spans="1:37" ht="15" x14ac:dyDescent="0.2">
      <c r="A832" s="64" t="s">
        <v>6998</v>
      </c>
      <c r="B832" s="7" t="s">
        <v>12632</v>
      </c>
      <c r="C832" s="7" t="s">
        <v>20200</v>
      </c>
      <c r="D832" s="112">
        <v>5</v>
      </c>
      <c r="E832" s="7"/>
      <c r="F832" s="7"/>
      <c r="G832" s="2" t="s">
        <v>20191</v>
      </c>
      <c r="H832" s="2" t="s">
        <v>683</v>
      </c>
      <c r="I832" s="2" t="s">
        <v>20201</v>
      </c>
      <c r="J832" s="2" t="s">
        <v>55</v>
      </c>
      <c r="K832" s="2" t="s">
        <v>20202</v>
      </c>
      <c r="L832" s="2"/>
      <c r="M832" s="48"/>
      <c r="N832" s="150" t="str">
        <f t="shared" si="530"/>
        <v>Questionnaire</v>
      </c>
      <c r="O832" s="48" t="s">
        <v>20195</v>
      </c>
      <c r="P832" s="60" t="s">
        <v>3272</v>
      </c>
      <c r="Q832" s="48" t="s">
        <v>20196</v>
      </c>
      <c r="R832" s="60" t="s">
        <v>205</v>
      </c>
      <c r="S832" s="49" t="s">
        <v>74</v>
      </c>
      <c r="T832" s="48" t="s">
        <v>75</v>
      </c>
      <c r="U832" s="49" t="s">
        <v>3678</v>
      </c>
      <c r="V832" s="7" t="s">
        <v>214</v>
      </c>
      <c r="W832" s="49" t="s">
        <v>214</v>
      </c>
      <c r="X832" s="49" t="s">
        <v>214</v>
      </c>
      <c r="Y832" s="49" t="s">
        <v>214</v>
      </c>
      <c r="Z832" s="55" t="s">
        <v>214</v>
      </c>
      <c r="AA832" s="48" t="s">
        <v>20197</v>
      </c>
      <c r="AB832" s="52" t="s">
        <v>20195</v>
      </c>
      <c r="AC832" s="67" t="str">
        <f t="shared" si="531"/>
        <v>Link</v>
      </c>
      <c r="AD832" s="42">
        <v>10997</v>
      </c>
      <c r="AE832" s="55"/>
      <c r="AF832" s="55"/>
      <c r="AG832" s="56">
        <v>183938</v>
      </c>
      <c r="AH832" s="56"/>
      <c r="AI832" s="56"/>
      <c r="AJ832" s="56"/>
      <c r="AK832" s="56"/>
    </row>
    <row r="833" spans="1:37" ht="15" x14ac:dyDescent="0.2">
      <c r="A833" s="31" t="s">
        <v>6998</v>
      </c>
      <c r="B833" s="7" t="s">
        <v>12632</v>
      </c>
      <c r="C833" s="7"/>
      <c r="D833" s="112">
        <v>5</v>
      </c>
      <c r="E833" s="7"/>
      <c r="F833" s="112"/>
      <c r="G833" s="2" t="s">
        <v>20203</v>
      </c>
      <c r="H833" s="2" t="s">
        <v>439</v>
      </c>
      <c r="I833" s="2" t="s">
        <v>20204</v>
      </c>
      <c r="J833" s="2" t="s">
        <v>48</v>
      </c>
      <c r="K833" s="2" t="s">
        <v>20205</v>
      </c>
      <c r="L833" s="2" t="s">
        <v>20206</v>
      </c>
      <c r="M833" s="48"/>
      <c r="N833" s="45" t="str">
        <f>HYPERLINK("http://www3.ccm.edu/athform/address3.asp","Questionnaire")</f>
        <v>Questionnaire</v>
      </c>
      <c r="O833" s="48" t="s">
        <v>20207</v>
      </c>
      <c r="P833" s="60" t="s">
        <v>3272</v>
      </c>
      <c r="Q833" s="48" t="s">
        <v>20208</v>
      </c>
      <c r="R833" s="48" t="s">
        <v>172</v>
      </c>
      <c r="S833" s="49" t="s">
        <v>74</v>
      </c>
      <c r="T833" s="48" t="s">
        <v>75</v>
      </c>
      <c r="U833" s="49" t="s">
        <v>3678</v>
      </c>
      <c r="V833" s="7" t="s">
        <v>214</v>
      </c>
      <c r="W833" s="49" t="s">
        <v>214</v>
      </c>
      <c r="X833" s="49" t="s">
        <v>214</v>
      </c>
      <c r="Y833" s="49" t="s">
        <v>214</v>
      </c>
      <c r="Z833" s="55" t="s">
        <v>214</v>
      </c>
      <c r="AA833" s="48" t="s">
        <v>20209</v>
      </c>
      <c r="AB833" s="52" t="s">
        <v>20207</v>
      </c>
      <c r="AC833" s="53" t="str">
        <f>HYPERLINK("http://www.ccm.edu/academics/divdep/liberal-arts/department-of-languages-and-esl/degrees-and-certificates/","Link")</f>
        <v>Link</v>
      </c>
      <c r="AD833" s="42">
        <v>8067</v>
      </c>
      <c r="AE833" s="55"/>
      <c r="AF833" s="55"/>
      <c r="AG833" s="56">
        <v>184180</v>
      </c>
      <c r="AH833" s="7" t="s">
        <v>2459</v>
      </c>
      <c r="AI833" s="7"/>
      <c r="AJ833" s="7"/>
      <c r="AK833" s="7"/>
    </row>
    <row r="834" spans="1:37" ht="15" x14ac:dyDescent="0.2">
      <c r="A834" s="64" t="s">
        <v>6998</v>
      </c>
      <c r="B834" s="7" t="s">
        <v>12632</v>
      </c>
      <c r="C834" s="7" t="s">
        <v>20210</v>
      </c>
      <c r="D834" s="112">
        <v>5</v>
      </c>
      <c r="E834" s="7"/>
      <c r="F834" s="7"/>
      <c r="G834" s="2" t="s">
        <v>20211</v>
      </c>
      <c r="H834" s="2" t="s">
        <v>20212</v>
      </c>
      <c r="I834" s="2" t="s">
        <v>20213</v>
      </c>
      <c r="J834" s="2" t="s">
        <v>48</v>
      </c>
      <c r="K834" s="2" t="s">
        <v>20214</v>
      </c>
      <c r="L834" s="2"/>
      <c r="M834" s="48"/>
      <c r="N834" s="150" t="str">
        <f t="shared" ref="N834:N835" si="532">HYPERLINK("https://www.dukesathletics.com/recruits/questionnaire","Questionnaire")</f>
        <v>Questionnaire</v>
      </c>
      <c r="O834" s="48" t="s">
        <v>20215</v>
      </c>
      <c r="P834" s="60" t="s">
        <v>3272</v>
      </c>
      <c r="Q834" s="48" t="s">
        <v>20216</v>
      </c>
      <c r="R834" s="48" t="s">
        <v>186</v>
      </c>
      <c r="S834" s="49" t="s">
        <v>74</v>
      </c>
      <c r="T834" s="48" t="s">
        <v>75</v>
      </c>
      <c r="U834" s="49" t="s">
        <v>3678</v>
      </c>
      <c r="V834" s="7" t="s">
        <v>214</v>
      </c>
      <c r="W834" s="49" t="s">
        <v>214</v>
      </c>
      <c r="X834" s="49" t="s">
        <v>214</v>
      </c>
      <c r="Y834" s="49" t="s">
        <v>214</v>
      </c>
      <c r="Z834" s="55" t="s">
        <v>214</v>
      </c>
      <c r="AA834" s="48" t="s">
        <v>20217</v>
      </c>
      <c r="AB834" s="84" t="s">
        <v>20215</v>
      </c>
      <c r="AC834" s="67" t="str">
        <f t="shared" ref="AC834:AC835" si="533">HYPERLINK("http://www.cccnj.edu/academics/areas-study","Link")</f>
        <v>Link</v>
      </c>
      <c r="AD834" s="42">
        <v>3148</v>
      </c>
      <c r="AE834" s="55"/>
      <c r="AF834" s="55"/>
      <c r="AG834" s="56">
        <v>184205</v>
      </c>
      <c r="AH834" s="56"/>
      <c r="AI834" s="56"/>
      <c r="AJ834" s="56"/>
      <c r="AK834" s="56"/>
    </row>
    <row r="835" spans="1:37" ht="15" x14ac:dyDescent="0.2">
      <c r="A835" s="64" t="s">
        <v>6998</v>
      </c>
      <c r="B835" s="7" t="s">
        <v>12632</v>
      </c>
      <c r="C835" s="7" t="s">
        <v>20218</v>
      </c>
      <c r="D835" s="112">
        <v>5</v>
      </c>
      <c r="E835" s="7"/>
      <c r="F835" s="7"/>
      <c r="G835" s="2" t="s">
        <v>20211</v>
      </c>
      <c r="H835" s="2" t="s">
        <v>20219</v>
      </c>
      <c r="I835" s="2" t="s">
        <v>8612</v>
      </c>
      <c r="J835" s="2" t="s">
        <v>55</v>
      </c>
      <c r="K835" s="2"/>
      <c r="L835" s="2"/>
      <c r="M835" s="48"/>
      <c r="N835" s="150" t="str">
        <f t="shared" si="532"/>
        <v>Questionnaire</v>
      </c>
      <c r="O835" s="48" t="s">
        <v>20215</v>
      </c>
      <c r="P835" s="60" t="s">
        <v>3272</v>
      </c>
      <c r="Q835" s="48" t="s">
        <v>20216</v>
      </c>
      <c r="R835" s="48" t="s">
        <v>186</v>
      </c>
      <c r="S835" s="49" t="s">
        <v>74</v>
      </c>
      <c r="T835" s="48" t="s">
        <v>75</v>
      </c>
      <c r="U835" s="49" t="s">
        <v>3678</v>
      </c>
      <c r="V835" s="7" t="s">
        <v>214</v>
      </c>
      <c r="W835" s="49" t="s">
        <v>214</v>
      </c>
      <c r="X835" s="49" t="s">
        <v>214</v>
      </c>
      <c r="Y835" s="49" t="s">
        <v>214</v>
      </c>
      <c r="Z835" s="55" t="s">
        <v>214</v>
      </c>
      <c r="AA835" s="48" t="s">
        <v>20217</v>
      </c>
      <c r="AB835" s="84" t="s">
        <v>20215</v>
      </c>
      <c r="AC835" s="67" t="str">
        <f t="shared" si="533"/>
        <v>Link</v>
      </c>
      <c r="AD835" s="42">
        <v>3148</v>
      </c>
      <c r="AE835" s="55"/>
      <c r="AF835" s="55"/>
      <c r="AG835" s="56">
        <v>184205</v>
      </c>
      <c r="AH835" s="56"/>
      <c r="AI835" s="56"/>
      <c r="AJ835" s="56"/>
      <c r="AK835" s="56"/>
    </row>
    <row r="836" spans="1:37" ht="15" x14ac:dyDescent="0.2">
      <c r="A836" s="64" t="s">
        <v>6998</v>
      </c>
      <c r="B836" s="7" t="s">
        <v>12632</v>
      </c>
      <c r="C836" s="7" t="s">
        <v>20220</v>
      </c>
      <c r="D836" s="112">
        <v>5</v>
      </c>
      <c r="E836" s="7"/>
      <c r="F836" s="7"/>
      <c r="G836" s="2" t="s">
        <v>20221</v>
      </c>
      <c r="H836" s="2" t="s">
        <v>2316</v>
      </c>
      <c r="I836" s="2" t="s">
        <v>20222</v>
      </c>
      <c r="J836" s="2" t="s">
        <v>48</v>
      </c>
      <c r="K836" s="2" t="s">
        <v>20223</v>
      </c>
      <c r="L836" s="2" t="s">
        <v>20224</v>
      </c>
      <c r="M836" s="48"/>
      <c r="N836" s="48" t="s">
        <v>22</v>
      </c>
      <c r="O836" s="48" t="s">
        <v>20225</v>
      </c>
      <c r="P836" s="60" t="s">
        <v>3272</v>
      </c>
      <c r="Q836" s="48" t="s">
        <v>20226</v>
      </c>
      <c r="R836" s="48" t="s">
        <v>172</v>
      </c>
      <c r="S836" s="5" t="s">
        <v>74</v>
      </c>
      <c r="T836" s="48" t="s">
        <v>75</v>
      </c>
      <c r="U836" s="49" t="s">
        <v>3678</v>
      </c>
      <c r="V836" s="7" t="s">
        <v>214</v>
      </c>
      <c r="W836" s="49" t="s">
        <v>214</v>
      </c>
      <c r="X836" s="49" t="s">
        <v>214</v>
      </c>
      <c r="Y836" s="49" t="s">
        <v>214</v>
      </c>
      <c r="Z836" s="55" t="s">
        <v>214</v>
      </c>
      <c r="AA836" s="48" t="s">
        <v>20227</v>
      </c>
      <c r="AB836" s="84" t="s">
        <v>20225</v>
      </c>
      <c r="AC836" s="67" t="str">
        <f>HYPERLINK("http://www.mccc.edu/programs_degree.shtml","Link")</f>
        <v>Link</v>
      </c>
      <c r="AD836" s="42">
        <v>7560</v>
      </c>
      <c r="AE836" s="55"/>
      <c r="AF836" s="55"/>
      <c r="AG836" s="56">
        <v>185509</v>
      </c>
      <c r="AH836" s="56"/>
      <c r="AI836" s="56"/>
      <c r="AJ836" s="56"/>
      <c r="AK836" s="56"/>
    </row>
    <row r="837" spans="1:37" ht="15" x14ac:dyDescent="0.2">
      <c r="A837" s="64" t="s">
        <v>6998</v>
      </c>
      <c r="B837" s="7" t="s">
        <v>12632</v>
      </c>
      <c r="C837" s="7" t="s">
        <v>20228</v>
      </c>
      <c r="D837" s="112">
        <v>5</v>
      </c>
      <c r="E837" s="7"/>
      <c r="F837" s="7"/>
      <c r="G837" s="2" t="s">
        <v>20229</v>
      </c>
      <c r="H837" s="2" t="s">
        <v>991</v>
      </c>
      <c r="I837" s="2" t="s">
        <v>20230</v>
      </c>
      <c r="J837" s="2" t="s">
        <v>48</v>
      </c>
      <c r="K837" s="2" t="s">
        <v>20231</v>
      </c>
      <c r="L837" s="2"/>
      <c r="M837" s="48"/>
      <c r="N837" s="150" t="str">
        <f t="shared" ref="N837:N838" si="534">HYPERLINK("https://www.middlesexcc.edu/athletics/prospect-form/","Questionnaire")</f>
        <v>Questionnaire</v>
      </c>
      <c r="O837" s="48" t="s">
        <v>20232</v>
      </c>
      <c r="P837" s="60" t="s">
        <v>595</v>
      </c>
      <c r="Q837" s="48" t="s">
        <v>20233</v>
      </c>
      <c r="R837" s="48" t="s">
        <v>172</v>
      </c>
      <c r="S837" s="49" t="s">
        <v>74</v>
      </c>
      <c r="T837" s="48" t="s">
        <v>75</v>
      </c>
      <c r="U837" s="49" t="s">
        <v>3678</v>
      </c>
      <c r="V837" s="7" t="s">
        <v>214</v>
      </c>
      <c r="W837" s="49" t="s">
        <v>214</v>
      </c>
      <c r="X837" s="49" t="s">
        <v>214</v>
      </c>
      <c r="Y837" s="49" t="s">
        <v>214</v>
      </c>
      <c r="Z837" s="55" t="s">
        <v>214</v>
      </c>
      <c r="AA837" s="48" t="s">
        <v>20234</v>
      </c>
      <c r="AB837" s="84" t="s">
        <v>20232</v>
      </c>
      <c r="AC837" s="67" t="str">
        <f t="shared" ref="AC837:AC838" si="535">HYPERLINK("http://catalog.middlesex.mass.edu/content.php?catoid=20&amp;navoid=1838","Link")</f>
        <v>Link</v>
      </c>
      <c r="AD837" s="42">
        <v>8617</v>
      </c>
      <c r="AE837" s="55"/>
      <c r="AF837" s="55"/>
      <c r="AG837" s="56">
        <v>166887</v>
      </c>
      <c r="AH837" s="56"/>
      <c r="AI837" s="56"/>
      <c r="AJ837" s="56"/>
      <c r="AK837" s="56"/>
    </row>
    <row r="838" spans="1:37" ht="15" x14ac:dyDescent="0.2">
      <c r="A838" s="64" t="s">
        <v>6998</v>
      </c>
      <c r="B838" s="7" t="s">
        <v>12632</v>
      </c>
      <c r="C838" s="7" t="s">
        <v>20235</v>
      </c>
      <c r="D838" s="112">
        <v>5</v>
      </c>
      <c r="E838" s="7"/>
      <c r="F838" s="7"/>
      <c r="G838" s="2" t="s">
        <v>20229</v>
      </c>
      <c r="H838" s="2" t="s">
        <v>728</v>
      </c>
      <c r="I838" s="2" t="s">
        <v>20236</v>
      </c>
      <c r="J838" s="2" t="s">
        <v>55</v>
      </c>
      <c r="K838" s="2"/>
      <c r="L838" s="2"/>
      <c r="M838" s="48"/>
      <c r="N838" s="150" t="str">
        <f t="shared" si="534"/>
        <v>Questionnaire</v>
      </c>
      <c r="O838" s="48" t="s">
        <v>20232</v>
      </c>
      <c r="P838" s="60" t="s">
        <v>595</v>
      </c>
      <c r="Q838" s="48" t="s">
        <v>20233</v>
      </c>
      <c r="R838" s="48" t="s">
        <v>172</v>
      </c>
      <c r="S838" s="49" t="s">
        <v>74</v>
      </c>
      <c r="T838" s="48" t="s">
        <v>75</v>
      </c>
      <c r="U838" s="49" t="s">
        <v>3678</v>
      </c>
      <c r="V838" s="7" t="s">
        <v>214</v>
      </c>
      <c r="W838" s="49" t="s">
        <v>214</v>
      </c>
      <c r="X838" s="49" t="s">
        <v>214</v>
      </c>
      <c r="Y838" s="49" t="s">
        <v>214</v>
      </c>
      <c r="Z838" s="55" t="s">
        <v>214</v>
      </c>
      <c r="AA838" s="48" t="s">
        <v>20234</v>
      </c>
      <c r="AB838" s="84" t="s">
        <v>20232</v>
      </c>
      <c r="AC838" s="67" t="str">
        <f t="shared" si="535"/>
        <v>Link</v>
      </c>
      <c r="AD838" s="42">
        <v>8617</v>
      </c>
      <c r="AE838" s="55"/>
      <c r="AF838" s="55"/>
      <c r="AG838" s="56">
        <v>166887</v>
      </c>
      <c r="AH838" s="56"/>
      <c r="AI838" s="56"/>
      <c r="AJ838" s="56"/>
      <c r="AK838" s="56"/>
    </row>
    <row r="839" spans="1:37" ht="13" x14ac:dyDescent="0.15">
      <c r="A839" s="64" t="s">
        <v>6998</v>
      </c>
      <c r="B839" s="7" t="s">
        <v>12632</v>
      </c>
      <c r="C839" s="7" t="s">
        <v>20237</v>
      </c>
      <c r="D839" s="44">
        <v>5</v>
      </c>
      <c r="E839" s="7"/>
      <c r="F839" s="7"/>
      <c r="G839" s="2" t="s">
        <v>20238</v>
      </c>
      <c r="H839" s="7" t="s">
        <v>4123</v>
      </c>
      <c r="I839" s="7" t="s">
        <v>20239</v>
      </c>
      <c r="J839" s="7" t="s">
        <v>55</v>
      </c>
      <c r="K839" s="7" t="s">
        <v>20240</v>
      </c>
      <c r="L839" s="7" t="s">
        <v>20241</v>
      </c>
      <c r="M839" s="150" t="str">
        <f t="shared" ref="M839:M840" si="536">HYPERLINK("twitter.com/oceansoftball","@oceansoftball")</f>
        <v>@oceansoftball</v>
      </c>
      <c r="N839" s="150" t="str">
        <f t="shared" ref="N839:N840" si="537">HYPERLINK("https://www.occvikings.com/student_athletes/recruiting_form","Questionnaire")</f>
        <v>Questionnaire</v>
      </c>
      <c r="O839" s="48" t="s">
        <v>20242</v>
      </c>
      <c r="P839" s="60" t="s">
        <v>3272</v>
      </c>
      <c r="Q839" s="48" t="s">
        <v>20243</v>
      </c>
      <c r="R839" s="48" t="s">
        <v>238</v>
      </c>
      <c r="S839" s="49" t="s">
        <v>74</v>
      </c>
      <c r="T839" s="49" t="s">
        <v>75</v>
      </c>
      <c r="U839" s="48" t="s">
        <v>3678</v>
      </c>
      <c r="V839" s="48" t="s">
        <v>214</v>
      </c>
      <c r="W839" s="49" t="s">
        <v>214</v>
      </c>
      <c r="X839" s="49" t="s">
        <v>214</v>
      </c>
      <c r="Y839" s="49" t="s">
        <v>214</v>
      </c>
      <c r="Z839" s="49" t="s">
        <v>214</v>
      </c>
      <c r="AA839" s="48" t="s">
        <v>20244</v>
      </c>
      <c r="AB839" s="62" t="s">
        <v>20242</v>
      </c>
      <c r="AC839" s="67" t="str">
        <f t="shared" ref="AC839:AC840" si="538">HYPERLINK("https://www.ocean.edu/content/public/study-on-campus/academics/college-catalog/majors-a-z.html","Link")</f>
        <v>Link</v>
      </c>
      <c r="AD839" s="54">
        <v>8652</v>
      </c>
      <c r="AE839" s="55"/>
      <c r="AF839" s="55"/>
      <c r="AG839" s="56">
        <v>185873</v>
      </c>
      <c r="AH839" s="42"/>
      <c r="AI839" s="55"/>
      <c r="AJ839" s="55"/>
      <c r="AK839" s="85"/>
    </row>
    <row r="840" spans="1:37" ht="15" x14ac:dyDescent="0.2">
      <c r="A840" s="64" t="s">
        <v>6998</v>
      </c>
      <c r="B840" s="7" t="s">
        <v>12632</v>
      </c>
      <c r="C840" s="7" t="s">
        <v>20245</v>
      </c>
      <c r="D840" s="112">
        <v>5</v>
      </c>
      <c r="E840" s="7"/>
      <c r="F840" s="7"/>
      <c r="G840" s="2" t="s">
        <v>20238</v>
      </c>
      <c r="H840" s="2" t="s">
        <v>6745</v>
      </c>
      <c r="I840" s="2" t="s">
        <v>20246</v>
      </c>
      <c r="J840" s="2" t="s">
        <v>48</v>
      </c>
      <c r="K840" s="2" t="s">
        <v>20240</v>
      </c>
      <c r="L840" s="2" t="s">
        <v>20241</v>
      </c>
      <c r="M840" s="150" t="str">
        <f t="shared" si="536"/>
        <v>@oceansoftball</v>
      </c>
      <c r="N840" s="150" t="str">
        <f t="shared" si="537"/>
        <v>Questionnaire</v>
      </c>
      <c r="O840" s="48" t="s">
        <v>20242</v>
      </c>
      <c r="P840" s="60" t="s">
        <v>3272</v>
      </c>
      <c r="Q840" s="48" t="s">
        <v>20243</v>
      </c>
      <c r="R840" s="48" t="s">
        <v>238</v>
      </c>
      <c r="S840" s="49" t="s">
        <v>74</v>
      </c>
      <c r="T840" s="48" t="s">
        <v>75</v>
      </c>
      <c r="U840" s="49" t="s">
        <v>3678</v>
      </c>
      <c r="V840" s="7" t="s">
        <v>214</v>
      </c>
      <c r="W840" s="49" t="s">
        <v>214</v>
      </c>
      <c r="X840" s="49" t="s">
        <v>214</v>
      </c>
      <c r="Y840" s="49" t="s">
        <v>214</v>
      </c>
      <c r="Z840" s="49" t="s">
        <v>214</v>
      </c>
      <c r="AA840" s="48" t="s">
        <v>20244</v>
      </c>
      <c r="AB840" s="84" t="s">
        <v>20242</v>
      </c>
      <c r="AC840" s="67" t="str">
        <f t="shared" si="538"/>
        <v>Link</v>
      </c>
      <c r="AD840" s="42">
        <v>8652</v>
      </c>
      <c r="AE840" s="55"/>
      <c r="AF840" s="55"/>
      <c r="AG840" s="56">
        <v>185873</v>
      </c>
      <c r="AH840" s="56"/>
      <c r="AI840" s="56"/>
      <c r="AJ840" s="56"/>
      <c r="AK840" s="56"/>
    </row>
    <row r="841" spans="1:37" ht="15" x14ac:dyDescent="0.2">
      <c r="A841" s="64" t="s">
        <v>6998</v>
      </c>
      <c r="B841" s="7" t="s">
        <v>12632</v>
      </c>
      <c r="C841" s="7" t="s">
        <v>20247</v>
      </c>
      <c r="D841" s="112">
        <v>5</v>
      </c>
      <c r="E841" s="7"/>
      <c r="F841" s="7"/>
      <c r="G841" s="2" t="s">
        <v>20248</v>
      </c>
      <c r="H841" s="2" t="s">
        <v>13039</v>
      </c>
      <c r="I841" s="2" t="s">
        <v>20249</v>
      </c>
      <c r="J841" s="2" t="s">
        <v>48</v>
      </c>
      <c r="K841" s="2" t="s">
        <v>20250</v>
      </c>
      <c r="L841" s="2" t="s">
        <v>20251</v>
      </c>
      <c r="M841" s="48"/>
      <c r="N841" s="150" t="str">
        <f t="shared" ref="N841:N842" si="539">HYPERLINK("https://www.rvccathletics.com/Recruit_Questionnaire","Questionnaire")</f>
        <v>Questionnaire</v>
      </c>
      <c r="O841" s="48" t="s">
        <v>20252</v>
      </c>
      <c r="P841" s="60" t="s">
        <v>3272</v>
      </c>
      <c r="Q841" s="48" t="s">
        <v>20253</v>
      </c>
      <c r="R841" s="48" t="s">
        <v>172</v>
      </c>
      <c r="S841" s="5" t="s">
        <v>74</v>
      </c>
      <c r="T841" s="48" t="s">
        <v>75</v>
      </c>
      <c r="U841" s="49" t="s">
        <v>3678</v>
      </c>
      <c r="V841" s="7" t="s">
        <v>214</v>
      </c>
      <c r="W841" s="49" t="s">
        <v>214</v>
      </c>
      <c r="X841" s="49" t="s">
        <v>214</v>
      </c>
      <c r="Y841" s="49" t="s">
        <v>214</v>
      </c>
      <c r="Z841" s="55" t="s">
        <v>214</v>
      </c>
      <c r="AA841" s="48" t="s">
        <v>20254</v>
      </c>
      <c r="AB841" s="84" t="s">
        <v>20252</v>
      </c>
      <c r="AC841" s="67" t="str">
        <f t="shared" ref="AC841:AC842" si="540">HYPERLINK("https://www.raritanval.edu/academic-programs/degree-certificate-programs","Link")</f>
        <v>Link</v>
      </c>
      <c r="AD841" s="42">
        <v>8226</v>
      </c>
      <c r="AE841" s="55"/>
      <c r="AF841" s="55"/>
      <c r="AG841" s="56">
        <v>186645</v>
      </c>
      <c r="AH841" s="56"/>
      <c r="AI841" s="56"/>
      <c r="AJ841" s="56"/>
      <c r="AK841" s="56"/>
    </row>
    <row r="842" spans="1:37" ht="15" x14ac:dyDescent="0.2">
      <c r="A842" s="64" t="s">
        <v>6998</v>
      </c>
      <c r="B842" s="7" t="s">
        <v>12632</v>
      </c>
      <c r="C842" s="7" t="s">
        <v>20255</v>
      </c>
      <c r="D842" s="112">
        <v>5</v>
      </c>
      <c r="E842" s="7"/>
      <c r="F842" s="7"/>
      <c r="G842" s="2" t="s">
        <v>20248</v>
      </c>
      <c r="H842" s="2" t="s">
        <v>421</v>
      </c>
      <c r="I842" s="2"/>
      <c r="J842" s="2" t="s">
        <v>55</v>
      </c>
      <c r="K842" s="2"/>
      <c r="L842" s="2"/>
      <c r="M842" s="48"/>
      <c r="N842" s="150" t="str">
        <f t="shared" si="539"/>
        <v>Questionnaire</v>
      </c>
      <c r="O842" s="48" t="s">
        <v>20252</v>
      </c>
      <c r="P842" s="60" t="s">
        <v>3272</v>
      </c>
      <c r="Q842" s="48" t="s">
        <v>20253</v>
      </c>
      <c r="R842" s="48" t="s">
        <v>172</v>
      </c>
      <c r="S842" s="5" t="s">
        <v>74</v>
      </c>
      <c r="T842" s="48" t="s">
        <v>75</v>
      </c>
      <c r="U842" s="49" t="s">
        <v>3678</v>
      </c>
      <c r="V842" s="7" t="s">
        <v>214</v>
      </c>
      <c r="W842" s="49" t="s">
        <v>214</v>
      </c>
      <c r="X842" s="49" t="s">
        <v>214</v>
      </c>
      <c r="Y842" s="49" t="s">
        <v>214</v>
      </c>
      <c r="Z842" s="55" t="s">
        <v>214</v>
      </c>
      <c r="AA842" s="48" t="s">
        <v>20254</v>
      </c>
      <c r="AB842" s="84" t="s">
        <v>20252</v>
      </c>
      <c r="AC842" s="67" t="str">
        <f t="shared" si="540"/>
        <v>Link</v>
      </c>
      <c r="AD842" s="42">
        <v>8226</v>
      </c>
      <c r="AE842" s="55"/>
      <c r="AF842" s="55"/>
      <c r="AG842" s="56">
        <v>186645</v>
      </c>
      <c r="AH842" s="56"/>
      <c r="AI842" s="56"/>
      <c r="AJ842" s="56"/>
      <c r="AK842" s="56"/>
    </row>
    <row r="843" spans="1:37" ht="15" x14ac:dyDescent="0.2">
      <c r="A843" s="31" t="s">
        <v>6998</v>
      </c>
      <c r="B843" s="7" t="s">
        <v>12632</v>
      </c>
      <c r="C843" s="7"/>
      <c r="D843" s="112">
        <v>5</v>
      </c>
      <c r="E843" s="7"/>
      <c r="F843" s="112"/>
      <c r="G843" s="2" t="s">
        <v>20256</v>
      </c>
      <c r="H843" s="2" t="s">
        <v>658</v>
      </c>
      <c r="I843" s="2" t="s">
        <v>14563</v>
      </c>
      <c r="J843" s="2" t="s">
        <v>48</v>
      </c>
      <c r="K843" s="2" t="s">
        <v>20257</v>
      </c>
      <c r="L843" s="2" t="s">
        <v>20258</v>
      </c>
      <c r="M843" s="48"/>
      <c r="N843" s="48" t="s">
        <v>22</v>
      </c>
      <c r="O843" s="48" t="s">
        <v>20256</v>
      </c>
      <c r="P843" s="60" t="s">
        <v>3272</v>
      </c>
      <c r="Q843" s="48" t="s">
        <v>20259</v>
      </c>
      <c r="R843" s="60" t="s">
        <v>205</v>
      </c>
      <c r="S843" s="49" t="s">
        <v>74</v>
      </c>
      <c r="T843" s="48" t="s">
        <v>75</v>
      </c>
      <c r="U843" s="49" t="s">
        <v>3678</v>
      </c>
      <c r="V843" s="7" t="s">
        <v>214</v>
      </c>
      <c r="W843" s="49" t="s">
        <v>214</v>
      </c>
      <c r="X843" s="49" t="s">
        <v>214</v>
      </c>
      <c r="Y843" s="49" t="s">
        <v>214</v>
      </c>
      <c r="Z843" s="55" t="s">
        <v>214</v>
      </c>
      <c r="AA843" s="48" t="s">
        <v>20260</v>
      </c>
      <c r="AB843" s="84" t="s">
        <v>20256</v>
      </c>
      <c r="AC843" s="53" t="str">
        <f t="shared" ref="AC843:AC844" si="541">HYPERLINK("http://www.rcbc.edu/degrees","Link")</f>
        <v>Link</v>
      </c>
      <c r="AD843" s="42">
        <v>8586</v>
      </c>
      <c r="AE843" s="55"/>
      <c r="AF843" s="55"/>
      <c r="AG843" s="56">
        <v>183877</v>
      </c>
      <c r="AH843" s="7" t="s">
        <v>2459</v>
      </c>
      <c r="AI843" s="7"/>
      <c r="AJ843" s="7"/>
      <c r="AK843" s="7"/>
    </row>
    <row r="844" spans="1:37" ht="15" x14ac:dyDescent="0.2">
      <c r="A844" s="31" t="s">
        <v>6998</v>
      </c>
      <c r="B844" s="7" t="s">
        <v>12632</v>
      </c>
      <c r="C844" s="7"/>
      <c r="D844" s="112">
        <v>5</v>
      </c>
      <c r="E844" s="7"/>
      <c r="F844" s="112"/>
      <c r="G844" s="2" t="s">
        <v>20256</v>
      </c>
      <c r="H844" s="2" t="s">
        <v>4393</v>
      </c>
      <c r="I844" s="2" t="s">
        <v>20261</v>
      </c>
      <c r="J844" s="2" t="s">
        <v>55</v>
      </c>
      <c r="K844" s="2"/>
      <c r="L844" s="2"/>
      <c r="M844" s="48"/>
      <c r="N844" s="48" t="s">
        <v>22</v>
      </c>
      <c r="O844" s="48" t="s">
        <v>20256</v>
      </c>
      <c r="P844" s="60" t="s">
        <v>3272</v>
      </c>
      <c r="Q844" s="48" t="s">
        <v>20259</v>
      </c>
      <c r="R844" s="60" t="s">
        <v>205</v>
      </c>
      <c r="S844" s="49" t="s">
        <v>74</v>
      </c>
      <c r="T844" s="48" t="s">
        <v>75</v>
      </c>
      <c r="U844" s="49" t="s">
        <v>3678</v>
      </c>
      <c r="V844" s="7" t="s">
        <v>214</v>
      </c>
      <c r="W844" s="49" t="s">
        <v>214</v>
      </c>
      <c r="X844" s="49" t="s">
        <v>214</v>
      </c>
      <c r="Y844" s="49" t="s">
        <v>214</v>
      </c>
      <c r="Z844" s="55" t="s">
        <v>214</v>
      </c>
      <c r="AA844" s="48" t="s">
        <v>20260</v>
      </c>
      <c r="AB844" s="84" t="s">
        <v>20256</v>
      </c>
      <c r="AC844" s="53" t="str">
        <f t="shared" si="541"/>
        <v>Link</v>
      </c>
      <c r="AD844" s="42">
        <v>8586</v>
      </c>
      <c r="AE844" s="55"/>
      <c r="AF844" s="55"/>
      <c r="AG844" s="56">
        <v>183877</v>
      </c>
      <c r="AH844" s="7" t="s">
        <v>2459</v>
      </c>
      <c r="AI844" s="7"/>
      <c r="AJ844" s="7"/>
      <c r="AK844" s="7"/>
    </row>
    <row r="845" spans="1:37" ht="13" x14ac:dyDescent="0.15">
      <c r="A845" s="64" t="s">
        <v>6998</v>
      </c>
      <c r="B845" s="7" t="s">
        <v>12632</v>
      </c>
      <c r="C845" s="7" t="s">
        <v>20262</v>
      </c>
      <c r="D845" s="44">
        <v>5</v>
      </c>
      <c r="E845" s="7"/>
      <c r="F845" s="7"/>
      <c r="G845" s="7" t="s">
        <v>20263</v>
      </c>
      <c r="H845" s="7" t="s">
        <v>1345</v>
      </c>
      <c r="I845" s="7" t="s">
        <v>117</v>
      </c>
      <c r="J845" s="7" t="s">
        <v>55</v>
      </c>
      <c r="K845" s="7"/>
      <c r="L845" s="7"/>
      <c r="M845" s="7"/>
      <c r="N845" s="7"/>
      <c r="O845" s="48" t="s">
        <v>20263</v>
      </c>
      <c r="P845" s="60" t="s">
        <v>3272</v>
      </c>
      <c r="Q845" s="6" t="s">
        <v>9370</v>
      </c>
      <c r="R845" s="6" t="s">
        <v>468</v>
      </c>
      <c r="S845" s="4" t="s">
        <v>74</v>
      </c>
      <c r="T845" s="6" t="s">
        <v>75</v>
      </c>
      <c r="U845" s="49" t="s">
        <v>3678</v>
      </c>
      <c r="V845" s="48" t="s">
        <v>214</v>
      </c>
      <c r="W845" s="49" t="s">
        <v>214</v>
      </c>
      <c r="X845" s="49" t="s">
        <v>214</v>
      </c>
      <c r="Y845" s="4" t="s">
        <v>214</v>
      </c>
      <c r="Z845" s="8" t="s">
        <v>214</v>
      </c>
      <c r="AA845" s="6" t="s">
        <v>20264</v>
      </c>
      <c r="AB845" s="84" t="s">
        <v>20263</v>
      </c>
      <c r="AC845" s="67" t="str">
        <f t="shared" ref="AC845:AC847" si="542">HYPERLINK("https://www.rcgc.edu/DegreesCertificates/Pages/default.aspx","Link")</f>
        <v>Link</v>
      </c>
      <c r="AD845" s="42">
        <v>7118</v>
      </c>
      <c r="AE845" s="55"/>
      <c r="AF845" s="55"/>
      <c r="AG845" s="56">
        <v>184791</v>
      </c>
      <c r="AH845" s="42"/>
      <c r="AI845" s="55"/>
      <c r="AJ845" s="55"/>
      <c r="AK845" s="85"/>
    </row>
    <row r="846" spans="1:37" ht="15" x14ac:dyDescent="0.2">
      <c r="A846" s="64" t="s">
        <v>6998</v>
      </c>
      <c r="B846" s="7" t="s">
        <v>12632</v>
      </c>
      <c r="C846" s="7" t="s">
        <v>20265</v>
      </c>
      <c r="D846" s="112">
        <v>5</v>
      </c>
      <c r="E846" s="7"/>
      <c r="F846" s="7"/>
      <c r="G846" s="2" t="s">
        <v>20263</v>
      </c>
      <c r="H846" s="2" t="s">
        <v>363</v>
      </c>
      <c r="I846" s="2" t="s">
        <v>20266</v>
      </c>
      <c r="J846" s="2" t="s">
        <v>48</v>
      </c>
      <c r="K846" s="2" t="s">
        <v>20267</v>
      </c>
      <c r="L846" s="2" t="s">
        <v>20268</v>
      </c>
      <c r="M846" s="150" t="str">
        <f t="shared" ref="M846:M847" si="543">HYPERLINK("twitter.com/rcgcsoftball","@rcgcsoftball")</f>
        <v>@rcgcsoftball</v>
      </c>
      <c r="N846" s="48" t="s">
        <v>22</v>
      </c>
      <c r="O846" s="48" t="s">
        <v>20263</v>
      </c>
      <c r="P846" s="60" t="s">
        <v>3272</v>
      </c>
      <c r="Q846" s="48" t="s">
        <v>9370</v>
      </c>
      <c r="R846" s="48" t="s">
        <v>468</v>
      </c>
      <c r="S846" s="49" t="s">
        <v>74</v>
      </c>
      <c r="T846" s="48" t="s">
        <v>75</v>
      </c>
      <c r="U846" s="49" t="s">
        <v>3678</v>
      </c>
      <c r="V846" s="7" t="s">
        <v>214</v>
      </c>
      <c r="W846" s="49" t="s">
        <v>214</v>
      </c>
      <c r="X846" s="49" t="s">
        <v>214</v>
      </c>
      <c r="Y846" s="49" t="s">
        <v>214</v>
      </c>
      <c r="Z846" s="55" t="s">
        <v>214</v>
      </c>
      <c r="AA846" s="48" t="s">
        <v>20264</v>
      </c>
      <c r="AB846" s="84" t="s">
        <v>20263</v>
      </c>
      <c r="AC846" s="67" t="str">
        <f t="shared" si="542"/>
        <v>Link</v>
      </c>
      <c r="AD846" s="42">
        <v>7118</v>
      </c>
      <c r="AE846" s="55"/>
      <c r="AF846" s="55"/>
      <c r="AG846" s="56">
        <v>184791</v>
      </c>
      <c r="AH846" s="56"/>
      <c r="AI846" s="56"/>
      <c r="AJ846" s="56"/>
      <c r="AK846" s="56"/>
    </row>
    <row r="847" spans="1:37" ht="15" x14ac:dyDescent="0.2">
      <c r="A847" s="64" t="s">
        <v>6998</v>
      </c>
      <c r="B847" s="7" t="s">
        <v>12632</v>
      </c>
      <c r="C847" s="7" t="s">
        <v>20269</v>
      </c>
      <c r="D847" s="112">
        <v>5</v>
      </c>
      <c r="E847" s="7"/>
      <c r="F847" s="7"/>
      <c r="G847" s="2" t="s">
        <v>20263</v>
      </c>
      <c r="H847" s="2" t="s">
        <v>2806</v>
      </c>
      <c r="I847" s="2" t="s">
        <v>3902</v>
      </c>
      <c r="J847" s="2" t="s">
        <v>55</v>
      </c>
      <c r="K847" s="2"/>
      <c r="L847" s="2"/>
      <c r="M847" s="150" t="str">
        <f t="shared" si="543"/>
        <v>@rcgcsoftball</v>
      </c>
      <c r="N847" s="48" t="s">
        <v>22</v>
      </c>
      <c r="O847" s="48" t="s">
        <v>20263</v>
      </c>
      <c r="P847" s="60" t="s">
        <v>3272</v>
      </c>
      <c r="Q847" s="48" t="s">
        <v>9370</v>
      </c>
      <c r="R847" s="48" t="s">
        <v>468</v>
      </c>
      <c r="S847" s="49" t="s">
        <v>74</v>
      </c>
      <c r="T847" s="48" t="s">
        <v>75</v>
      </c>
      <c r="U847" s="49" t="s">
        <v>3678</v>
      </c>
      <c r="V847" s="7" t="s">
        <v>214</v>
      </c>
      <c r="W847" s="49" t="s">
        <v>214</v>
      </c>
      <c r="X847" s="49" t="s">
        <v>214</v>
      </c>
      <c r="Y847" s="49" t="s">
        <v>214</v>
      </c>
      <c r="Z847" s="55" t="s">
        <v>214</v>
      </c>
      <c r="AA847" s="48" t="s">
        <v>20264</v>
      </c>
      <c r="AB847" s="84" t="s">
        <v>20263</v>
      </c>
      <c r="AC847" s="67" t="str">
        <f t="shared" si="542"/>
        <v>Link</v>
      </c>
      <c r="AD847" s="42">
        <v>7118</v>
      </c>
      <c r="AE847" s="55"/>
      <c r="AF847" s="55"/>
      <c r="AG847" s="56">
        <v>184791</v>
      </c>
      <c r="AH847" s="56"/>
      <c r="AI847" s="56"/>
      <c r="AJ847" s="56"/>
      <c r="AK847" s="56"/>
    </row>
    <row r="848" spans="1:37" ht="15" x14ac:dyDescent="0.2">
      <c r="A848" s="64" t="s">
        <v>6998</v>
      </c>
      <c r="B848" s="7" t="s">
        <v>12632</v>
      </c>
      <c r="C848" s="7" t="s">
        <v>20270</v>
      </c>
      <c r="D848" s="112">
        <v>5</v>
      </c>
      <c r="E848" s="7"/>
      <c r="F848" s="7"/>
      <c r="G848" s="2" t="s">
        <v>20271</v>
      </c>
      <c r="H848" s="2" t="s">
        <v>421</v>
      </c>
      <c r="I848" s="2"/>
      <c r="J848" s="2" t="s">
        <v>48</v>
      </c>
      <c r="K848" s="2"/>
      <c r="L848" s="2"/>
      <c r="M848" s="48"/>
      <c r="N848" s="150" t="str">
        <f t="shared" ref="N848:N849" si="544">HYPERLINK("https://www.sussexskylanders.com/information/Get_Recruited_form","Questionnaire")</f>
        <v>Questionnaire</v>
      </c>
      <c r="O848" s="48" t="s">
        <v>20272</v>
      </c>
      <c r="P848" s="60" t="s">
        <v>3272</v>
      </c>
      <c r="Q848" s="48" t="s">
        <v>6784</v>
      </c>
      <c r="R848" s="60" t="s">
        <v>205</v>
      </c>
      <c r="S848" s="49" t="s">
        <v>74</v>
      </c>
      <c r="T848" s="48" t="s">
        <v>75</v>
      </c>
      <c r="U848" s="49" t="s">
        <v>3678</v>
      </c>
      <c r="V848" s="7" t="s">
        <v>214</v>
      </c>
      <c r="W848" s="49" t="s">
        <v>214</v>
      </c>
      <c r="X848" s="49" t="s">
        <v>214</v>
      </c>
      <c r="Y848" s="49" t="s">
        <v>214</v>
      </c>
      <c r="Z848" s="55" t="s">
        <v>214</v>
      </c>
      <c r="AA848" s="48" t="s">
        <v>20273</v>
      </c>
      <c r="AB848" s="84" t="s">
        <v>20272</v>
      </c>
      <c r="AC848" s="67" t="str">
        <f t="shared" ref="AC848:AC849" si="545">HYPERLINK("http://sussex.edu/academics/programs/","Link")</f>
        <v>Link</v>
      </c>
      <c r="AD848" s="42">
        <v>2589</v>
      </c>
      <c r="AE848" s="55"/>
      <c r="AF848" s="55"/>
      <c r="AG848" s="56">
        <v>247603</v>
      </c>
      <c r="AH848" s="56"/>
      <c r="AI848" s="56"/>
      <c r="AJ848" s="56"/>
      <c r="AK848" s="56"/>
    </row>
    <row r="849" spans="1:37" ht="15" x14ac:dyDescent="0.2">
      <c r="A849" s="64" t="s">
        <v>6998</v>
      </c>
      <c r="B849" s="7" t="s">
        <v>12632</v>
      </c>
      <c r="C849" s="7" t="s">
        <v>20274</v>
      </c>
      <c r="D849" s="112">
        <v>5</v>
      </c>
      <c r="E849" s="7"/>
      <c r="F849" s="7"/>
      <c r="G849" s="2" t="s">
        <v>20271</v>
      </c>
      <c r="H849" s="2" t="s">
        <v>20275</v>
      </c>
      <c r="I849" s="2" t="s">
        <v>2919</v>
      </c>
      <c r="J849" s="2" t="s">
        <v>55</v>
      </c>
      <c r="K849" s="2" t="s">
        <v>20276</v>
      </c>
      <c r="L849" s="2"/>
      <c r="M849" s="48"/>
      <c r="N849" s="150" t="str">
        <f t="shared" si="544"/>
        <v>Questionnaire</v>
      </c>
      <c r="O849" s="48" t="s">
        <v>20272</v>
      </c>
      <c r="P849" s="60" t="s">
        <v>3272</v>
      </c>
      <c r="Q849" s="48" t="s">
        <v>6784</v>
      </c>
      <c r="R849" s="60" t="s">
        <v>205</v>
      </c>
      <c r="S849" s="49" t="s">
        <v>74</v>
      </c>
      <c r="T849" s="48" t="s">
        <v>75</v>
      </c>
      <c r="U849" s="49" t="s">
        <v>3678</v>
      </c>
      <c r="V849" s="7" t="s">
        <v>214</v>
      </c>
      <c r="W849" s="49" t="s">
        <v>214</v>
      </c>
      <c r="X849" s="49" t="s">
        <v>214</v>
      </c>
      <c r="Y849" s="49" t="s">
        <v>214</v>
      </c>
      <c r="Z849" s="55" t="s">
        <v>214</v>
      </c>
      <c r="AA849" s="48" t="s">
        <v>20273</v>
      </c>
      <c r="AB849" s="84" t="s">
        <v>20272</v>
      </c>
      <c r="AC849" s="67" t="str">
        <f t="shared" si="545"/>
        <v>Link</v>
      </c>
      <c r="AD849" s="42">
        <v>2589</v>
      </c>
      <c r="AE849" s="55"/>
      <c r="AF849" s="55"/>
      <c r="AG849" s="56">
        <v>247603</v>
      </c>
      <c r="AH849" s="56"/>
      <c r="AI849" s="56"/>
      <c r="AJ849" s="56"/>
      <c r="AK849" s="56"/>
    </row>
    <row r="850" spans="1:37" ht="15" x14ac:dyDescent="0.2">
      <c r="A850" s="64" t="s">
        <v>7303</v>
      </c>
      <c r="B850" s="7" t="s">
        <v>12632</v>
      </c>
      <c r="C850" s="7" t="s">
        <v>20277</v>
      </c>
      <c r="D850" s="112">
        <v>5</v>
      </c>
      <c r="E850" s="7"/>
      <c r="F850" s="7"/>
      <c r="G850" s="2" t="s">
        <v>20278</v>
      </c>
      <c r="H850" s="2" t="s">
        <v>421</v>
      </c>
      <c r="I850" s="2"/>
      <c r="J850" s="2" t="s">
        <v>48</v>
      </c>
      <c r="K850" s="2"/>
      <c r="L850" s="2" t="s">
        <v>20279</v>
      </c>
      <c r="M850" s="48"/>
      <c r="N850" s="150" t="str">
        <f t="shared" ref="N850:N852" si="546">HYPERLINK("https://www.cayugaspartans.com/information/forms/athletic_questionnaire","Questionnaire")</f>
        <v>Questionnaire</v>
      </c>
      <c r="O850" s="48" t="s">
        <v>20280</v>
      </c>
      <c r="P850" s="60" t="s">
        <v>1304</v>
      </c>
      <c r="Q850" s="48" t="s">
        <v>11590</v>
      </c>
      <c r="R850" s="48" t="s">
        <v>468</v>
      </c>
      <c r="S850" s="49" t="s">
        <v>74</v>
      </c>
      <c r="T850" s="48" t="s">
        <v>75</v>
      </c>
      <c r="U850" s="49" t="s">
        <v>3678</v>
      </c>
      <c r="V850" s="7" t="s">
        <v>214</v>
      </c>
      <c r="W850" s="49" t="s">
        <v>214</v>
      </c>
      <c r="X850" s="49" t="s">
        <v>214</v>
      </c>
      <c r="Y850" s="49" t="s">
        <v>214</v>
      </c>
      <c r="Z850" s="55" t="s">
        <v>214</v>
      </c>
      <c r="AA850" s="48" t="s">
        <v>20281</v>
      </c>
      <c r="AB850" s="52" t="s">
        <v>20280</v>
      </c>
      <c r="AC850" s="67" t="str">
        <f t="shared" ref="AC850:AC852" si="547">HYPERLINK("https://www.cayuga-cc.edu/academics/schools/","Link")</f>
        <v>Link</v>
      </c>
      <c r="AD850" s="42">
        <v>4297</v>
      </c>
      <c r="AE850" s="55"/>
      <c r="AF850" s="55"/>
      <c r="AG850" s="56">
        <v>189839</v>
      </c>
      <c r="AH850" s="56"/>
      <c r="AI850" s="56"/>
      <c r="AJ850" s="56"/>
      <c r="AK850" s="56"/>
    </row>
    <row r="851" spans="1:37" ht="15" x14ac:dyDescent="0.2">
      <c r="A851" s="64" t="s">
        <v>7303</v>
      </c>
      <c r="B851" s="7" t="s">
        <v>12632</v>
      </c>
      <c r="C851" s="7" t="s">
        <v>20282</v>
      </c>
      <c r="D851" s="112">
        <v>5</v>
      </c>
      <c r="E851" s="7"/>
      <c r="F851" s="7"/>
      <c r="G851" s="2" t="s">
        <v>20278</v>
      </c>
      <c r="H851" s="2" t="s">
        <v>1492</v>
      </c>
      <c r="I851" s="2" t="s">
        <v>20283</v>
      </c>
      <c r="J851" s="2" t="s">
        <v>55</v>
      </c>
      <c r="K851" s="2" t="s">
        <v>20284</v>
      </c>
      <c r="L851" s="2" t="s">
        <v>20279</v>
      </c>
      <c r="M851" s="48"/>
      <c r="N851" s="150" t="str">
        <f t="shared" si="546"/>
        <v>Questionnaire</v>
      </c>
      <c r="O851" s="48" t="s">
        <v>20280</v>
      </c>
      <c r="P851" s="60" t="s">
        <v>1304</v>
      </c>
      <c r="Q851" s="48" t="s">
        <v>11590</v>
      </c>
      <c r="R851" s="48" t="s">
        <v>468</v>
      </c>
      <c r="S851" s="49" t="s">
        <v>74</v>
      </c>
      <c r="T851" s="48" t="s">
        <v>75</v>
      </c>
      <c r="U851" s="49" t="s">
        <v>3678</v>
      </c>
      <c r="V851" s="7" t="s">
        <v>214</v>
      </c>
      <c r="W851" s="49" t="s">
        <v>214</v>
      </c>
      <c r="X851" s="49" t="s">
        <v>214</v>
      </c>
      <c r="Y851" s="49" t="s">
        <v>214</v>
      </c>
      <c r="Z851" s="55" t="s">
        <v>214</v>
      </c>
      <c r="AA851" s="48" t="s">
        <v>20281</v>
      </c>
      <c r="AB851" s="52" t="s">
        <v>20280</v>
      </c>
      <c r="AC851" s="67" t="str">
        <f t="shared" si="547"/>
        <v>Link</v>
      </c>
      <c r="AD851" s="42">
        <v>4297</v>
      </c>
      <c r="AE851" s="55"/>
      <c r="AF851" s="55"/>
      <c r="AG851" s="56">
        <v>189839</v>
      </c>
      <c r="AH851" s="56"/>
      <c r="AI851" s="56"/>
      <c r="AJ851" s="56"/>
      <c r="AK851" s="56"/>
    </row>
    <row r="852" spans="1:37" ht="15" x14ac:dyDescent="0.2">
      <c r="A852" s="64" t="s">
        <v>7303</v>
      </c>
      <c r="B852" s="7" t="s">
        <v>12632</v>
      </c>
      <c r="C852" s="7" t="s">
        <v>20285</v>
      </c>
      <c r="D852" s="112">
        <v>5</v>
      </c>
      <c r="E852" s="7"/>
      <c r="F852" s="7"/>
      <c r="G852" s="2" t="s">
        <v>20278</v>
      </c>
      <c r="H852" s="2" t="s">
        <v>728</v>
      </c>
      <c r="I852" s="2" t="s">
        <v>20286</v>
      </c>
      <c r="J852" s="2" t="s">
        <v>55</v>
      </c>
      <c r="K852" s="2" t="s">
        <v>20284</v>
      </c>
      <c r="L852" s="2"/>
      <c r="M852" s="48"/>
      <c r="N852" s="150" t="str">
        <f t="shared" si="546"/>
        <v>Questionnaire</v>
      </c>
      <c r="O852" s="48" t="s">
        <v>20280</v>
      </c>
      <c r="P852" s="60" t="s">
        <v>1304</v>
      </c>
      <c r="Q852" s="48" t="s">
        <v>11590</v>
      </c>
      <c r="R852" s="48" t="s">
        <v>468</v>
      </c>
      <c r="S852" s="49" t="s">
        <v>74</v>
      </c>
      <c r="T852" s="48" t="s">
        <v>75</v>
      </c>
      <c r="U852" s="49" t="s">
        <v>3678</v>
      </c>
      <c r="V852" s="7" t="s">
        <v>214</v>
      </c>
      <c r="W852" s="49" t="s">
        <v>214</v>
      </c>
      <c r="X852" s="49" t="s">
        <v>214</v>
      </c>
      <c r="Y852" s="49" t="s">
        <v>214</v>
      </c>
      <c r="Z852" s="55" t="s">
        <v>214</v>
      </c>
      <c r="AA852" s="48" t="s">
        <v>20281</v>
      </c>
      <c r="AB852" s="52" t="s">
        <v>20280</v>
      </c>
      <c r="AC852" s="67" t="str">
        <f t="shared" si="547"/>
        <v>Link</v>
      </c>
      <c r="AD852" s="42">
        <v>4297</v>
      </c>
      <c r="AE852" s="55"/>
      <c r="AF852" s="55"/>
      <c r="AG852" s="56">
        <v>189839</v>
      </c>
      <c r="AH852" s="56"/>
      <c r="AI852" s="56"/>
      <c r="AJ852" s="56"/>
      <c r="AK852" s="56"/>
    </row>
    <row r="853" spans="1:37" ht="15" x14ac:dyDescent="0.2">
      <c r="A853" s="64" t="s">
        <v>7303</v>
      </c>
      <c r="B853" s="7" t="s">
        <v>12632</v>
      </c>
      <c r="C853" s="7" t="s">
        <v>20287</v>
      </c>
      <c r="D853" s="112">
        <v>5</v>
      </c>
      <c r="E853" s="7"/>
      <c r="F853" s="7"/>
      <c r="G853" s="2" t="s">
        <v>20288</v>
      </c>
      <c r="H853" s="2" t="s">
        <v>2054</v>
      </c>
      <c r="I853" s="2" t="s">
        <v>20289</v>
      </c>
      <c r="J853" s="2" t="s">
        <v>48</v>
      </c>
      <c r="K853" s="2" t="s">
        <v>20290</v>
      </c>
      <c r="L853" s="2" t="s">
        <v>20291</v>
      </c>
      <c r="M853" s="48"/>
      <c r="N853" s="150" t="str">
        <f t="shared" ref="N853:N855" si="548">HYPERLINK("https://www.cgcctwins.com/Future_Athlete/Prospective_Questionnaire_2","Questionnaire")</f>
        <v>Questionnaire</v>
      </c>
      <c r="O853" s="48" t="s">
        <v>20292</v>
      </c>
      <c r="P853" s="60" t="s">
        <v>1304</v>
      </c>
      <c r="Q853" s="48" t="s">
        <v>20293</v>
      </c>
      <c r="R853" s="60" t="s">
        <v>205</v>
      </c>
      <c r="S853" s="49" t="s">
        <v>74</v>
      </c>
      <c r="T853" s="48" t="s">
        <v>75</v>
      </c>
      <c r="U853" s="49" t="s">
        <v>3678</v>
      </c>
      <c r="V853" s="7" t="s">
        <v>214</v>
      </c>
      <c r="W853" s="49" t="s">
        <v>214</v>
      </c>
      <c r="X853" s="49" t="s">
        <v>214</v>
      </c>
      <c r="Y853" s="49" t="s">
        <v>214</v>
      </c>
      <c r="Z853" s="55" t="s">
        <v>214</v>
      </c>
      <c r="AA853" s="48" t="s">
        <v>20294</v>
      </c>
      <c r="AB853" s="84" t="s">
        <v>20292</v>
      </c>
      <c r="AC853" s="67" t="str">
        <f t="shared" ref="AC853:AC855" si="549">HYPERLINK("https://www.sunycgcc.edu/academics/programs-of-study/","Link")</f>
        <v>Link</v>
      </c>
      <c r="AD853" s="42">
        <v>1643</v>
      </c>
      <c r="AE853" s="55"/>
      <c r="AF853" s="55"/>
      <c r="AG853" s="56">
        <v>190169</v>
      </c>
      <c r="AH853" s="56"/>
      <c r="AI853" s="56"/>
      <c r="AJ853" s="56"/>
      <c r="AK853" s="56"/>
    </row>
    <row r="854" spans="1:37" ht="15" x14ac:dyDescent="0.2">
      <c r="A854" s="64" t="s">
        <v>7303</v>
      </c>
      <c r="B854" s="7" t="s">
        <v>12632</v>
      </c>
      <c r="C854" s="7" t="s">
        <v>20295</v>
      </c>
      <c r="D854" s="112">
        <v>5</v>
      </c>
      <c r="E854" s="7"/>
      <c r="F854" s="7"/>
      <c r="G854" s="2" t="s">
        <v>20288</v>
      </c>
      <c r="H854" s="2" t="s">
        <v>4710</v>
      </c>
      <c r="I854" s="2" t="s">
        <v>20296</v>
      </c>
      <c r="J854" s="2" t="s">
        <v>55</v>
      </c>
      <c r="K854" s="2" t="s">
        <v>20297</v>
      </c>
      <c r="L854" s="2" t="s">
        <v>20291</v>
      </c>
      <c r="M854" s="48"/>
      <c r="N854" s="150" t="str">
        <f t="shared" si="548"/>
        <v>Questionnaire</v>
      </c>
      <c r="O854" s="48" t="s">
        <v>20292</v>
      </c>
      <c r="P854" s="60" t="s">
        <v>1304</v>
      </c>
      <c r="Q854" s="48" t="s">
        <v>20293</v>
      </c>
      <c r="R854" s="60" t="s">
        <v>205</v>
      </c>
      <c r="S854" s="49" t="s">
        <v>74</v>
      </c>
      <c r="T854" s="48" t="s">
        <v>75</v>
      </c>
      <c r="U854" s="49" t="s">
        <v>3678</v>
      </c>
      <c r="V854" s="7" t="s">
        <v>214</v>
      </c>
      <c r="W854" s="49" t="s">
        <v>214</v>
      </c>
      <c r="X854" s="49" t="s">
        <v>214</v>
      </c>
      <c r="Y854" s="49" t="s">
        <v>214</v>
      </c>
      <c r="Z854" s="55" t="s">
        <v>214</v>
      </c>
      <c r="AA854" s="48" t="s">
        <v>20294</v>
      </c>
      <c r="AB854" s="84" t="s">
        <v>20292</v>
      </c>
      <c r="AC854" s="67" t="str">
        <f t="shared" si="549"/>
        <v>Link</v>
      </c>
      <c r="AD854" s="42">
        <v>1643</v>
      </c>
      <c r="AE854" s="55"/>
      <c r="AF854" s="55"/>
      <c r="AG854" s="56">
        <v>190169</v>
      </c>
      <c r="AH854" s="56"/>
      <c r="AI854" s="56"/>
      <c r="AJ854" s="56"/>
      <c r="AK854" s="56"/>
    </row>
    <row r="855" spans="1:37" ht="15" x14ac:dyDescent="0.2">
      <c r="A855" s="64" t="s">
        <v>7303</v>
      </c>
      <c r="B855" s="7" t="s">
        <v>12632</v>
      </c>
      <c r="C855" s="7" t="s">
        <v>20298</v>
      </c>
      <c r="D855" s="112">
        <v>5</v>
      </c>
      <c r="E855" s="7"/>
      <c r="F855" s="7"/>
      <c r="G855" s="2" t="s">
        <v>20288</v>
      </c>
      <c r="H855" s="2" t="s">
        <v>1717</v>
      </c>
      <c r="I855" s="2" t="s">
        <v>20299</v>
      </c>
      <c r="J855" s="2" t="s">
        <v>55</v>
      </c>
      <c r="K855" s="2" t="s">
        <v>20300</v>
      </c>
      <c r="L855" s="2" t="s">
        <v>20291</v>
      </c>
      <c r="M855" s="48"/>
      <c r="N855" s="150" t="str">
        <f t="shared" si="548"/>
        <v>Questionnaire</v>
      </c>
      <c r="O855" s="48" t="s">
        <v>20292</v>
      </c>
      <c r="P855" s="60" t="s">
        <v>1304</v>
      </c>
      <c r="Q855" s="48" t="s">
        <v>20293</v>
      </c>
      <c r="R855" s="60" t="s">
        <v>205</v>
      </c>
      <c r="S855" s="49" t="s">
        <v>74</v>
      </c>
      <c r="T855" s="48" t="s">
        <v>75</v>
      </c>
      <c r="U855" s="49" t="s">
        <v>3678</v>
      </c>
      <c r="V855" s="7" t="s">
        <v>214</v>
      </c>
      <c r="W855" s="49" t="s">
        <v>214</v>
      </c>
      <c r="X855" s="49" t="s">
        <v>214</v>
      </c>
      <c r="Y855" s="49" t="s">
        <v>214</v>
      </c>
      <c r="Z855" s="55" t="s">
        <v>214</v>
      </c>
      <c r="AA855" s="48" t="s">
        <v>20294</v>
      </c>
      <c r="AB855" s="84" t="s">
        <v>20292</v>
      </c>
      <c r="AC855" s="67" t="str">
        <f t="shared" si="549"/>
        <v>Link</v>
      </c>
      <c r="AD855" s="42">
        <v>1643</v>
      </c>
      <c r="AE855" s="55"/>
      <c r="AF855" s="55"/>
      <c r="AG855" s="56">
        <v>190169</v>
      </c>
      <c r="AH855" s="56"/>
      <c r="AI855" s="56"/>
      <c r="AJ855" s="56"/>
      <c r="AK855" s="56"/>
    </row>
    <row r="856" spans="1:37" ht="15" x14ac:dyDescent="0.2">
      <c r="A856" s="64" t="s">
        <v>7303</v>
      </c>
      <c r="B856" s="7" t="s">
        <v>12632</v>
      </c>
      <c r="C856" s="7" t="s">
        <v>20301</v>
      </c>
      <c r="D856" s="112">
        <v>5</v>
      </c>
      <c r="E856" s="7"/>
      <c r="F856" s="7"/>
      <c r="G856" s="2" t="s">
        <v>20302</v>
      </c>
      <c r="H856" s="2" t="s">
        <v>4187</v>
      </c>
      <c r="I856" s="2" t="s">
        <v>263</v>
      </c>
      <c r="J856" s="2" t="s">
        <v>48</v>
      </c>
      <c r="K856" s="2" t="s">
        <v>20303</v>
      </c>
      <c r="L856" s="2" t="s">
        <v>20304</v>
      </c>
      <c r="M856" s="48"/>
      <c r="N856" s="150" t="str">
        <f t="shared" ref="N856:N858" si="550">HYPERLINK("https://www.redbaronsathletics.com/recruits/form","Questionnaire")</f>
        <v>Questionnaire</v>
      </c>
      <c r="O856" s="48" t="s">
        <v>20305</v>
      </c>
      <c r="P856" s="60" t="s">
        <v>1304</v>
      </c>
      <c r="Q856" s="48" t="s">
        <v>17976</v>
      </c>
      <c r="R856" s="48" t="s">
        <v>172</v>
      </c>
      <c r="S856" s="49" t="s">
        <v>74</v>
      </c>
      <c r="T856" s="48" t="s">
        <v>75</v>
      </c>
      <c r="U856" s="49" t="s">
        <v>3678</v>
      </c>
      <c r="V856" s="7" t="s">
        <v>214</v>
      </c>
      <c r="W856" s="49" t="s">
        <v>214</v>
      </c>
      <c r="X856" s="49" t="s">
        <v>214</v>
      </c>
      <c r="Y856" s="49" t="s">
        <v>214</v>
      </c>
      <c r="Z856" s="55" t="s">
        <v>214</v>
      </c>
      <c r="AA856" s="48" t="s">
        <v>20306</v>
      </c>
      <c r="AB856" s="84" t="s">
        <v>20305</v>
      </c>
      <c r="AC856" s="67" t="str">
        <f t="shared" ref="AC856:AC858" si="551">HYPERLINK("https://www.corning-cc.edu/academics/programs","Link")</f>
        <v>Link</v>
      </c>
      <c r="AD856" s="42">
        <v>3911</v>
      </c>
      <c r="AE856" s="55"/>
      <c r="AF856" s="55"/>
      <c r="AG856" s="56">
        <v>190442</v>
      </c>
      <c r="AH856" s="56"/>
      <c r="AI856" s="56"/>
      <c r="AJ856" s="56"/>
      <c r="AK856" s="56"/>
    </row>
    <row r="857" spans="1:37" ht="15" x14ac:dyDescent="0.2">
      <c r="A857" s="64" t="s">
        <v>7303</v>
      </c>
      <c r="B857" s="7" t="s">
        <v>12632</v>
      </c>
      <c r="C857" s="7" t="s">
        <v>20307</v>
      </c>
      <c r="D857" s="112">
        <v>5</v>
      </c>
      <c r="E857" s="7"/>
      <c r="F857" s="7"/>
      <c r="G857" s="2" t="s">
        <v>20302</v>
      </c>
      <c r="H857" s="2" t="s">
        <v>878</v>
      </c>
      <c r="I857" s="2" t="s">
        <v>20308</v>
      </c>
      <c r="J857" s="2" t="s">
        <v>55</v>
      </c>
      <c r="K857" s="2"/>
      <c r="L857" s="2"/>
      <c r="M857" s="48"/>
      <c r="N857" s="150" t="str">
        <f t="shared" si="550"/>
        <v>Questionnaire</v>
      </c>
      <c r="O857" s="48" t="s">
        <v>20305</v>
      </c>
      <c r="P857" s="60" t="s">
        <v>1304</v>
      </c>
      <c r="Q857" s="48" t="s">
        <v>17976</v>
      </c>
      <c r="R857" s="48" t="s">
        <v>172</v>
      </c>
      <c r="S857" s="49" t="s">
        <v>74</v>
      </c>
      <c r="T857" s="48" t="s">
        <v>75</v>
      </c>
      <c r="U857" s="49" t="s">
        <v>3678</v>
      </c>
      <c r="V857" s="7" t="s">
        <v>214</v>
      </c>
      <c r="W857" s="49" t="s">
        <v>214</v>
      </c>
      <c r="X857" s="49" t="s">
        <v>214</v>
      </c>
      <c r="Y857" s="49" t="s">
        <v>214</v>
      </c>
      <c r="Z857" s="55" t="s">
        <v>214</v>
      </c>
      <c r="AA857" s="48" t="s">
        <v>20306</v>
      </c>
      <c r="AB857" s="84" t="s">
        <v>20305</v>
      </c>
      <c r="AC857" s="67" t="str">
        <f t="shared" si="551"/>
        <v>Link</v>
      </c>
      <c r="AD857" s="42">
        <v>3911</v>
      </c>
      <c r="AE857" s="55"/>
      <c r="AF857" s="55"/>
      <c r="AG857" s="56">
        <v>190442</v>
      </c>
      <c r="AH857" s="56"/>
      <c r="AI857" s="56"/>
      <c r="AJ857" s="56"/>
      <c r="AK857" s="56"/>
    </row>
    <row r="858" spans="1:37" ht="15" x14ac:dyDescent="0.2">
      <c r="A858" s="64" t="s">
        <v>7303</v>
      </c>
      <c r="B858" s="7" t="s">
        <v>12632</v>
      </c>
      <c r="C858" s="7" t="s">
        <v>20309</v>
      </c>
      <c r="D858" s="112">
        <v>5</v>
      </c>
      <c r="E858" s="7"/>
      <c r="F858" s="7"/>
      <c r="G858" s="2" t="s">
        <v>20302</v>
      </c>
      <c r="H858" s="2" t="s">
        <v>2780</v>
      </c>
      <c r="I858" s="2" t="s">
        <v>14423</v>
      </c>
      <c r="J858" s="2" t="s">
        <v>139</v>
      </c>
      <c r="K858" s="2"/>
      <c r="L858" s="2"/>
      <c r="M858" s="48"/>
      <c r="N858" s="150" t="str">
        <f t="shared" si="550"/>
        <v>Questionnaire</v>
      </c>
      <c r="O858" s="48" t="s">
        <v>20305</v>
      </c>
      <c r="P858" s="60" t="s">
        <v>1304</v>
      </c>
      <c r="Q858" s="48" t="s">
        <v>17976</v>
      </c>
      <c r="R858" s="48" t="s">
        <v>172</v>
      </c>
      <c r="S858" s="49" t="s">
        <v>74</v>
      </c>
      <c r="T858" s="48" t="s">
        <v>75</v>
      </c>
      <c r="U858" s="49" t="s">
        <v>3678</v>
      </c>
      <c r="V858" s="7" t="s">
        <v>214</v>
      </c>
      <c r="W858" s="49" t="s">
        <v>214</v>
      </c>
      <c r="X858" s="49" t="s">
        <v>214</v>
      </c>
      <c r="Y858" s="49" t="s">
        <v>214</v>
      </c>
      <c r="Z858" s="55" t="s">
        <v>214</v>
      </c>
      <c r="AA858" s="48" t="s">
        <v>20306</v>
      </c>
      <c r="AB858" s="84" t="s">
        <v>20305</v>
      </c>
      <c r="AC858" s="67" t="str">
        <f t="shared" si="551"/>
        <v>Link</v>
      </c>
      <c r="AD858" s="42">
        <v>3911</v>
      </c>
      <c r="AE858" s="55"/>
      <c r="AF858" s="55"/>
      <c r="AG858" s="56">
        <v>190442</v>
      </c>
      <c r="AH858" s="56"/>
      <c r="AI858" s="56"/>
      <c r="AJ858" s="56"/>
      <c r="AK858" s="56"/>
    </row>
    <row r="859" spans="1:37" ht="15" x14ac:dyDescent="0.2">
      <c r="A859" s="64" t="s">
        <v>7303</v>
      </c>
      <c r="B859" s="7" t="s">
        <v>12632</v>
      </c>
      <c r="C859" s="7" t="s">
        <v>20310</v>
      </c>
      <c r="D859" s="112">
        <v>5</v>
      </c>
      <c r="E859" s="7"/>
      <c r="F859" s="7"/>
      <c r="G859" s="2" t="s">
        <v>20311</v>
      </c>
      <c r="H859" s="2" t="s">
        <v>750</v>
      </c>
      <c r="I859" s="2" t="s">
        <v>20312</v>
      </c>
      <c r="J859" s="2" t="s">
        <v>48</v>
      </c>
      <c r="K859" s="2" t="s">
        <v>20313</v>
      </c>
      <c r="L859" s="2" t="s">
        <v>20314</v>
      </c>
      <c r="M859" s="48"/>
      <c r="N859" s="150" t="str">
        <f>HYPERLINK("http://athletics.ecc.edu/recruits/Recruit_Questionnaire","Questionnaire")</f>
        <v>Questionnaire</v>
      </c>
      <c r="O859" s="48" t="s">
        <v>20315</v>
      </c>
      <c r="P859" s="60" t="s">
        <v>1304</v>
      </c>
      <c r="Q859" s="48" t="s">
        <v>20316</v>
      </c>
      <c r="R859" s="60" t="s">
        <v>205</v>
      </c>
      <c r="S859" s="49" t="s">
        <v>74</v>
      </c>
      <c r="T859" s="48" t="s">
        <v>75</v>
      </c>
      <c r="U859" s="49" t="s">
        <v>3678</v>
      </c>
      <c r="V859" s="7" t="s">
        <v>214</v>
      </c>
      <c r="W859" s="49" t="s">
        <v>214</v>
      </c>
      <c r="X859" s="49" t="s">
        <v>214</v>
      </c>
      <c r="Y859" s="49" t="s">
        <v>214</v>
      </c>
      <c r="Z859" s="55" t="s">
        <v>214</v>
      </c>
      <c r="AA859" s="48" t="s">
        <v>20317</v>
      </c>
      <c r="AB859" s="84" t="s">
        <v>20315</v>
      </c>
      <c r="AC859" s="67" t="str">
        <f>HYPERLINK("https://www.ecc.edu/degrees/","Link")</f>
        <v>Link</v>
      </c>
      <c r="AD859" s="42">
        <v>11278</v>
      </c>
      <c r="AE859" s="55"/>
      <c r="AF859" s="55"/>
      <c r="AG859" s="56">
        <v>191083</v>
      </c>
      <c r="AH859" s="56"/>
      <c r="AI859" s="56"/>
      <c r="AJ859" s="56"/>
      <c r="AK859" s="56"/>
    </row>
    <row r="860" spans="1:37" ht="13" x14ac:dyDescent="0.15">
      <c r="A860" s="64" t="s">
        <v>7303</v>
      </c>
      <c r="B860" s="7" t="s">
        <v>12632</v>
      </c>
      <c r="C860" s="7" t="s">
        <v>20318</v>
      </c>
      <c r="D860" s="44">
        <v>5</v>
      </c>
      <c r="E860" s="7"/>
      <c r="F860" s="7"/>
      <c r="G860" s="7" t="s">
        <v>20319</v>
      </c>
      <c r="H860" s="7" t="s">
        <v>6721</v>
      </c>
      <c r="I860" s="7" t="s">
        <v>20320</v>
      </c>
      <c r="J860" s="7" t="s">
        <v>55</v>
      </c>
      <c r="K860" s="7" t="s">
        <v>20321</v>
      </c>
      <c r="L860" s="7" t="s">
        <v>20322</v>
      </c>
      <c r="M860" s="7"/>
      <c r="N860" s="7"/>
      <c r="O860" s="48" t="s">
        <v>20323</v>
      </c>
      <c r="P860" s="47" t="s">
        <v>1304</v>
      </c>
      <c r="Q860" s="48" t="s">
        <v>20324</v>
      </c>
      <c r="R860" s="48" t="s">
        <v>172</v>
      </c>
      <c r="S860" s="49" t="s">
        <v>74</v>
      </c>
      <c r="T860" s="49" t="s">
        <v>75</v>
      </c>
      <c r="U860" s="48" t="s">
        <v>3678</v>
      </c>
      <c r="V860" s="48" t="s">
        <v>214</v>
      </c>
      <c r="W860" s="49" t="s">
        <v>214</v>
      </c>
      <c r="X860" s="49" t="s">
        <v>214</v>
      </c>
      <c r="Y860" s="49" t="s">
        <v>214</v>
      </c>
      <c r="Z860" s="55" t="s">
        <v>214</v>
      </c>
      <c r="AA860" s="48" t="s">
        <v>20325</v>
      </c>
      <c r="AB860" s="62" t="s">
        <v>20323</v>
      </c>
      <c r="AC860" s="67" t="str">
        <f t="shared" ref="AC860:AC863" si="552">HYPERLINK("https://www.flcc.edu/academics/areas.cfm","Link")</f>
        <v>Link</v>
      </c>
      <c r="AD860" s="54">
        <v>6520</v>
      </c>
      <c r="AE860" s="55"/>
      <c r="AF860" s="55"/>
      <c r="AG860" s="56">
        <v>191199</v>
      </c>
      <c r="AH860" s="42"/>
      <c r="AI860" s="55"/>
      <c r="AJ860" s="55"/>
      <c r="AK860" s="85"/>
    </row>
    <row r="861" spans="1:37" ht="15" x14ac:dyDescent="0.2">
      <c r="A861" s="64" t="s">
        <v>7303</v>
      </c>
      <c r="B861" s="7" t="s">
        <v>12632</v>
      </c>
      <c r="C861" s="7" t="s">
        <v>20326</v>
      </c>
      <c r="D861" s="112">
        <v>5</v>
      </c>
      <c r="E861" s="7"/>
      <c r="F861" s="7"/>
      <c r="G861" s="2" t="s">
        <v>20319</v>
      </c>
      <c r="H861" s="2" t="s">
        <v>6305</v>
      </c>
      <c r="I861" s="2" t="s">
        <v>20327</v>
      </c>
      <c r="J861" s="2" t="s">
        <v>48</v>
      </c>
      <c r="K861" s="2" t="s">
        <v>20328</v>
      </c>
      <c r="L861" s="2"/>
      <c r="M861" s="150" t="str">
        <f t="shared" ref="M861:M863" si="553">HYPERLINK("twitter.com/flccsoftball","@flccsoftball")</f>
        <v>@flccsoftball</v>
      </c>
      <c r="N861" s="150" t="str">
        <f t="shared" ref="N861:N863" si="554">HYPERLINK("http://www.flccathletics.com/recruits/recruitme","Questionnaire")</f>
        <v>Questionnaire</v>
      </c>
      <c r="O861" s="48" t="s">
        <v>20323</v>
      </c>
      <c r="P861" s="60" t="s">
        <v>1304</v>
      </c>
      <c r="Q861" s="48" t="s">
        <v>20324</v>
      </c>
      <c r="R861" s="48" t="s">
        <v>172</v>
      </c>
      <c r="S861" s="49" t="s">
        <v>74</v>
      </c>
      <c r="T861" s="48" t="s">
        <v>75</v>
      </c>
      <c r="U861" s="49" t="s">
        <v>3678</v>
      </c>
      <c r="V861" s="7" t="s">
        <v>214</v>
      </c>
      <c r="W861" s="49" t="s">
        <v>214</v>
      </c>
      <c r="X861" s="49" t="s">
        <v>214</v>
      </c>
      <c r="Y861" s="49" t="s">
        <v>214</v>
      </c>
      <c r="Z861" s="55" t="s">
        <v>214</v>
      </c>
      <c r="AA861" s="48" t="s">
        <v>20325</v>
      </c>
      <c r="AB861" s="84" t="s">
        <v>20323</v>
      </c>
      <c r="AC861" s="67" t="str">
        <f t="shared" si="552"/>
        <v>Link</v>
      </c>
      <c r="AD861" s="42">
        <v>6520</v>
      </c>
      <c r="AE861" s="55"/>
      <c r="AF861" s="55"/>
      <c r="AG861" s="56">
        <v>191199</v>
      </c>
      <c r="AH861" s="56"/>
      <c r="AI861" s="56"/>
      <c r="AJ861" s="56"/>
      <c r="AK861" s="56"/>
    </row>
    <row r="862" spans="1:37" ht="15" x14ac:dyDescent="0.2">
      <c r="A862" s="64" t="s">
        <v>7303</v>
      </c>
      <c r="B862" s="7" t="s">
        <v>12632</v>
      </c>
      <c r="C862" s="7" t="s">
        <v>20329</v>
      </c>
      <c r="D862" s="112">
        <v>5</v>
      </c>
      <c r="E862" s="7"/>
      <c r="F862" s="7"/>
      <c r="G862" s="2" t="s">
        <v>20319</v>
      </c>
      <c r="H862" s="2" t="s">
        <v>6721</v>
      </c>
      <c r="I862" s="2" t="s">
        <v>20330</v>
      </c>
      <c r="J862" s="2" t="s">
        <v>55</v>
      </c>
      <c r="K862" s="2" t="s">
        <v>20331</v>
      </c>
      <c r="L862" s="2" t="s">
        <v>20322</v>
      </c>
      <c r="M862" s="150" t="str">
        <f t="shared" si="553"/>
        <v>@flccsoftball</v>
      </c>
      <c r="N862" s="150" t="str">
        <f t="shared" si="554"/>
        <v>Questionnaire</v>
      </c>
      <c r="O862" s="48" t="s">
        <v>20323</v>
      </c>
      <c r="P862" s="60" t="s">
        <v>1304</v>
      </c>
      <c r="Q862" s="48" t="s">
        <v>20324</v>
      </c>
      <c r="R862" s="48" t="s">
        <v>172</v>
      </c>
      <c r="S862" s="49" t="s">
        <v>74</v>
      </c>
      <c r="T862" s="48" t="s">
        <v>75</v>
      </c>
      <c r="U862" s="49" t="s">
        <v>3678</v>
      </c>
      <c r="V862" s="7" t="s">
        <v>214</v>
      </c>
      <c r="W862" s="49" t="s">
        <v>214</v>
      </c>
      <c r="X862" s="49" t="s">
        <v>214</v>
      </c>
      <c r="Y862" s="49" t="s">
        <v>214</v>
      </c>
      <c r="Z862" s="55" t="s">
        <v>214</v>
      </c>
      <c r="AA862" s="48" t="s">
        <v>20325</v>
      </c>
      <c r="AB862" s="84" t="s">
        <v>20323</v>
      </c>
      <c r="AC862" s="67" t="str">
        <f t="shared" si="552"/>
        <v>Link</v>
      </c>
      <c r="AD862" s="42">
        <v>6520</v>
      </c>
      <c r="AE862" s="55"/>
      <c r="AF862" s="55"/>
      <c r="AG862" s="56">
        <v>191199</v>
      </c>
      <c r="AH862" s="56"/>
      <c r="AI862" s="56"/>
      <c r="AJ862" s="56"/>
      <c r="AK862" s="56"/>
    </row>
    <row r="863" spans="1:37" ht="15" x14ac:dyDescent="0.2">
      <c r="A863" s="64" t="s">
        <v>7303</v>
      </c>
      <c r="B863" s="7" t="s">
        <v>12632</v>
      </c>
      <c r="C863" s="7" t="s">
        <v>20332</v>
      </c>
      <c r="D863" s="112">
        <v>5</v>
      </c>
      <c r="E863" s="7"/>
      <c r="F863" s="7"/>
      <c r="G863" s="2" t="s">
        <v>20319</v>
      </c>
      <c r="H863" s="2" t="s">
        <v>981</v>
      </c>
      <c r="I863" s="2" t="s">
        <v>8693</v>
      </c>
      <c r="J863" s="2" t="s">
        <v>919</v>
      </c>
      <c r="K863" s="2" t="s">
        <v>20333</v>
      </c>
      <c r="L863" s="2" t="s">
        <v>20334</v>
      </c>
      <c r="M863" s="150" t="str">
        <f t="shared" si="553"/>
        <v>@flccsoftball</v>
      </c>
      <c r="N863" s="150" t="str">
        <f t="shared" si="554"/>
        <v>Questionnaire</v>
      </c>
      <c r="O863" s="48" t="s">
        <v>20323</v>
      </c>
      <c r="P863" s="60" t="s">
        <v>1304</v>
      </c>
      <c r="Q863" s="48" t="s">
        <v>20324</v>
      </c>
      <c r="R863" s="48" t="s">
        <v>172</v>
      </c>
      <c r="S863" s="49" t="s">
        <v>74</v>
      </c>
      <c r="T863" s="48" t="s">
        <v>75</v>
      </c>
      <c r="U863" s="49" t="s">
        <v>3678</v>
      </c>
      <c r="V863" s="7" t="s">
        <v>214</v>
      </c>
      <c r="W863" s="49" t="s">
        <v>214</v>
      </c>
      <c r="X863" s="49" t="s">
        <v>214</v>
      </c>
      <c r="Y863" s="49" t="s">
        <v>214</v>
      </c>
      <c r="Z863" s="55" t="s">
        <v>214</v>
      </c>
      <c r="AA863" s="48" t="s">
        <v>20325</v>
      </c>
      <c r="AB863" s="84" t="s">
        <v>20323</v>
      </c>
      <c r="AC863" s="67" t="str">
        <f t="shared" si="552"/>
        <v>Link</v>
      </c>
      <c r="AD863" s="42">
        <v>6520</v>
      </c>
      <c r="AE863" s="55"/>
      <c r="AF863" s="55"/>
      <c r="AG863" s="56">
        <v>191199</v>
      </c>
      <c r="AH863" s="56"/>
      <c r="AI863" s="56"/>
      <c r="AJ863" s="56"/>
      <c r="AK863" s="56"/>
    </row>
    <row r="864" spans="1:37" ht="13" x14ac:dyDescent="0.15">
      <c r="A864" s="64" t="s">
        <v>7303</v>
      </c>
      <c r="B864" s="7" t="s">
        <v>12632</v>
      </c>
      <c r="C864" s="7" t="s">
        <v>20335</v>
      </c>
      <c r="D864" s="44">
        <v>5</v>
      </c>
      <c r="E864" s="7"/>
      <c r="F864" s="7"/>
      <c r="G864" s="7" t="s">
        <v>20336</v>
      </c>
      <c r="H864" s="7" t="s">
        <v>2465</v>
      </c>
      <c r="I864" s="7" t="s">
        <v>20337</v>
      </c>
      <c r="J864" s="7" t="s">
        <v>48</v>
      </c>
      <c r="K864" s="7" t="s">
        <v>20338</v>
      </c>
      <c r="L864" s="7" t="s">
        <v>20339</v>
      </c>
      <c r="M864" s="7"/>
      <c r="N864" s="7"/>
      <c r="O864" s="48" t="s">
        <v>20340</v>
      </c>
      <c r="P864" s="60" t="s">
        <v>1304</v>
      </c>
      <c r="Q864" s="48" t="s">
        <v>9856</v>
      </c>
      <c r="R864" s="60" t="s">
        <v>205</v>
      </c>
      <c r="S864" s="49" t="s">
        <v>74</v>
      </c>
      <c r="T864" s="48" t="s">
        <v>75</v>
      </c>
      <c r="U864" s="49" t="s">
        <v>3678</v>
      </c>
      <c r="V864" s="48" t="s">
        <v>214</v>
      </c>
      <c r="W864" s="49" t="s">
        <v>214</v>
      </c>
      <c r="X864" s="49" t="s">
        <v>214</v>
      </c>
      <c r="Y864" s="49" t="s">
        <v>214</v>
      </c>
      <c r="Z864" s="55" t="s">
        <v>214</v>
      </c>
      <c r="AA864" s="48" t="s">
        <v>20341</v>
      </c>
      <c r="AB864" s="84" t="s">
        <v>20340</v>
      </c>
      <c r="AC864" s="67" t="str">
        <f t="shared" ref="AC864:AC865" si="555">HYPERLINK("http://www.fmcc.edu/academics/programs/academic-programs/","Link")</f>
        <v>Link</v>
      </c>
      <c r="AD864" s="42">
        <v>2634</v>
      </c>
      <c r="AE864" s="55"/>
      <c r="AF864" s="55"/>
      <c r="AG864" s="56">
        <v>191302</v>
      </c>
      <c r="AH864" s="42"/>
      <c r="AI864" s="55"/>
      <c r="AJ864" s="55"/>
      <c r="AK864" s="85"/>
    </row>
    <row r="865" spans="1:37" ht="15" x14ac:dyDescent="0.2">
      <c r="A865" s="64" t="s">
        <v>7303</v>
      </c>
      <c r="B865" s="7" t="s">
        <v>12632</v>
      </c>
      <c r="C865" s="7" t="s">
        <v>20342</v>
      </c>
      <c r="D865" s="112">
        <v>5</v>
      </c>
      <c r="E865" s="7"/>
      <c r="F865" s="7"/>
      <c r="G865" s="2" t="s">
        <v>20336</v>
      </c>
      <c r="H865" s="2" t="s">
        <v>421</v>
      </c>
      <c r="I865" s="2"/>
      <c r="J865" s="2" t="s">
        <v>48</v>
      </c>
      <c r="K865" s="2"/>
      <c r="L865" s="2"/>
      <c r="M865" s="48"/>
      <c r="N865" s="150" t="str">
        <f>HYPERLINK("https://www.fmcc.edu/athletic-online-form/","Questionnaire")</f>
        <v>Questionnaire</v>
      </c>
      <c r="O865" s="48" t="s">
        <v>20340</v>
      </c>
      <c r="P865" s="60" t="s">
        <v>1304</v>
      </c>
      <c r="Q865" s="48" t="s">
        <v>9856</v>
      </c>
      <c r="R865" s="60" t="s">
        <v>205</v>
      </c>
      <c r="S865" s="49" t="s">
        <v>74</v>
      </c>
      <c r="T865" s="48" t="s">
        <v>75</v>
      </c>
      <c r="U865" s="49" t="s">
        <v>3678</v>
      </c>
      <c r="V865" s="7" t="s">
        <v>214</v>
      </c>
      <c r="W865" s="49" t="s">
        <v>214</v>
      </c>
      <c r="X865" s="49" t="s">
        <v>214</v>
      </c>
      <c r="Y865" s="49" t="s">
        <v>214</v>
      </c>
      <c r="Z865" s="55" t="s">
        <v>214</v>
      </c>
      <c r="AA865" s="48" t="s">
        <v>20341</v>
      </c>
      <c r="AB865" s="84" t="s">
        <v>20340</v>
      </c>
      <c r="AC865" s="67" t="str">
        <f t="shared" si="555"/>
        <v>Link</v>
      </c>
      <c r="AD865" s="42">
        <v>2634</v>
      </c>
      <c r="AE865" s="55"/>
      <c r="AF865" s="55"/>
      <c r="AG865" s="56">
        <v>191302</v>
      </c>
      <c r="AH865" s="56"/>
      <c r="AI865" s="56"/>
      <c r="AJ865" s="56"/>
      <c r="AK865" s="56"/>
    </row>
    <row r="866" spans="1:37" ht="13" x14ac:dyDescent="0.15">
      <c r="A866" s="88" t="s">
        <v>7303</v>
      </c>
      <c r="B866" s="7" t="s">
        <v>12632</v>
      </c>
      <c r="C866" s="7" t="s">
        <v>20343</v>
      </c>
      <c r="D866" s="44">
        <v>5</v>
      </c>
      <c r="E866" s="7"/>
      <c r="F866" s="7"/>
      <c r="G866" s="7" t="s">
        <v>20344</v>
      </c>
      <c r="H866" s="7" t="s">
        <v>1124</v>
      </c>
      <c r="I866" s="7" t="s">
        <v>20345</v>
      </c>
      <c r="J866" s="7" t="s">
        <v>48</v>
      </c>
      <c r="K866" s="7" t="s">
        <v>20346</v>
      </c>
      <c r="L866" s="7" t="s">
        <v>20347</v>
      </c>
      <c r="M866" s="7"/>
      <c r="N866" s="150" t="str">
        <f t="shared" ref="N866:N868" si="556">HYPERLINK("https://geneseeathletics.com/recruits/allsportrecruitform","Questionnaire")</f>
        <v>Questionnaire</v>
      </c>
      <c r="O866" s="48" t="s">
        <v>20348</v>
      </c>
      <c r="P866" s="60" t="s">
        <v>1304</v>
      </c>
      <c r="Q866" s="6" t="s">
        <v>11220</v>
      </c>
      <c r="R866" s="6" t="s">
        <v>172</v>
      </c>
      <c r="S866" s="4" t="s">
        <v>74</v>
      </c>
      <c r="T866" s="48" t="s">
        <v>75</v>
      </c>
      <c r="U866" s="48" t="s">
        <v>3678</v>
      </c>
      <c r="V866" s="48" t="s">
        <v>214</v>
      </c>
      <c r="W866" s="4" t="s">
        <v>214</v>
      </c>
      <c r="X866" s="4" t="s">
        <v>214</v>
      </c>
      <c r="Y866" s="4" t="s">
        <v>214</v>
      </c>
      <c r="Z866" s="55" t="s">
        <v>214</v>
      </c>
      <c r="AA866" s="6" t="s">
        <v>20349</v>
      </c>
      <c r="AB866" s="84" t="s">
        <v>20348</v>
      </c>
      <c r="AC866" s="67" t="str">
        <f t="shared" ref="AC866:AC868" si="557">HYPERLINK("https://www.genesee.edu/academics/programs/","Link")</f>
        <v>Link</v>
      </c>
      <c r="AD866" s="42">
        <v>6135</v>
      </c>
      <c r="AE866" s="55"/>
      <c r="AF866" s="55"/>
      <c r="AG866" s="56">
        <v>191339</v>
      </c>
      <c r="AH866" s="42"/>
      <c r="AI866" s="55"/>
      <c r="AJ866" s="55"/>
      <c r="AK866" s="85"/>
    </row>
    <row r="867" spans="1:37" ht="15" x14ac:dyDescent="0.2">
      <c r="A867" s="64" t="s">
        <v>7303</v>
      </c>
      <c r="B867" s="7" t="s">
        <v>12632</v>
      </c>
      <c r="C867" s="7" t="s">
        <v>20350</v>
      </c>
      <c r="D867" s="112">
        <v>5</v>
      </c>
      <c r="E867" s="7"/>
      <c r="F867" s="7"/>
      <c r="G867" s="2" t="s">
        <v>20344</v>
      </c>
      <c r="H867" s="2" t="s">
        <v>1124</v>
      </c>
      <c r="I867" s="2" t="s">
        <v>20345</v>
      </c>
      <c r="J867" s="2" t="s">
        <v>48</v>
      </c>
      <c r="K867" s="2" t="s">
        <v>20346</v>
      </c>
      <c r="L867" s="2" t="s">
        <v>20347</v>
      </c>
      <c r="M867" s="48"/>
      <c r="N867" s="150" t="str">
        <f t="shared" si="556"/>
        <v>Questionnaire</v>
      </c>
      <c r="O867" s="48" t="s">
        <v>20348</v>
      </c>
      <c r="P867" s="60" t="s">
        <v>1304</v>
      </c>
      <c r="Q867" s="48" t="s">
        <v>11220</v>
      </c>
      <c r="R867" s="48" t="s">
        <v>172</v>
      </c>
      <c r="S867" s="49" t="s">
        <v>74</v>
      </c>
      <c r="T867" s="48" t="s">
        <v>75</v>
      </c>
      <c r="U867" s="49" t="s">
        <v>3678</v>
      </c>
      <c r="V867" s="7" t="s">
        <v>214</v>
      </c>
      <c r="W867" s="49" t="s">
        <v>214</v>
      </c>
      <c r="X867" s="49" t="s">
        <v>214</v>
      </c>
      <c r="Y867" s="49" t="s">
        <v>214</v>
      </c>
      <c r="Z867" s="55" t="s">
        <v>214</v>
      </c>
      <c r="AA867" s="48" t="s">
        <v>20349</v>
      </c>
      <c r="AB867" s="84" t="s">
        <v>20348</v>
      </c>
      <c r="AC867" s="67" t="str">
        <f t="shared" si="557"/>
        <v>Link</v>
      </c>
      <c r="AD867" s="42">
        <v>6135</v>
      </c>
      <c r="AE867" s="55"/>
      <c r="AF867" s="55"/>
      <c r="AG867" s="56">
        <v>191339</v>
      </c>
      <c r="AH867" s="56"/>
      <c r="AI867" s="56"/>
      <c r="AJ867" s="56"/>
      <c r="AK867" s="56"/>
    </row>
    <row r="868" spans="1:37" ht="15" x14ac:dyDescent="0.2">
      <c r="A868" s="64" t="s">
        <v>7303</v>
      </c>
      <c r="B868" s="7" t="s">
        <v>12632</v>
      </c>
      <c r="C868" s="7" t="s">
        <v>20351</v>
      </c>
      <c r="D868" s="112">
        <v>5</v>
      </c>
      <c r="E868" s="7"/>
      <c r="F868" s="7"/>
      <c r="G868" s="2" t="s">
        <v>20344</v>
      </c>
      <c r="H868" s="2" t="s">
        <v>402</v>
      </c>
      <c r="I868" s="2" t="s">
        <v>14380</v>
      </c>
      <c r="J868" s="2" t="s">
        <v>55</v>
      </c>
      <c r="K868" s="2"/>
      <c r="L868" s="2"/>
      <c r="M868" s="48"/>
      <c r="N868" s="150" t="str">
        <f t="shared" si="556"/>
        <v>Questionnaire</v>
      </c>
      <c r="O868" s="48" t="s">
        <v>20348</v>
      </c>
      <c r="P868" s="60" t="s">
        <v>1304</v>
      </c>
      <c r="Q868" s="48" t="s">
        <v>11220</v>
      </c>
      <c r="R868" s="48" t="s">
        <v>172</v>
      </c>
      <c r="S868" s="49" t="s">
        <v>74</v>
      </c>
      <c r="T868" s="48" t="s">
        <v>75</v>
      </c>
      <c r="U868" s="49" t="s">
        <v>3678</v>
      </c>
      <c r="V868" s="7" t="s">
        <v>214</v>
      </c>
      <c r="W868" s="49" t="s">
        <v>214</v>
      </c>
      <c r="X868" s="49" t="s">
        <v>214</v>
      </c>
      <c r="Y868" s="49" t="s">
        <v>214</v>
      </c>
      <c r="Z868" s="55" t="s">
        <v>214</v>
      </c>
      <c r="AA868" s="48" t="s">
        <v>20349</v>
      </c>
      <c r="AB868" s="84" t="s">
        <v>20348</v>
      </c>
      <c r="AC868" s="67" t="str">
        <f t="shared" si="557"/>
        <v>Link</v>
      </c>
      <c r="AD868" s="42">
        <v>6135</v>
      </c>
      <c r="AE868" s="55"/>
      <c r="AF868" s="55"/>
      <c r="AG868" s="56">
        <v>191339</v>
      </c>
      <c r="AH868" s="56"/>
      <c r="AI868" s="56"/>
      <c r="AJ868" s="56"/>
      <c r="AK868" s="56"/>
    </row>
    <row r="869" spans="1:37" ht="15" x14ac:dyDescent="0.2">
      <c r="A869" s="64" t="s">
        <v>7303</v>
      </c>
      <c r="B869" s="7" t="s">
        <v>12632</v>
      </c>
      <c r="C869" s="7" t="s">
        <v>20352</v>
      </c>
      <c r="D869" s="112">
        <v>5</v>
      </c>
      <c r="E869" s="7"/>
      <c r="F869" s="7"/>
      <c r="G869" s="2" t="s">
        <v>20353</v>
      </c>
      <c r="H869" s="2" t="s">
        <v>20354</v>
      </c>
      <c r="I869" s="2" t="s">
        <v>20355</v>
      </c>
      <c r="J869" s="2" t="s">
        <v>48</v>
      </c>
      <c r="K869" s="2" t="s">
        <v>20356</v>
      </c>
      <c r="L869" s="2" t="s">
        <v>20357</v>
      </c>
      <c r="M869" s="150" t="str">
        <f>HYPERLINK("twitter.com/herksoftball","@herksoftball")</f>
        <v>@herksoftball</v>
      </c>
      <c r="N869" s="150" t="str">
        <f>HYPERLINK("https://www.herkimergenerals.com/inside-athletics/recruitment/","Questionnaire")</f>
        <v>Questionnaire</v>
      </c>
      <c r="O869" s="48" t="s">
        <v>20358</v>
      </c>
      <c r="P869" s="60" t="s">
        <v>1304</v>
      </c>
      <c r="Q869" s="48" t="s">
        <v>20359</v>
      </c>
      <c r="R869" s="60" t="s">
        <v>205</v>
      </c>
      <c r="S869" s="49" t="s">
        <v>74</v>
      </c>
      <c r="T869" s="48" t="s">
        <v>75</v>
      </c>
      <c r="U869" s="49" t="s">
        <v>3678</v>
      </c>
      <c r="V869" s="7" t="s">
        <v>214</v>
      </c>
      <c r="W869" s="49" t="s">
        <v>214</v>
      </c>
      <c r="X869" s="49" t="s">
        <v>214</v>
      </c>
      <c r="Y869" s="49" t="s">
        <v>214</v>
      </c>
      <c r="Z869" s="55" t="s">
        <v>214</v>
      </c>
      <c r="AA869" s="48" t="s">
        <v>20360</v>
      </c>
      <c r="AB869" s="84" t="s">
        <v>20358</v>
      </c>
      <c r="AC869" s="67" t="str">
        <f>HYPERLINK("https://www.herkimer.edu/learn/online-learning/programs-and-majors/","Link")</f>
        <v>Link</v>
      </c>
      <c r="AD869" s="42">
        <v>2645</v>
      </c>
      <c r="AE869" s="55"/>
      <c r="AF869" s="55"/>
      <c r="AG869" s="56">
        <v>191612</v>
      </c>
      <c r="AH869" s="56"/>
      <c r="AI869" s="56"/>
      <c r="AJ869" s="56"/>
      <c r="AK869" s="56"/>
    </row>
    <row r="870" spans="1:37" ht="15" x14ac:dyDescent="0.2">
      <c r="A870" s="64" t="s">
        <v>7303</v>
      </c>
      <c r="B870" s="7" t="s">
        <v>12632</v>
      </c>
      <c r="C870" s="7" t="s">
        <v>20361</v>
      </c>
      <c r="D870" s="112">
        <v>5</v>
      </c>
      <c r="E870" s="7"/>
      <c r="F870" s="7"/>
      <c r="G870" s="2" t="s">
        <v>20362</v>
      </c>
      <c r="H870" s="2" t="s">
        <v>2993</v>
      </c>
      <c r="I870" s="2" t="s">
        <v>20363</v>
      </c>
      <c r="J870" s="2" t="s">
        <v>48</v>
      </c>
      <c r="K870" s="2" t="s">
        <v>20364</v>
      </c>
      <c r="L870" s="2" t="s">
        <v>20365</v>
      </c>
      <c r="M870" s="48"/>
      <c r="N870" s="150" t="str">
        <f t="shared" ref="N870:N872" si="558">HYPERLINK("https://www.hvccathletics.com/student-athlete-resources/interest-form","Questionnaire")</f>
        <v>Questionnaire</v>
      </c>
      <c r="O870" s="48" t="s">
        <v>20366</v>
      </c>
      <c r="P870" s="60" t="s">
        <v>1304</v>
      </c>
      <c r="Q870" s="48" t="s">
        <v>855</v>
      </c>
      <c r="R870" s="48" t="s">
        <v>468</v>
      </c>
      <c r="S870" s="49" t="s">
        <v>74</v>
      </c>
      <c r="T870" s="48" t="s">
        <v>75</v>
      </c>
      <c r="U870" s="49" t="s">
        <v>3678</v>
      </c>
      <c r="V870" s="7" t="s">
        <v>214</v>
      </c>
      <c r="W870" s="49" t="s">
        <v>214</v>
      </c>
      <c r="X870" s="49" t="s">
        <v>214</v>
      </c>
      <c r="Y870" s="49" t="s">
        <v>214</v>
      </c>
      <c r="Z870" s="55" t="s">
        <v>214</v>
      </c>
      <c r="AA870" s="48" t="s">
        <v>20367</v>
      </c>
      <c r="AB870" s="84" t="s">
        <v>20366</v>
      </c>
      <c r="AC870" s="67" t="str">
        <f t="shared" ref="AC870:AC872" si="559">HYPERLINK("https://catalog.hvcc.edu/content.php?catoid=2&amp;navoid=73","Link")</f>
        <v>Link</v>
      </c>
      <c r="AD870" s="42">
        <v>11587</v>
      </c>
      <c r="AE870" s="55"/>
      <c r="AF870" s="55"/>
      <c r="AG870" s="56">
        <v>191719</v>
      </c>
      <c r="AH870" s="56"/>
      <c r="AI870" s="56"/>
      <c r="AJ870" s="56"/>
      <c r="AK870" s="56"/>
    </row>
    <row r="871" spans="1:37" ht="15" x14ac:dyDescent="0.2">
      <c r="A871" s="64" t="s">
        <v>7303</v>
      </c>
      <c r="B871" s="7" t="s">
        <v>12632</v>
      </c>
      <c r="C871" s="7" t="s">
        <v>20368</v>
      </c>
      <c r="D871" s="112">
        <v>5</v>
      </c>
      <c r="E871" s="7"/>
      <c r="F871" s="7"/>
      <c r="G871" s="2" t="s">
        <v>20362</v>
      </c>
      <c r="H871" s="2" t="s">
        <v>222</v>
      </c>
      <c r="I871" s="2" t="s">
        <v>20369</v>
      </c>
      <c r="J871" s="2" t="s">
        <v>55</v>
      </c>
      <c r="K871" s="2" t="s">
        <v>20370</v>
      </c>
      <c r="L871" s="2"/>
      <c r="M871" s="48"/>
      <c r="N871" s="150" t="str">
        <f t="shared" si="558"/>
        <v>Questionnaire</v>
      </c>
      <c r="O871" s="48" t="s">
        <v>20366</v>
      </c>
      <c r="P871" s="60" t="s">
        <v>1304</v>
      </c>
      <c r="Q871" s="48" t="s">
        <v>855</v>
      </c>
      <c r="R871" s="48" t="s">
        <v>468</v>
      </c>
      <c r="S871" s="49" t="s">
        <v>74</v>
      </c>
      <c r="T871" s="48" t="s">
        <v>75</v>
      </c>
      <c r="U871" s="49" t="s">
        <v>3678</v>
      </c>
      <c r="V871" s="7" t="s">
        <v>214</v>
      </c>
      <c r="W871" s="49" t="s">
        <v>214</v>
      </c>
      <c r="X871" s="49" t="s">
        <v>214</v>
      </c>
      <c r="Y871" s="49" t="s">
        <v>214</v>
      </c>
      <c r="Z871" s="55" t="s">
        <v>214</v>
      </c>
      <c r="AA871" s="48" t="s">
        <v>20367</v>
      </c>
      <c r="AB871" s="84" t="s">
        <v>20366</v>
      </c>
      <c r="AC871" s="67" t="str">
        <f t="shared" si="559"/>
        <v>Link</v>
      </c>
      <c r="AD871" s="42">
        <v>11587</v>
      </c>
      <c r="AE871" s="55"/>
      <c r="AF871" s="55"/>
      <c r="AG871" s="56">
        <v>191719</v>
      </c>
      <c r="AH871" s="56"/>
      <c r="AI871" s="56"/>
      <c r="AJ871" s="56"/>
      <c r="AK871" s="56"/>
    </row>
    <row r="872" spans="1:37" ht="15" x14ac:dyDescent="0.2">
      <c r="A872" s="64" t="s">
        <v>7303</v>
      </c>
      <c r="B872" s="7" t="s">
        <v>12632</v>
      </c>
      <c r="C872" s="7" t="s">
        <v>20371</v>
      </c>
      <c r="D872" s="112">
        <v>5</v>
      </c>
      <c r="E872" s="7"/>
      <c r="F872" s="7"/>
      <c r="G872" s="2" t="s">
        <v>20362</v>
      </c>
      <c r="H872" s="2" t="s">
        <v>4233</v>
      </c>
      <c r="I872" s="2" t="s">
        <v>20372</v>
      </c>
      <c r="J872" s="2" t="s">
        <v>55</v>
      </c>
      <c r="K872" s="2" t="s">
        <v>20373</v>
      </c>
      <c r="L872" s="2"/>
      <c r="M872" s="48"/>
      <c r="N872" s="150" t="str">
        <f t="shared" si="558"/>
        <v>Questionnaire</v>
      </c>
      <c r="O872" s="48" t="s">
        <v>20366</v>
      </c>
      <c r="P872" s="60" t="s">
        <v>1304</v>
      </c>
      <c r="Q872" s="48" t="s">
        <v>855</v>
      </c>
      <c r="R872" s="48" t="s">
        <v>468</v>
      </c>
      <c r="S872" s="49" t="s">
        <v>74</v>
      </c>
      <c r="T872" s="48" t="s">
        <v>75</v>
      </c>
      <c r="U872" s="49" t="s">
        <v>3678</v>
      </c>
      <c r="V872" s="7" t="s">
        <v>214</v>
      </c>
      <c r="W872" s="49" t="s">
        <v>214</v>
      </c>
      <c r="X872" s="49" t="s">
        <v>214</v>
      </c>
      <c r="Y872" s="49" t="s">
        <v>214</v>
      </c>
      <c r="Z872" s="55" t="s">
        <v>214</v>
      </c>
      <c r="AA872" s="48" t="s">
        <v>20367</v>
      </c>
      <c r="AB872" s="84" t="s">
        <v>20366</v>
      </c>
      <c r="AC872" s="67" t="str">
        <f t="shared" si="559"/>
        <v>Link</v>
      </c>
      <c r="AD872" s="42">
        <v>11587</v>
      </c>
      <c r="AE872" s="55"/>
      <c r="AF872" s="55"/>
      <c r="AG872" s="56">
        <v>191719</v>
      </c>
      <c r="AH872" s="56"/>
      <c r="AI872" s="56"/>
      <c r="AJ872" s="56"/>
      <c r="AK872" s="56"/>
    </row>
    <row r="873" spans="1:37" ht="15" x14ac:dyDescent="0.2">
      <c r="A873" s="64" t="s">
        <v>7303</v>
      </c>
      <c r="B873" s="7" t="s">
        <v>12632</v>
      </c>
      <c r="C873" s="7" t="s">
        <v>20374</v>
      </c>
      <c r="D873" s="112">
        <v>5</v>
      </c>
      <c r="E873" s="7"/>
      <c r="F873" s="7"/>
      <c r="G873" s="2" t="s">
        <v>20375</v>
      </c>
      <c r="H873" s="2" t="s">
        <v>20376</v>
      </c>
      <c r="I873" s="2" t="s">
        <v>20377</v>
      </c>
      <c r="J873" s="2" t="s">
        <v>48</v>
      </c>
      <c r="K873" s="2" t="s">
        <v>20378</v>
      </c>
      <c r="L873" s="2" t="s">
        <v>20379</v>
      </c>
      <c r="M873" s="48"/>
      <c r="N873" s="150" t="str">
        <f t="shared" ref="N873:N874" si="560">HYPERLINK("https://www.gomvhawks.com/recruits/interest","Questionnaire")</f>
        <v>Questionnaire</v>
      </c>
      <c r="O873" s="48" t="s">
        <v>20380</v>
      </c>
      <c r="P873" s="60" t="s">
        <v>1304</v>
      </c>
      <c r="Q873" s="48" t="s">
        <v>10464</v>
      </c>
      <c r="R873" s="48" t="s">
        <v>186</v>
      </c>
      <c r="S873" s="49" t="s">
        <v>74</v>
      </c>
      <c r="T873" s="48" t="s">
        <v>75</v>
      </c>
      <c r="U873" s="49" t="s">
        <v>3678</v>
      </c>
      <c r="V873" s="7" t="s">
        <v>214</v>
      </c>
      <c r="W873" s="49" t="s">
        <v>214</v>
      </c>
      <c r="X873" s="49" t="s">
        <v>214</v>
      </c>
      <c r="Y873" s="49" t="s">
        <v>214</v>
      </c>
      <c r="Z873" s="55" t="s">
        <v>214</v>
      </c>
      <c r="AA873" s="39">
        <v>17965</v>
      </c>
      <c r="AB873" s="84" t="s">
        <v>20380</v>
      </c>
      <c r="AC873" s="67" t="str">
        <f t="shared" ref="AC873:AC874" si="561">HYPERLINK("https://www.mvcc.edu/academic-programs/degrees","Link")</f>
        <v>Link</v>
      </c>
      <c r="AD873" s="42">
        <v>6625</v>
      </c>
      <c r="AE873" s="55"/>
      <c r="AF873" s="55"/>
      <c r="AG873" s="56">
        <v>193283</v>
      </c>
      <c r="AH873" s="56"/>
      <c r="AI873" s="56"/>
      <c r="AJ873" s="56"/>
      <c r="AK873" s="56"/>
    </row>
    <row r="874" spans="1:37" ht="15" x14ac:dyDescent="0.2">
      <c r="A874" s="64" t="s">
        <v>7303</v>
      </c>
      <c r="B874" s="7" t="s">
        <v>12632</v>
      </c>
      <c r="C874" s="7" t="s">
        <v>20381</v>
      </c>
      <c r="D874" s="112">
        <v>5</v>
      </c>
      <c r="E874" s="7"/>
      <c r="F874" s="7"/>
      <c r="G874" s="2" t="s">
        <v>20375</v>
      </c>
      <c r="H874" s="2" t="s">
        <v>20382</v>
      </c>
      <c r="I874" s="2" t="s">
        <v>20383</v>
      </c>
      <c r="J874" s="2" t="s">
        <v>919</v>
      </c>
      <c r="K874" s="2"/>
      <c r="L874" s="2"/>
      <c r="M874" s="48"/>
      <c r="N874" s="150" t="str">
        <f t="shared" si="560"/>
        <v>Questionnaire</v>
      </c>
      <c r="O874" s="48" t="s">
        <v>20380</v>
      </c>
      <c r="P874" s="60" t="s">
        <v>1304</v>
      </c>
      <c r="Q874" s="48" t="s">
        <v>10464</v>
      </c>
      <c r="R874" s="48" t="s">
        <v>186</v>
      </c>
      <c r="S874" s="49" t="s">
        <v>74</v>
      </c>
      <c r="T874" s="48" t="s">
        <v>75</v>
      </c>
      <c r="U874" s="49" t="s">
        <v>3678</v>
      </c>
      <c r="V874" s="7" t="s">
        <v>214</v>
      </c>
      <c r="W874" s="49" t="s">
        <v>214</v>
      </c>
      <c r="X874" s="49" t="s">
        <v>214</v>
      </c>
      <c r="Y874" s="49" t="s">
        <v>214</v>
      </c>
      <c r="Z874" s="55" t="s">
        <v>214</v>
      </c>
      <c r="AA874" s="39">
        <v>17965</v>
      </c>
      <c r="AB874" s="84" t="s">
        <v>20380</v>
      </c>
      <c r="AC874" s="67" t="str">
        <f t="shared" si="561"/>
        <v>Link</v>
      </c>
      <c r="AD874" s="42">
        <v>6625</v>
      </c>
      <c r="AE874" s="55"/>
      <c r="AF874" s="55"/>
      <c r="AG874" s="56">
        <v>193283</v>
      </c>
      <c r="AH874" s="56"/>
      <c r="AI874" s="56"/>
      <c r="AJ874" s="56"/>
      <c r="AK874" s="56"/>
    </row>
    <row r="875" spans="1:37" ht="15" x14ac:dyDescent="0.2">
      <c r="A875" s="64" t="s">
        <v>7303</v>
      </c>
      <c r="B875" s="7" t="s">
        <v>12632</v>
      </c>
      <c r="C875" s="7" t="s">
        <v>20384</v>
      </c>
      <c r="D875" s="112">
        <v>5</v>
      </c>
      <c r="E875" s="7"/>
      <c r="F875" s="7"/>
      <c r="G875" s="2" t="s">
        <v>20385</v>
      </c>
      <c r="H875" s="2" t="s">
        <v>2289</v>
      </c>
      <c r="I875" s="2" t="s">
        <v>20386</v>
      </c>
      <c r="J875" s="2" t="s">
        <v>48</v>
      </c>
      <c r="K875" s="2" t="s">
        <v>20387</v>
      </c>
      <c r="L875" s="2" t="s">
        <v>20388</v>
      </c>
      <c r="M875" s="48"/>
      <c r="N875" s="48" t="s">
        <v>22</v>
      </c>
      <c r="O875" s="48" t="s">
        <v>20389</v>
      </c>
      <c r="P875" s="60" t="s">
        <v>1304</v>
      </c>
      <c r="Q875" s="48" t="s">
        <v>1897</v>
      </c>
      <c r="R875" s="48" t="s">
        <v>288</v>
      </c>
      <c r="S875" s="49" t="s">
        <v>74</v>
      </c>
      <c r="T875" s="48" t="s">
        <v>75</v>
      </c>
      <c r="U875" s="49" t="s">
        <v>3678</v>
      </c>
      <c r="V875" s="7" t="s">
        <v>214</v>
      </c>
      <c r="W875" s="49" t="s">
        <v>214</v>
      </c>
      <c r="X875" s="49" t="s">
        <v>214</v>
      </c>
      <c r="Y875" s="49" t="s">
        <v>214</v>
      </c>
      <c r="Z875" s="65">
        <v>0.53</v>
      </c>
      <c r="AA875" s="39">
        <v>29030</v>
      </c>
      <c r="AB875" s="84" t="s">
        <v>20389</v>
      </c>
      <c r="AC875" s="67" t="str">
        <f t="shared" ref="AC875:AC877" si="562">HYPERLINK("https://www.monroecollege.edu/Degrees/Undergraduate-Degrees/","Link")</f>
        <v>Link</v>
      </c>
      <c r="AD875" s="42">
        <v>5888</v>
      </c>
      <c r="AE875" s="55"/>
      <c r="AF875" s="55"/>
      <c r="AG875" s="56">
        <v>193308</v>
      </c>
      <c r="AH875" s="56"/>
      <c r="AI875" s="56"/>
      <c r="AJ875" s="56"/>
      <c r="AK875" s="56"/>
    </row>
    <row r="876" spans="1:37" ht="15" x14ac:dyDescent="0.2">
      <c r="A876" s="64" t="s">
        <v>7303</v>
      </c>
      <c r="B876" s="7" t="s">
        <v>12632</v>
      </c>
      <c r="C876" s="7" t="s">
        <v>20390</v>
      </c>
      <c r="D876" s="112">
        <v>5</v>
      </c>
      <c r="E876" s="7"/>
      <c r="F876" s="7"/>
      <c r="G876" s="2" t="s">
        <v>20385</v>
      </c>
      <c r="H876" s="2" t="s">
        <v>93</v>
      </c>
      <c r="I876" s="2" t="s">
        <v>20391</v>
      </c>
      <c r="J876" s="2" t="s">
        <v>55</v>
      </c>
      <c r="K876" s="2" t="s">
        <v>20392</v>
      </c>
      <c r="L876" s="2" t="s">
        <v>20388</v>
      </c>
      <c r="M876" s="48"/>
      <c r="N876" s="48" t="s">
        <v>22</v>
      </c>
      <c r="O876" s="48" t="s">
        <v>20389</v>
      </c>
      <c r="P876" s="60" t="s">
        <v>1304</v>
      </c>
      <c r="Q876" s="48" t="s">
        <v>1897</v>
      </c>
      <c r="R876" s="48" t="s">
        <v>288</v>
      </c>
      <c r="S876" s="49" t="s">
        <v>74</v>
      </c>
      <c r="T876" s="48" t="s">
        <v>75</v>
      </c>
      <c r="U876" s="49" t="s">
        <v>3678</v>
      </c>
      <c r="V876" s="7" t="s">
        <v>214</v>
      </c>
      <c r="W876" s="49" t="s">
        <v>214</v>
      </c>
      <c r="X876" s="49" t="s">
        <v>214</v>
      </c>
      <c r="Y876" s="49" t="s">
        <v>214</v>
      </c>
      <c r="Z876" s="65">
        <v>0.53</v>
      </c>
      <c r="AA876" s="39">
        <v>29030</v>
      </c>
      <c r="AB876" s="84" t="s">
        <v>20389</v>
      </c>
      <c r="AC876" s="67" t="str">
        <f t="shared" si="562"/>
        <v>Link</v>
      </c>
      <c r="AD876" s="42">
        <v>5888</v>
      </c>
      <c r="AE876" s="55"/>
      <c r="AF876" s="55"/>
      <c r="AG876" s="56">
        <v>193308</v>
      </c>
      <c r="AH876" s="56"/>
      <c r="AI876" s="56"/>
      <c r="AJ876" s="56"/>
      <c r="AK876" s="56"/>
    </row>
    <row r="877" spans="1:37" ht="15" x14ac:dyDescent="0.2">
      <c r="A877" s="64" t="s">
        <v>7303</v>
      </c>
      <c r="B877" s="7" t="s">
        <v>12632</v>
      </c>
      <c r="C877" s="7" t="s">
        <v>20390</v>
      </c>
      <c r="D877" s="112">
        <v>5</v>
      </c>
      <c r="E877" s="7" t="s">
        <v>116</v>
      </c>
      <c r="F877" s="7"/>
      <c r="G877" s="2" t="s">
        <v>20385</v>
      </c>
      <c r="H877" s="2" t="s">
        <v>878</v>
      </c>
      <c r="I877" s="2" t="s">
        <v>19740</v>
      </c>
      <c r="J877" s="2" t="s">
        <v>120</v>
      </c>
      <c r="K877" s="2"/>
      <c r="L877" s="2"/>
      <c r="M877" s="48"/>
      <c r="N877" s="48" t="s">
        <v>22</v>
      </c>
      <c r="O877" s="48" t="s">
        <v>20389</v>
      </c>
      <c r="P877" s="60" t="s">
        <v>1304</v>
      </c>
      <c r="Q877" s="48" t="s">
        <v>1897</v>
      </c>
      <c r="R877" s="48" t="s">
        <v>288</v>
      </c>
      <c r="S877" s="49" t="s">
        <v>74</v>
      </c>
      <c r="T877" s="48" t="s">
        <v>75</v>
      </c>
      <c r="U877" s="49" t="s">
        <v>3678</v>
      </c>
      <c r="V877" s="7" t="s">
        <v>214</v>
      </c>
      <c r="W877" s="49" t="s">
        <v>214</v>
      </c>
      <c r="X877" s="49" t="s">
        <v>214</v>
      </c>
      <c r="Y877" s="49" t="s">
        <v>214</v>
      </c>
      <c r="Z877" s="65">
        <v>0.53</v>
      </c>
      <c r="AA877" s="39">
        <v>29030</v>
      </c>
      <c r="AB877" s="84" t="s">
        <v>20389</v>
      </c>
      <c r="AC877" s="67" t="str">
        <f t="shared" si="562"/>
        <v>Link</v>
      </c>
      <c r="AD877" s="42">
        <v>5888</v>
      </c>
      <c r="AE877" s="55"/>
      <c r="AF877" s="55"/>
      <c r="AG877" s="56">
        <v>193308</v>
      </c>
      <c r="AH877" s="56"/>
      <c r="AI877" s="56"/>
      <c r="AJ877" s="56"/>
      <c r="AK877" s="56"/>
    </row>
    <row r="878" spans="1:37" ht="15" x14ac:dyDescent="0.2">
      <c r="A878" s="31" t="s">
        <v>7303</v>
      </c>
      <c r="B878" s="7" t="s">
        <v>12632</v>
      </c>
      <c r="C878" s="7"/>
      <c r="D878" s="112">
        <v>5</v>
      </c>
      <c r="E878" s="7"/>
      <c r="F878" s="7"/>
      <c r="G878" s="2" t="s">
        <v>20393</v>
      </c>
      <c r="H878" s="2" t="s">
        <v>4599</v>
      </c>
      <c r="I878" s="2" t="s">
        <v>20394</v>
      </c>
      <c r="J878" s="2" t="s">
        <v>48</v>
      </c>
      <c r="K878" s="2" t="s">
        <v>20395</v>
      </c>
      <c r="L878" s="2" t="s">
        <v>20396</v>
      </c>
      <c r="M878" s="48"/>
      <c r="N878" s="96" t="str">
        <f>HYPERLINK("https://www.sunyorange.edu/machform/view.php?id=27","Questionnaire")</f>
        <v>Questionnaire</v>
      </c>
      <c r="O878" s="45"/>
      <c r="P878" s="45"/>
      <c r="Q878" s="48" t="s">
        <v>20397</v>
      </c>
      <c r="R878" s="60" t="s">
        <v>1304</v>
      </c>
      <c r="S878" s="48" t="s">
        <v>1103</v>
      </c>
      <c r="T878" s="48" t="s">
        <v>468</v>
      </c>
      <c r="U878" s="49" t="s">
        <v>74</v>
      </c>
      <c r="V878" s="48" t="s">
        <v>75</v>
      </c>
      <c r="W878" s="49" t="s">
        <v>3678</v>
      </c>
      <c r="X878" s="49" t="s">
        <v>214</v>
      </c>
      <c r="Y878" s="49" t="s">
        <v>214</v>
      </c>
      <c r="Z878" s="49" t="s">
        <v>214</v>
      </c>
      <c r="AA878" s="49" t="s">
        <v>214</v>
      </c>
      <c r="AB878" s="55" t="s">
        <v>214</v>
      </c>
      <c r="AC878" s="48" t="s">
        <v>20398</v>
      </c>
      <c r="AD878" s="84" t="s">
        <v>20397</v>
      </c>
      <c r="AE878" s="53" t="str">
        <f>HYPERLINK("http://www.sunyorange.edu/admissions/programs/index.shtml","Link")</f>
        <v>Link</v>
      </c>
      <c r="AF878" s="42">
        <v>6925</v>
      </c>
      <c r="AG878" s="55"/>
      <c r="AH878" s="7" t="s">
        <v>2459</v>
      </c>
      <c r="AI878" s="56">
        <v>194240</v>
      </c>
      <c r="AJ878" s="56"/>
      <c r="AK878" s="56"/>
    </row>
    <row r="879" spans="1:37" ht="15" x14ac:dyDescent="0.2">
      <c r="A879" s="64" t="s">
        <v>7303</v>
      </c>
      <c r="B879" s="7" t="s">
        <v>12632</v>
      </c>
      <c r="C879" s="7" t="s">
        <v>20399</v>
      </c>
      <c r="D879" s="112">
        <v>5</v>
      </c>
      <c r="E879" s="7"/>
      <c r="F879" s="7"/>
      <c r="G879" s="2" t="s">
        <v>20400</v>
      </c>
      <c r="H879" s="2" t="s">
        <v>306</v>
      </c>
      <c r="I879" s="2" t="s">
        <v>20401</v>
      </c>
      <c r="J879" s="2" t="s">
        <v>48</v>
      </c>
      <c r="K879" s="2" t="s">
        <v>20402</v>
      </c>
      <c r="L879" s="2"/>
      <c r="M879" s="48"/>
      <c r="N879" s="150" t="str">
        <f t="shared" ref="N879:N880" si="563">HYPERLINK("https://nassaulions.com/sb_output.aspx?form=3","Questionnaire")</f>
        <v>Questionnaire</v>
      </c>
      <c r="O879" s="48" t="s">
        <v>20403</v>
      </c>
      <c r="P879" s="60" t="s">
        <v>1304</v>
      </c>
      <c r="Q879" s="48" t="s">
        <v>7316</v>
      </c>
      <c r="R879" s="48" t="s">
        <v>172</v>
      </c>
      <c r="S879" s="49" t="s">
        <v>74</v>
      </c>
      <c r="T879" s="48" t="s">
        <v>75</v>
      </c>
      <c r="U879" s="49" t="s">
        <v>3678</v>
      </c>
      <c r="V879" s="7" t="s">
        <v>214</v>
      </c>
      <c r="W879" s="49" t="s">
        <v>214</v>
      </c>
      <c r="X879" s="49" t="s">
        <v>214</v>
      </c>
      <c r="Y879" s="49" t="s">
        <v>214</v>
      </c>
      <c r="Z879" s="55" t="s">
        <v>214</v>
      </c>
      <c r="AA879" s="48" t="s">
        <v>20404</v>
      </c>
      <c r="AB879" s="84" t="s">
        <v>20403</v>
      </c>
      <c r="AC879" s="67" t="str">
        <f t="shared" ref="AC879:AC880" si="564">HYPERLINK("http://collegecatalog.ncc.edu/current/programs/","Link")</f>
        <v>Link</v>
      </c>
      <c r="AD879" s="42">
        <v>20374</v>
      </c>
      <c r="AE879" s="55"/>
      <c r="AF879" s="55"/>
      <c r="AG879" s="56">
        <v>193478</v>
      </c>
      <c r="AH879" s="56"/>
      <c r="AI879" s="56"/>
      <c r="AJ879" s="56"/>
      <c r="AK879" s="56"/>
    </row>
    <row r="880" spans="1:37" ht="15" x14ac:dyDescent="0.2">
      <c r="A880" s="64" t="s">
        <v>7303</v>
      </c>
      <c r="B880" s="7" t="s">
        <v>12632</v>
      </c>
      <c r="C880" s="7" t="s">
        <v>20405</v>
      </c>
      <c r="D880" s="112">
        <v>5</v>
      </c>
      <c r="E880" s="7"/>
      <c r="F880" s="7"/>
      <c r="G880" s="2" t="s">
        <v>20400</v>
      </c>
      <c r="H880" s="2" t="s">
        <v>1266</v>
      </c>
      <c r="I880" s="2" t="s">
        <v>20406</v>
      </c>
      <c r="J880" s="2" t="s">
        <v>55</v>
      </c>
      <c r="K880" s="2"/>
      <c r="L880" s="2"/>
      <c r="M880" s="48"/>
      <c r="N880" s="150" t="str">
        <f t="shared" si="563"/>
        <v>Questionnaire</v>
      </c>
      <c r="O880" s="48" t="s">
        <v>20403</v>
      </c>
      <c r="P880" s="60" t="s">
        <v>1304</v>
      </c>
      <c r="Q880" s="48" t="s">
        <v>7316</v>
      </c>
      <c r="R880" s="48" t="s">
        <v>172</v>
      </c>
      <c r="S880" s="49" t="s">
        <v>74</v>
      </c>
      <c r="T880" s="48" t="s">
        <v>75</v>
      </c>
      <c r="U880" s="49" t="s">
        <v>3678</v>
      </c>
      <c r="V880" s="7" t="s">
        <v>214</v>
      </c>
      <c r="W880" s="49" t="s">
        <v>214</v>
      </c>
      <c r="X880" s="49" t="s">
        <v>214</v>
      </c>
      <c r="Y880" s="49" t="s">
        <v>214</v>
      </c>
      <c r="Z880" s="55" t="s">
        <v>214</v>
      </c>
      <c r="AA880" s="48" t="s">
        <v>20404</v>
      </c>
      <c r="AB880" s="84" t="s">
        <v>20403</v>
      </c>
      <c r="AC880" s="67" t="str">
        <f t="shared" si="564"/>
        <v>Link</v>
      </c>
      <c r="AD880" s="42">
        <v>20374</v>
      </c>
      <c r="AE880" s="55"/>
      <c r="AF880" s="55"/>
      <c r="AG880" s="56">
        <v>193478</v>
      </c>
      <c r="AH880" s="56"/>
      <c r="AI880" s="56"/>
      <c r="AJ880" s="56"/>
      <c r="AK880" s="56"/>
    </row>
    <row r="881" spans="1:37" ht="15" x14ac:dyDescent="0.2">
      <c r="A881" s="64" t="s">
        <v>7303</v>
      </c>
      <c r="B881" s="7" t="s">
        <v>12632</v>
      </c>
      <c r="C881" s="7" t="s">
        <v>20407</v>
      </c>
      <c r="D881" s="112">
        <v>5</v>
      </c>
      <c r="E881" s="7"/>
      <c r="F881" s="7"/>
      <c r="G881" s="2" t="s">
        <v>20408</v>
      </c>
      <c r="H881" s="2" t="s">
        <v>1524</v>
      </c>
      <c r="I881" s="2" t="s">
        <v>1379</v>
      </c>
      <c r="J881" s="2" t="s">
        <v>48</v>
      </c>
      <c r="K881" s="2" t="s">
        <v>20409</v>
      </c>
      <c r="L881" s="2" t="s">
        <v>20410</v>
      </c>
      <c r="M881" s="48"/>
      <c r="N881" s="150" t="str">
        <f t="shared" ref="N881:N885" si="565">HYPERLINK("https://www.sunyadktimberwolves.com/information/Recruitment_Forms","Questionnaire")</f>
        <v>Questionnaire</v>
      </c>
      <c r="O881" s="48" t="s">
        <v>20411</v>
      </c>
      <c r="P881" s="60" t="s">
        <v>1304</v>
      </c>
      <c r="Q881" s="48" t="s">
        <v>20412</v>
      </c>
      <c r="R881" s="48" t="s">
        <v>468</v>
      </c>
      <c r="S881" s="49" t="s">
        <v>74</v>
      </c>
      <c r="T881" s="48" t="s">
        <v>75</v>
      </c>
      <c r="U881" s="49" t="s">
        <v>3678</v>
      </c>
      <c r="V881" s="7" t="s">
        <v>214</v>
      </c>
      <c r="W881" s="49" t="s">
        <v>214</v>
      </c>
      <c r="X881" s="49" t="s">
        <v>214</v>
      </c>
      <c r="Y881" s="49" t="s">
        <v>214</v>
      </c>
      <c r="Z881" s="55" t="s">
        <v>214</v>
      </c>
      <c r="AA881" s="48" t="s">
        <v>20413</v>
      </c>
      <c r="AB881" s="52" t="s">
        <v>20411</v>
      </c>
      <c r="AC881" s="67" t="str">
        <f t="shared" ref="AC881:AC885" si="566">HYPERLINK("https://www.sunyacc.edu/academics/degree-programs","Link")</f>
        <v>Link</v>
      </c>
      <c r="AD881" s="42">
        <v>3776</v>
      </c>
      <c r="AE881" s="55"/>
      <c r="AF881" s="55"/>
      <c r="AG881" s="56">
        <v>188438</v>
      </c>
      <c r="AH881" s="56"/>
      <c r="AI881" s="56"/>
      <c r="AJ881" s="56"/>
      <c r="AK881" s="56"/>
    </row>
    <row r="882" spans="1:37" ht="15" x14ac:dyDescent="0.2">
      <c r="A882" s="64" t="s">
        <v>7303</v>
      </c>
      <c r="B882" s="7" t="s">
        <v>12632</v>
      </c>
      <c r="C882" s="7" t="s">
        <v>20414</v>
      </c>
      <c r="D882" s="112">
        <v>5</v>
      </c>
      <c r="E882" s="7"/>
      <c r="F882" s="7"/>
      <c r="G882" s="2" t="s">
        <v>20408</v>
      </c>
      <c r="H882" s="2" t="s">
        <v>1524</v>
      </c>
      <c r="I882" s="2" t="s">
        <v>1379</v>
      </c>
      <c r="J882" s="2" t="s">
        <v>1048</v>
      </c>
      <c r="K882" s="2" t="s">
        <v>20415</v>
      </c>
      <c r="L882" s="2" t="s">
        <v>20410</v>
      </c>
      <c r="M882" s="48"/>
      <c r="N882" s="150" t="str">
        <f t="shared" si="565"/>
        <v>Questionnaire</v>
      </c>
      <c r="O882" s="48" t="s">
        <v>20411</v>
      </c>
      <c r="P882" s="60" t="s">
        <v>1304</v>
      </c>
      <c r="Q882" s="48" t="s">
        <v>20412</v>
      </c>
      <c r="R882" s="48" t="s">
        <v>468</v>
      </c>
      <c r="S882" s="49" t="s">
        <v>74</v>
      </c>
      <c r="T882" s="48" t="s">
        <v>75</v>
      </c>
      <c r="U882" s="49" t="s">
        <v>3678</v>
      </c>
      <c r="V882" s="7" t="s">
        <v>214</v>
      </c>
      <c r="W882" s="49" t="s">
        <v>214</v>
      </c>
      <c r="X882" s="49" t="s">
        <v>214</v>
      </c>
      <c r="Y882" s="49" t="s">
        <v>214</v>
      </c>
      <c r="Z882" s="55" t="s">
        <v>214</v>
      </c>
      <c r="AA882" s="48" t="s">
        <v>20413</v>
      </c>
      <c r="AB882" s="52" t="s">
        <v>20411</v>
      </c>
      <c r="AC882" s="67" t="str">
        <f t="shared" si="566"/>
        <v>Link</v>
      </c>
      <c r="AD882" s="42">
        <v>3776</v>
      </c>
      <c r="AE882" s="55"/>
      <c r="AF882" s="55"/>
      <c r="AG882" s="56">
        <v>188438</v>
      </c>
      <c r="AH882" s="56"/>
      <c r="AI882" s="56"/>
      <c r="AJ882" s="56"/>
      <c r="AK882" s="56"/>
    </row>
    <row r="883" spans="1:37" ht="15" x14ac:dyDescent="0.2">
      <c r="A883" s="64" t="s">
        <v>7303</v>
      </c>
      <c r="B883" s="7" t="s">
        <v>12632</v>
      </c>
      <c r="C883" s="7" t="s">
        <v>20416</v>
      </c>
      <c r="D883" s="112">
        <v>5</v>
      </c>
      <c r="E883" s="7"/>
      <c r="F883" s="7"/>
      <c r="G883" s="2" t="s">
        <v>20408</v>
      </c>
      <c r="H883" s="2" t="s">
        <v>20417</v>
      </c>
      <c r="I883" s="2" t="s">
        <v>20418</v>
      </c>
      <c r="J883" s="2" t="s">
        <v>55</v>
      </c>
      <c r="K883" s="2" t="s">
        <v>20419</v>
      </c>
      <c r="L883" s="2" t="s">
        <v>20420</v>
      </c>
      <c r="M883" s="48"/>
      <c r="N883" s="150" t="str">
        <f t="shared" si="565"/>
        <v>Questionnaire</v>
      </c>
      <c r="O883" s="48" t="s">
        <v>20411</v>
      </c>
      <c r="P883" s="60" t="s">
        <v>1304</v>
      </c>
      <c r="Q883" s="48" t="s">
        <v>20412</v>
      </c>
      <c r="R883" s="48" t="s">
        <v>468</v>
      </c>
      <c r="S883" s="49" t="s">
        <v>74</v>
      </c>
      <c r="T883" s="48" t="s">
        <v>75</v>
      </c>
      <c r="U883" s="49" t="s">
        <v>3678</v>
      </c>
      <c r="V883" s="7" t="s">
        <v>214</v>
      </c>
      <c r="W883" s="49" t="s">
        <v>214</v>
      </c>
      <c r="X883" s="49" t="s">
        <v>214</v>
      </c>
      <c r="Y883" s="49" t="s">
        <v>214</v>
      </c>
      <c r="Z883" s="55" t="s">
        <v>214</v>
      </c>
      <c r="AA883" s="48" t="s">
        <v>20413</v>
      </c>
      <c r="AB883" s="52" t="s">
        <v>20411</v>
      </c>
      <c r="AC883" s="67" t="str">
        <f t="shared" si="566"/>
        <v>Link</v>
      </c>
      <c r="AD883" s="42">
        <v>3776</v>
      </c>
      <c r="AE883" s="55"/>
      <c r="AF883" s="55"/>
      <c r="AG883" s="56">
        <v>188438</v>
      </c>
      <c r="AH883" s="56"/>
      <c r="AI883" s="56"/>
      <c r="AJ883" s="56"/>
      <c r="AK883" s="56"/>
    </row>
    <row r="884" spans="1:37" ht="15" x14ac:dyDescent="0.2">
      <c r="A884" s="64" t="s">
        <v>7303</v>
      </c>
      <c r="B884" s="7" t="s">
        <v>12632</v>
      </c>
      <c r="C884" s="7" t="s">
        <v>20421</v>
      </c>
      <c r="D884" s="112">
        <v>5</v>
      </c>
      <c r="E884" s="7"/>
      <c r="F884" s="7"/>
      <c r="G884" s="2" t="s">
        <v>20408</v>
      </c>
      <c r="H884" s="2" t="s">
        <v>20417</v>
      </c>
      <c r="I884" s="2" t="s">
        <v>20418</v>
      </c>
      <c r="J884" s="2" t="s">
        <v>6646</v>
      </c>
      <c r="K884" s="2" t="s">
        <v>20422</v>
      </c>
      <c r="L884" s="2" t="s">
        <v>20420</v>
      </c>
      <c r="M884" s="48"/>
      <c r="N884" s="150" t="str">
        <f t="shared" si="565"/>
        <v>Questionnaire</v>
      </c>
      <c r="O884" s="48" t="s">
        <v>20411</v>
      </c>
      <c r="P884" s="60" t="s">
        <v>1304</v>
      </c>
      <c r="Q884" s="48" t="s">
        <v>20412</v>
      </c>
      <c r="R884" s="48" t="s">
        <v>468</v>
      </c>
      <c r="S884" s="49" t="s">
        <v>74</v>
      </c>
      <c r="T884" s="48" t="s">
        <v>75</v>
      </c>
      <c r="U884" s="49" t="s">
        <v>3678</v>
      </c>
      <c r="V884" s="7" t="s">
        <v>214</v>
      </c>
      <c r="W884" s="49" t="s">
        <v>214</v>
      </c>
      <c r="X884" s="49" t="s">
        <v>214</v>
      </c>
      <c r="Y884" s="49" t="s">
        <v>214</v>
      </c>
      <c r="Z884" s="55" t="s">
        <v>214</v>
      </c>
      <c r="AA884" s="48" t="s">
        <v>20413</v>
      </c>
      <c r="AB884" s="52" t="s">
        <v>20411</v>
      </c>
      <c r="AC884" s="67" t="str">
        <f t="shared" si="566"/>
        <v>Link</v>
      </c>
      <c r="AD884" s="42">
        <v>3776</v>
      </c>
      <c r="AE884" s="55"/>
      <c r="AF884" s="55"/>
      <c r="AG884" s="56">
        <v>188438</v>
      </c>
      <c r="AH884" s="56"/>
      <c r="AI884" s="56"/>
      <c r="AJ884" s="56"/>
      <c r="AK884" s="56"/>
    </row>
    <row r="885" spans="1:37" ht="15" x14ac:dyDescent="0.2">
      <c r="A885" s="64" t="s">
        <v>7303</v>
      </c>
      <c r="B885" s="7" t="s">
        <v>12632</v>
      </c>
      <c r="C885" s="7" t="s">
        <v>20423</v>
      </c>
      <c r="D885" s="112">
        <v>5</v>
      </c>
      <c r="E885" s="7"/>
      <c r="F885" s="7"/>
      <c r="G885" s="2" t="s">
        <v>20408</v>
      </c>
      <c r="H885" s="2" t="s">
        <v>2028</v>
      </c>
      <c r="I885" s="2" t="s">
        <v>16160</v>
      </c>
      <c r="J885" s="2" t="s">
        <v>55</v>
      </c>
      <c r="K885" s="2" t="s">
        <v>20424</v>
      </c>
      <c r="L885" s="2"/>
      <c r="M885" s="48"/>
      <c r="N885" s="150" t="str">
        <f t="shared" si="565"/>
        <v>Questionnaire</v>
      </c>
      <c r="O885" s="48" t="s">
        <v>20411</v>
      </c>
      <c r="P885" s="60" t="s">
        <v>1304</v>
      </c>
      <c r="Q885" s="48" t="s">
        <v>20412</v>
      </c>
      <c r="R885" s="48" t="s">
        <v>468</v>
      </c>
      <c r="S885" s="49" t="s">
        <v>74</v>
      </c>
      <c r="T885" s="48" t="s">
        <v>75</v>
      </c>
      <c r="U885" s="49" t="s">
        <v>3678</v>
      </c>
      <c r="V885" s="7" t="s">
        <v>214</v>
      </c>
      <c r="W885" s="49" t="s">
        <v>214</v>
      </c>
      <c r="X885" s="49" t="s">
        <v>214</v>
      </c>
      <c r="Y885" s="49" t="s">
        <v>214</v>
      </c>
      <c r="Z885" s="55" t="s">
        <v>214</v>
      </c>
      <c r="AA885" s="48" t="s">
        <v>20413</v>
      </c>
      <c r="AB885" s="52" t="s">
        <v>20411</v>
      </c>
      <c r="AC885" s="67" t="str">
        <f t="shared" si="566"/>
        <v>Link</v>
      </c>
      <c r="AD885" s="42">
        <v>3776</v>
      </c>
      <c r="AE885" s="55"/>
      <c r="AF885" s="55"/>
      <c r="AG885" s="56">
        <v>188438</v>
      </c>
      <c r="AH885" s="56"/>
      <c r="AI885" s="56"/>
      <c r="AJ885" s="56"/>
      <c r="AK885" s="56"/>
    </row>
    <row r="886" spans="1:37" ht="15" x14ac:dyDescent="0.2">
      <c r="A886" s="64" t="s">
        <v>7303</v>
      </c>
      <c r="B886" s="7" t="s">
        <v>12632</v>
      </c>
      <c r="C886" s="7" t="s">
        <v>20425</v>
      </c>
      <c r="D886" s="112">
        <v>5</v>
      </c>
      <c r="E886" s="7"/>
      <c r="F886" s="7"/>
      <c r="G886" s="2" t="s">
        <v>20426</v>
      </c>
      <c r="H886" s="2" t="s">
        <v>754</v>
      </c>
      <c r="I886" s="2" t="s">
        <v>20427</v>
      </c>
      <c r="J886" s="2" t="s">
        <v>48</v>
      </c>
      <c r="K886" s="2" t="s">
        <v>20428</v>
      </c>
      <c r="L886" s="2" t="s">
        <v>20429</v>
      </c>
      <c r="M886" s="48"/>
      <c r="N886" s="150" t="str">
        <f t="shared" ref="N886:N888" si="567">HYPERLINK("https://www.broomehornets.com/Recruit_Questionnaire","Questionnaire")</f>
        <v>Questionnaire</v>
      </c>
      <c r="O886" s="48" t="s">
        <v>20430</v>
      </c>
      <c r="P886" s="60" t="s">
        <v>1304</v>
      </c>
      <c r="Q886" s="48" t="s">
        <v>1564</v>
      </c>
      <c r="R886" s="48" t="s">
        <v>468</v>
      </c>
      <c r="S886" s="5" t="s">
        <v>74</v>
      </c>
      <c r="T886" s="48" t="s">
        <v>75</v>
      </c>
      <c r="U886" s="49" t="s">
        <v>3678</v>
      </c>
      <c r="V886" s="7" t="s">
        <v>214</v>
      </c>
      <c r="W886" s="49" t="s">
        <v>214</v>
      </c>
      <c r="X886" s="49" t="s">
        <v>214</v>
      </c>
      <c r="Y886" s="49" t="s">
        <v>214</v>
      </c>
      <c r="Z886" s="55" t="s">
        <v>214</v>
      </c>
      <c r="AA886" s="48" t="s">
        <v>20431</v>
      </c>
      <c r="AB886" s="90" t="s">
        <v>20430</v>
      </c>
      <c r="AC886" s="67" t="str">
        <f t="shared" ref="AC886:AC888" si="568">HYPERLINK("http://catalog.sunybroome.edu/content.php?catoid=1&amp;navoid=4","Link")</f>
        <v>Link</v>
      </c>
      <c r="AD886" s="42">
        <v>5702</v>
      </c>
      <c r="AE886" s="55"/>
      <c r="AF886" s="55"/>
      <c r="AG886" s="56">
        <v>189547</v>
      </c>
      <c r="AH886" s="56"/>
      <c r="AI886" s="56"/>
      <c r="AJ886" s="56"/>
      <c r="AK886" s="56"/>
    </row>
    <row r="887" spans="1:37" ht="15" x14ac:dyDescent="0.2">
      <c r="A887" s="64" t="s">
        <v>7303</v>
      </c>
      <c r="B887" s="7" t="s">
        <v>12632</v>
      </c>
      <c r="C887" s="7" t="s">
        <v>20432</v>
      </c>
      <c r="D887" s="112">
        <v>5</v>
      </c>
      <c r="E887" s="7"/>
      <c r="F887" s="7"/>
      <c r="G887" s="2" t="s">
        <v>20426</v>
      </c>
      <c r="H887" s="2" t="s">
        <v>1266</v>
      </c>
      <c r="I887" s="2" t="s">
        <v>10291</v>
      </c>
      <c r="J887" s="2" t="s">
        <v>55</v>
      </c>
      <c r="K887" s="2"/>
      <c r="L887" s="2" t="s">
        <v>20433</v>
      </c>
      <c r="M887" s="48"/>
      <c r="N887" s="150" t="str">
        <f t="shared" si="567"/>
        <v>Questionnaire</v>
      </c>
      <c r="O887" s="48" t="s">
        <v>20430</v>
      </c>
      <c r="P887" s="60" t="s">
        <v>1304</v>
      </c>
      <c r="Q887" s="48" t="s">
        <v>1564</v>
      </c>
      <c r="R887" s="48" t="s">
        <v>468</v>
      </c>
      <c r="S887" s="5" t="s">
        <v>74</v>
      </c>
      <c r="T887" s="48" t="s">
        <v>75</v>
      </c>
      <c r="U887" s="49" t="s">
        <v>3678</v>
      </c>
      <c r="V887" s="7" t="s">
        <v>214</v>
      </c>
      <c r="W887" s="49" t="s">
        <v>214</v>
      </c>
      <c r="X887" s="49" t="s">
        <v>214</v>
      </c>
      <c r="Y887" s="49" t="s">
        <v>214</v>
      </c>
      <c r="Z887" s="55" t="s">
        <v>214</v>
      </c>
      <c r="AA887" s="48" t="s">
        <v>20431</v>
      </c>
      <c r="AB887" s="90" t="s">
        <v>20430</v>
      </c>
      <c r="AC887" s="67" t="str">
        <f t="shared" si="568"/>
        <v>Link</v>
      </c>
      <c r="AD887" s="42">
        <v>5702</v>
      </c>
      <c r="AE887" s="55"/>
      <c r="AF887" s="55"/>
      <c r="AG887" s="56">
        <v>189547</v>
      </c>
      <c r="AH887" s="56"/>
      <c r="AI887" s="56"/>
      <c r="AJ887" s="56"/>
      <c r="AK887" s="56"/>
    </row>
    <row r="888" spans="1:37" ht="15" x14ac:dyDescent="0.2">
      <c r="A888" s="64" t="s">
        <v>7303</v>
      </c>
      <c r="B888" s="7" t="s">
        <v>12632</v>
      </c>
      <c r="C888" s="7" t="s">
        <v>20434</v>
      </c>
      <c r="D888" s="112">
        <v>5</v>
      </c>
      <c r="E888" s="7"/>
      <c r="F888" s="7"/>
      <c r="G888" s="2" t="s">
        <v>20426</v>
      </c>
      <c r="H888" s="2" t="s">
        <v>4000</v>
      </c>
      <c r="I888" s="2" t="s">
        <v>20435</v>
      </c>
      <c r="J888" s="2" t="s">
        <v>55</v>
      </c>
      <c r="K888" s="2"/>
      <c r="L888" s="2" t="s">
        <v>20433</v>
      </c>
      <c r="M888" s="48"/>
      <c r="N888" s="150" t="str">
        <f t="shared" si="567"/>
        <v>Questionnaire</v>
      </c>
      <c r="O888" s="48" t="s">
        <v>20430</v>
      </c>
      <c r="P888" s="60" t="s">
        <v>1304</v>
      </c>
      <c r="Q888" s="48" t="s">
        <v>1564</v>
      </c>
      <c r="R888" s="48" t="s">
        <v>468</v>
      </c>
      <c r="S888" s="5" t="s">
        <v>74</v>
      </c>
      <c r="T888" s="48" t="s">
        <v>75</v>
      </c>
      <c r="U888" s="49" t="s">
        <v>3678</v>
      </c>
      <c r="V888" s="7" t="s">
        <v>214</v>
      </c>
      <c r="W888" s="49" t="s">
        <v>214</v>
      </c>
      <c r="X888" s="49" t="s">
        <v>214</v>
      </c>
      <c r="Y888" s="49" t="s">
        <v>214</v>
      </c>
      <c r="Z888" s="55" t="s">
        <v>214</v>
      </c>
      <c r="AA888" s="48" t="s">
        <v>20431</v>
      </c>
      <c r="AB888" s="90" t="s">
        <v>20430</v>
      </c>
      <c r="AC888" s="67" t="str">
        <f t="shared" si="568"/>
        <v>Link</v>
      </c>
      <c r="AD888" s="42">
        <v>5702</v>
      </c>
      <c r="AE888" s="55"/>
      <c r="AF888" s="55"/>
      <c r="AG888" s="56">
        <v>189547</v>
      </c>
      <c r="AH888" s="56"/>
      <c r="AI888" s="56"/>
      <c r="AJ888" s="56"/>
      <c r="AK888" s="56"/>
    </row>
    <row r="889" spans="1:37" ht="15" x14ac:dyDescent="0.2">
      <c r="A889" s="64" t="s">
        <v>7303</v>
      </c>
      <c r="B889" s="7" t="s">
        <v>12632</v>
      </c>
      <c r="C889" s="7" t="s">
        <v>20436</v>
      </c>
      <c r="D889" s="112">
        <v>5</v>
      </c>
      <c r="E889" s="7"/>
      <c r="F889" s="7"/>
      <c r="G889" s="2" t="s">
        <v>20437</v>
      </c>
      <c r="H889" s="2" t="s">
        <v>1342</v>
      </c>
      <c r="I889" s="2" t="s">
        <v>20438</v>
      </c>
      <c r="J889" s="2" t="s">
        <v>48</v>
      </c>
      <c r="K889" s="2" t="s">
        <v>20439</v>
      </c>
      <c r="L889" s="2"/>
      <c r="M889" s="48"/>
      <c r="N889" s="150" t="str">
        <f t="shared" ref="N889:N891" si="569">HYPERLINK("https://dutchessfalcons.com/sb_output.aspx?form=3","Questionnaire")</f>
        <v>Questionnaire</v>
      </c>
      <c r="O889" s="48" t="s">
        <v>20440</v>
      </c>
      <c r="P889" s="60" t="s">
        <v>1304</v>
      </c>
      <c r="Q889" s="48" t="s">
        <v>8134</v>
      </c>
      <c r="R889" s="48" t="s">
        <v>468</v>
      </c>
      <c r="S889" s="49" t="s">
        <v>74</v>
      </c>
      <c r="T889" s="48" t="s">
        <v>75</v>
      </c>
      <c r="U889" s="49" t="s">
        <v>3678</v>
      </c>
      <c r="V889" s="7" t="s">
        <v>214</v>
      </c>
      <c r="W889" s="49" t="s">
        <v>214</v>
      </c>
      <c r="X889" s="49" t="s">
        <v>214</v>
      </c>
      <c r="Y889" s="49" t="s">
        <v>214</v>
      </c>
      <c r="Z889" s="55" t="s">
        <v>214</v>
      </c>
      <c r="AA889" s="48" t="s">
        <v>20441</v>
      </c>
      <c r="AB889" s="90" t="s">
        <v>20440</v>
      </c>
      <c r="AC889" s="67" t="str">
        <f t="shared" ref="AC889:AC891" si="570">HYPERLINK("https://www.sunydutchess.edu/academics/catalog/current/programs/","Link")</f>
        <v>Link</v>
      </c>
      <c r="AD889" s="42">
        <v>9346</v>
      </c>
      <c r="AE889" s="55"/>
      <c r="AF889" s="55"/>
      <c r="AG889" s="56">
        <v>190840</v>
      </c>
      <c r="AH889" s="56"/>
      <c r="AI889" s="56"/>
      <c r="AJ889" s="56"/>
      <c r="AK889" s="56"/>
    </row>
    <row r="890" spans="1:37" ht="15" x14ac:dyDescent="0.2">
      <c r="A890" s="64" t="s">
        <v>7303</v>
      </c>
      <c r="B890" s="7" t="s">
        <v>12632</v>
      </c>
      <c r="C890" s="7" t="s">
        <v>20442</v>
      </c>
      <c r="D890" s="112">
        <v>5</v>
      </c>
      <c r="E890" s="7"/>
      <c r="F890" s="7"/>
      <c r="G890" s="2" t="s">
        <v>20437</v>
      </c>
      <c r="H890" s="2" t="s">
        <v>4036</v>
      </c>
      <c r="I890" s="2" t="s">
        <v>20443</v>
      </c>
      <c r="J890" s="2" t="s">
        <v>55</v>
      </c>
      <c r="K890" s="2" t="s">
        <v>20444</v>
      </c>
      <c r="L890" s="2"/>
      <c r="M890" s="48"/>
      <c r="N890" s="150" t="str">
        <f t="shared" si="569"/>
        <v>Questionnaire</v>
      </c>
      <c r="O890" s="48" t="s">
        <v>20440</v>
      </c>
      <c r="P890" s="60" t="s">
        <v>1304</v>
      </c>
      <c r="Q890" s="48" t="s">
        <v>8134</v>
      </c>
      <c r="R890" s="48" t="s">
        <v>468</v>
      </c>
      <c r="S890" s="49" t="s">
        <v>74</v>
      </c>
      <c r="T890" s="48" t="s">
        <v>75</v>
      </c>
      <c r="U890" s="49" t="s">
        <v>3678</v>
      </c>
      <c r="V890" s="7" t="s">
        <v>214</v>
      </c>
      <c r="W890" s="49" t="s">
        <v>214</v>
      </c>
      <c r="X890" s="49" t="s">
        <v>214</v>
      </c>
      <c r="Y890" s="49" t="s">
        <v>214</v>
      </c>
      <c r="Z890" s="55" t="s">
        <v>214</v>
      </c>
      <c r="AA890" s="48" t="s">
        <v>20441</v>
      </c>
      <c r="AB890" s="90" t="s">
        <v>20440</v>
      </c>
      <c r="AC890" s="67" t="str">
        <f t="shared" si="570"/>
        <v>Link</v>
      </c>
      <c r="AD890" s="42">
        <v>9346</v>
      </c>
      <c r="AE890" s="55"/>
      <c r="AF890" s="55"/>
      <c r="AG890" s="56">
        <v>190840</v>
      </c>
      <c r="AH890" s="56"/>
      <c r="AI890" s="56"/>
      <c r="AJ890" s="56"/>
      <c r="AK890" s="56"/>
    </row>
    <row r="891" spans="1:37" ht="15" x14ac:dyDescent="0.2">
      <c r="A891" s="64" t="s">
        <v>7303</v>
      </c>
      <c r="B891" s="7" t="s">
        <v>12632</v>
      </c>
      <c r="C891" s="7" t="s">
        <v>20445</v>
      </c>
      <c r="D891" s="112">
        <v>5</v>
      </c>
      <c r="E891" s="7"/>
      <c r="F891" s="7"/>
      <c r="G891" s="2" t="s">
        <v>20437</v>
      </c>
      <c r="H891" s="2" t="s">
        <v>10730</v>
      </c>
      <c r="I891" s="2" t="s">
        <v>9835</v>
      </c>
      <c r="J891" s="2" t="s">
        <v>55</v>
      </c>
      <c r="K891" s="2"/>
      <c r="L891" s="2"/>
      <c r="M891" s="48"/>
      <c r="N891" s="150" t="str">
        <f t="shared" si="569"/>
        <v>Questionnaire</v>
      </c>
      <c r="O891" s="48" t="s">
        <v>20440</v>
      </c>
      <c r="P891" s="60" t="s">
        <v>1304</v>
      </c>
      <c r="Q891" s="48" t="s">
        <v>8134</v>
      </c>
      <c r="R891" s="48" t="s">
        <v>468</v>
      </c>
      <c r="S891" s="49" t="s">
        <v>74</v>
      </c>
      <c r="T891" s="48" t="s">
        <v>75</v>
      </c>
      <c r="U891" s="49" t="s">
        <v>3678</v>
      </c>
      <c r="V891" s="7" t="s">
        <v>214</v>
      </c>
      <c r="W891" s="49" t="s">
        <v>214</v>
      </c>
      <c r="X891" s="49" t="s">
        <v>214</v>
      </c>
      <c r="Y891" s="49" t="s">
        <v>214</v>
      </c>
      <c r="Z891" s="55" t="s">
        <v>214</v>
      </c>
      <c r="AA891" s="48" t="s">
        <v>20441</v>
      </c>
      <c r="AB891" s="90" t="s">
        <v>20440</v>
      </c>
      <c r="AC891" s="67" t="str">
        <f t="shared" si="570"/>
        <v>Link</v>
      </c>
      <c r="AD891" s="42">
        <v>9346</v>
      </c>
      <c r="AE891" s="55"/>
      <c r="AF891" s="55"/>
      <c r="AG891" s="56">
        <v>190840</v>
      </c>
      <c r="AH891" s="56"/>
      <c r="AI891" s="56"/>
      <c r="AJ891" s="56"/>
      <c r="AK891" s="56"/>
    </row>
    <row r="892" spans="1:37" ht="15" x14ac:dyDescent="0.2">
      <c r="A892" s="64" t="s">
        <v>7303</v>
      </c>
      <c r="B892" s="7" t="s">
        <v>12632</v>
      </c>
      <c r="C892" s="7" t="s">
        <v>20446</v>
      </c>
      <c r="D892" s="112">
        <v>5</v>
      </c>
      <c r="E892" s="7"/>
      <c r="F892" s="7"/>
      <c r="G892" s="2" t="s">
        <v>20447</v>
      </c>
      <c r="H892" s="95" t="s">
        <v>7659</v>
      </c>
      <c r="I892" s="2" t="s">
        <v>20448</v>
      </c>
      <c r="J892" s="2" t="s">
        <v>48</v>
      </c>
      <c r="K892" s="95" t="s">
        <v>20449</v>
      </c>
      <c r="L892" s="2" t="s">
        <v>20450</v>
      </c>
      <c r="M892" s="48"/>
      <c r="N892" s="150" t="str">
        <f t="shared" ref="N892:N894" si="571">HYPERLINK("http://www.jccjayhawks.com/recruits/prospective-jayhawk","Questionnaire")</f>
        <v>Questionnaire</v>
      </c>
      <c r="O892" s="48" t="s">
        <v>20451</v>
      </c>
      <c r="P892" s="60" t="s">
        <v>1304</v>
      </c>
      <c r="Q892" s="6" t="s">
        <v>19015</v>
      </c>
      <c r="R892" s="6" t="s">
        <v>468</v>
      </c>
      <c r="S892" s="4" t="s">
        <v>74</v>
      </c>
      <c r="T892" s="6" t="s">
        <v>75</v>
      </c>
      <c r="U892" s="49" t="s">
        <v>3678</v>
      </c>
      <c r="V892" s="7" t="s">
        <v>214</v>
      </c>
      <c r="W892" s="49" t="s">
        <v>214</v>
      </c>
      <c r="X892" s="49" t="s">
        <v>214</v>
      </c>
      <c r="Y892" s="4" t="s">
        <v>214</v>
      </c>
      <c r="Z892" s="8" t="s">
        <v>214</v>
      </c>
      <c r="AA892" s="6" t="s">
        <v>20452</v>
      </c>
      <c r="AB892" s="84" t="s">
        <v>20451</v>
      </c>
      <c r="AC892" s="67" t="str">
        <f t="shared" ref="AC892:AC894" si="572">HYPERLINK("http://www.sunyjcc.edu/academics","Link")</f>
        <v>Link</v>
      </c>
      <c r="AD892" s="42">
        <v>4617</v>
      </c>
      <c r="AE892" s="55"/>
      <c r="AF892" s="55"/>
      <c r="AG892" s="56">
        <v>191986</v>
      </c>
      <c r="AH892" s="56"/>
      <c r="AI892" s="56"/>
      <c r="AJ892" s="56"/>
      <c r="AK892" s="56"/>
    </row>
    <row r="893" spans="1:37" ht="15" x14ac:dyDescent="0.2">
      <c r="A893" s="64" t="s">
        <v>7303</v>
      </c>
      <c r="B893" s="7" t="s">
        <v>12632</v>
      </c>
      <c r="C893" s="7" t="s">
        <v>20453</v>
      </c>
      <c r="D893" s="112">
        <v>5</v>
      </c>
      <c r="E893" s="7" t="s">
        <v>116</v>
      </c>
      <c r="F893" s="7"/>
      <c r="G893" s="2" t="s">
        <v>20447</v>
      </c>
      <c r="H893" s="7" t="s">
        <v>3983</v>
      </c>
      <c r="I893" s="7" t="s">
        <v>20454</v>
      </c>
      <c r="J893" s="7" t="s">
        <v>3999</v>
      </c>
      <c r="K893" s="7" t="s">
        <v>20455</v>
      </c>
      <c r="L893" s="7" t="s">
        <v>20456</v>
      </c>
      <c r="M893" s="48"/>
      <c r="N893" s="150" t="str">
        <f t="shared" si="571"/>
        <v>Questionnaire</v>
      </c>
      <c r="O893" s="48" t="s">
        <v>20451</v>
      </c>
      <c r="P893" s="60" t="s">
        <v>1304</v>
      </c>
      <c r="Q893" s="6" t="s">
        <v>19015</v>
      </c>
      <c r="R893" s="6" t="s">
        <v>468</v>
      </c>
      <c r="S893" s="4" t="s">
        <v>74</v>
      </c>
      <c r="T893" s="6" t="s">
        <v>75</v>
      </c>
      <c r="U893" s="49" t="s">
        <v>3678</v>
      </c>
      <c r="V893" s="7" t="s">
        <v>214</v>
      </c>
      <c r="W893" s="49" t="s">
        <v>214</v>
      </c>
      <c r="X893" s="49" t="s">
        <v>214</v>
      </c>
      <c r="Y893" s="4" t="s">
        <v>214</v>
      </c>
      <c r="Z893" s="8" t="s">
        <v>214</v>
      </c>
      <c r="AA893" s="6" t="s">
        <v>20452</v>
      </c>
      <c r="AB893" s="84" t="s">
        <v>20451</v>
      </c>
      <c r="AC893" s="67" t="str">
        <f t="shared" si="572"/>
        <v>Link</v>
      </c>
      <c r="AD893" s="42">
        <v>4617</v>
      </c>
      <c r="AE893" s="55"/>
      <c r="AF893" s="55"/>
      <c r="AG893" s="56">
        <v>191986</v>
      </c>
      <c r="AH893" s="56"/>
      <c r="AI893" s="56"/>
      <c r="AJ893" s="56"/>
      <c r="AK893" s="56"/>
    </row>
    <row r="894" spans="1:37" ht="15" x14ac:dyDescent="0.2">
      <c r="A894" s="64" t="s">
        <v>7303</v>
      </c>
      <c r="B894" s="7" t="s">
        <v>12632</v>
      </c>
      <c r="C894" s="7" t="s">
        <v>20457</v>
      </c>
      <c r="D894" s="112">
        <v>5</v>
      </c>
      <c r="E894" s="7" t="s">
        <v>116</v>
      </c>
      <c r="F894" s="7"/>
      <c r="G894" s="2" t="s">
        <v>20447</v>
      </c>
      <c r="H894" s="7" t="s">
        <v>20458</v>
      </c>
      <c r="I894" s="7" t="s">
        <v>20459</v>
      </c>
      <c r="J894" s="7" t="s">
        <v>3999</v>
      </c>
      <c r="K894" s="7" t="s">
        <v>20460</v>
      </c>
      <c r="L894" s="7" t="s">
        <v>20461</v>
      </c>
      <c r="M894" s="48"/>
      <c r="N894" s="150" t="str">
        <f t="shared" si="571"/>
        <v>Questionnaire</v>
      </c>
      <c r="O894" s="48" t="s">
        <v>20451</v>
      </c>
      <c r="P894" s="60" t="s">
        <v>1304</v>
      </c>
      <c r="Q894" s="6" t="s">
        <v>19015</v>
      </c>
      <c r="R894" s="6" t="s">
        <v>468</v>
      </c>
      <c r="S894" s="4" t="s">
        <v>74</v>
      </c>
      <c r="T894" s="6" t="s">
        <v>75</v>
      </c>
      <c r="U894" s="49" t="s">
        <v>3678</v>
      </c>
      <c r="V894" s="7" t="s">
        <v>214</v>
      </c>
      <c r="W894" s="49" t="s">
        <v>214</v>
      </c>
      <c r="X894" s="49" t="s">
        <v>214</v>
      </c>
      <c r="Y894" s="4" t="s">
        <v>214</v>
      </c>
      <c r="Z894" s="8" t="s">
        <v>214</v>
      </c>
      <c r="AA894" s="6" t="s">
        <v>20452</v>
      </c>
      <c r="AB894" s="84" t="s">
        <v>20451</v>
      </c>
      <c r="AC894" s="67" t="str">
        <f t="shared" si="572"/>
        <v>Link</v>
      </c>
      <c r="AD894" s="42">
        <v>4617</v>
      </c>
      <c r="AE894" s="55"/>
      <c r="AF894" s="55"/>
      <c r="AG894" s="56">
        <v>191986</v>
      </c>
      <c r="AH894" s="56"/>
      <c r="AI894" s="56"/>
      <c r="AJ894" s="56"/>
      <c r="AK894" s="56"/>
    </row>
    <row r="895" spans="1:37" ht="15" x14ac:dyDescent="0.2">
      <c r="A895" s="64" t="s">
        <v>7303</v>
      </c>
      <c r="B895" s="7" t="s">
        <v>12632</v>
      </c>
      <c r="C895" s="7" t="s">
        <v>20462</v>
      </c>
      <c r="D895" s="112">
        <v>5</v>
      </c>
      <c r="E895" s="7"/>
      <c r="F895" s="7"/>
      <c r="G895" s="2" t="s">
        <v>20463</v>
      </c>
      <c r="H895" s="2" t="s">
        <v>249</v>
      </c>
      <c r="I895" s="2" t="s">
        <v>20464</v>
      </c>
      <c r="J895" s="2" t="s">
        <v>48</v>
      </c>
      <c r="K895" s="2" t="s">
        <v>20465</v>
      </c>
      <c r="L895" s="2" t="s">
        <v>20466</v>
      </c>
      <c r="M895" s="48"/>
      <c r="N895" s="150" t="str">
        <f t="shared" ref="N895:N896" si="573">HYPERLINK("https://apply.sunyjefferson.edu/register/?id=c2897320-ecb4-407c-a17f-00bcbdbc9c25","Questionnaire")</f>
        <v>Questionnaire</v>
      </c>
      <c r="O895" s="48" t="s">
        <v>20467</v>
      </c>
      <c r="P895" s="60" t="s">
        <v>1304</v>
      </c>
      <c r="Q895" s="48" t="s">
        <v>16542</v>
      </c>
      <c r="R895" s="48" t="s">
        <v>468</v>
      </c>
      <c r="S895" s="49" t="s">
        <v>74</v>
      </c>
      <c r="T895" s="48" t="s">
        <v>75</v>
      </c>
      <c r="U895" s="49" t="s">
        <v>3678</v>
      </c>
      <c r="V895" s="7" t="s">
        <v>214</v>
      </c>
      <c r="W895" s="49" t="s">
        <v>214</v>
      </c>
      <c r="X895" s="49" t="s">
        <v>214</v>
      </c>
      <c r="Y895" s="49" t="s">
        <v>214</v>
      </c>
      <c r="Z895" s="55" t="s">
        <v>214</v>
      </c>
      <c r="AA895" s="48" t="s">
        <v>20468</v>
      </c>
      <c r="AB895" s="84" t="s">
        <v>20467</v>
      </c>
      <c r="AC895" s="67" t="str">
        <f t="shared" ref="AC895:AC896" si="574">HYPERLINK("http://www.sunyjefferson.edu/academics/programs-study","Link")</f>
        <v>Link</v>
      </c>
      <c r="AD895" s="42">
        <v>3632</v>
      </c>
      <c r="AE895" s="55"/>
      <c r="AF895" s="55"/>
      <c r="AG895" s="56">
        <v>192022</v>
      </c>
      <c r="AH895" s="56"/>
      <c r="AI895" s="56"/>
      <c r="AJ895" s="56"/>
      <c r="AK895" s="56"/>
    </row>
    <row r="896" spans="1:37" ht="15" x14ac:dyDescent="0.2">
      <c r="A896" s="64" t="s">
        <v>7303</v>
      </c>
      <c r="B896" s="7" t="s">
        <v>12632</v>
      </c>
      <c r="C896" s="7" t="s">
        <v>20469</v>
      </c>
      <c r="D896" s="112">
        <v>5</v>
      </c>
      <c r="E896" s="7"/>
      <c r="F896" s="7"/>
      <c r="G896" s="2" t="s">
        <v>20463</v>
      </c>
      <c r="H896" s="2" t="s">
        <v>20470</v>
      </c>
      <c r="I896" s="2" t="s">
        <v>20471</v>
      </c>
      <c r="J896" s="2" t="s">
        <v>55</v>
      </c>
      <c r="K896" s="2"/>
      <c r="L896" s="2" t="s">
        <v>20472</v>
      </c>
      <c r="M896" s="48"/>
      <c r="N896" s="150" t="str">
        <f t="shared" si="573"/>
        <v>Questionnaire</v>
      </c>
      <c r="O896" s="48" t="s">
        <v>20467</v>
      </c>
      <c r="P896" s="60" t="s">
        <v>1304</v>
      </c>
      <c r="Q896" s="48" t="s">
        <v>16542</v>
      </c>
      <c r="R896" s="48" t="s">
        <v>468</v>
      </c>
      <c r="S896" s="49" t="s">
        <v>74</v>
      </c>
      <c r="T896" s="48" t="s">
        <v>75</v>
      </c>
      <c r="U896" s="49" t="s">
        <v>3678</v>
      </c>
      <c r="V896" s="7" t="s">
        <v>214</v>
      </c>
      <c r="W896" s="49" t="s">
        <v>214</v>
      </c>
      <c r="X896" s="49" t="s">
        <v>214</v>
      </c>
      <c r="Y896" s="49" t="s">
        <v>214</v>
      </c>
      <c r="Z896" s="55" t="s">
        <v>214</v>
      </c>
      <c r="AA896" s="48" t="s">
        <v>20468</v>
      </c>
      <c r="AB896" s="84" t="s">
        <v>20467</v>
      </c>
      <c r="AC896" s="67" t="str">
        <f t="shared" si="574"/>
        <v>Link</v>
      </c>
      <c r="AD896" s="42">
        <v>3632</v>
      </c>
      <c r="AE896" s="55"/>
      <c r="AF896" s="55"/>
      <c r="AG896" s="56">
        <v>192022</v>
      </c>
      <c r="AH896" s="56"/>
      <c r="AI896" s="56"/>
      <c r="AJ896" s="56"/>
      <c r="AK896" s="56"/>
    </row>
    <row r="897" spans="1:37" ht="15" x14ac:dyDescent="0.2">
      <c r="A897" s="64" t="s">
        <v>7303</v>
      </c>
      <c r="B897" s="7" t="s">
        <v>12632</v>
      </c>
      <c r="C897" s="7" t="s">
        <v>20473</v>
      </c>
      <c r="D897" s="112">
        <v>5</v>
      </c>
      <c r="E897" s="7"/>
      <c r="F897" s="7" t="s">
        <v>126</v>
      </c>
      <c r="G897" s="2" t="s">
        <v>20474</v>
      </c>
      <c r="H897" s="2" t="s">
        <v>20475</v>
      </c>
      <c r="I897" s="2"/>
      <c r="J897" s="2"/>
      <c r="K897" s="2"/>
      <c r="L897" s="2"/>
      <c r="M897" s="48"/>
      <c r="N897" s="150" t="str">
        <f t="shared" ref="N897:N902" si="575">HYPERLINK("http://mcctribunes.com/information/Prospective_Athlete_Form","Questionnaire")</f>
        <v>Questionnaire</v>
      </c>
      <c r="O897" s="7" t="s">
        <v>20476</v>
      </c>
      <c r="P897" s="60" t="s">
        <v>1304</v>
      </c>
      <c r="Q897" s="48" t="s">
        <v>6875</v>
      </c>
      <c r="R897" s="48" t="s">
        <v>62</v>
      </c>
      <c r="S897" s="49" t="s">
        <v>74</v>
      </c>
      <c r="T897" s="48" t="s">
        <v>75</v>
      </c>
      <c r="U897" s="49" t="s">
        <v>3678</v>
      </c>
      <c r="V897" s="7" t="s">
        <v>214</v>
      </c>
      <c r="W897" s="49" t="s">
        <v>214</v>
      </c>
      <c r="X897" s="49" t="s">
        <v>214</v>
      </c>
      <c r="Y897" s="49" t="s">
        <v>214</v>
      </c>
      <c r="Z897" s="55" t="s">
        <v>214</v>
      </c>
      <c r="AA897" s="48" t="s">
        <v>20477</v>
      </c>
      <c r="AB897" s="90" t="s">
        <v>20476</v>
      </c>
      <c r="AC897" s="67" t="str">
        <f t="shared" ref="AC897:AC902" si="576">HYPERLINK("http://www.monroecc.edu/academics/majors-programs/?no_cache=1","Link")</f>
        <v>Link</v>
      </c>
      <c r="AD897" s="42">
        <v>13587</v>
      </c>
      <c r="AE897" s="55"/>
      <c r="AF897" s="55"/>
      <c r="AG897" s="56">
        <v>193326</v>
      </c>
      <c r="AH897" s="56"/>
      <c r="AI897" s="56"/>
      <c r="AJ897" s="56"/>
      <c r="AK897" s="56"/>
    </row>
    <row r="898" spans="1:37" ht="15" x14ac:dyDescent="0.2">
      <c r="A898" s="64" t="s">
        <v>7303</v>
      </c>
      <c r="B898" s="7" t="s">
        <v>12632</v>
      </c>
      <c r="C898" s="7" t="s">
        <v>20478</v>
      </c>
      <c r="D898" s="112">
        <v>5</v>
      </c>
      <c r="E898" s="7" t="s">
        <v>116</v>
      </c>
      <c r="F898" s="7"/>
      <c r="G898" s="2" t="s">
        <v>20474</v>
      </c>
      <c r="H898" s="2" t="s">
        <v>421</v>
      </c>
      <c r="I898" s="2"/>
      <c r="J898" s="2" t="s">
        <v>48</v>
      </c>
      <c r="K898" s="2"/>
      <c r="L898" s="2"/>
      <c r="M898" s="48"/>
      <c r="N898" s="150" t="str">
        <f t="shared" si="575"/>
        <v>Questionnaire</v>
      </c>
      <c r="O898" s="7" t="s">
        <v>20476</v>
      </c>
      <c r="P898" s="60" t="s">
        <v>1304</v>
      </c>
      <c r="Q898" s="48" t="s">
        <v>6875</v>
      </c>
      <c r="R898" s="48" t="s">
        <v>62</v>
      </c>
      <c r="S898" s="49" t="s">
        <v>74</v>
      </c>
      <c r="T898" s="48" t="s">
        <v>75</v>
      </c>
      <c r="U898" s="49" t="s">
        <v>3678</v>
      </c>
      <c r="V898" s="7" t="s">
        <v>214</v>
      </c>
      <c r="W898" s="49" t="s">
        <v>214</v>
      </c>
      <c r="X898" s="49" t="s">
        <v>214</v>
      </c>
      <c r="Y898" s="49" t="s">
        <v>214</v>
      </c>
      <c r="Z898" s="55" t="s">
        <v>214</v>
      </c>
      <c r="AA898" s="48" t="s">
        <v>20477</v>
      </c>
      <c r="AB898" s="90" t="s">
        <v>20476</v>
      </c>
      <c r="AC898" s="67" t="str">
        <f t="shared" si="576"/>
        <v>Link</v>
      </c>
      <c r="AD898" s="42">
        <v>13587</v>
      </c>
      <c r="AE898" s="55"/>
      <c r="AF898" s="55"/>
      <c r="AG898" s="56">
        <v>193326</v>
      </c>
      <c r="AH898" s="56"/>
      <c r="AI898" s="56"/>
      <c r="AJ898" s="56"/>
      <c r="AK898" s="56"/>
    </row>
    <row r="899" spans="1:37" ht="15" x14ac:dyDescent="0.2">
      <c r="A899" s="64" t="s">
        <v>7303</v>
      </c>
      <c r="B899" s="7" t="s">
        <v>12632</v>
      </c>
      <c r="C899" s="7" t="s">
        <v>20479</v>
      </c>
      <c r="D899" s="112">
        <v>5</v>
      </c>
      <c r="E899" s="7"/>
      <c r="F899" s="7" t="s">
        <v>126</v>
      </c>
      <c r="G899" s="2" t="s">
        <v>20474</v>
      </c>
      <c r="H899" s="2" t="s">
        <v>20480</v>
      </c>
      <c r="I899" s="2"/>
      <c r="J899" s="2"/>
      <c r="K899" s="2"/>
      <c r="L899" s="2"/>
      <c r="M899" s="48"/>
      <c r="N899" s="150" t="str">
        <f t="shared" si="575"/>
        <v>Questionnaire</v>
      </c>
      <c r="O899" s="7" t="s">
        <v>20476</v>
      </c>
      <c r="P899" s="60" t="s">
        <v>1304</v>
      </c>
      <c r="Q899" s="48" t="s">
        <v>6875</v>
      </c>
      <c r="R899" s="48" t="s">
        <v>62</v>
      </c>
      <c r="S899" s="49" t="s">
        <v>74</v>
      </c>
      <c r="T899" s="48" t="s">
        <v>75</v>
      </c>
      <c r="U899" s="49" t="s">
        <v>3678</v>
      </c>
      <c r="V899" s="7" t="s">
        <v>214</v>
      </c>
      <c r="W899" s="49" t="s">
        <v>214</v>
      </c>
      <c r="X899" s="49" t="s">
        <v>214</v>
      </c>
      <c r="Y899" s="49" t="s">
        <v>214</v>
      </c>
      <c r="Z899" s="55" t="s">
        <v>214</v>
      </c>
      <c r="AA899" s="48" t="s">
        <v>20477</v>
      </c>
      <c r="AB899" s="90" t="s">
        <v>20476</v>
      </c>
      <c r="AC899" s="67" t="str">
        <f t="shared" si="576"/>
        <v>Link</v>
      </c>
      <c r="AD899" s="42">
        <v>13587</v>
      </c>
      <c r="AE899" s="55"/>
      <c r="AF899" s="55"/>
      <c r="AG899" s="56">
        <v>193326</v>
      </c>
      <c r="AH899" s="56"/>
      <c r="AI899" s="56"/>
      <c r="AJ899" s="56"/>
      <c r="AK899" s="56"/>
    </row>
    <row r="900" spans="1:37" ht="15" x14ac:dyDescent="0.2">
      <c r="A900" s="64" t="s">
        <v>7303</v>
      </c>
      <c r="B900" s="7" t="s">
        <v>12632</v>
      </c>
      <c r="C900" s="7" t="s">
        <v>20481</v>
      </c>
      <c r="D900" s="112">
        <v>5</v>
      </c>
      <c r="E900" s="7" t="s">
        <v>116</v>
      </c>
      <c r="F900" s="7"/>
      <c r="G900" s="2" t="s">
        <v>20474</v>
      </c>
      <c r="H900" s="2" t="s">
        <v>173</v>
      </c>
      <c r="I900" s="2" t="s">
        <v>20482</v>
      </c>
      <c r="J900" s="2" t="s">
        <v>1423</v>
      </c>
      <c r="K900" s="7" t="s">
        <v>20483</v>
      </c>
      <c r="L900" s="2"/>
      <c r="M900" s="48"/>
      <c r="N900" s="150" t="str">
        <f t="shared" si="575"/>
        <v>Questionnaire</v>
      </c>
      <c r="O900" s="7" t="s">
        <v>20476</v>
      </c>
      <c r="P900" s="60" t="s">
        <v>1304</v>
      </c>
      <c r="Q900" s="48" t="s">
        <v>6875</v>
      </c>
      <c r="R900" s="48" t="s">
        <v>62</v>
      </c>
      <c r="S900" s="49" t="s">
        <v>74</v>
      </c>
      <c r="T900" s="48" t="s">
        <v>75</v>
      </c>
      <c r="U900" s="49" t="s">
        <v>3678</v>
      </c>
      <c r="V900" s="7" t="s">
        <v>214</v>
      </c>
      <c r="W900" s="49" t="s">
        <v>214</v>
      </c>
      <c r="X900" s="49" t="s">
        <v>214</v>
      </c>
      <c r="Y900" s="49" t="s">
        <v>214</v>
      </c>
      <c r="Z900" s="55" t="s">
        <v>214</v>
      </c>
      <c r="AA900" s="48" t="s">
        <v>20477</v>
      </c>
      <c r="AB900" s="90" t="s">
        <v>20476</v>
      </c>
      <c r="AC900" s="67" t="str">
        <f t="shared" si="576"/>
        <v>Link</v>
      </c>
      <c r="AD900" s="42">
        <v>13587</v>
      </c>
      <c r="AE900" s="55"/>
      <c r="AF900" s="55"/>
      <c r="AG900" s="56">
        <v>193326</v>
      </c>
      <c r="AH900" s="56"/>
      <c r="AI900" s="56"/>
      <c r="AJ900" s="56"/>
      <c r="AK900" s="56"/>
    </row>
    <row r="901" spans="1:37" ht="15" x14ac:dyDescent="0.2">
      <c r="A901" s="64" t="s">
        <v>7303</v>
      </c>
      <c r="B901" s="7" t="s">
        <v>12632</v>
      </c>
      <c r="C901" s="7" t="s">
        <v>20481</v>
      </c>
      <c r="D901" s="112">
        <v>5</v>
      </c>
      <c r="E901" s="7" t="s">
        <v>116</v>
      </c>
      <c r="F901" s="7"/>
      <c r="G901" s="2" t="s">
        <v>20474</v>
      </c>
      <c r="H901" s="2" t="s">
        <v>1266</v>
      </c>
      <c r="I901" s="2" t="s">
        <v>20484</v>
      </c>
      <c r="J901" s="2" t="s">
        <v>55</v>
      </c>
      <c r="K901" s="2" t="s">
        <v>20485</v>
      </c>
      <c r="L901" s="7"/>
      <c r="M901" s="48"/>
      <c r="N901" s="150" t="str">
        <f t="shared" si="575"/>
        <v>Questionnaire</v>
      </c>
      <c r="O901" s="7" t="s">
        <v>20476</v>
      </c>
      <c r="P901" s="60" t="s">
        <v>1304</v>
      </c>
      <c r="Q901" s="48" t="s">
        <v>6875</v>
      </c>
      <c r="R901" s="48" t="s">
        <v>62</v>
      </c>
      <c r="S901" s="49" t="s">
        <v>74</v>
      </c>
      <c r="T901" s="48" t="s">
        <v>75</v>
      </c>
      <c r="U901" s="49" t="s">
        <v>3678</v>
      </c>
      <c r="V901" s="7" t="s">
        <v>214</v>
      </c>
      <c r="W901" s="49" t="s">
        <v>214</v>
      </c>
      <c r="X901" s="49" t="s">
        <v>214</v>
      </c>
      <c r="Y901" s="49" t="s">
        <v>214</v>
      </c>
      <c r="Z901" s="55" t="s">
        <v>214</v>
      </c>
      <c r="AA901" s="48" t="s">
        <v>20477</v>
      </c>
      <c r="AB901" s="90" t="s">
        <v>20476</v>
      </c>
      <c r="AC901" s="67" t="str">
        <f t="shared" si="576"/>
        <v>Link</v>
      </c>
      <c r="AD901" s="42">
        <v>13587</v>
      </c>
      <c r="AE901" s="55"/>
      <c r="AF901" s="55"/>
      <c r="AG901" s="56">
        <v>193326</v>
      </c>
      <c r="AH901" s="56"/>
      <c r="AI901" s="56"/>
      <c r="AJ901" s="56"/>
      <c r="AK901" s="56"/>
    </row>
    <row r="902" spans="1:37" ht="15" x14ac:dyDescent="0.2">
      <c r="A902" s="64" t="s">
        <v>7303</v>
      </c>
      <c r="B902" s="7" t="s">
        <v>12632</v>
      </c>
      <c r="C902" s="7" t="s">
        <v>20481</v>
      </c>
      <c r="D902" s="112">
        <v>5</v>
      </c>
      <c r="E902" s="7" t="s">
        <v>116</v>
      </c>
      <c r="F902" s="7"/>
      <c r="G902" s="2" t="s">
        <v>20474</v>
      </c>
      <c r="H902" s="2" t="s">
        <v>1092</v>
      </c>
      <c r="I902" s="2" t="s">
        <v>20486</v>
      </c>
      <c r="J902" s="2" t="s">
        <v>55</v>
      </c>
      <c r="K902" s="2"/>
      <c r="L902" s="2"/>
      <c r="M902" s="48"/>
      <c r="N902" s="150" t="str">
        <f t="shared" si="575"/>
        <v>Questionnaire</v>
      </c>
      <c r="O902" s="7" t="s">
        <v>20476</v>
      </c>
      <c r="P902" s="60" t="s">
        <v>1304</v>
      </c>
      <c r="Q902" s="48" t="s">
        <v>6875</v>
      </c>
      <c r="R902" s="48" t="s">
        <v>62</v>
      </c>
      <c r="S902" s="49" t="s">
        <v>74</v>
      </c>
      <c r="T902" s="48" t="s">
        <v>75</v>
      </c>
      <c r="U902" s="49" t="s">
        <v>3678</v>
      </c>
      <c r="V902" s="7" t="s">
        <v>214</v>
      </c>
      <c r="W902" s="49" t="s">
        <v>214</v>
      </c>
      <c r="X902" s="49" t="s">
        <v>214</v>
      </c>
      <c r="Y902" s="49" t="s">
        <v>214</v>
      </c>
      <c r="Z902" s="55" t="s">
        <v>214</v>
      </c>
      <c r="AA902" s="48" t="s">
        <v>20477</v>
      </c>
      <c r="AB902" s="90" t="s">
        <v>20476</v>
      </c>
      <c r="AC902" s="67" t="str">
        <f t="shared" si="576"/>
        <v>Link</v>
      </c>
      <c r="AD902" s="42">
        <v>13587</v>
      </c>
      <c r="AE902" s="55"/>
      <c r="AF902" s="55"/>
      <c r="AG902" s="56">
        <v>193326</v>
      </c>
      <c r="AH902" s="56"/>
      <c r="AI902" s="56"/>
      <c r="AJ902" s="56"/>
      <c r="AK902" s="56"/>
    </row>
    <row r="903" spans="1:37" ht="15" x14ac:dyDescent="0.2">
      <c r="A903" s="64" t="s">
        <v>7303</v>
      </c>
      <c r="B903" s="7" t="s">
        <v>12632</v>
      </c>
      <c r="C903" s="7" t="s">
        <v>20487</v>
      </c>
      <c r="D903" s="112">
        <v>5</v>
      </c>
      <c r="E903" s="7"/>
      <c r="F903" s="7"/>
      <c r="G903" s="2" t="s">
        <v>20488</v>
      </c>
      <c r="H903" s="2" t="s">
        <v>8906</v>
      </c>
      <c r="I903" s="2" t="s">
        <v>20489</v>
      </c>
      <c r="J903" s="2" t="s">
        <v>48</v>
      </c>
      <c r="K903" s="2" t="s">
        <v>20490</v>
      </c>
      <c r="L903" s="2" t="s">
        <v>20491</v>
      </c>
      <c r="M903" s="48"/>
      <c r="N903" s="48" t="s">
        <v>22</v>
      </c>
      <c r="O903" s="7" t="s">
        <v>20492</v>
      </c>
      <c r="P903" s="60" t="s">
        <v>1304</v>
      </c>
      <c r="Q903" s="48" t="s">
        <v>20493</v>
      </c>
      <c r="R903" s="60" t="s">
        <v>205</v>
      </c>
      <c r="S903" s="49" t="s">
        <v>74</v>
      </c>
      <c r="T903" s="48" t="s">
        <v>75</v>
      </c>
      <c r="U903" s="49" t="s">
        <v>3678</v>
      </c>
      <c r="V903" s="7" t="s">
        <v>214</v>
      </c>
      <c r="W903" s="49" t="s">
        <v>214</v>
      </c>
      <c r="X903" s="49" t="s">
        <v>214</v>
      </c>
      <c r="Y903" s="49" t="s">
        <v>214</v>
      </c>
      <c r="Z903" s="55" t="s">
        <v>214</v>
      </c>
      <c r="AA903" s="48" t="s">
        <v>20494</v>
      </c>
      <c r="AB903" s="84" t="s">
        <v>20492</v>
      </c>
      <c r="AC903" s="67" t="str">
        <f t="shared" ref="AC903:AC906" si="577">HYPERLINK("http://niagaracc.suny.edu/programs/","Link")</f>
        <v>Link</v>
      </c>
      <c r="AD903" s="42">
        <v>5893</v>
      </c>
      <c r="AE903" s="55"/>
      <c r="AF903" s="55"/>
      <c r="AG903" s="56">
        <v>193946</v>
      </c>
      <c r="AH903" s="56"/>
      <c r="AI903" s="56"/>
      <c r="AJ903" s="56"/>
      <c r="AK903" s="56"/>
    </row>
    <row r="904" spans="1:37" ht="15" x14ac:dyDescent="0.2">
      <c r="A904" s="64" t="s">
        <v>7303</v>
      </c>
      <c r="B904" s="7" t="s">
        <v>12632</v>
      </c>
      <c r="C904" s="7" t="s">
        <v>20495</v>
      </c>
      <c r="D904" s="112">
        <v>5</v>
      </c>
      <c r="E904" s="7"/>
      <c r="F904" s="7"/>
      <c r="G904" s="2" t="s">
        <v>20488</v>
      </c>
      <c r="H904" s="2" t="s">
        <v>539</v>
      </c>
      <c r="I904" s="2" t="s">
        <v>20496</v>
      </c>
      <c r="J904" s="2" t="s">
        <v>55</v>
      </c>
      <c r="K904" s="2" t="s">
        <v>20497</v>
      </c>
      <c r="L904" s="2" t="s">
        <v>20498</v>
      </c>
      <c r="M904" s="48"/>
      <c r="N904" s="48" t="s">
        <v>22</v>
      </c>
      <c r="O904" s="7" t="s">
        <v>20492</v>
      </c>
      <c r="P904" s="60" t="s">
        <v>1304</v>
      </c>
      <c r="Q904" s="48" t="s">
        <v>20493</v>
      </c>
      <c r="R904" s="60" t="s">
        <v>205</v>
      </c>
      <c r="S904" s="49" t="s">
        <v>74</v>
      </c>
      <c r="T904" s="48" t="s">
        <v>75</v>
      </c>
      <c r="U904" s="49" t="s">
        <v>3678</v>
      </c>
      <c r="V904" s="7" t="s">
        <v>214</v>
      </c>
      <c r="W904" s="49" t="s">
        <v>214</v>
      </c>
      <c r="X904" s="49" t="s">
        <v>214</v>
      </c>
      <c r="Y904" s="49" t="s">
        <v>214</v>
      </c>
      <c r="Z904" s="55" t="s">
        <v>214</v>
      </c>
      <c r="AA904" s="48" t="s">
        <v>20494</v>
      </c>
      <c r="AB904" s="84" t="s">
        <v>20492</v>
      </c>
      <c r="AC904" s="67" t="str">
        <f t="shared" si="577"/>
        <v>Link</v>
      </c>
      <c r="AD904" s="42">
        <v>5893</v>
      </c>
      <c r="AE904" s="55"/>
      <c r="AF904" s="55"/>
      <c r="AG904" s="56">
        <v>193946</v>
      </c>
      <c r="AH904" s="56"/>
      <c r="AI904" s="56"/>
      <c r="AJ904" s="56"/>
      <c r="AK904" s="56"/>
    </row>
    <row r="905" spans="1:37" ht="15" x14ac:dyDescent="0.2">
      <c r="A905" s="64" t="s">
        <v>7303</v>
      </c>
      <c r="B905" s="7" t="s">
        <v>12632</v>
      </c>
      <c r="C905" s="7" t="s">
        <v>20499</v>
      </c>
      <c r="D905" s="112">
        <v>5</v>
      </c>
      <c r="E905" s="7"/>
      <c r="F905" s="7"/>
      <c r="G905" s="2" t="s">
        <v>20488</v>
      </c>
      <c r="H905" s="2" t="s">
        <v>2606</v>
      </c>
      <c r="I905" s="2" t="s">
        <v>20500</v>
      </c>
      <c r="J905" s="2" t="s">
        <v>919</v>
      </c>
      <c r="K905" s="2" t="s">
        <v>20501</v>
      </c>
      <c r="L905" s="2" t="s">
        <v>20502</v>
      </c>
      <c r="M905" s="48"/>
      <c r="N905" s="48" t="s">
        <v>22</v>
      </c>
      <c r="O905" s="7" t="s">
        <v>20492</v>
      </c>
      <c r="P905" s="60" t="s">
        <v>1304</v>
      </c>
      <c r="Q905" s="48" t="s">
        <v>20493</v>
      </c>
      <c r="R905" s="60" t="s">
        <v>205</v>
      </c>
      <c r="S905" s="49" t="s">
        <v>74</v>
      </c>
      <c r="T905" s="48" t="s">
        <v>75</v>
      </c>
      <c r="U905" s="49" t="s">
        <v>3678</v>
      </c>
      <c r="V905" s="7" t="s">
        <v>214</v>
      </c>
      <c r="W905" s="49" t="s">
        <v>214</v>
      </c>
      <c r="X905" s="49" t="s">
        <v>214</v>
      </c>
      <c r="Y905" s="49" t="s">
        <v>214</v>
      </c>
      <c r="Z905" s="55" t="s">
        <v>214</v>
      </c>
      <c r="AA905" s="48" t="s">
        <v>20494</v>
      </c>
      <c r="AB905" s="84" t="s">
        <v>20492</v>
      </c>
      <c r="AC905" s="67" t="str">
        <f t="shared" si="577"/>
        <v>Link</v>
      </c>
      <c r="AD905" s="42">
        <v>5893</v>
      </c>
      <c r="AE905" s="55"/>
      <c r="AF905" s="55"/>
      <c r="AG905" s="56">
        <v>193946</v>
      </c>
      <c r="AH905" s="56"/>
      <c r="AI905" s="56"/>
      <c r="AJ905" s="56"/>
      <c r="AK905" s="56"/>
    </row>
    <row r="906" spans="1:37" ht="15" x14ac:dyDescent="0.2">
      <c r="A906" s="64" t="s">
        <v>7303</v>
      </c>
      <c r="B906" s="7" t="s">
        <v>12632</v>
      </c>
      <c r="C906" s="7" t="s">
        <v>20503</v>
      </c>
      <c r="D906" s="112">
        <v>5</v>
      </c>
      <c r="E906" s="7"/>
      <c r="F906" s="7"/>
      <c r="G906" s="2" t="s">
        <v>20488</v>
      </c>
      <c r="H906" s="2" t="s">
        <v>442</v>
      </c>
      <c r="I906" s="2" t="s">
        <v>20233</v>
      </c>
      <c r="J906" s="2" t="s">
        <v>139</v>
      </c>
      <c r="K906" s="2" t="s">
        <v>20504</v>
      </c>
      <c r="L906" s="2" t="s">
        <v>20505</v>
      </c>
      <c r="M906" s="48"/>
      <c r="N906" s="48" t="s">
        <v>22</v>
      </c>
      <c r="O906" s="7" t="s">
        <v>20492</v>
      </c>
      <c r="P906" s="60" t="s">
        <v>1304</v>
      </c>
      <c r="Q906" s="48" t="s">
        <v>20493</v>
      </c>
      <c r="R906" s="60" t="s">
        <v>205</v>
      </c>
      <c r="S906" s="49" t="s">
        <v>74</v>
      </c>
      <c r="T906" s="48" t="s">
        <v>75</v>
      </c>
      <c r="U906" s="49" t="s">
        <v>3678</v>
      </c>
      <c r="V906" s="7" t="s">
        <v>214</v>
      </c>
      <c r="W906" s="49" t="s">
        <v>214</v>
      </c>
      <c r="X906" s="49" t="s">
        <v>214</v>
      </c>
      <c r="Y906" s="49" t="s">
        <v>214</v>
      </c>
      <c r="Z906" s="55" t="s">
        <v>214</v>
      </c>
      <c r="AA906" s="48" t="s">
        <v>20494</v>
      </c>
      <c r="AB906" s="84" t="s">
        <v>20492</v>
      </c>
      <c r="AC906" s="67" t="str">
        <f t="shared" si="577"/>
        <v>Link</v>
      </c>
      <c r="AD906" s="42">
        <v>5893</v>
      </c>
      <c r="AE906" s="55"/>
      <c r="AF906" s="55"/>
      <c r="AG906" s="56">
        <v>193946</v>
      </c>
      <c r="AH906" s="56"/>
      <c r="AI906" s="56"/>
      <c r="AJ906" s="56"/>
      <c r="AK906" s="56"/>
    </row>
    <row r="907" spans="1:37" ht="13" x14ac:dyDescent="0.15">
      <c r="A907" s="64" t="s">
        <v>7303</v>
      </c>
      <c r="B907" s="7" t="s">
        <v>12632</v>
      </c>
      <c r="C907" s="7" t="s">
        <v>20506</v>
      </c>
      <c r="D907" s="44">
        <v>5</v>
      </c>
      <c r="E907" s="7" t="s">
        <v>116</v>
      </c>
      <c r="F907" s="7"/>
      <c r="G907" s="2" t="s">
        <v>20507</v>
      </c>
      <c r="H907" s="7" t="s">
        <v>1817</v>
      </c>
      <c r="I907" s="7" t="s">
        <v>1611</v>
      </c>
      <c r="J907" s="7" t="s">
        <v>55</v>
      </c>
      <c r="K907" s="7"/>
      <c r="L907" s="7"/>
      <c r="M907" s="150" t="str">
        <f t="shared" ref="M907:M910" si="578">HYPERLINK("twitter.com/lazersonondaga","@lazersonondaga")</f>
        <v>@lazersonondaga</v>
      </c>
      <c r="N907" s="150" t="str">
        <f t="shared" ref="N907:N910" si="579">HYPERLINK("https://onondagalazers.com/sb_output.aspx?form=3","Questionnaire")</f>
        <v>Questionnaire</v>
      </c>
      <c r="O907" s="48" t="s">
        <v>20508</v>
      </c>
      <c r="P907" s="60" t="s">
        <v>1304</v>
      </c>
      <c r="Q907" s="48" t="s">
        <v>1318</v>
      </c>
      <c r="R907" s="48" t="s">
        <v>238</v>
      </c>
      <c r="S907" s="49" t="s">
        <v>74</v>
      </c>
      <c r="T907" s="48" t="s">
        <v>75</v>
      </c>
      <c r="U907" s="49" t="s">
        <v>3678</v>
      </c>
      <c r="V907" s="7" t="s">
        <v>214</v>
      </c>
      <c r="W907" s="49" t="s">
        <v>214</v>
      </c>
      <c r="X907" s="49" t="s">
        <v>214</v>
      </c>
      <c r="Y907" s="49" t="s">
        <v>214</v>
      </c>
      <c r="Z907" s="55" t="s">
        <v>214</v>
      </c>
      <c r="AA907" s="48" t="s">
        <v>20509</v>
      </c>
      <c r="AB907" s="84" t="s">
        <v>20508</v>
      </c>
      <c r="AC907" s="67" t="str">
        <f t="shared" ref="AC907:AC910" si="580">HYPERLINK("https://www.sunyocc.edu/index.aspx?id=6766","Link")</f>
        <v>Link</v>
      </c>
      <c r="AD907" s="42">
        <v>12640</v>
      </c>
      <c r="AE907" s="55"/>
      <c r="AF907" s="55"/>
      <c r="AG907" s="56">
        <v>194222</v>
      </c>
      <c r="AH907" s="85"/>
      <c r="AI907" s="85"/>
      <c r="AJ907" s="56"/>
      <c r="AK907" s="56"/>
    </row>
    <row r="908" spans="1:37" ht="15" x14ac:dyDescent="0.2">
      <c r="A908" s="64" t="s">
        <v>7303</v>
      </c>
      <c r="B908" s="7" t="s">
        <v>12632</v>
      </c>
      <c r="C908" s="7" t="s">
        <v>20510</v>
      </c>
      <c r="D908" s="112">
        <v>5</v>
      </c>
      <c r="E908" s="7"/>
      <c r="F908" s="7"/>
      <c r="G908" s="2" t="s">
        <v>20507</v>
      </c>
      <c r="H908" s="2" t="s">
        <v>135</v>
      </c>
      <c r="I908" s="2" t="s">
        <v>6225</v>
      </c>
      <c r="J908" s="2" t="s">
        <v>48</v>
      </c>
      <c r="K908" s="2" t="s">
        <v>20511</v>
      </c>
      <c r="L908" s="2" t="s">
        <v>20512</v>
      </c>
      <c r="M908" s="150" t="str">
        <f t="shared" si="578"/>
        <v>@lazersonondaga</v>
      </c>
      <c r="N908" s="150" t="str">
        <f t="shared" si="579"/>
        <v>Questionnaire</v>
      </c>
      <c r="O908" s="48" t="s">
        <v>20508</v>
      </c>
      <c r="P908" s="60" t="s">
        <v>1304</v>
      </c>
      <c r="Q908" s="48" t="s">
        <v>1318</v>
      </c>
      <c r="R908" s="48" t="s">
        <v>238</v>
      </c>
      <c r="S908" s="49" t="s">
        <v>74</v>
      </c>
      <c r="T908" s="48" t="s">
        <v>75</v>
      </c>
      <c r="U908" s="49" t="s">
        <v>3678</v>
      </c>
      <c r="V908" s="7" t="s">
        <v>214</v>
      </c>
      <c r="W908" s="49" t="s">
        <v>214</v>
      </c>
      <c r="X908" s="49" t="s">
        <v>214</v>
      </c>
      <c r="Y908" s="49" t="s">
        <v>214</v>
      </c>
      <c r="Z908" s="55" t="s">
        <v>214</v>
      </c>
      <c r="AA908" s="48" t="s">
        <v>20509</v>
      </c>
      <c r="AB908" s="84" t="s">
        <v>20508</v>
      </c>
      <c r="AC908" s="67" t="str">
        <f t="shared" si="580"/>
        <v>Link</v>
      </c>
      <c r="AD908" s="42">
        <v>12640</v>
      </c>
      <c r="AE908" s="55"/>
      <c r="AF908" s="55"/>
      <c r="AG908" s="56">
        <v>194222</v>
      </c>
      <c r="AH908" s="56"/>
      <c r="AI908" s="56"/>
      <c r="AJ908" s="56"/>
      <c r="AK908" s="56"/>
    </row>
    <row r="909" spans="1:37" ht="15" x14ac:dyDescent="0.2">
      <c r="A909" s="64" t="s">
        <v>7303</v>
      </c>
      <c r="B909" s="7" t="s">
        <v>12632</v>
      </c>
      <c r="C909" s="7" t="s">
        <v>20513</v>
      </c>
      <c r="D909" s="112">
        <v>5</v>
      </c>
      <c r="E909" s="7"/>
      <c r="F909" s="7"/>
      <c r="G909" s="2" t="s">
        <v>20507</v>
      </c>
      <c r="H909" s="2" t="s">
        <v>754</v>
      </c>
      <c r="I909" s="2" t="s">
        <v>20514</v>
      </c>
      <c r="J909" s="2" t="s">
        <v>55</v>
      </c>
      <c r="K909" s="2"/>
      <c r="L909" s="2"/>
      <c r="M909" s="150" t="str">
        <f t="shared" si="578"/>
        <v>@lazersonondaga</v>
      </c>
      <c r="N909" s="150" t="str">
        <f t="shared" si="579"/>
        <v>Questionnaire</v>
      </c>
      <c r="O909" s="48" t="s">
        <v>20508</v>
      </c>
      <c r="P909" s="60" t="s">
        <v>1304</v>
      </c>
      <c r="Q909" s="48" t="s">
        <v>1318</v>
      </c>
      <c r="R909" s="48" t="s">
        <v>238</v>
      </c>
      <c r="S909" s="49" t="s">
        <v>74</v>
      </c>
      <c r="T909" s="48" t="s">
        <v>75</v>
      </c>
      <c r="U909" s="49" t="s">
        <v>3678</v>
      </c>
      <c r="V909" s="7" t="s">
        <v>214</v>
      </c>
      <c r="W909" s="49" t="s">
        <v>214</v>
      </c>
      <c r="X909" s="49" t="s">
        <v>214</v>
      </c>
      <c r="Y909" s="49" t="s">
        <v>214</v>
      </c>
      <c r="Z909" s="55" t="s">
        <v>214</v>
      </c>
      <c r="AA909" s="48" t="s">
        <v>20509</v>
      </c>
      <c r="AB909" s="84" t="s">
        <v>20508</v>
      </c>
      <c r="AC909" s="67" t="str">
        <f t="shared" si="580"/>
        <v>Link</v>
      </c>
      <c r="AD909" s="42">
        <v>12640</v>
      </c>
      <c r="AE909" s="55"/>
      <c r="AF909" s="55"/>
      <c r="AG909" s="56">
        <v>194222</v>
      </c>
      <c r="AH909" s="56"/>
      <c r="AI909" s="56"/>
      <c r="AJ909" s="56"/>
      <c r="AK909" s="56"/>
    </row>
    <row r="910" spans="1:37" ht="15" x14ac:dyDescent="0.2">
      <c r="A910" s="64" t="s">
        <v>7303</v>
      </c>
      <c r="B910" s="7" t="s">
        <v>12632</v>
      </c>
      <c r="C910" s="7" t="s">
        <v>20515</v>
      </c>
      <c r="D910" s="112">
        <v>5</v>
      </c>
      <c r="E910" s="7"/>
      <c r="F910" s="7"/>
      <c r="G910" s="2" t="s">
        <v>20507</v>
      </c>
      <c r="H910" s="2" t="s">
        <v>1124</v>
      </c>
      <c r="I910" s="2" t="s">
        <v>20516</v>
      </c>
      <c r="J910" s="2" t="s">
        <v>55</v>
      </c>
      <c r="K910" s="2"/>
      <c r="L910" s="2"/>
      <c r="M910" s="150" t="str">
        <f t="shared" si="578"/>
        <v>@lazersonondaga</v>
      </c>
      <c r="N910" s="150" t="str">
        <f t="shared" si="579"/>
        <v>Questionnaire</v>
      </c>
      <c r="O910" s="48" t="s">
        <v>20508</v>
      </c>
      <c r="P910" s="60" t="s">
        <v>1304</v>
      </c>
      <c r="Q910" s="48" t="s">
        <v>1318</v>
      </c>
      <c r="R910" s="48" t="s">
        <v>238</v>
      </c>
      <c r="S910" s="49" t="s">
        <v>74</v>
      </c>
      <c r="T910" s="48" t="s">
        <v>75</v>
      </c>
      <c r="U910" s="49" t="s">
        <v>3678</v>
      </c>
      <c r="V910" s="7" t="s">
        <v>214</v>
      </c>
      <c r="W910" s="49" t="s">
        <v>214</v>
      </c>
      <c r="X910" s="49" t="s">
        <v>214</v>
      </c>
      <c r="Y910" s="49" t="s">
        <v>214</v>
      </c>
      <c r="Z910" s="55" t="s">
        <v>214</v>
      </c>
      <c r="AA910" s="48" t="s">
        <v>20509</v>
      </c>
      <c r="AB910" s="84" t="s">
        <v>20508</v>
      </c>
      <c r="AC910" s="67" t="str">
        <f t="shared" si="580"/>
        <v>Link</v>
      </c>
      <c r="AD910" s="42">
        <v>12640</v>
      </c>
      <c r="AE910" s="55"/>
      <c r="AF910" s="55"/>
      <c r="AG910" s="56">
        <v>194222</v>
      </c>
      <c r="AH910" s="56"/>
      <c r="AI910" s="56"/>
      <c r="AJ910" s="56"/>
      <c r="AK910" s="56"/>
    </row>
    <row r="911" spans="1:37" ht="15" x14ac:dyDescent="0.2">
      <c r="A911" s="64" t="s">
        <v>7303</v>
      </c>
      <c r="B911" s="7" t="s">
        <v>12632</v>
      </c>
      <c r="C911" s="7" t="s">
        <v>20517</v>
      </c>
      <c r="D911" s="112">
        <v>5</v>
      </c>
      <c r="E911" s="7"/>
      <c r="F911" s="7"/>
      <c r="G911" s="2" t="s">
        <v>20518</v>
      </c>
      <c r="H911" s="2" t="s">
        <v>3393</v>
      </c>
      <c r="I911" s="2" t="s">
        <v>20519</v>
      </c>
      <c r="J911" s="2" t="s">
        <v>48</v>
      </c>
      <c r="K911" s="2" t="s">
        <v>20520</v>
      </c>
      <c r="L911" s="2" t="s">
        <v>20521</v>
      </c>
      <c r="M911" s="48"/>
      <c r="N911" s="150" t="str">
        <f t="shared" ref="N911:N913" si="581">HYPERLINK("https://www.sunysuffolkathletics.com/information/forms/Athletic_Form","Questionnaire")</f>
        <v>Questionnaire</v>
      </c>
      <c r="O911" s="48" t="s">
        <v>20522</v>
      </c>
      <c r="P911" s="60" t="s">
        <v>1304</v>
      </c>
      <c r="Q911" s="48" t="s">
        <v>15164</v>
      </c>
      <c r="R911" s="48" t="s">
        <v>172</v>
      </c>
      <c r="S911" s="5" t="s">
        <v>74</v>
      </c>
      <c r="T911" s="48" t="s">
        <v>75</v>
      </c>
      <c r="U911" s="49" t="s">
        <v>3678</v>
      </c>
      <c r="V911" s="7" t="s">
        <v>214</v>
      </c>
      <c r="W911" s="49" t="s">
        <v>214</v>
      </c>
      <c r="X911" s="49" t="s">
        <v>214</v>
      </c>
      <c r="Y911" s="49" t="s">
        <v>214</v>
      </c>
      <c r="Z911" s="55" t="s">
        <v>214</v>
      </c>
      <c r="AA911" s="48" t="s">
        <v>20523</v>
      </c>
      <c r="AB911" s="52" t="s">
        <v>20522</v>
      </c>
      <c r="AC911" s="67" t="str">
        <f t="shared" ref="AC911:AC913" si="582">HYPERLINK("https://www.sunysuffolk.edu/explore-academics/majors-and-programs/","Link")</f>
        <v>Link</v>
      </c>
      <c r="AD911" s="39">
        <v>27066</v>
      </c>
      <c r="AE911" s="55"/>
      <c r="AF911" s="55"/>
      <c r="AG911" s="56">
        <v>366395</v>
      </c>
      <c r="AH911" s="56"/>
      <c r="AI911" s="56"/>
      <c r="AJ911" s="56"/>
      <c r="AK911" s="56"/>
    </row>
    <row r="912" spans="1:37" ht="15" x14ac:dyDescent="0.2">
      <c r="A912" s="64" t="s">
        <v>7303</v>
      </c>
      <c r="B912" s="7" t="s">
        <v>12632</v>
      </c>
      <c r="C912" s="7" t="s">
        <v>20524</v>
      </c>
      <c r="D912" s="112">
        <v>5</v>
      </c>
      <c r="E912" s="7"/>
      <c r="F912" s="7"/>
      <c r="G912" s="2" t="s">
        <v>20518</v>
      </c>
      <c r="H912" s="2" t="s">
        <v>20126</v>
      </c>
      <c r="I912" s="2" t="s">
        <v>20525</v>
      </c>
      <c r="J912" s="2" t="s">
        <v>55</v>
      </c>
      <c r="K912" s="2"/>
      <c r="L912" s="2" t="s">
        <v>20526</v>
      </c>
      <c r="M912" s="48"/>
      <c r="N912" s="150" t="str">
        <f t="shared" si="581"/>
        <v>Questionnaire</v>
      </c>
      <c r="O912" s="48" t="s">
        <v>20522</v>
      </c>
      <c r="P912" s="60" t="s">
        <v>1304</v>
      </c>
      <c r="Q912" s="48" t="s">
        <v>15164</v>
      </c>
      <c r="R912" s="48" t="s">
        <v>172</v>
      </c>
      <c r="S912" s="5" t="s">
        <v>74</v>
      </c>
      <c r="T912" s="48" t="s">
        <v>75</v>
      </c>
      <c r="U912" s="49" t="s">
        <v>3678</v>
      </c>
      <c r="V912" s="7" t="s">
        <v>214</v>
      </c>
      <c r="W912" s="49" t="s">
        <v>214</v>
      </c>
      <c r="X912" s="49" t="s">
        <v>214</v>
      </c>
      <c r="Y912" s="49" t="s">
        <v>214</v>
      </c>
      <c r="Z912" s="55" t="s">
        <v>214</v>
      </c>
      <c r="AA912" s="48" t="s">
        <v>20523</v>
      </c>
      <c r="AB912" s="52" t="s">
        <v>20522</v>
      </c>
      <c r="AC912" s="67" t="str">
        <f t="shared" si="582"/>
        <v>Link</v>
      </c>
      <c r="AD912" s="39">
        <v>27066</v>
      </c>
      <c r="AE912" s="55"/>
      <c r="AF912" s="55"/>
      <c r="AG912" s="56">
        <v>366395</v>
      </c>
      <c r="AH912" s="56"/>
      <c r="AI912" s="56"/>
      <c r="AJ912" s="56"/>
      <c r="AK912" s="56"/>
    </row>
    <row r="913" spans="1:37" ht="15" x14ac:dyDescent="0.2">
      <c r="A913" s="64" t="s">
        <v>7303</v>
      </c>
      <c r="B913" s="7" t="s">
        <v>12632</v>
      </c>
      <c r="C913" s="7" t="s">
        <v>20527</v>
      </c>
      <c r="D913" s="112">
        <v>5</v>
      </c>
      <c r="E913" s="7"/>
      <c r="F913" s="7"/>
      <c r="G913" s="2" t="s">
        <v>20518</v>
      </c>
      <c r="H913" s="2" t="s">
        <v>222</v>
      </c>
      <c r="I913" s="2" t="s">
        <v>2731</v>
      </c>
      <c r="J913" s="2" t="s">
        <v>55</v>
      </c>
      <c r="K913" s="2" t="s">
        <v>20528</v>
      </c>
      <c r="L913" s="2" t="s">
        <v>20526</v>
      </c>
      <c r="M913" s="48"/>
      <c r="N913" s="150" t="str">
        <f t="shared" si="581"/>
        <v>Questionnaire</v>
      </c>
      <c r="O913" s="48" t="s">
        <v>20522</v>
      </c>
      <c r="P913" s="60" t="s">
        <v>1304</v>
      </c>
      <c r="Q913" s="48" t="s">
        <v>15164</v>
      </c>
      <c r="R913" s="48" t="s">
        <v>172</v>
      </c>
      <c r="S913" s="5" t="s">
        <v>74</v>
      </c>
      <c r="T913" s="48" t="s">
        <v>75</v>
      </c>
      <c r="U913" s="49" t="s">
        <v>3678</v>
      </c>
      <c r="V913" s="7" t="s">
        <v>214</v>
      </c>
      <c r="W913" s="49" t="s">
        <v>214</v>
      </c>
      <c r="X913" s="49" t="s">
        <v>214</v>
      </c>
      <c r="Y913" s="49" t="s">
        <v>214</v>
      </c>
      <c r="Z913" s="55" t="s">
        <v>214</v>
      </c>
      <c r="AA913" s="48" t="s">
        <v>20523</v>
      </c>
      <c r="AB913" s="52" t="s">
        <v>20522</v>
      </c>
      <c r="AC913" s="67" t="str">
        <f t="shared" si="582"/>
        <v>Link</v>
      </c>
      <c r="AD913" s="39">
        <v>27066</v>
      </c>
      <c r="AE913" s="55"/>
      <c r="AF913" s="55"/>
      <c r="AG913" s="56">
        <v>366395</v>
      </c>
      <c r="AH913" s="56"/>
      <c r="AI913" s="56"/>
      <c r="AJ913" s="56"/>
      <c r="AK913" s="56"/>
    </row>
    <row r="914" spans="1:37" ht="15" x14ac:dyDescent="0.2">
      <c r="A914" s="64" t="s">
        <v>7303</v>
      </c>
      <c r="B914" s="7" t="s">
        <v>12632</v>
      </c>
      <c r="C914" s="7" t="s">
        <v>20529</v>
      </c>
      <c r="D914" s="112">
        <v>5</v>
      </c>
      <c r="E914" s="7"/>
      <c r="F914" s="7"/>
      <c r="G914" s="2" t="s">
        <v>20530</v>
      </c>
      <c r="H914" s="2" t="s">
        <v>754</v>
      </c>
      <c r="I914" s="2" t="s">
        <v>20531</v>
      </c>
      <c r="J914" s="2" t="s">
        <v>48</v>
      </c>
      <c r="K914" s="2" t="s">
        <v>20532</v>
      </c>
      <c r="L914" s="2" t="s">
        <v>20533</v>
      </c>
      <c r="M914" s="48"/>
      <c r="N914" s="150" t="str">
        <f>HYPERLINK("https://athletics.sunyulster.edu/sb_output.aspx?form=3","Questionnaire")</f>
        <v>Questionnaire</v>
      </c>
      <c r="O914" s="48" t="s">
        <v>20534</v>
      </c>
      <c r="P914" s="60" t="s">
        <v>1304</v>
      </c>
      <c r="Q914" s="48" t="s">
        <v>20535</v>
      </c>
      <c r="R914" s="60" t="s">
        <v>205</v>
      </c>
      <c r="S914" s="49" t="s">
        <v>74</v>
      </c>
      <c r="T914" s="48" t="s">
        <v>75</v>
      </c>
      <c r="U914" s="49" t="s">
        <v>3678</v>
      </c>
      <c r="V914" s="7" t="s">
        <v>214</v>
      </c>
      <c r="W914" s="49" t="s">
        <v>214</v>
      </c>
      <c r="X914" s="49" t="s">
        <v>214</v>
      </c>
      <c r="Y914" s="49" t="s">
        <v>214</v>
      </c>
      <c r="Z914" s="55" t="s">
        <v>214</v>
      </c>
      <c r="AA914" s="48" t="s">
        <v>20536</v>
      </c>
      <c r="AB914" s="84" t="s">
        <v>20534</v>
      </c>
      <c r="AC914" s="67" t="str">
        <f>HYPERLINK("https://www.sunyulster.edu/academics/credit_programs/","Link")</f>
        <v>Link</v>
      </c>
      <c r="AD914" s="42">
        <v>3416</v>
      </c>
      <c r="AE914" s="55"/>
      <c r="AF914" s="55"/>
      <c r="AG914" s="56">
        <v>196699</v>
      </c>
      <c r="AH914" s="56"/>
      <c r="AI914" s="56"/>
      <c r="AJ914" s="56"/>
      <c r="AK914" s="56"/>
    </row>
    <row r="915" spans="1:37" ht="15" x14ac:dyDescent="0.2">
      <c r="A915" s="64" t="s">
        <v>7303</v>
      </c>
      <c r="B915" s="7" t="s">
        <v>12632</v>
      </c>
      <c r="C915" s="7" t="s">
        <v>20537</v>
      </c>
      <c r="D915" s="112">
        <v>5</v>
      </c>
      <c r="E915" s="7"/>
      <c r="F915" s="7"/>
      <c r="G915" s="2" t="s">
        <v>20538</v>
      </c>
      <c r="H915" s="2" t="s">
        <v>20539</v>
      </c>
      <c r="I915" s="2" t="s">
        <v>20540</v>
      </c>
      <c r="J915" s="2" t="s">
        <v>48</v>
      </c>
      <c r="K915" s="2" t="s">
        <v>20541</v>
      </c>
      <c r="L915" s="2" t="s">
        <v>20542</v>
      </c>
      <c r="M915" s="48"/>
      <c r="N915" s="150" t="str">
        <f t="shared" ref="N915:N916" si="583">HYPERLINK("https://www.tcpanthers.com/general/Student-Athlete_Interest_Form","Questionnaire")</f>
        <v>Questionnaire</v>
      </c>
      <c r="O915" s="48" t="s">
        <v>20543</v>
      </c>
      <c r="P915" s="60" t="s">
        <v>1304</v>
      </c>
      <c r="Q915" s="48" t="s">
        <v>20544</v>
      </c>
      <c r="R915" s="48" t="s">
        <v>172</v>
      </c>
      <c r="S915" s="49" t="s">
        <v>74</v>
      </c>
      <c r="T915" s="48" t="s">
        <v>75</v>
      </c>
      <c r="U915" s="49" t="s">
        <v>3678</v>
      </c>
      <c r="V915" s="7" t="s">
        <v>214</v>
      </c>
      <c r="W915" s="49" t="s">
        <v>214</v>
      </c>
      <c r="X915" s="49" t="s">
        <v>214</v>
      </c>
      <c r="Y915" s="49" t="s">
        <v>214</v>
      </c>
      <c r="Z915" s="55" t="s">
        <v>214</v>
      </c>
      <c r="AA915" s="48" t="s">
        <v>20545</v>
      </c>
      <c r="AB915" s="84" t="s">
        <v>20543</v>
      </c>
      <c r="AC915" s="67" t="str">
        <f t="shared" ref="AC915:AC916" si="584">HYPERLINK("https://www.tc3.edu/catalog/ap_degrees.asp","Link")</f>
        <v>Link</v>
      </c>
      <c r="AD915" s="42">
        <v>2843</v>
      </c>
      <c r="AE915" s="55"/>
      <c r="AF915" s="55"/>
      <c r="AG915" s="56">
        <v>196565</v>
      </c>
      <c r="AH915" s="56"/>
      <c r="AI915" s="56"/>
      <c r="AJ915" s="56"/>
      <c r="AK915" s="56"/>
    </row>
    <row r="916" spans="1:37" ht="15" x14ac:dyDescent="0.2">
      <c r="A916" s="64" t="s">
        <v>7303</v>
      </c>
      <c r="B916" s="7" t="s">
        <v>12632</v>
      </c>
      <c r="C916" s="7" t="s">
        <v>20546</v>
      </c>
      <c r="D916" s="112">
        <v>5</v>
      </c>
      <c r="E916" s="7"/>
      <c r="F916" s="7" t="s">
        <v>126</v>
      </c>
      <c r="G916" s="2" t="s">
        <v>20538</v>
      </c>
      <c r="H916" s="2" t="s">
        <v>20547</v>
      </c>
      <c r="I916" s="2"/>
      <c r="J916" s="2"/>
      <c r="K916" s="2"/>
      <c r="L916" s="2"/>
      <c r="M916" s="48"/>
      <c r="N916" s="150" t="str">
        <f t="shared" si="583"/>
        <v>Questionnaire</v>
      </c>
      <c r="O916" s="48" t="s">
        <v>20543</v>
      </c>
      <c r="P916" s="60" t="s">
        <v>1304</v>
      </c>
      <c r="Q916" s="48" t="s">
        <v>20544</v>
      </c>
      <c r="R916" s="48" t="s">
        <v>172</v>
      </c>
      <c r="S916" s="49" t="s">
        <v>74</v>
      </c>
      <c r="T916" s="48" t="s">
        <v>75</v>
      </c>
      <c r="U916" s="49" t="s">
        <v>3678</v>
      </c>
      <c r="V916" s="7" t="s">
        <v>214</v>
      </c>
      <c r="W916" s="49" t="s">
        <v>214</v>
      </c>
      <c r="X916" s="49" t="s">
        <v>214</v>
      </c>
      <c r="Y916" s="49" t="s">
        <v>214</v>
      </c>
      <c r="Z916" s="55" t="s">
        <v>214</v>
      </c>
      <c r="AA916" s="48" t="s">
        <v>20545</v>
      </c>
      <c r="AB916" s="84" t="s">
        <v>20543</v>
      </c>
      <c r="AC916" s="67" t="str">
        <f t="shared" si="584"/>
        <v>Link</v>
      </c>
      <c r="AD916" s="42">
        <v>2843</v>
      </c>
      <c r="AE916" s="55"/>
      <c r="AF916" s="55"/>
      <c r="AG916" s="56">
        <v>196565</v>
      </c>
      <c r="AH916" s="56"/>
      <c r="AI916" s="56"/>
      <c r="AJ916" s="56"/>
      <c r="AK916" s="56"/>
    </row>
    <row r="917" spans="1:37" ht="15" x14ac:dyDescent="0.2">
      <c r="A917" s="31" t="s">
        <v>1019</v>
      </c>
      <c r="B917" s="7" t="s">
        <v>12632</v>
      </c>
      <c r="C917" s="7"/>
      <c r="D917" s="112">
        <v>5</v>
      </c>
      <c r="E917" s="7"/>
      <c r="F917" s="112"/>
      <c r="G917" s="2" t="s">
        <v>20548</v>
      </c>
      <c r="H917" s="2" t="s">
        <v>20549</v>
      </c>
      <c r="I917" s="2" t="s">
        <v>20550</v>
      </c>
      <c r="J917" s="2" t="s">
        <v>48</v>
      </c>
      <c r="K917" s="2" t="s">
        <v>20551</v>
      </c>
      <c r="L917" s="2" t="s">
        <v>20552</v>
      </c>
      <c r="M917" s="48"/>
      <c r="N917" s="45" t="str">
        <f>HYPERLINK("https://www.hometeamsonline.com/teams/default.asp?u=GODOLPHINS&amp;t=c&amp;s=org&amp;p=custom&amp;pagename=BECOME+A+DOLPHIN","Questionnaire")</f>
        <v>Questionnaire</v>
      </c>
      <c r="O917" s="48" t="s">
        <v>20553</v>
      </c>
      <c r="P917" s="47" t="s">
        <v>219</v>
      </c>
      <c r="Q917" s="48" t="s">
        <v>20554</v>
      </c>
      <c r="R917" s="60" t="s">
        <v>205</v>
      </c>
      <c r="S917" s="49" t="s">
        <v>74</v>
      </c>
      <c r="T917" s="48" t="s">
        <v>75</v>
      </c>
      <c r="U917" s="49" t="s">
        <v>3678</v>
      </c>
      <c r="V917" s="7" t="s">
        <v>214</v>
      </c>
      <c r="W917" s="49" t="s">
        <v>214</v>
      </c>
      <c r="X917" s="49" t="s">
        <v>214</v>
      </c>
      <c r="Y917" s="49" t="s">
        <v>214</v>
      </c>
      <c r="Z917" s="55" t="s">
        <v>214</v>
      </c>
      <c r="AA917" s="48" t="s">
        <v>20555</v>
      </c>
      <c r="AB917" s="52" t="s">
        <v>20553</v>
      </c>
      <c r="AC917" s="53" t="str">
        <f>HYPERLINK("http://www.brunswickcc.edu/programs/","Link")</f>
        <v>Link</v>
      </c>
      <c r="AD917" s="54">
        <v>1400</v>
      </c>
      <c r="AE917" s="55"/>
      <c r="AF917" s="55"/>
      <c r="AG917" s="56">
        <v>198084</v>
      </c>
      <c r="AH917" s="7" t="s">
        <v>2459</v>
      </c>
      <c r="AI917" s="7"/>
      <c r="AJ917" s="7"/>
      <c r="AK917" s="7"/>
    </row>
    <row r="918" spans="1:37" ht="15" x14ac:dyDescent="0.2">
      <c r="A918" s="110" t="s">
        <v>1019</v>
      </c>
      <c r="B918" s="7" t="s">
        <v>12632</v>
      </c>
      <c r="C918" s="7"/>
      <c r="D918" s="112">
        <v>5</v>
      </c>
      <c r="E918" s="7"/>
      <c r="F918" s="112"/>
      <c r="G918" s="2" t="s">
        <v>20556</v>
      </c>
      <c r="H918" s="2" t="s">
        <v>2031</v>
      </c>
      <c r="I918" s="2" t="s">
        <v>10375</v>
      </c>
      <c r="J918" s="2" t="s">
        <v>48</v>
      </c>
      <c r="K918" s="2" t="s">
        <v>20557</v>
      </c>
      <c r="L918" s="2" t="s">
        <v>20558</v>
      </c>
      <c r="M918" s="45" t="str">
        <f>HYPERLINK("twitter.com/caldwell_cobras","@caldwell_cobras")</f>
        <v>@caldwell_cobras</v>
      </c>
      <c r="N918" s="48" t="s">
        <v>22</v>
      </c>
      <c r="O918" s="48" t="s">
        <v>20559</v>
      </c>
      <c r="P918" s="60" t="s">
        <v>219</v>
      </c>
      <c r="Q918" s="6" t="s">
        <v>20293</v>
      </c>
      <c r="R918" s="60" t="s">
        <v>205</v>
      </c>
      <c r="S918" s="4" t="s">
        <v>74</v>
      </c>
      <c r="T918" s="7" t="s">
        <v>75</v>
      </c>
      <c r="U918" s="2" t="s">
        <v>3678</v>
      </c>
      <c r="V918" s="2" t="s">
        <v>214</v>
      </c>
      <c r="W918" s="4" t="s">
        <v>214</v>
      </c>
      <c r="X918" s="4" t="s">
        <v>214</v>
      </c>
      <c r="Y918" s="4" t="s">
        <v>214</v>
      </c>
      <c r="Z918" s="55" t="s">
        <v>214</v>
      </c>
      <c r="AA918" s="6" t="s">
        <v>20560</v>
      </c>
      <c r="AB918" s="90" t="s">
        <v>20559</v>
      </c>
      <c r="AC918" s="67" t="str">
        <f>HYPERLINK("https://www.cccti.edu/programs/default.asp#page=page-1","Link")</f>
        <v>Link</v>
      </c>
      <c r="AD918" s="42">
        <v>3369</v>
      </c>
      <c r="AE918" s="55"/>
      <c r="AF918" s="2"/>
      <c r="AG918" s="56">
        <v>198118</v>
      </c>
      <c r="AH918" s="7" t="s">
        <v>2459</v>
      </c>
      <c r="AI918" s="7"/>
      <c r="AJ918" s="7"/>
      <c r="AK918" s="7"/>
    </row>
    <row r="919" spans="1:37" ht="15" x14ac:dyDescent="0.2">
      <c r="A919" s="88" t="s">
        <v>1019</v>
      </c>
      <c r="B919" s="7" t="s">
        <v>12632</v>
      </c>
      <c r="C919" s="7" t="s">
        <v>20561</v>
      </c>
      <c r="D919" s="112">
        <v>5</v>
      </c>
      <c r="E919" s="7"/>
      <c r="F919" s="7"/>
      <c r="G919" s="2" t="s">
        <v>20562</v>
      </c>
      <c r="H919" s="2" t="s">
        <v>501</v>
      </c>
      <c r="I919" s="2" t="s">
        <v>20563</v>
      </c>
      <c r="J919" s="2" t="s">
        <v>48</v>
      </c>
      <c r="K919" s="2" t="s">
        <v>20564</v>
      </c>
      <c r="L919" s="2" t="s">
        <v>20565</v>
      </c>
      <c r="M919" s="48"/>
      <c r="N919" s="48" t="s">
        <v>22</v>
      </c>
      <c r="O919" s="48" t="s">
        <v>20566</v>
      </c>
      <c r="P919" s="60" t="s">
        <v>219</v>
      </c>
      <c r="Q919" s="6" t="s">
        <v>8006</v>
      </c>
      <c r="R919" s="6" t="s">
        <v>468</v>
      </c>
      <c r="S919" s="4" t="s">
        <v>74</v>
      </c>
      <c r="T919" s="2" t="s">
        <v>75</v>
      </c>
      <c r="U919" s="2" t="s">
        <v>3678</v>
      </c>
      <c r="V919" s="2" t="s">
        <v>214</v>
      </c>
      <c r="W919" s="4" t="s">
        <v>214</v>
      </c>
      <c r="X919" s="4" t="s">
        <v>214</v>
      </c>
      <c r="Y919" s="4" t="s">
        <v>214</v>
      </c>
      <c r="Z919" s="8" t="s">
        <v>214</v>
      </c>
      <c r="AA919" s="6" t="s">
        <v>20567</v>
      </c>
      <c r="AB919" s="90" t="s">
        <v>20566</v>
      </c>
      <c r="AC919" s="67" t="str">
        <f t="shared" ref="AC919:AC921" si="585">HYPERLINK("http://www.cvcc.edu/Degrees_Programs/index.cfm","Link")</f>
        <v>Link</v>
      </c>
      <c r="AD919" s="42">
        <v>4703</v>
      </c>
      <c r="AE919" s="55"/>
      <c r="AF919" s="7"/>
      <c r="AG919" s="56">
        <v>198233</v>
      </c>
      <c r="AH919" s="56"/>
      <c r="AI919" s="56"/>
      <c r="AJ919" s="56"/>
      <c r="AK919" s="56"/>
    </row>
    <row r="920" spans="1:37" ht="15" x14ac:dyDescent="0.2">
      <c r="A920" s="88" t="s">
        <v>1019</v>
      </c>
      <c r="B920" s="7" t="s">
        <v>12632</v>
      </c>
      <c r="C920" s="7" t="s">
        <v>20568</v>
      </c>
      <c r="D920" s="112">
        <v>5</v>
      </c>
      <c r="E920" s="7"/>
      <c r="F920" s="7"/>
      <c r="G920" s="2" t="s">
        <v>20562</v>
      </c>
      <c r="H920" s="2" t="s">
        <v>4644</v>
      </c>
      <c r="I920" s="2" t="s">
        <v>20569</v>
      </c>
      <c r="J920" s="2" t="s">
        <v>55</v>
      </c>
      <c r="K920" s="2" t="s">
        <v>20570</v>
      </c>
      <c r="L920" s="2"/>
      <c r="M920" s="48"/>
      <c r="N920" s="48" t="s">
        <v>22</v>
      </c>
      <c r="O920" s="48" t="s">
        <v>20566</v>
      </c>
      <c r="P920" s="60" t="s">
        <v>219</v>
      </c>
      <c r="Q920" s="6" t="s">
        <v>8006</v>
      </c>
      <c r="R920" s="6" t="s">
        <v>468</v>
      </c>
      <c r="S920" s="4" t="s">
        <v>74</v>
      </c>
      <c r="T920" s="2" t="s">
        <v>75</v>
      </c>
      <c r="U920" s="2" t="s">
        <v>3678</v>
      </c>
      <c r="V920" s="2" t="s">
        <v>214</v>
      </c>
      <c r="W920" s="4" t="s">
        <v>214</v>
      </c>
      <c r="X920" s="4" t="s">
        <v>214</v>
      </c>
      <c r="Y920" s="4" t="s">
        <v>214</v>
      </c>
      <c r="Z920" s="8" t="s">
        <v>214</v>
      </c>
      <c r="AA920" s="6" t="s">
        <v>20567</v>
      </c>
      <c r="AB920" s="90" t="s">
        <v>20566</v>
      </c>
      <c r="AC920" s="67" t="str">
        <f t="shared" si="585"/>
        <v>Link</v>
      </c>
      <c r="AD920" s="42">
        <v>4703</v>
      </c>
      <c r="AE920" s="55"/>
      <c r="AF920" s="7"/>
      <c r="AG920" s="56">
        <v>198233</v>
      </c>
      <c r="AH920" s="56"/>
      <c r="AI920" s="56"/>
      <c r="AJ920" s="56"/>
      <c r="AK920" s="56"/>
    </row>
    <row r="921" spans="1:37" ht="15" x14ac:dyDescent="0.2">
      <c r="A921" s="88" t="s">
        <v>1019</v>
      </c>
      <c r="B921" s="7" t="s">
        <v>12632</v>
      </c>
      <c r="C921" s="7" t="s">
        <v>20571</v>
      </c>
      <c r="D921" s="112">
        <v>5</v>
      </c>
      <c r="E921" s="7"/>
      <c r="F921" s="7"/>
      <c r="G921" s="2" t="s">
        <v>20562</v>
      </c>
      <c r="H921" s="2" t="s">
        <v>16595</v>
      </c>
      <c r="I921" s="2" t="s">
        <v>10375</v>
      </c>
      <c r="J921" s="2" t="s">
        <v>55</v>
      </c>
      <c r="K921" s="2" t="s">
        <v>20572</v>
      </c>
      <c r="L921" s="2"/>
      <c r="M921" s="48"/>
      <c r="N921" s="48" t="s">
        <v>22</v>
      </c>
      <c r="O921" s="48" t="s">
        <v>20566</v>
      </c>
      <c r="P921" s="60" t="s">
        <v>219</v>
      </c>
      <c r="Q921" s="6" t="s">
        <v>8006</v>
      </c>
      <c r="R921" s="6" t="s">
        <v>468</v>
      </c>
      <c r="S921" s="4" t="s">
        <v>74</v>
      </c>
      <c r="T921" s="2" t="s">
        <v>75</v>
      </c>
      <c r="U921" s="2" t="s">
        <v>3678</v>
      </c>
      <c r="V921" s="2" t="s">
        <v>214</v>
      </c>
      <c r="W921" s="4" t="s">
        <v>214</v>
      </c>
      <c r="X921" s="4" t="s">
        <v>214</v>
      </c>
      <c r="Y921" s="4" t="s">
        <v>214</v>
      </c>
      <c r="Z921" s="8" t="s">
        <v>214</v>
      </c>
      <c r="AA921" s="6" t="s">
        <v>20567</v>
      </c>
      <c r="AB921" s="90" t="s">
        <v>20566</v>
      </c>
      <c r="AC921" s="67" t="str">
        <f t="shared" si="585"/>
        <v>Link</v>
      </c>
      <c r="AD921" s="42">
        <v>4703</v>
      </c>
      <c r="AE921" s="55"/>
      <c r="AF921" s="7"/>
      <c r="AG921" s="56">
        <v>198233</v>
      </c>
      <c r="AH921" s="56"/>
      <c r="AI921" s="56"/>
      <c r="AJ921" s="56"/>
      <c r="AK921" s="56"/>
    </row>
    <row r="922" spans="1:37" ht="15" x14ac:dyDescent="0.2">
      <c r="A922" s="64" t="s">
        <v>1019</v>
      </c>
      <c r="B922" s="7" t="s">
        <v>12632</v>
      </c>
      <c r="C922" s="7" t="s">
        <v>20573</v>
      </c>
      <c r="D922" s="112">
        <v>5</v>
      </c>
      <c r="E922" s="7"/>
      <c r="F922" s="7"/>
      <c r="G922" s="2" t="s">
        <v>20574</v>
      </c>
      <c r="H922" s="2" t="s">
        <v>173</v>
      </c>
      <c r="I922" s="2" t="s">
        <v>3882</v>
      </c>
      <c r="J922" s="2" t="s">
        <v>48</v>
      </c>
      <c r="K922" s="2" t="s">
        <v>20575</v>
      </c>
      <c r="L922" s="2" t="s">
        <v>20576</v>
      </c>
      <c r="M922" s="150" t="str">
        <f t="shared" ref="M922:M923" si="586">HYPERLINK("twitter.com/lccanessoftball","@lccanessoftball")</f>
        <v>@lccanessoftball</v>
      </c>
      <c r="N922" s="48" t="s">
        <v>22</v>
      </c>
      <c r="O922" s="48" t="s">
        <v>20577</v>
      </c>
      <c r="P922" s="60" t="s">
        <v>219</v>
      </c>
      <c r="Q922" s="48" t="s">
        <v>20577</v>
      </c>
      <c r="R922" s="60" t="s">
        <v>205</v>
      </c>
      <c r="S922" s="49" t="s">
        <v>63</v>
      </c>
      <c r="T922" s="48" t="s">
        <v>65</v>
      </c>
      <c r="U922" s="49"/>
      <c r="V922" s="7" t="s">
        <v>524</v>
      </c>
      <c r="W922" s="49" t="s">
        <v>15343</v>
      </c>
      <c r="X922" s="49" t="s">
        <v>8456</v>
      </c>
      <c r="Y922" s="49" t="s">
        <v>20578</v>
      </c>
      <c r="Z922" s="65">
        <v>0.75</v>
      </c>
      <c r="AA922" s="39">
        <v>31835</v>
      </c>
      <c r="AB922" s="84" t="s">
        <v>20577</v>
      </c>
      <c r="AC922" s="67" t="str">
        <f t="shared" ref="AC922:AC923" si="587">HYPERLINK("http://www.louisburg.edu/academics/index.html","Link")</f>
        <v>Link</v>
      </c>
      <c r="AD922" s="42">
        <v>687</v>
      </c>
      <c r="AE922" s="55"/>
      <c r="AF922" s="55"/>
      <c r="AG922" s="56">
        <v>198871</v>
      </c>
      <c r="AH922" s="56"/>
      <c r="AI922" s="56"/>
      <c r="AJ922" s="56"/>
      <c r="AK922" s="56"/>
    </row>
    <row r="923" spans="1:37" ht="15" x14ac:dyDescent="0.2">
      <c r="A923" s="64" t="s">
        <v>1019</v>
      </c>
      <c r="B923" s="7" t="s">
        <v>12632</v>
      </c>
      <c r="C923" s="7" t="s">
        <v>20579</v>
      </c>
      <c r="D923" s="112">
        <v>5</v>
      </c>
      <c r="E923" s="7"/>
      <c r="F923" s="7"/>
      <c r="G923" s="2" t="s">
        <v>20574</v>
      </c>
      <c r="H923" s="2" t="s">
        <v>2037</v>
      </c>
      <c r="I923" s="2" t="s">
        <v>20580</v>
      </c>
      <c r="J923" s="2" t="s">
        <v>55</v>
      </c>
      <c r="K923" s="2" t="s">
        <v>20581</v>
      </c>
      <c r="L923" s="2" t="s">
        <v>20582</v>
      </c>
      <c r="M923" s="150" t="str">
        <f t="shared" si="586"/>
        <v>@lccanessoftball</v>
      </c>
      <c r="N923" s="48" t="s">
        <v>22</v>
      </c>
      <c r="O923" s="48" t="s">
        <v>20577</v>
      </c>
      <c r="P923" s="60" t="s">
        <v>219</v>
      </c>
      <c r="Q923" s="48" t="s">
        <v>20577</v>
      </c>
      <c r="R923" s="60" t="s">
        <v>205</v>
      </c>
      <c r="S923" s="49" t="s">
        <v>63</v>
      </c>
      <c r="T923" s="48" t="s">
        <v>65</v>
      </c>
      <c r="U923" s="49"/>
      <c r="V923" s="7" t="s">
        <v>524</v>
      </c>
      <c r="W923" s="49" t="s">
        <v>15343</v>
      </c>
      <c r="X923" s="49" t="s">
        <v>8456</v>
      </c>
      <c r="Y923" s="49" t="s">
        <v>20578</v>
      </c>
      <c r="Z923" s="65">
        <v>0.75</v>
      </c>
      <c r="AA923" s="39">
        <v>31835</v>
      </c>
      <c r="AB923" s="84" t="s">
        <v>20577</v>
      </c>
      <c r="AC923" s="67" t="str">
        <f t="shared" si="587"/>
        <v>Link</v>
      </c>
      <c r="AD923" s="42">
        <v>687</v>
      </c>
      <c r="AE923" s="55"/>
      <c r="AF923" s="55"/>
      <c r="AG923" s="56">
        <v>198871</v>
      </c>
      <c r="AH923" s="56"/>
      <c r="AI923" s="56"/>
      <c r="AJ923" s="56"/>
      <c r="AK923" s="56"/>
    </row>
    <row r="924" spans="1:37" ht="15" x14ac:dyDescent="0.2">
      <c r="A924" s="64" t="s">
        <v>1019</v>
      </c>
      <c r="B924" s="7" t="s">
        <v>12632</v>
      </c>
      <c r="C924" s="7" t="s">
        <v>20583</v>
      </c>
      <c r="D924" s="112">
        <v>5</v>
      </c>
      <c r="E924" s="7"/>
      <c r="F924" s="7"/>
      <c r="G924" s="2" t="s">
        <v>20584</v>
      </c>
      <c r="H924" s="2" t="s">
        <v>421</v>
      </c>
      <c r="I924" s="2"/>
      <c r="J924" s="2" t="s">
        <v>48</v>
      </c>
      <c r="K924" s="2"/>
      <c r="L924" s="2"/>
      <c r="M924" s="151" t="str">
        <f t="shared" ref="M924:M925" si="588">HYPERLINK("twitter.com/pittccsoftball","@pittccsoftball")</f>
        <v>@pittccsoftball</v>
      </c>
      <c r="N924" s="150" t="str">
        <f t="shared" ref="N924:N925" si="589">HYPERLINK("https://www.pccbulldogathletics.com/sports/sball/questionnaire","Questionnaire")</f>
        <v>Questionnaire</v>
      </c>
      <c r="O924" s="48" t="s">
        <v>20585</v>
      </c>
      <c r="P924" s="60" t="s">
        <v>219</v>
      </c>
      <c r="Q924" s="48" t="s">
        <v>20586</v>
      </c>
      <c r="R924" s="60" t="s">
        <v>205</v>
      </c>
      <c r="S924" s="49" t="s">
        <v>74</v>
      </c>
      <c r="T924" s="48" t="s">
        <v>75</v>
      </c>
      <c r="U924" s="49" t="s">
        <v>3678</v>
      </c>
      <c r="V924" s="7" t="s">
        <v>214</v>
      </c>
      <c r="W924" s="49" t="s">
        <v>214</v>
      </c>
      <c r="X924" s="49" t="s">
        <v>214</v>
      </c>
      <c r="Y924" s="49" t="s">
        <v>214</v>
      </c>
      <c r="Z924" s="55" t="s">
        <v>214</v>
      </c>
      <c r="AA924" s="48" t="s">
        <v>20587</v>
      </c>
      <c r="AB924" s="84" t="s">
        <v>20585</v>
      </c>
      <c r="AC924" s="67" t="str">
        <f t="shared" ref="AC924:AC925" si="590">HYPERLINK("http://www.pittcc.edu/academics/programs/","Link")</f>
        <v>Link</v>
      </c>
      <c r="AD924" s="42">
        <v>8279</v>
      </c>
      <c r="AE924" s="55"/>
      <c r="AF924" s="55"/>
      <c r="AG924" s="56">
        <v>199333</v>
      </c>
      <c r="AH924" s="56"/>
      <c r="AI924" s="56"/>
      <c r="AJ924" s="56"/>
      <c r="AK924" s="56"/>
    </row>
    <row r="925" spans="1:37" ht="15" x14ac:dyDescent="0.2">
      <c r="A925" s="64" t="s">
        <v>1019</v>
      </c>
      <c r="B925" s="7" t="s">
        <v>12632</v>
      </c>
      <c r="C925" s="7" t="s">
        <v>20588</v>
      </c>
      <c r="D925" s="112">
        <v>5</v>
      </c>
      <c r="E925" s="7"/>
      <c r="F925" s="7"/>
      <c r="G925" s="2" t="s">
        <v>20584</v>
      </c>
      <c r="H925" s="2" t="s">
        <v>2867</v>
      </c>
      <c r="I925" s="2" t="s">
        <v>16507</v>
      </c>
      <c r="J925" s="2" t="s">
        <v>1423</v>
      </c>
      <c r="K925" s="2" t="s">
        <v>20589</v>
      </c>
      <c r="L925" s="2"/>
      <c r="M925" s="150" t="str">
        <f t="shared" si="588"/>
        <v>@pittccsoftball</v>
      </c>
      <c r="N925" s="150" t="str">
        <f t="shared" si="589"/>
        <v>Questionnaire</v>
      </c>
      <c r="O925" s="48" t="s">
        <v>20585</v>
      </c>
      <c r="P925" s="60" t="s">
        <v>219</v>
      </c>
      <c r="Q925" s="48" t="s">
        <v>20586</v>
      </c>
      <c r="R925" s="60" t="s">
        <v>205</v>
      </c>
      <c r="S925" s="49" t="s">
        <v>74</v>
      </c>
      <c r="T925" s="48" t="s">
        <v>75</v>
      </c>
      <c r="U925" s="49" t="s">
        <v>3678</v>
      </c>
      <c r="V925" s="7" t="s">
        <v>214</v>
      </c>
      <c r="W925" s="49" t="s">
        <v>214</v>
      </c>
      <c r="X925" s="49" t="s">
        <v>214</v>
      </c>
      <c r="Y925" s="49" t="s">
        <v>214</v>
      </c>
      <c r="Z925" s="55" t="s">
        <v>214</v>
      </c>
      <c r="AA925" s="48" t="s">
        <v>20587</v>
      </c>
      <c r="AB925" s="84" t="s">
        <v>20585</v>
      </c>
      <c r="AC925" s="67" t="str">
        <f t="shared" si="590"/>
        <v>Link</v>
      </c>
      <c r="AD925" s="42">
        <v>8279</v>
      </c>
      <c r="AE925" s="55"/>
      <c r="AF925" s="55"/>
      <c r="AG925" s="56">
        <v>199333</v>
      </c>
      <c r="AH925" s="56"/>
      <c r="AI925" s="56"/>
      <c r="AJ925" s="56"/>
      <c r="AK925" s="56"/>
    </row>
    <row r="926" spans="1:37" ht="15" x14ac:dyDescent="0.2">
      <c r="A926" s="31" t="s">
        <v>1019</v>
      </c>
      <c r="B926" s="7" t="s">
        <v>12632</v>
      </c>
      <c r="C926" s="7"/>
      <c r="D926" s="112">
        <v>5</v>
      </c>
      <c r="E926" s="7"/>
      <c r="F926" s="112"/>
      <c r="G926" s="2" t="s">
        <v>20590</v>
      </c>
      <c r="H926" s="2" t="s">
        <v>20591</v>
      </c>
      <c r="I926" s="2" t="s">
        <v>20592</v>
      </c>
      <c r="J926" s="2" t="s">
        <v>48</v>
      </c>
      <c r="K926" s="2" t="s">
        <v>20593</v>
      </c>
      <c r="L926" s="2"/>
      <c r="M926" s="48"/>
      <c r="N926" s="48" t="s">
        <v>22</v>
      </c>
      <c r="O926" s="48" t="s">
        <v>20594</v>
      </c>
      <c r="P926" s="60" t="s">
        <v>219</v>
      </c>
      <c r="Q926" s="48" t="s">
        <v>11849</v>
      </c>
      <c r="R926" s="60" t="s">
        <v>205</v>
      </c>
      <c r="S926" s="5" t="s">
        <v>74</v>
      </c>
      <c r="T926" s="48" t="s">
        <v>75</v>
      </c>
      <c r="U926" s="49" t="s">
        <v>3678</v>
      </c>
      <c r="V926" s="7" t="s">
        <v>214</v>
      </c>
      <c r="W926" s="49" t="s">
        <v>214</v>
      </c>
      <c r="X926" s="49" t="s">
        <v>214</v>
      </c>
      <c r="Y926" s="49" t="s">
        <v>214</v>
      </c>
      <c r="Z926" s="55" t="s">
        <v>214</v>
      </c>
      <c r="AA926" s="48" t="s">
        <v>20595</v>
      </c>
      <c r="AB926" s="84" t="s">
        <v>20594</v>
      </c>
      <c r="AC926" s="53" t="str">
        <f t="shared" ref="AC926:AC928" si="591">HYPERLINK("https://surry.edu/areas-of-study/programs","Link")</f>
        <v>Link</v>
      </c>
      <c r="AD926" s="42">
        <v>3379</v>
      </c>
      <c r="AE926" s="55"/>
      <c r="AF926" s="55"/>
      <c r="AG926" s="56">
        <v>199768</v>
      </c>
      <c r="AH926" s="7" t="s">
        <v>2459</v>
      </c>
      <c r="AI926" s="7"/>
      <c r="AJ926" s="7"/>
      <c r="AK926" s="7"/>
    </row>
    <row r="927" spans="1:37" ht="15" x14ac:dyDescent="0.2">
      <c r="A927" s="31" t="s">
        <v>1019</v>
      </c>
      <c r="B927" s="7" t="s">
        <v>12632</v>
      </c>
      <c r="C927" s="7"/>
      <c r="D927" s="112">
        <v>5</v>
      </c>
      <c r="E927" s="7"/>
      <c r="F927" s="112"/>
      <c r="G927" s="2" t="s">
        <v>20590</v>
      </c>
      <c r="H927" s="2" t="s">
        <v>2536</v>
      </c>
      <c r="I927" s="2" t="s">
        <v>5397</v>
      </c>
      <c r="J927" s="2" t="s">
        <v>55</v>
      </c>
      <c r="K927" s="2" t="s">
        <v>20596</v>
      </c>
      <c r="L927" s="2"/>
      <c r="M927" s="48"/>
      <c r="N927" s="48" t="s">
        <v>22</v>
      </c>
      <c r="O927" s="48" t="s">
        <v>20594</v>
      </c>
      <c r="P927" s="60" t="s">
        <v>219</v>
      </c>
      <c r="Q927" s="48" t="s">
        <v>11849</v>
      </c>
      <c r="R927" s="60" t="s">
        <v>205</v>
      </c>
      <c r="S927" s="5" t="s">
        <v>74</v>
      </c>
      <c r="T927" s="48" t="s">
        <v>75</v>
      </c>
      <c r="U927" s="49" t="s">
        <v>3678</v>
      </c>
      <c r="V927" s="7" t="s">
        <v>214</v>
      </c>
      <c r="W927" s="49" t="s">
        <v>214</v>
      </c>
      <c r="X927" s="49" t="s">
        <v>214</v>
      </c>
      <c r="Y927" s="49" t="s">
        <v>214</v>
      </c>
      <c r="Z927" s="55" t="s">
        <v>214</v>
      </c>
      <c r="AA927" s="48" t="s">
        <v>20595</v>
      </c>
      <c r="AB927" s="84" t="s">
        <v>20594</v>
      </c>
      <c r="AC927" s="53" t="str">
        <f t="shared" si="591"/>
        <v>Link</v>
      </c>
      <c r="AD927" s="42">
        <v>3379</v>
      </c>
      <c r="AE927" s="55"/>
      <c r="AF927" s="55"/>
      <c r="AG927" s="56">
        <v>199768</v>
      </c>
      <c r="AH927" s="7" t="s">
        <v>2459</v>
      </c>
      <c r="AI927" s="7"/>
      <c r="AJ927" s="7"/>
      <c r="AK927" s="7"/>
    </row>
    <row r="928" spans="1:37" ht="15" x14ac:dyDescent="0.2">
      <c r="A928" s="31" t="s">
        <v>1019</v>
      </c>
      <c r="B928" s="7" t="s">
        <v>12632</v>
      </c>
      <c r="C928" s="7"/>
      <c r="D928" s="112">
        <v>5</v>
      </c>
      <c r="E928" s="7"/>
      <c r="F928" s="112"/>
      <c r="G928" s="2" t="s">
        <v>20590</v>
      </c>
      <c r="H928" s="2" t="s">
        <v>860</v>
      </c>
      <c r="I928" s="2" t="s">
        <v>20597</v>
      </c>
      <c r="J928" s="2" t="s">
        <v>55</v>
      </c>
      <c r="K928" s="2"/>
      <c r="L928" s="2"/>
      <c r="M928" s="48"/>
      <c r="N928" s="48" t="s">
        <v>22</v>
      </c>
      <c r="O928" s="48" t="s">
        <v>20594</v>
      </c>
      <c r="P928" s="60" t="s">
        <v>219</v>
      </c>
      <c r="Q928" s="48" t="s">
        <v>11849</v>
      </c>
      <c r="R928" s="60" t="s">
        <v>205</v>
      </c>
      <c r="S928" s="5" t="s">
        <v>74</v>
      </c>
      <c r="T928" s="48" t="s">
        <v>75</v>
      </c>
      <c r="U928" s="49" t="s">
        <v>3678</v>
      </c>
      <c r="V928" s="7" t="s">
        <v>214</v>
      </c>
      <c r="W928" s="49" t="s">
        <v>214</v>
      </c>
      <c r="X928" s="49" t="s">
        <v>214</v>
      </c>
      <c r="Y928" s="49" t="s">
        <v>214</v>
      </c>
      <c r="Z928" s="55" t="s">
        <v>214</v>
      </c>
      <c r="AA928" s="48" t="s">
        <v>20595</v>
      </c>
      <c r="AB928" s="84" t="s">
        <v>20594</v>
      </c>
      <c r="AC928" s="53" t="str">
        <f t="shared" si="591"/>
        <v>Link</v>
      </c>
      <c r="AD928" s="42">
        <v>3379</v>
      </c>
      <c r="AE928" s="55"/>
      <c r="AF928" s="55"/>
      <c r="AG928" s="56">
        <v>199768</v>
      </c>
      <c r="AH928" s="7" t="s">
        <v>2459</v>
      </c>
      <c r="AI928" s="7"/>
      <c r="AJ928" s="7"/>
      <c r="AK928" s="7"/>
    </row>
    <row r="929" spans="1:37" ht="13" x14ac:dyDescent="0.15">
      <c r="A929" s="64" t="s">
        <v>1019</v>
      </c>
      <c r="B929" s="7" t="s">
        <v>12632</v>
      </c>
      <c r="C929" s="7" t="s">
        <v>20598</v>
      </c>
      <c r="D929" s="44">
        <v>5</v>
      </c>
      <c r="E929" s="7"/>
      <c r="F929" s="7"/>
      <c r="G929" s="7" t="s">
        <v>20599</v>
      </c>
      <c r="H929" s="7" t="s">
        <v>20600</v>
      </c>
      <c r="I929" s="7" t="s">
        <v>1604</v>
      </c>
      <c r="J929" s="7" t="s">
        <v>48</v>
      </c>
      <c r="K929" s="7" t="s">
        <v>20601</v>
      </c>
      <c r="L929" s="7" t="s">
        <v>20602</v>
      </c>
      <c r="M929" s="7"/>
      <c r="N929" s="150" t="str">
        <f t="shared" ref="N929:N930" si="592">HYPERLINK("https://www.waketechsports.com/recruits/Athlete_Questionnaire","Questionnaire")</f>
        <v>Questionnaire</v>
      </c>
      <c r="O929" s="48" t="s">
        <v>20603</v>
      </c>
      <c r="P929" s="60" t="s">
        <v>219</v>
      </c>
      <c r="Q929" s="6" t="s">
        <v>1090</v>
      </c>
      <c r="R929" s="6" t="s">
        <v>354</v>
      </c>
      <c r="S929" s="4" t="s">
        <v>74</v>
      </c>
      <c r="T929" s="48" t="s">
        <v>75</v>
      </c>
      <c r="U929" s="49" t="s">
        <v>3678</v>
      </c>
      <c r="V929" s="48" t="s">
        <v>214</v>
      </c>
      <c r="W929" s="49" t="s">
        <v>214</v>
      </c>
      <c r="X929" s="49" t="s">
        <v>214</v>
      </c>
      <c r="Y929" s="4" t="s">
        <v>214</v>
      </c>
      <c r="Z929" s="8" t="s">
        <v>214</v>
      </c>
      <c r="AA929" s="6" t="s">
        <v>20604</v>
      </c>
      <c r="AB929" s="84" t="s">
        <v>20603</v>
      </c>
      <c r="AC929" s="67" t="str">
        <f t="shared" ref="AC929:AC930" si="593">HYPERLINK("https://www.waketech.edu/programs-courses","Link")</f>
        <v>Link</v>
      </c>
      <c r="AD929" s="42">
        <v>21747</v>
      </c>
      <c r="AE929" s="55"/>
      <c r="AF929" s="55"/>
      <c r="AG929" s="56">
        <v>199856</v>
      </c>
      <c r="AH929" s="42"/>
      <c r="AI929" s="55"/>
      <c r="AJ929" s="55"/>
      <c r="AK929" s="85"/>
    </row>
    <row r="930" spans="1:37" ht="15" x14ac:dyDescent="0.2">
      <c r="A930" s="64" t="s">
        <v>1019</v>
      </c>
      <c r="B930" s="7" t="s">
        <v>12632</v>
      </c>
      <c r="C930" s="7" t="s">
        <v>20605</v>
      </c>
      <c r="D930" s="112">
        <v>5</v>
      </c>
      <c r="E930" s="7"/>
      <c r="F930" s="7"/>
      <c r="G930" s="2" t="s">
        <v>20599</v>
      </c>
      <c r="H930" s="2" t="s">
        <v>421</v>
      </c>
      <c r="I930" s="2"/>
      <c r="J930" s="2" t="s">
        <v>48</v>
      </c>
      <c r="K930" s="2"/>
      <c r="L930" s="2"/>
      <c r="M930" s="48"/>
      <c r="N930" s="150" t="str">
        <f t="shared" si="592"/>
        <v>Questionnaire</v>
      </c>
      <c r="O930" s="48" t="s">
        <v>20603</v>
      </c>
      <c r="P930" s="60" t="s">
        <v>219</v>
      </c>
      <c r="Q930" s="48" t="s">
        <v>1090</v>
      </c>
      <c r="R930" s="48" t="s">
        <v>354</v>
      </c>
      <c r="S930" s="49" t="s">
        <v>74</v>
      </c>
      <c r="T930" s="48" t="s">
        <v>75</v>
      </c>
      <c r="U930" s="49" t="s">
        <v>3678</v>
      </c>
      <c r="V930" s="7" t="s">
        <v>214</v>
      </c>
      <c r="W930" s="49" t="s">
        <v>214</v>
      </c>
      <c r="X930" s="49" t="s">
        <v>214</v>
      </c>
      <c r="Y930" s="49" t="s">
        <v>214</v>
      </c>
      <c r="Z930" s="55" t="s">
        <v>214</v>
      </c>
      <c r="AA930" s="48" t="s">
        <v>20604</v>
      </c>
      <c r="AB930" s="84" t="s">
        <v>20603</v>
      </c>
      <c r="AC930" s="67" t="str">
        <f t="shared" si="593"/>
        <v>Link</v>
      </c>
      <c r="AD930" s="42">
        <v>21747</v>
      </c>
      <c r="AE930" s="55"/>
      <c r="AF930" s="55"/>
      <c r="AG930" s="56">
        <v>199856</v>
      </c>
      <c r="AH930" s="56"/>
      <c r="AI930" s="56"/>
      <c r="AJ930" s="56"/>
      <c r="AK930" s="56"/>
    </row>
    <row r="931" spans="1:37" ht="15" x14ac:dyDescent="0.2">
      <c r="A931" s="64" t="s">
        <v>3576</v>
      </c>
      <c r="B931" s="7" t="s">
        <v>12632</v>
      </c>
      <c r="C931" s="7" t="s">
        <v>20606</v>
      </c>
      <c r="D931" s="112">
        <v>5</v>
      </c>
      <c r="E931" s="7"/>
      <c r="F931" s="7"/>
      <c r="G931" s="2" t="s">
        <v>20607</v>
      </c>
      <c r="H931" s="2" t="s">
        <v>1351</v>
      </c>
      <c r="I931" s="2" t="s">
        <v>2919</v>
      </c>
      <c r="J931" s="2" t="s">
        <v>48</v>
      </c>
      <c r="K931" s="2" t="s">
        <v>20608</v>
      </c>
      <c r="L931" s="2" t="s">
        <v>20609</v>
      </c>
      <c r="M931" s="48"/>
      <c r="N931" s="150" t="str">
        <f t="shared" ref="N931:N932" si="594">HYPERLINK("https://dcbjacks.com/sports/sball/recruit_form","Questionnaire")</f>
        <v>Questionnaire</v>
      </c>
      <c r="O931" s="48" t="s">
        <v>20607</v>
      </c>
      <c r="P931" s="60" t="s">
        <v>3564</v>
      </c>
      <c r="Q931" s="48" t="s">
        <v>20610</v>
      </c>
      <c r="R931" s="60" t="s">
        <v>205</v>
      </c>
      <c r="S931" s="49" t="s">
        <v>74</v>
      </c>
      <c r="T931" s="48" t="s">
        <v>75</v>
      </c>
      <c r="U931" s="49" t="s">
        <v>3678</v>
      </c>
      <c r="V931" s="7" t="s">
        <v>214</v>
      </c>
      <c r="W931" s="49" t="s">
        <v>214</v>
      </c>
      <c r="X931" s="49" t="s">
        <v>214</v>
      </c>
      <c r="Y931" s="49" t="s">
        <v>214</v>
      </c>
      <c r="Z931" s="55" t="s">
        <v>214</v>
      </c>
      <c r="AA931" s="48" t="s">
        <v>20611</v>
      </c>
      <c r="AB931" s="84" t="s">
        <v>20607</v>
      </c>
      <c r="AC931" s="67" t="str">
        <f t="shared" ref="AC931:AC932" si="595">HYPERLINK("http://www.dakotacollege.edu/academics/programs/","Link")</f>
        <v>Link</v>
      </c>
      <c r="AD931" s="42">
        <v>811</v>
      </c>
      <c r="AE931" s="55"/>
      <c r="AF931" s="55"/>
      <c r="AG931" s="56">
        <v>200314</v>
      </c>
      <c r="AH931" s="56"/>
      <c r="AI931" s="56"/>
      <c r="AJ931" s="56"/>
      <c r="AK931" s="56"/>
    </row>
    <row r="932" spans="1:37" ht="15" x14ac:dyDescent="0.2">
      <c r="A932" s="64" t="s">
        <v>3576</v>
      </c>
      <c r="B932" s="7" t="s">
        <v>12632</v>
      </c>
      <c r="C932" s="7" t="s">
        <v>20612</v>
      </c>
      <c r="D932" s="112">
        <v>5</v>
      </c>
      <c r="E932" s="7"/>
      <c r="F932" s="7"/>
      <c r="G932" s="2" t="s">
        <v>20607</v>
      </c>
      <c r="H932" s="2" t="s">
        <v>754</v>
      </c>
      <c r="I932" s="2" t="s">
        <v>20613</v>
      </c>
      <c r="J932" s="2" t="s">
        <v>55</v>
      </c>
      <c r="K932" s="2" t="s">
        <v>20614</v>
      </c>
      <c r="L932" s="2" t="s">
        <v>20615</v>
      </c>
      <c r="M932" s="48"/>
      <c r="N932" s="150" t="str">
        <f t="shared" si="594"/>
        <v>Questionnaire</v>
      </c>
      <c r="O932" s="48" t="s">
        <v>20607</v>
      </c>
      <c r="P932" s="60" t="s">
        <v>3564</v>
      </c>
      <c r="Q932" s="48" t="s">
        <v>20610</v>
      </c>
      <c r="R932" s="60" t="s">
        <v>205</v>
      </c>
      <c r="S932" s="49" t="s">
        <v>74</v>
      </c>
      <c r="T932" s="48" t="s">
        <v>75</v>
      </c>
      <c r="U932" s="49" t="s">
        <v>3678</v>
      </c>
      <c r="V932" s="7" t="s">
        <v>214</v>
      </c>
      <c r="W932" s="49" t="s">
        <v>214</v>
      </c>
      <c r="X932" s="49" t="s">
        <v>214</v>
      </c>
      <c r="Y932" s="49" t="s">
        <v>214</v>
      </c>
      <c r="Z932" s="55" t="s">
        <v>214</v>
      </c>
      <c r="AA932" s="48" t="s">
        <v>20611</v>
      </c>
      <c r="AB932" s="84" t="s">
        <v>20607</v>
      </c>
      <c r="AC932" s="67" t="str">
        <f t="shared" si="595"/>
        <v>Link</v>
      </c>
      <c r="AD932" s="42">
        <v>811</v>
      </c>
      <c r="AE932" s="55"/>
      <c r="AF932" s="55"/>
      <c r="AG932" s="56">
        <v>200314</v>
      </c>
      <c r="AH932" s="56"/>
      <c r="AI932" s="56"/>
      <c r="AJ932" s="56"/>
      <c r="AK932" s="56"/>
    </row>
    <row r="933" spans="1:37" ht="15" x14ac:dyDescent="0.2">
      <c r="A933" s="64" t="s">
        <v>3576</v>
      </c>
      <c r="B933" s="7" t="s">
        <v>12632</v>
      </c>
      <c r="C933" s="7" t="s">
        <v>20616</v>
      </c>
      <c r="D933" s="112">
        <v>5</v>
      </c>
      <c r="E933" s="7"/>
      <c r="F933" s="7"/>
      <c r="G933" s="2" t="s">
        <v>20617</v>
      </c>
      <c r="H933" s="2" t="s">
        <v>20618</v>
      </c>
      <c r="I933" s="2" t="s">
        <v>20619</v>
      </c>
      <c r="J933" s="2" t="s">
        <v>48</v>
      </c>
      <c r="K933" s="2" t="s">
        <v>20620</v>
      </c>
      <c r="L933" s="2" t="s">
        <v>20621</v>
      </c>
      <c r="M933" s="150" t="str">
        <f t="shared" ref="M933:M934" si="596">HYPERLINK("twitter.com/lrscsoftball","@lrscsoftball")</f>
        <v>@lrscsoftball</v>
      </c>
      <c r="N933" s="48" t="s">
        <v>22</v>
      </c>
      <c r="O933" s="48" t="s">
        <v>20622</v>
      </c>
      <c r="P933" s="60" t="s">
        <v>3564</v>
      </c>
      <c r="Q933" s="48" t="s">
        <v>20623</v>
      </c>
      <c r="R933" s="60" t="s">
        <v>205</v>
      </c>
      <c r="S933" s="49" t="s">
        <v>74</v>
      </c>
      <c r="T933" s="48" t="s">
        <v>75</v>
      </c>
      <c r="U933" s="49" t="s">
        <v>3678</v>
      </c>
      <c r="V933" s="7" t="s">
        <v>214</v>
      </c>
      <c r="W933" s="49" t="s">
        <v>214</v>
      </c>
      <c r="X933" s="49" t="s">
        <v>214</v>
      </c>
      <c r="Y933" s="49" t="s">
        <v>214</v>
      </c>
      <c r="Z933" s="55" t="s">
        <v>214</v>
      </c>
      <c r="AA933" s="39">
        <v>14778</v>
      </c>
      <c r="AB933" s="52" t="s">
        <v>20622</v>
      </c>
      <c r="AC933" s="67" t="str">
        <f t="shared" ref="AC933:AC934" si="597">HYPERLINK("http://www.lrsc.edu/academics/programs","Link")</f>
        <v>Link</v>
      </c>
      <c r="AD933" s="42">
        <v>1947</v>
      </c>
      <c r="AE933" s="55"/>
      <c r="AF933" s="55"/>
      <c r="AG933" s="56">
        <v>200192</v>
      </c>
      <c r="AH933" s="56"/>
      <c r="AI933" s="56"/>
      <c r="AJ933" s="56"/>
      <c r="AK933" s="56"/>
    </row>
    <row r="934" spans="1:37" ht="15" x14ac:dyDescent="0.2">
      <c r="A934" s="64" t="s">
        <v>3576</v>
      </c>
      <c r="B934" s="7" t="s">
        <v>12632</v>
      </c>
      <c r="C934" s="7" t="s">
        <v>20624</v>
      </c>
      <c r="D934" s="112">
        <v>5</v>
      </c>
      <c r="E934" s="7"/>
      <c r="F934" s="7"/>
      <c r="G934" s="2" t="s">
        <v>20617</v>
      </c>
      <c r="H934" s="2" t="s">
        <v>16413</v>
      </c>
      <c r="I934" s="2" t="s">
        <v>20625</v>
      </c>
      <c r="J934" s="2" t="s">
        <v>55</v>
      </c>
      <c r="K934" s="2" t="s">
        <v>20626</v>
      </c>
      <c r="L934" s="2" t="s">
        <v>20621</v>
      </c>
      <c r="M934" s="150" t="str">
        <f t="shared" si="596"/>
        <v>@lrscsoftball</v>
      </c>
      <c r="N934" s="48" t="s">
        <v>22</v>
      </c>
      <c r="O934" s="48" t="s">
        <v>20622</v>
      </c>
      <c r="P934" s="60" t="s">
        <v>3564</v>
      </c>
      <c r="Q934" s="48" t="s">
        <v>20623</v>
      </c>
      <c r="R934" s="60" t="s">
        <v>205</v>
      </c>
      <c r="S934" s="49" t="s">
        <v>74</v>
      </c>
      <c r="T934" s="48" t="s">
        <v>75</v>
      </c>
      <c r="U934" s="49" t="s">
        <v>3678</v>
      </c>
      <c r="V934" s="7" t="s">
        <v>214</v>
      </c>
      <c r="W934" s="49" t="s">
        <v>214</v>
      </c>
      <c r="X934" s="49" t="s">
        <v>214</v>
      </c>
      <c r="Y934" s="49" t="s">
        <v>214</v>
      </c>
      <c r="Z934" s="55" t="s">
        <v>214</v>
      </c>
      <c r="AA934" s="39">
        <v>14778</v>
      </c>
      <c r="AB934" s="52" t="s">
        <v>20622</v>
      </c>
      <c r="AC934" s="67" t="str">
        <f t="shared" si="597"/>
        <v>Link</v>
      </c>
      <c r="AD934" s="42">
        <v>1947</v>
      </c>
      <c r="AE934" s="55"/>
      <c r="AF934" s="55"/>
      <c r="AG934" s="56">
        <v>200192</v>
      </c>
      <c r="AH934" s="56"/>
      <c r="AI934" s="56"/>
      <c r="AJ934" s="56"/>
      <c r="AK934" s="56"/>
    </row>
    <row r="935" spans="1:37" ht="15" x14ac:dyDescent="0.2">
      <c r="A935" s="64" t="s">
        <v>3576</v>
      </c>
      <c r="B935" s="7" t="s">
        <v>12632</v>
      </c>
      <c r="C935" s="7" t="s">
        <v>20627</v>
      </c>
      <c r="D935" s="112">
        <v>5</v>
      </c>
      <c r="E935" s="7"/>
      <c r="F935" s="7"/>
      <c r="G935" s="2" t="s">
        <v>20628</v>
      </c>
      <c r="H935" s="2" t="s">
        <v>754</v>
      </c>
      <c r="I935" s="2" t="s">
        <v>20629</v>
      </c>
      <c r="J935" s="2" t="s">
        <v>48</v>
      </c>
      <c r="K935" s="2" t="s">
        <v>20630</v>
      </c>
      <c r="L935" s="2" t="s">
        <v>20631</v>
      </c>
      <c r="M935" s="150" t="str">
        <f>HYPERLINK("twitter.com/softballndscs","@softballndscs")</f>
        <v>@softballndscs</v>
      </c>
      <c r="N935" s="150" t="str">
        <f>HYPERLINK("http://www.ndscswildcats.com/recruit-me/Become_a_Wildcat","Questionnaire")</f>
        <v>Questionnaire</v>
      </c>
      <c r="O935" s="48" t="s">
        <v>20628</v>
      </c>
      <c r="P935" s="60" t="s">
        <v>3564</v>
      </c>
      <c r="Q935" s="48" t="s">
        <v>20632</v>
      </c>
      <c r="R935" s="60" t="s">
        <v>205</v>
      </c>
      <c r="S935" s="49" t="s">
        <v>74</v>
      </c>
      <c r="T935" s="48" t="s">
        <v>75</v>
      </c>
      <c r="U935" s="49" t="s">
        <v>3678</v>
      </c>
      <c r="V935" s="7" t="s">
        <v>214</v>
      </c>
      <c r="W935" s="49" t="s">
        <v>214</v>
      </c>
      <c r="X935" s="49" t="s">
        <v>214</v>
      </c>
      <c r="Y935" s="49" t="s">
        <v>214</v>
      </c>
      <c r="Z935" s="55" t="s">
        <v>214</v>
      </c>
      <c r="AA935" s="48" t="s">
        <v>20633</v>
      </c>
      <c r="AB935" s="52" t="s">
        <v>20628</v>
      </c>
      <c r="AC935" s="67" t="str">
        <f>HYPERLINK("https://www.ndscs.edu/academics/things-to-know-academics/academic-clusters-departments/","Link")</f>
        <v>Link</v>
      </c>
      <c r="AD935" s="42">
        <v>3003</v>
      </c>
      <c r="AE935" s="55"/>
      <c r="AF935" s="55"/>
      <c r="AG935" s="56">
        <v>200305</v>
      </c>
      <c r="AH935" s="56"/>
      <c r="AI935" s="56"/>
      <c r="AJ935" s="56"/>
      <c r="AK935" s="56"/>
    </row>
    <row r="936" spans="1:37" ht="13" x14ac:dyDescent="0.15">
      <c r="A936" s="64" t="s">
        <v>3576</v>
      </c>
      <c r="B936" s="7" t="s">
        <v>12632</v>
      </c>
      <c r="C936" s="7" t="s">
        <v>20634</v>
      </c>
      <c r="D936" s="44">
        <v>5</v>
      </c>
      <c r="E936" s="7" t="s">
        <v>116</v>
      </c>
      <c r="F936" s="7"/>
      <c r="G936" s="2" t="s">
        <v>20635</v>
      </c>
      <c r="H936" s="7" t="s">
        <v>20105</v>
      </c>
      <c r="I936" s="7" t="s">
        <v>2378</v>
      </c>
      <c r="J936" s="7" t="s">
        <v>48</v>
      </c>
      <c r="K936" s="7" t="s">
        <v>20636</v>
      </c>
      <c r="L936" s="7" t="s">
        <v>20637</v>
      </c>
      <c r="M936" s="48"/>
      <c r="N936" s="48" t="s">
        <v>22</v>
      </c>
      <c r="O936" s="48" t="s">
        <v>20638</v>
      </c>
      <c r="P936" s="60" t="s">
        <v>3564</v>
      </c>
      <c r="Q936" s="48" t="s">
        <v>20639</v>
      </c>
      <c r="R936" s="48" t="s">
        <v>468</v>
      </c>
      <c r="S936" s="49" t="s">
        <v>74</v>
      </c>
      <c r="T936" s="48" t="s">
        <v>75</v>
      </c>
      <c r="U936" s="49" t="s">
        <v>3678</v>
      </c>
      <c r="V936" s="7" t="s">
        <v>214</v>
      </c>
      <c r="W936" s="49" t="s">
        <v>214</v>
      </c>
      <c r="X936" s="49" t="s">
        <v>214</v>
      </c>
      <c r="Y936" s="49" t="s">
        <v>214</v>
      </c>
      <c r="Z936" s="55" t="s">
        <v>214</v>
      </c>
      <c r="AA936" s="39">
        <v>18299</v>
      </c>
      <c r="AB936" s="84" t="s">
        <v>20638</v>
      </c>
      <c r="AC936" s="67" t="str">
        <f t="shared" ref="AC936:AC938" si="598">HYPERLINK("https://www.willistonstate.edu/Classes/Academic-Pathways/Degrees.html","Link")</f>
        <v>Link</v>
      </c>
      <c r="AD936" s="42">
        <v>1039</v>
      </c>
      <c r="AE936" s="55"/>
      <c r="AF936" s="55"/>
      <c r="AG936" s="56">
        <v>200341</v>
      </c>
      <c r="AH936" s="85"/>
      <c r="AI936" s="85"/>
      <c r="AJ936" s="56"/>
      <c r="AK936" s="56"/>
    </row>
    <row r="937" spans="1:37" ht="15" x14ac:dyDescent="0.2">
      <c r="A937" s="64" t="s">
        <v>3576</v>
      </c>
      <c r="B937" s="7" t="s">
        <v>12632</v>
      </c>
      <c r="C937" s="7" t="s">
        <v>20640</v>
      </c>
      <c r="D937" s="112">
        <v>5</v>
      </c>
      <c r="E937" s="7" t="s">
        <v>116</v>
      </c>
      <c r="F937" s="7"/>
      <c r="G937" s="2" t="s">
        <v>20635</v>
      </c>
      <c r="H937" s="2" t="s">
        <v>421</v>
      </c>
      <c r="I937" s="2"/>
      <c r="J937" s="2" t="s">
        <v>48</v>
      </c>
      <c r="K937" s="95"/>
      <c r="L937" s="2"/>
      <c r="M937" s="48"/>
      <c r="N937" s="48" t="s">
        <v>22</v>
      </c>
      <c r="O937" s="48" t="s">
        <v>20638</v>
      </c>
      <c r="P937" s="60" t="s">
        <v>3564</v>
      </c>
      <c r="Q937" s="48" t="s">
        <v>20639</v>
      </c>
      <c r="R937" s="48" t="s">
        <v>468</v>
      </c>
      <c r="S937" s="49" t="s">
        <v>74</v>
      </c>
      <c r="T937" s="48" t="s">
        <v>75</v>
      </c>
      <c r="U937" s="49" t="s">
        <v>3678</v>
      </c>
      <c r="V937" s="7" t="s">
        <v>214</v>
      </c>
      <c r="W937" s="49" t="s">
        <v>214</v>
      </c>
      <c r="X937" s="49" t="s">
        <v>214</v>
      </c>
      <c r="Y937" s="49" t="s">
        <v>214</v>
      </c>
      <c r="Z937" s="55" t="s">
        <v>214</v>
      </c>
      <c r="AA937" s="39">
        <v>18299</v>
      </c>
      <c r="AB937" s="84" t="s">
        <v>20638</v>
      </c>
      <c r="AC937" s="67" t="str">
        <f t="shared" si="598"/>
        <v>Link</v>
      </c>
      <c r="AD937" s="42">
        <v>1039</v>
      </c>
      <c r="AE937" s="55"/>
      <c r="AF937" s="55"/>
      <c r="AG937" s="56">
        <v>200341</v>
      </c>
      <c r="AH937" s="56"/>
      <c r="AI937" s="56"/>
      <c r="AJ937" s="56"/>
      <c r="AK937" s="56"/>
    </row>
    <row r="938" spans="1:37" ht="15" x14ac:dyDescent="0.2">
      <c r="A938" s="64" t="s">
        <v>3576</v>
      </c>
      <c r="B938" s="7" t="s">
        <v>12632</v>
      </c>
      <c r="C938" s="7" t="s">
        <v>20640</v>
      </c>
      <c r="D938" s="112">
        <v>5</v>
      </c>
      <c r="E938" s="7"/>
      <c r="F938" s="7" t="s">
        <v>126</v>
      </c>
      <c r="G938" s="2" t="s">
        <v>20635</v>
      </c>
      <c r="H938" s="2" t="s">
        <v>20641</v>
      </c>
      <c r="I938" s="2"/>
      <c r="J938" s="2"/>
      <c r="K938" s="95"/>
      <c r="L938" s="2"/>
      <c r="M938" s="48"/>
      <c r="N938" s="48" t="s">
        <v>22</v>
      </c>
      <c r="O938" s="48" t="s">
        <v>20638</v>
      </c>
      <c r="P938" s="60" t="s">
        <v>3564</v>
      </c>
      <c r="Q938" s="48" t="s">
        <v>20639</v>
      </c>
      <c r="R938" s="48" t="s">
        <v>468</v>
      </c>
      <c r="S938" s="49" t="s">
        <v>74</v>
      </c>
      <c r="T938" s="48" t="s">
        <v>75</v>
      </c>
      <c r="U938" s="49" t="s">
        <v>3678</v>
      </c>
      <c r="V938" s="7" t="s">
        <v>214</v>
      </c>
      <c r="W938" s="49" t="s">
        <v>214</v>
      </c>
      <c r="X938" s="49" t="s">
        <v>214</v>
      </c>
      <c r="Y938" s="49" t="s">
        <v>214</v>
      </c>
      <c r="Z938" s="55" t="s">
        <v>214</v>
      </c>
      <c r="AA938" s="39">
        <v>18299</v>
      </c>
      <c r="AB938" s="84" t="s">
        <v>20638</v>
      </c>
      <c r="AC938" s="67" t="str">
        <f t="shared" si="598"/>
        <v>Link</v>
      </c>
      <c r="AD938" s="42">
        <v>1039</v>
      </c>
      <c r="AE938" s="55"/>
      <c r="AF938" s="55"/>
      <c r="AG938" s="56">
        <v>200341</v>
      </c>
      <c r="AH938" s="56"/>
      <c r="AI938" s="56"/>
      <c r="AJ938" s="56"/>
      <c r="AK938" s="56"/>
    </row>
    <row r="939" spans="1:37" ht="15" x14ac:dyDescent="0.2">
      <c r="A939" s="64" t="s">
        <v>8359</v>
      </c>
      <c r="B939" s="33" t="s">
        <v>12632</v>
      </c>
      <c r="C939" s="7" t="s">
        <v>20642</v>
      </c>
      <c r="D939" s="112">
        <v>5</v>
      </c>
      <c r="E939" s="7"/>
      <c r="F939" s="7"/>
      <c r="G939" s="2" t="s">
        <v>20643</v>
      </c>
      <c r="H939" s="2" t="s">
        <v>1492</v>
      </c>
      <c r="I939" s="2" t="s">
        <v>20644</v>
      </c>
      <c r="J939" s="2" t="s">
        <v>48</v>
      </c>
      <c r="K939" s="2" t="s">
        <v>20645</v>
      </c>
      <c r="L939" s="2" t="s">
        <v>20646</v>
      </c>
      <c r="M939" s="48"/>
      <c r="N939" s="152" t="str">
        <f t="shared" ref="N939:N940" si="599">HYPERLINK("http://www.clarkstateeagles.com/information/recruitment_forms","Questionnaire")</f>
        <v>Questionnaire</v>
      </c>
      <c r="O939" s="48" t="s">
        <v>20647</v>
      </c>
      <c r="P939" s="60" t="s">
        <v>1814</v>
      </c>
      <c r="Q939" s="48" t="s">
        <v>4357</v>
      </c>
      <c r="R939" s="48" t="s">
        <v>186</v>
      </c>
      <c r="S939" s="49" t="s">
        <v>74</v>
      </c>
      <c r="T939" s="48" t="s">
        <v>75</v>
      </c>
      <c r="U939" s="49" t="s">
        <v>3678</v>
      </c>
      <c r="V939" s="7" t="s">
        <v>214</v>
      </c>
      <c r="W939" s="49" t="s">
        <v>214</v>
      </c>
      <c r="X939" s="49" t="s">
        <v>214</v>
      </c>
      <c r="Y939" s="49" t="s">
        <v>214</v>
      </c>
      <c r="Z939" s="55" t="s">
        <v>214</v>
      </c>
      <c r="AA939" s="48" t="s">
        <v>20648</v>
      </c>
      <c r="AB939" s="52" t="s">
        <v>20647</v>
      </c>
      <c r="AC939" s="67" t="str">
        <f t="shared" ref="AC939:AC940" si="600">HYPERLINK("https://www.clarkstate.edu/academics/majors-programs/","Link")</f>
        <v>Link</v>
      </c>
      <c r="AD939" s="42">
        <v>5915</v>
      </c>
      <c r="AE939" s="55"/>
      <c r="AF939" s="55"/>
      <c r="AG939" s="56">
        <v>201973</v>
      </c>
      <c r="AH939" s="56"/>
      <c r="AI939" s="56"/>
      <c r="AJ939" s="56"/>
      <c r="AK939" s="56"/>
    </row>
    <row r="940" spans="1:37" ht="15" x14ac:dyDescent="0.2">
      <c r="A940" s="64" t="s">
        <v>8359</v>
      </c>
      <c r="B940" s="33" t="s">
        <v>12632</v>
      </c>
      <c r="C940" s="7" t="s">
        <v>20649</v>
      </c>
      <c r="D940" s="112">
        <v>5</v>
      </c>
      <c r="E940" s="7"/>
      <c r="F940" s="7"/>
      <c r="G940" s="2" t="s">
        <v>20643</v>
      </c>
      <c r="H940" s="2" t="s">
        <v>1492</v>
      </c>
      <c r="I940" s="2" t="s">
        <v>20644</v>
      </c>
      <c r="J940" s="2" t="s">
        <v>1048</v>
      </c>
      <c r="K940" s="2" t="s">
        <v>20650</v>
      </c>
      <c r="L940" s="2" t="s">
        <v>20646</v>
      </c>
      <c r="M940" s="48"/>
      <c r="N940" s="152" t="str">
        <f t="shared" si="599"/>
        <v>Questionnaire</v>
      </c>
      <c r="O940" s="48" t="s">
        <v>20647</v>
      </c>
      <c r="P940" s="60" t="s">
        <v>1814</v>
      </c>
      <c r="Q940" s="48" t="s">
        <v>4357</v>
      </c>
      <c r="R940" s="48" t="s">
        <v>186</v>
      </c>
      <c r="S940" s="49" t="s">
        <v>74</v>
      </c>
      <c r="T940" s="48" t="s">
        <v>75</v>
      </c>
      <c r="U940" s="49" t="s">
        <v>3678</v>
      </c>
      <c r="V940" s="7" t="s">
        <v>214</v>
      </c>
      <c r="W940" s="49" t="s">
        <v>214</v>
      </c>
      <c r="X940" s="49" t="s">
        <v>214</v>
      </c>
      <c r="Y940" s="49" t="s">
        <v>214</v>
      </c>
      <c r="Z940" s="55" t="s">
        <v>214</v>
      </c>
      <c r="AA940" s="48" t="s">
        <v>20648</v>
      </c>
      <c r="AB940" s="52" t="s">
        <v>20647</v>
      </c>
      <c r="AC940" s="67" t="str">
        <f t="shared" si="600"/>
        <v>Link</v>
      </c>
      <c r="AD940" s="42">
        <v>5915</v>
      </c>
      <c r="AE940" s="55"/>
      <c r="AF940" s="55"/>
      <c r="AG940" s="56">
        <v>201973</v>
      </c>
      <c r="AH940" s="56"/>
      <c r="AI940" s="56"/>
      <c r="AJ940" s="56"/>
      <c r="AK940" s="56"/>
    </row>
    <row r="941" spans="1:37" ht="15" x14ac:dyDescent="0.2">
      <c r="A941" s="31" t="s">
        <v>8359</v>
      </c>
      <c r="B941" s="33" t="s">
        <v>12632</v>
      </c>
      <c r="C941" s="7"/>
      <c r="D941" s="112">
        <v>5</v>
      </c>
      <c r="E941" s="7"/>
      <c r="F941" s="112"/>
      <c r="G941" s="2" t="s">
        <v>20651</v>
      </c>
      <c r="H941" s="2" t="s">
        <v>1342</v>
      </c>
      <c r="I941" s="2" t="s">
        <v>20652</v>
      </c>
      <c r="J941" s="2" t="s">
        <v>48</v>
      </c>
      <c r="K941" s="2" t="s">
        <v>20653</v>
      </c>
      <c r="L941" s="2" t="s">
        <v>20654</v>
      </c>
      <c r="M941" s="45" t="str">
        <f t="shared" ref="M941:M943" si="601">HYPERLINK("twitter.com/tric_softball","@tric_softball")</f>
        <v>@tric_softball</v>
      </c>
      <c r="N941" s="114" t="str">
        <f t="shared" ref="N941:N943" si="602">HYPERLINK("https://forms.tri-c.edu/sports/","Questionnaire")</f>
        <v>Questionnaire</v>
      </c>
      <c r="O941" s="48" t="s">
        <v>20655</v>
      </c>
      <c r="P941" s="60" t="s">
        <v>1814</v>
      </c>
      <c r="Q941" s="48" t="s">
        <v>6150</v>
      </c>
      <c r="R941" s="48" t="s">
        <v>354</v>
      </c>
      <c r="S941" s="49" t="s">
        <v>74</v>
      </c>
      <c r="T941" s="48" t="s">
        <v>75</v>
      </c>
      <c r="U941" s="49" t="s">
        <v>3678</v>
      </c>
      <c r="V941" s="7" t="s">
        <v>214</v>
      </c>
      <c r="W941" s="49" t="s">
        <v>214</v>
      </c>
      <c r="X941" s="49" t="s">
        <v>214</v>
      </c>
      <c r="Y941" s="49" t="s">
        <v>214</v>
      </c>
      <c r="Z941" s="55" t="s">
        <v>214</v>
      </c>
      <c r="AA941" s="48" t="s">
        <v>20656</v>
      </c>
      <c r="AB941" s="84" t="s">
        <v>20655</v>
      </c>
      <c r="AC941" s="53" t="str">
        <f t="shared" ref="AC941:AC943" si="603">HYPERLINK("http://www.tri-c.edu/programs/programs-a-z.html","Link")</f>
        <v>Link</v>
      </c>
      <c r="AD941" s="42">
        <v>23987</v>
      </c>
      <c r="AE941" s="55"/>
      <c r="AF941" s="55"/>
      <c r="AG941" s="56">
        <v>202356</v>
      </c>
      <c r="AH941" s="7" t="s">
        <v>2459</v>
      </c>
      <c r="AI941" s="7"/>
      <c r="AJ941" s="7"/>
      <c r="AK941" s="7"/>
    </row>
    <row r="942" spans="1:37" ht="15" x14ac:dyDescent="0.2">
      <c r="A942" s="31" t="s">
        <v>8359</v>
      </c>
      <c r="B942" s="33" t="s">
        <v>12632</v>
      </c>
      <c r="C942" s="7"/>
      <c r="D942" s="112">
        <v>5</v>
      </c>
      <c r="E942" s="7"/>
      <c r="F942" s="112"/>
      <c r="G942" s="2" t="s">
        <v>20651</v>
      </c>
      <c r="H942" s="2" t="s">
        <v>3444</v>
      </c>
      <c r="I942" s="2" t="s">
        <v>20657</v>
      </c>
      <c r="J942" s="2" t="s">
        <v>55</v>
      </c>
      <c r="K942" s="2"/>
      <c r="L942" s="2"/>
      <c r="M942" s="45" t="str">
        <f t="shared" si="601"/>
        <v>@tric_softball</v>
      </c>
      <c r="N942" s="114" t="str">
        <f t="shared" si="602"/>
        <v>Questionnaire</v>
      </c>
      <c r="O942" s="48" t="s">
        <v>20655</v>
      </c>
      <c r="P942" s="60" t="s">
        <v>1814</v>
      </c>
      <c r="Q942" s="48" t="s">
        <v>6150</v>
      </c>
      <c r="R942" s="48" t="s">
        <v>354</v>
      </c>
      <c r="S942" s="49" t="s">
        <v>74</v>
      </c>
      <c r="T942" s="48" t="s">
        <v>75</v>
      </c>
      <c r="U942" s="49" t="s">
        <v>3678</v>
      </c>
      <c r="V942" s="7" t="s">
        <v>214</v>
      </c>
      <c r="W942" s="49" t="s">
        <v>214</v>
      </c>
      <c r="X942" s="49" t="s">
        <v>214</v>
      </c>
      <c r="Y942" s="49" t="s">
        <v>214</v>
      </c>
      <c r="Z942" s="55" t="s">
        <v>214</v>
      </c>
      <c r="AA942" s="48" t="s">
        <v>20656</v>
      </c>
      <c r="AB942" s="84" t="s">
        <v>20655</v>
      </c>
      <c r="AC942" s="53" t="str">
        <f t="shared" si="603"/>
        <v>Link</v>
      </c>
      <c r="AD942" s="42">
        <v>23987</v>
      </c>
      <c r="AE942" s="55"/>
      <c r="AF942" s="55"/>
      <c r="AG942" s="56">
        <v>202356</v>
      </c>
      <c r="AH942" s="7" t="s">
        <v>2459</v>
      </c>
      <c r="AI942" s="7"/>
      <c r="AJ942" s="7"/>
      <c r="AK942" s="7"/>
    </row>
    <row r="943" spans="1:37" ht="15" x14ac:dyDescent="0.2">
      <c r="A943" s="31" t="s">
        <v>8359</v>
      </c>
      <c r="B943" s="33" t="s">
        <v>12632</v>
      </c>
      <c r="C943" s="7"/>
      <c r="D943" s="112">
        <v>5</v>
      </c>
      <c r="E943" s="7"/>
      <c r="F943" s="112"/>
      <c r="G943" s="2" t="s">
        <v>20651</v>
      </c>
      <c r="H943" s="2" t="s">
        <v>3201</v>
      </c>
      <c r="I943" s="2" t="s">
        <v>20658</v>
      </c>
      <c r="J943" s="2" t="s">
        <v>55</v>
      </c>
      <c r="K943" s="2"/>
      <c r="L943" s="2"/>
      <c r="M943" s="45" t="str">
        <f t="shared" si="601"/>
        <v>@tric_softball</v>
      </c>
      <c r="N943" s="114" t="str">
        <f t="shared" si="602"/>
        <v>Questionnaire</v>
      </c>
      <c r="O943" s="48" t="s">
        <v>20655</v>
      </c>
      <c r="P943" s="60" t="s">
        <v>1814</v>
      </c>
      <c r="Q943" s="48" t="s">
        <v>6150</v>
      </c>
      <c r="R943" s="48" t="s">
        <v>354</v>
      </c>
      <c r="S943" s="49" t="s">
        <v>74</v>
      </c>
      <c r="T943" s="48" t="s">
        <v>75</v>
      </c>
      <c r="U943" s="49" t="s">
        <v>3678</v>
      </c>
      <c r="V943" s="7" t="s">
        <v>214</v>
      </c>
      <c r="W943" s="49" t="s">
        <v>214</v>
      </c>
      <c r="X943" s="49" t="s">
        <v>214</v>
      </c>
      <c r="Y943" s="49" t="s">
        <v>214</v>
      </c>
      <c r="Z943" s="55" t="s">
        <v>214</v>
      </c>
      <c r="AA943" s="48" t="s">
        <v>20656</v>
      </c>
      <c r="AB943" s="84" t="s">
        <v>20655</v>
      </c>
      <c r="AC943" s="53" t="str">
        <f t="shared" si="603"/>
        <v>Link</v>
      </c>
      <c r="AD943" s="42">
        <v>23987</v>
      </c>
      <c r="AE943" s="55"/>
      <c r="AF943" s="55"/>
      <c r="AG943" s="56">
        <v>202356</v>
      </c>
      <c r="AH943" s="7" t="s">
        <v>2459</v>
      </c>
      <c r="AI943" s="7"/>
      <c r="AJ943" s="7"/>
      <c r="AK943" s="7"/>
    </row>
    <row r="944" spans="1:37" ht="15" x14ac:dyDescent="0.2">
      <c r="A944" s="64" t="s">
        <v>8359</v>
      </c>
      <c r="B944" s="33" t="s">
        <v>12632</v>
      </c>
      <c r="C944" s="7" t="s">
        <v>20659</v>
      </c>
      <c r="D944" s="112">
        <v>5</v>
      </c>
      <c r="E944" s="7"/>
      <c r="F944" s="7"/>
      <c r="G944" s="2" t="s">
        <v>20660</v>
      </c>
      <c r="H944" s="2" t="s">
        <v>3108</v>
      </c>
      <c r="I944" s="2" t="s">
        <v>20661</v>
      </c>
      <c r="J944" s="2" t="s">
        <v>48</v>
      </c>
      <c r="K944" s="2" t="s">
        <v>20662</v>
      </c>
      <c r="L944" s="2" t="s">
        <v>20663</v>
      </c>
      <c r="M944" s="150" t="str">
        <f t="shared" ref="M944:M945" si="604">HYPERLINK("twitter.com/esccsoftball","@esccsoftball")</f>
        <v>@esccsoftball</v>
      </c>
      <c r="N944" s="152" t="str">
        <f t="shared" ref="N944:N945" si="605">HYPERLINK("http://athletics.edisonohio.edu/information/recruiting","Questionnaire")</f>
        <v>Questionnaire</v>
      </c>
      <c r="O944" s="48" t="s">
        <v>20664</v>
      </c>
      <c r="P944" s="60" t="s">
        <v>1814</v>
      </c>
      <c r="Q944" s="48" t="s">
        <v>20665</v>
      </c>
      <c r="R944" s="48" t="s">
        <v>172</v>
      </c>
      <c r="S944" s="49" t="s">
        <v>74</v>
      </c>
      <c r="T944" s="48" t="s">
        <v>75</v>
      </c>
      <c r="U944" s="49" t="s">
        <v>3678</v>
      </c>
      <c r="V944" s="7" t="s">
        <v>214</v>
      </c>
      <c r="W944" s="49" t="s">
        <v>214</v>
      </c>
      <c r="X944" s="49" t="s">
        <v>214</v>
      </c>
      <c r="Y944" s="49" t="s">
        <v>214</v>
      </c>
      <c r="Z944" s="55" t="s">
        <v>214</v>
      </c>
      <c r="AA944" s="48" t="s">
        <v>20666</v>
      </c>
      <c r="AB944" s="84" t="s">
        <v>20664</v>
      </c>
      <c r="AC944" s="67" t="str">
        <f t="shared" ref="AC944:AC945" si="606">HYPERLINK("http://catalog.edisonohio.edu/content.php?catoid=19&amp;navoid=1284","Link")</f>
        <v>Link</v>
      </c>
      <c r="AD944" s="42">
        <v>3402</v>
      </c>
      <c r="AE944" s="55"/>
      <c r="AF944" s="55"/>
      <c r="AG944" s="56">
        <v>202648</v>
      </c>
      <c r="AH944" s="56"/>
      <c r="AI944" s="56"/>
      <c r="AJ944" s="56"/>
      <c r="AK944" s="56"/>
    </row>
    <row r="945" spans="1:37" ht="15" x14ac:dyDescent="0.2">
      <c r="A945" s="64" t="s">
        <v>8359</v>
      </c>
      <c r="B945" s="33" t="s">
        <v>12632</v>
      </c>
      <c r="C945" s="7" t="s">
        <v>20667</v>
      </c>
      <c r="D945" s="112">
        <v>5</v>
      </c>
      <c r="E945" s="7"/>
      <c r="F945" s="7"/>
      <c r="G945" s="2" t="s">
        <v>20660</v>
      </c>
      <c r="H945" s="2" t="s">
        <v>94</v>
      </c>
      <c r="I945" s="2" t="s">
        <v>20668</v>
      </c>
      <c r="J945" s="2" t="s">
        <v>55</v>
      </c>
      <c r="K945" s="2"/>
      <c r="L945" s="2" t="s">
        <v>20663</v>
      </c>
      <c r="M945" s="150" t="str">
        <f t="shared" si="604"/>
        <v>@esccsoftball</v>
      </c>
      <c r="N945" s="152" t="str">
        <f t="shared" si="605"/>
        <v>Questionnaire</v>
      </c>
      <c r="O945" s="48" t="s">
        <v>20664</v>
      </c>
      <c r="P945" s="60" t="s">
        <v>1814</v>
      </c>
      <c r="Q945" s="48" t="s">
        <v>20665</v>
      </c>
      <c r="R945" s="48" t="s">
        <v>172</v>
      </c>
      <c r="S945" s="49" t="s">
        <v>74</v>
      </c>
      <c r="T945" s="48" t="s">
        <v>75</v>
      </c>
      <c r="U945" s="49" t="s">
        <v>3678</v>
      </c>
      <c r="V945" s="7" t="s">
        <v>214</v>
      </c>
      <c r="W945" s="49" t="s">
        <v>214</v>
      </c>
      <c r="X945" s="49" t="s">
        <v>214</v>
      </c>
      <c r="Y945" s="49" t="s">
        <v>214</v>
      </c>
      <c r="Z945" s="55" t="s">
        <v>214</v>
      </c>
      <c r="AA945" s="48" t="s">
        <v>20666</v>
      </c>
      <c r="AB945" s="84" t="s">
        <v>20664</v>
      </c>
      <c r="AC945" s="67" t="str">
        <f t="shared" si="606"/>
        <v>Link</v>
      </c>
      <c r="AD945" s="42">
        <v>3402</v>
      </c>
      <c r="AE945" s="55"/>
      <c r="AF945" s="55"/>
      <c r="AG945" s="56">
        <v>202648</v>
      </c>
      <c r="AH945" s="56"/>
      <c r="AI945" s="56"/>
      <c r="AJ945" s="56"/>
      <c r="AK945" s="56"/>
    </row>
    <row r="946" spans="1:37" ht="15" x14ac:dyDescent="0.2">
      <c r="A946" s="64" t="s">
        <v>8359</v>
      </c>
      <c r="B946" s="33" t="s">
        <v>12632</v>
      </c>
      <c r="C946" s="7" t="s">
        <v>20669</v>
      </c>
      <c r="D946" s="112">
        <v>5</v>
      </c>
      <c r="E946" s="7"/>
      <c r="F946" s="7"/>
      <c r="G946" s="2" t="s">
        <v>20670</v>
      </c>
      <c r="H946" s="2" t="s">
        <v>94</v>
      </c>
      <c r="I946" s="2" t="s">
        <v>20671</v>
      </c>
      <c r="J946" s="2" t="s">
        <v>48</v>
      </c>
      <c r="K946" s="2" t="s">
        <v>20672</v>
      </c>
      <c r="L946" s="2" t="s">
        <v>20673</v>
      </c>
      <c r="M946" s="150" t="str">
        <f t="shared" ref="M946:M949" si="607">HYPERLINK("twitter.com/coachjmo29","@coachjmo29")</f>
        <v>@coachjmo29</v>
      </c>
      <c r="N946" s="152" t="str">
        <f t="shared" ref="N946:N949" si="608">HYPERLINK("http://athletics.lakelandcc.edu/information/files/SA_Questionaire.pdf","Questionnaire")</f>
        <v>Questionnaire</v>
      </c>
      <c r="O946" s="48" t="s">
        <v>20674</v>
      </c>
      <c r="P946" s="60" t="s">
        <v>1814</v>
      </c>
      <c r="Q946" s="48" t="s">
        <v>20675</v>
      </c>
      <c r="R946" s="60" t="s">
        <v>205</v>
      </c>
      <c r="S946" s="49" t="s">
        <v>74</v>
      </c>
      <c r="T946" s="48" t="s">
        <v>75</v>
      </c>
      <c r="U946" s="49" t="s">
        <v>3678</v>
      </c>
      <c r="V946" s="7" t="s">
        <v>214</v>
      </c>
      <c r="W946" s="49" t="s">
        <v>214</v>
      </c>
      <c r="X946" s="49" t="s">
        <v>214</v>
      </c>
      <c r="Y946" s="49" t="s">
        <v>214</v>
      </c>
      <c r="Z946" s="49" t="s">
        <v>214</v>
      </c>
      <c r="AA946" s="48" t="s">
        <v>20676</v>
      </c>
      <c r="AB946" s="84" t="s">
        <v>20674</v>
      </c>
      <c r="AC946" s="67" t="str">
        <f t="shared" ref="AC946:AC949" si="609">HYPERLINK("http://www.lakelandcc.edu/web/about/degrees-certificates-academics","Link")</f>
        <v>Link</v>
      </c>
      <c r="AD946" s="42">
        <v>7997</v>
      </c>
      <c r="AE946" s="55"/>
      <c r="AF946" s="55"/>
      <c r="AG946" s="56">
        <v>203599</v>
      </c>
      <c r="AH946" s="56"/>
      <c r="AI946" s="56"/>
      <c r="AJ946" s="56"/>
      <c r="AK946" s="56"/>
    </row>
    <row r="947" spans="1:37" ht="15" x14ac:dyDescent="0.2">
      <c r="A947" s="64" t="s">
        <v>8359</v>
      </c>
      <c r="B947" s="33" t="s">
        <v>12632</v>
      </c>
      <c r="C947" s="7" t="s">
        <v>20677</v>
      </c>
      <c r="D947" s="112">
        <v>5</v>
      </c>
      <c r="E947" s="7"/>
      <c r="F947" s="7"/>
      <c r="G947" s="2" t="s">
        <v>20670</v>
      </c>
      <c r="H947" s="2" t="s">
        <v>94</v>
      </c>
      <c r="I947" s="2" t="s">
        <v>20671</v>
      </c>
      <c r="J947" s="2" t="s">
        <v>1048</v>
      </c>
      <c r="K947" s="2" t="s">
        <v>20678</v>
      </c>
      <c r="L947" s="2" t="s">
        <v>20673</v>
      </c>
      <c r="M947" s="150" t="str">
        <f t="shared" si="607"/>
        <v>@coachjmo29</v>
      </c>
      <c r="N947" s="152" t="str">
        <f t="shared" si="608"/>
        <v>Questionnaire</v>
      </c>
      <c r="O947" s="48" t="s">
        <v>20674</v>
      </c>
      <c r="P947" s="60" t="s">
        <v>1814</v>
      </c>
      <c r="Q947" s="48" t="s">
        <v>20675</v>
      </c>
      <c r="R947" s="60" t="s">
        <v>205</v>
      </c>
      <c r="S947" s="49" t="s">
        <v>74</v>
      </c>
      <c r="T947" s="48" t="s">
        <v>75</v>
      </c>
      <c r="U947" s="49" t="s">
        <v>3678</v>
      </c>
      <c r="V947" s="7" t="s">
        <v>214</v>
      </c>
      <c r="W947" s="49" t="s">
        <v>214</v>
      </c>
      <c r="X947" s="49" t="s">
        <v>214</v>
      </c>
      <c r="Y947" s="49" t="s">
        <v>214</v>
      </c>
      <c r="Z947" s="49" t="s">
        <v>214</v>
      </c>
      <c r="AA947" s="48" t="s">
        <v>20676</v>
      </c>
      <c r="AB947" s="84" t="s">
        <v>20674</v>
      </c>
      <c r="AC947" s="67" t="str">
        <f t="shared" si="609"/>
        <v>Link</v>
      </c>
      <c r="AD947" s="42">
        <v>7997</v>
      </c>
      <c r="AE947" s="55"/>
      <c r="AF947" s="55"/>
      <c r="AG947" s="56">
        <v>203599</v>
      </c>
      <c r="AH947" s="56"/>
      <c r="AI947" s="56"/>
      <c r="AJ947" s="56"/>
      <c r="AK947" s="56"/>
    </row>
    <row r="948" spans="1:37" ht="15" x14ac:dyDescent="0.2">
      <c r="A948" s="64" t="s">
        <v>8359</v>
      </c>
      <c r="B948" s="33" t="s">
        <v>12632</v>
      </c>
      <c r="C948" s="7" t="s">
        <v>20679</v>
      </c>
      <c r="D948" s="112">
        <v>5</v>
      </c>
      <c r="E948" s="7"/>
      <c r="F948" s="7" t="s">
        <v>126</v>
      </c>
      <c r="G948" s="2" t="s">
        <v>20670</v>
      </c>
      <c r="H948" s="2" t="s">
        <v>20680</v>
      </c>
      <c r="I948" s="2"/>
      <c r="J948" s="2"/>
      <c r="K948" s="2"/>
      <c r="L948" s="2"/>
      <c r="M948" s="150" t="str">
        <f t="shared" si="607"/>
        <v>@coachjmo29</v>
      </c>
      <c r="N948" s="152" t="str">
        <f t="shared" si="608"/>
        <v>Questionnaire</v>
      </c>
      <c r="O948" s="48" t="s">
        <v>20674</v>
      </c>
      <c r="P948" s="60" t="s">
        <v>1814</v>
      </c>
      <c r="Q948" s="48" t="s">
        <v>20675</v>
      </c>
      <c r="R948" s="60" t="s">
        <v>205</v>
      </c>
      <c r="S948" s="49" t="s">
        <v>74</v>
      </c>
      <c r="T948" s="48" t="s">
        <v>75</v>
      </c>
      <c r="U948" s="49" t="s">
        <v>3678</v>
      </c>
      <c r="V948" s="7" t="s">
        <v>214</v>
      </c>
      <c r="W948" s="49" t="s">
        <v>214</v>
      </c>
      <c r="X948" s="49" t="s">
        <v>214</v>
      </c>
      <c r="Y948" s="49" t="s">
        <v>214</v>
      </c>
      <c r="Z948" s="49" t="s">
        <v>214</v>
      </c>
      <c r="AA948" s="48" t="s">
        <v>20676</v>
      </c>
      <c r="AB948" s="84" t="s">
        <v>20674</v>
      </c>
      <c r="AC948" s="67" t="str">
        <f t="shared" si="609"/>
        <v>Link</v>
      </c>
      <c r="AD948" s="42">
        <v>7997</v>
      </c>
      <c r="AE948" s="55"/>
      <c r="AF948" s="55"/>
      <c r="AG948" s="56">
        <v>203599</v>
      </c>
      <c r="AH948" s="56"/>
      <c r="AI948" s="56"/>
      <c r="AJ948" s="56"/>
      <c r="AK948" s="56"/>
    </row>
    <row r="949" spans="1:37" ht="15" x14ac:dyDescent="0.2">
      <c r="A949" s="64" t="s">
        <v>8359</v>
      </c>
      <c r="B949" s="33" t="s">
        <v>12632</v>
      </c>
      <c r="C949" s="7" t="s">
        <v>20681</v>
      </c>
      <c r="D949" s="112">
        <v>5</v>
      </c>
      <c r="E949" s="7"/>
      <c r="F949" s="7"/>
      <c r="G949" s="2" t="s">
        <v>20670</v>
      </c>
      <c r="H949" s="2" t="s">
        <v>15653</v>
      </c>
      <c r="I949" s="2" t="s">
        <v>20682</v>
      </c>
      <c r="J949" s="2" t="s">
        <v>55</v>
      </c>
      <c r="K949" s="2" t="s">
        <v>20683</v>
      </c>
      <c r="L949" s="2" t="s">
        <v>20684</v>
      </c>
      <c r="M949" s="150" t="str">
        <f t="shared" si="607"/>
        <v>@coachjmo29</v>
      </c>
      <c r="N949" s="152" t="str">
        <f t="shared" si="608"/>
        <v>Questionnaire</v>
      </c>
      <c r="O949" s="48" t="s">
        <v>20674</v>
      </c>
      <c r="P949" s="60" t="s">
        <v>1814</v>
      </c>
      <c r="Q949" s="48" t="s">
        <v>20675</v>
      </c>
      <c r="R949" s="60" t="s">
        <v>205</v>
      </c>
      <c r="S949" s="49" t="s">
        <v>74</v>
      </c>
      <c r="T949" s="48" t="s">
        <v>75</v>
      </c>
      <c r="U949" s="49" t="s">
        <v>3678</v>
      </c>
      <c r="V949" s="7" t="s">
        <v>214</v>
      </c>
      <c r="W949" s="49" t="s">
        <v>214</v>
      </c>
      <c r="X949" s="49" t="s">
        <v>214</v>
      </c>
      <c r="Y949" s="49" t="s">
        <v>214</v>
      </c>
      <c r="Z949" s="49" t="s">
        <v>214</v>
      </c>
      <c r="AA949" s="48" t="s">
        <v>20676</v>
      </c>
      <c r="AB949" s="84" t="s">
        <v>20674</v>
      </c>
      <c r="AC949" s="67" t="str">
        <f t="shared" si="609"/>
        <v>Link</v>
      </c>
      <c r="AD949" s="42">
        <v>7997</v>
      </c>
      <c r="AE949" s="55"/>
      <c r="AF949" s="55"/>
      <c r="AG949" s="56">
        <v>203599</v>
      </c>
      <c r="AH949" s="56"/>
      <c r="AI949" s="56"/>
      <c r="AJ949" s="56"/>
      <c r="AK949" s="56"/>
    </row>
    <row r="950" spans="1:37" ht="15" x14ac:dyDescent="0.2">
      <c r="A950" s="64" t="s">
        <v>8359</v>
      </c>
      <c r="B950" s="33" t="s">
        <v>12632</v>
      </c>
      <c r="C950" s="7" t="s">
        <v>20685</v>
      </c>
      <c r="D950" s="44">
        <v>5</v>
      </c>
      <c r="E950" s="7" t="s">
        <v>116</v>
      </c>
      <c r="F950" s="7"/>
      <c r="G950" s="2" t="s">
        <v>20686</v>
      </c>
      <c r="H950" s="7" t="s">
        <v>2127</v>
      </c>
      <c r="I950" s="7" t="s">
        <v>20687</v>
      </c>
      <c r="J950" s="7" t="s">
        <v>55</v>
      </c>
      <c r="K950" s="7"/>
      <c r="L950" s="7"/>
      <c r="M950" s="150" t="str">
        <f t="shared" ref="M950:M951" si="610">HYPERLINK("twitter.com/lccdevilssb","@lccdevilssb")</f>
        <v>@lccdevilssb</v>
      </c>
      <c r="N950" s="152" t="str">
        <f t="shared" ref="N950:N951" si="611">HYPERLINK("https://www.lorainccc.edu/athletics/athletics-interest-inquiry-form/","Questionnaire")</f>
        <v>Questionnaire</v>
      </c>
      <c r="O950" s="48" t="s">
        <v>20688</v>
      </c>
      <c r="P950" s="60" t="s">
        <v>1814</v>
      </c>
      <c r="Q950" s="48" t="s">
        <v>20689</v>
      </c>
      <c r="R950" s="48" t="s">
        <v>186</v>
      </c>
      <c r="S950" s="49" t="s">
        <v>74</v>
      </c>
      <c r="T950" s="48" t="s">
        <v>75</v>
      </c>
      <c r="U950" s="49" t="s">
        <v>3678</v>
      </c>
      <c r="V950" s="7" t="s">
        <v>214</v>
      </c>
      <c r="W950" s="49" t="s">
        <v>214</v>
      </c>
      <c r="X950" s="49" t="s">
        <v>214</v>
      </c>
      <c r="Y950" s="49" t="s">
        <v>214</v>
      </c>
      <c r="Z950" s="55" t="s">
        <v>214</v>
      </c>
      <c r="AA950" s="48" t="s">
        <v>20690</v>
      </c>
      <c r="AB950" s="84" t="s">
        <v>20688</v>
      </c>
      <c r="AC950" s="67" t="str">
        <f t="shared" ref="AC950:AC951" si="612">HYPERLINK("https://www.lorainccc.edu/programs-and-careers/","Link")</f>
        <v>Link</v>
      </c>
      <c r="AD950" s="42">
        <v>11482</v>
      </c>
      <c r="AE950" s="55"/>
      <c r="AF950" s="55"/>
      <c r="AG950" s="56">
        <v>203748</v>
      </c>
      <c r="AH950" s="85"/>
      <c r="AI950" s="85"/>
      <c r="AJ950" s="56"/>
      <c r="AK950" s="56"/>
    </row>
    <row r="951" spans="1:37" ht="15" x14ac:dyDescent="0.2">
      <c r="A951" s="64" t="s">
        <v>8359</v>
      </c>
      <c r="B951" s="33" t="s">
        <v>12632</v>
      </c>
      <c r="C951" s="7" t="s">
        <v>20691</v>
      </c>
      <c r="D951" s="112">
        <v>5</v>
      </c>
      <c r="E951" s="7"/>
      <c r="F951" s="7"/>
      <c r="G951" s="2" t="s">
        <v>20686</v>
      </c>
      <c r="H951" s="2" t="s">
        <v>2806</v>
      </c>
      <c r="I951" s="2" t="s">
        <v>6937</v>
      </c>
      <c r="J951" s="2" t="s">
        <v>48</v>
      </c>
      <c r="K951" s="2" t="s">
        <v>20692</v>
      </c>
      <c r="L951" s="2" t="s">
        <v>20693</v>
      </c>
      <c r="M951" s="150" t="str">
        <f t="shared" si="610"/>
        <v>@lccdevilssb</v>
      </c>
      <c r="N951" s="152" t="str">
        <f t="shared" si="611"/>
        <v>Questionnaire</v>
      </c>
      <c r="O951" s="48" t="s">
        <v>20688</v>
      </c>
      <c r="P951" s="60" t="s">
        <v>1814</v>
      </c>
      <c r="Q951" s="48" t="s">
        <v>20689</v>
      </c>
      <c r="R951" s="48" t="s">
        <v>186</v>
      </c>
      <c r="S951" s="49" t="s">
        <v>74</v>
      </c>
      <c r="T951" s="48" t="s">
        <v>75</v>
      </c>
      <c r="U951" s="49" t="s">
        <v>3678</v>
      </c>
      <c r="V951" s="7" t="s">
        <v>214</v>
      </c>
      <c r="W951" s="49" t="s">
        <v>214</v>
      </c>
      <c r="X951" s="49" t="s">
        <v>214</v>
      </c>
      <c r="Y951" s="49" t="s">
        <v>214</v>
      </c>
      <c r="Z951" s="55" t="s">
        <v>214</v>
      </c>
      <c r="AA951" s="48" t="s">
        <v>20690</v>
      </c>
      <c r="AB951" s="84" t="s">
        <v>20688</v>
      </c>
      <c r="AC951" s="67" t="str">
        <f t="shared" si="612"/>
        <v>Link</v>
      </c>
      <c r="AD951" s="42">
        <v>11482</v>
      </c>
      <c r="AE951" s="55"/>
      <c r="AF951" s="55"/>
      <c r="AG951" s="56">
        <v>203748</v>
      </c>
      <c r="AH951" s="56"/>
      <c r="AI951" s="56"/>
      <c r="AJ951" s="56"/>
      <c r="AK951" s="56"/>
    </row>
    <row r="952" spans="1:37" ht="15" x14ac:dyDescent="0.2">
      <c r="A952" s="64" t="s">
        <v>8359</v>
      </c>
      <c r="B952" s="33" t="s">
        <v>12632</v>
      </c>
      <c r="C952" s="7" t="s">
        <v>20694</v>
      </c>
      <c r="D952" s="44">
        <v>5</v>
      </c>
      <c r="E952" s="7"/>
      <c r="F952" s="7"/>
      <c r="G952" s="7" t="s">
        <v>20695</v>
      </c>
      <c r="H952" s="7" t="s">
        <v>658</v>
      </c>
      <c r="I952" s="7" t="s">
        <v>20696</v>
      </c>
      <c r="J952" s="7" t="s">
        <v>1423</v>
      </c>
      <c r="K952" s="7" t="s">
        <v>20697</v>
      </c>
      <c r="L952" s="7" t="s">
        <v>20698</v>
      </c>
      <c r="M952" s="7"/>
      <c r="N952" s="7"/>
      <c r="O952" s="48" t="s">
        <v>20699</v>
      </c>
      <c r="P952" s="60" t="s">
        <v>1814</v>
      </c>
      <c r="Q952" s="48" t="s">
        <v>20700</v>
      </c>
      <c r="R952" s="48" t="s">
        <v>172</v>
      </c>
      <c r="S952" s="49" t="s">
        <v>74</v>
      </c>
      <c r="T952" s="48" t="s">
        <v>75</v>
      </c>
      <c r="U952" s="49" t="s">
        <v>3678</v>
      </c>
      <c r="V952" s="48" t="s">
        <v>214</v>
      </c>
      <c r="W952" s="49" t="s">
        <v>214</v>
      </c>
      <c r="X952" s="49" t="s">
        <v>214</v>
      </c>
      <c r="Y952" s="49" t="s">
        <v>214</v>
      </c>
      <c r="Z952" s="55" t="s">
        <v>214</v>
      </c>
      <c r="AA952" s="48" t="s">
        <v>20701</v>
      </c>
      <c r="AB952" s="84" t="s">
        <v>20699</v>
      </c>
      <c r="AC952" s="67" t="str">
        <f t="shared" ref="AC952:AC954" si="613">HYPERLINK("http://catalog.owens.edu/content.php?catoid=8&amp;navoid=2637","Link")</f>
        <v>Link</v>
      </c>
      <c r="AD952" s="42">
        <v>10171</v>
      </c>
      <c r="AE952" s="55"/>
      <c r="AF952" s="55"/>
      <c r="AG952" s="56">
        <v>204945</v>
      </c>
      <c r="AH952" s="42"/>
      <c r="AI952" s="55"/>
      <c r="AJ952" s="55"/>
      <c r="AK952" s="85"/>
    </row>
    <row r="953" spans="1:37" ht="15" x14ac:dyDescent="0.2">
      <c r="A953" s="64" t="s">
        <v>8359</v>
      </c>
      <c r="B953" s="33" t="s">
        <v>12632</v>
      </c>
      <c r="C953" s="7" t="s">
        <v>20702</v>
      </c>
      <c r="D953" s="112">
        <v>5</v>
      </c>
      <c r="E953" s="7"/>
      <c r="F953" s="7"/>
      <c r="G953" s="2" t="s">
        <v>20695</v>
      </c>
      <c r="H953" s="2" t="s">
        <v>421</v>
      </c>
      <c r="I953" s="2"/>
      <c r="J953" s="2" t="s">
        <v>48</v>
      </c>
      <c r="K953" s="2"/>
      <c r="L953" s="2" t="s">
        <v>20703</v>
      </c>
      <c r="M953" s="48"/>
      <c r="N953" s="152" t="str">
        <f t="shared" ref="N953:N954" si="614">HYPERLINK("https://www.owensexpress.com/prospective_recruits/index","Questionnaire")</f>
        <v>Questionnaire</v>
      </c>
      <c r="O953" s="48" t="s">
        <v>20699</v>
      </c>
      <c r="P953" s="60" t="s">
        <v>1814</v>
      </c>
      <c r="Q953" s="48" t="s">
        <v>20700</v>
      </c>
      <c r="R953" s="48" t="s">
        <v>172</v>
      </c>
      <c r="S953" s="49" t="s">
        <v>74</v>
      </c>
      <c r="T953" s="48" t="s">
        <v>75</v>
      </c>
      <c r="U953" s="49" t="s">
        <v>3678</v>
      </c>
      <c r="V953" s="7" t="s">
        <v>214</v>
      </c>
      <c r="W953" s="49" t="s">
        <v>214</v>
      </c>
      <c r="X953" s="49" t="s">
        <v>214</v>
      </c>
      <c r="Y953" s="49" t="s">
        <v>214</v>
      </c>
      <c r="Z953" s="55" t="s">
        <v>214</v>
      </c>
      <c r="AA953" s="48" t="s">
        <v>20701</v>
      </c>
      <c r="AB953" s="84" t="s">
        <v>20699</v>
      </c>
      <c r="AC953" s="67" t="str">
        <f t="shared" si="613"/>
        <v>Link</v>
      </c>
      <c r="AD953" s="42">
        <v>10171</v>
      </c>
      <c r="AE953" s="55"/>
      <c r="AF953" s="55"/>
      <c r="AG953" s="56">
        <v>204945</v>
      </c>
      <c r="AH953" s="56"/>
      <c r="AI953" s="56"/>
      <c r="AJ953" s="56"/>
      <c r="AK953" s="56"/>
    </row>
    <row r="954" spans="1:37" ht="15" x14ac:dyDescent="0.2">
      <c r="A954" s="64" t="s">
        <v>8359</v>
      </c>
      <c r="B954" s="33" t="s">
        <v>12632</v>
      </c>
      <c r="C954" s="7" t="s">
        <v>20704</v>
      </c>
      <c r="D954" s="112">
        <v>5</v>
      </c>
      <c r="E954" s="7"/>
      <c r="F954" s="7"/>
      <c r="G954" s="2" t="s">
        <v>20695</v>
      </c>
      <c r="H954" s="2" t="s">
        <v>2780</v>
      </c>
      <c r="I954" s="2" t="s">
        <v>20705</v>
      </c>
      <c r="J954" s="2" t="s">
        <v>55</v>
      </c>
      <c r="K954" s="7" t="s">
        <v>20706</v>
      </c>
      <c r="L954" s="2" t="s">
        <v>20703</v>
      </c>
      <c r="M954" s="48"/>
      <c r="N954" s="152" t="str">
        <f t="shared" si="614"/>
        <v>Questionnaire</v>
      </c>
      <c r="O954" s="48" t="s">
        <v>20699</v>
      </c>
      <c r="P954" s="60" t="s">
        <v>1814</v>
      </c>
      <c r="Q954" s="48" t="s">
        <v>20700</v>
      </c>
      <c r="R954" s="48" t="s">
        <v>172</v>
      </c>
      <c r="S954" s="49" t="s">
        <v>74</v>
      </c>
      <c r="T954" s="48" t="s">
        <v>75</v>
      </c>
      <c r="U954" s="49" t="s">
        <v>3678</v>
      </c>
      <c r="V954" s="7" t="s">
        <v>214</v>
      </c>
      <c r="W954" s="49" t="s">
        <v>214</v>
      </c>
      <c r="X954" s="49" t="s">
        <v>214</v>
      </c>
      <c r="Y954" s="49" t="s">
        <v>214</v>
      </c>
      <c r="Z954" s="55" t="s">
        <v>214</v>
      </c>
      <c r="AA954" s="48" t="s">
        <v>20701</v>
      </c>
      <c r="AB954" s="84" t="s">
        <v>20699</v>
      </c>
      <c r="AC954" s="67" t="str">
        <f t="shared" si="613"/>
        <v>Link</v>
      </c>
      <c r="AD954" s="42">
        <v>10171</v>
      </c>
      <c r="AE954" s="55"/>
      <c r="AF954" s="55"/>
      <c r="AG954" s="56">
        <v>204945</v>
      </c>
      <c r="AH954" s="56"/>
      <c r="AI954" s="56"/>
      <c r="AJ954" s="56"/>
      <c r="AK954" s="56"/>
    </row>
    <row r="955" spans="1:37" ht="15" x14ac:dyDescent="0.2">
      <c r="A955" s="64" t="s">
        <v>8359</v>
      </c>
      <c r="B955" s="33" t="s">
        <v>12632</v>
      </c>
      <c r="C955" s="7" t="s">
        <v>20707</v>
      </c>
      <c r="D955" s="112">
        <v>5</v>
      </c>
      <c r="E955" s="7"/>
      <c r="F955" s="7"/>
      <c r="G955" s="2" t="s">
        <v>20708</v>
      </c>
      <c r="H955" s="2" t="s">
        <v>363</v>
      </c>
      <c r="I955" s="2" t="s">
        <v>20709</v>
      </c>
      <c r="J955" s="2" t="s">
        <v>48</v>
      </c>
      <c r="K955" s="2" t="s">
        <v>20710</v>
      </c>
      <c r="L955" s="2" t="s">
        <v>20711</v>
      </c>
      <c r="M955" s="150" t="str">
        <f t="shared" ref="M955:M958" si="615">HYPERLINK("twitter.com/sinclair_sb","@sinclair_sb")</f>
        <v>@sinclair_sb</v>
      </c>
      <c r="N955" s="152" t="str">
        <f t="shared" ref="N955:N958" si="616">HYPERLINK("https://www.sinclairathletics.com/information/recruiting","Questionnaire")</f>
        <v>Questionnaire</v>
      </c>
      <c r="O955" s="48" t="s">
        <v>20712</v>
      </c>
      <c r="P955" s="60" t="s">
        <v>1814</v>
      </c>
      <c r="Q955" s="48" t="s">
        <v>1832</v>
      </c>
      <c r="R955" s="48" t="s">
        <v>238</v>
      </c>
      <c r="S955" s="49" t="s">
        <v>74</v>
      </c>
      <c r="T955" s="48" t="s">
        <v>75</v>
      </c>
      <c r="U955" s="49" t="s">
        <v>3678</v>
      </c>
      <c r="V955" s="7" t="s">
        <v>214</v>
      </c>
      <c r="W955" s="49" t="s">
        <v>214</v>
      </c>
      <c r="X955" s="49" t="s">
        <v>214</v>
      </c>
      <c r="Y955" s="49" t="s">
        <v>214</v>
      </c>
      <c r="Z955" s="55" t="s">
        <v>214</v>
      </c>
      <c r="AA955" s="48" t="s">
        <v>20713</v>
      </c>
      <c r="AB955" s="84" t="s">
        <v>20712</v>
      </c>
      <c r="AC955" s="67" t="str">
        <f t="shared" ref="AC955:AC958" si="617">HYPERLINK("http://www.sinclair.edu/academics/all-programs/","Link")</f>
        <v>Link</v>
      </c>
      <c r="AD955" s="42">
        <v>18610</v>
      </c>
      <c r="AE955" s="55"/>
      <c r="AF955" s="55"/>
      <c r="AG955" s="56">
        <v>205470</v>
      </c>
      <c r="AH955" s="56"/>
      <c r="AI955" s="56"/>
      <c r="AJ955" s="56"/>
      <c r="AK955" s="56"/>
    </row>
    <row r="956" spans="1:37" ht="15" x14ac:dyDescent="0.2">
      <c r="A956" s="64" t="s">
        <v>8359</v>
      </c>
      <c r="B956" s="33" t="s">
        <v>12632</v>
      </c>
      <c r="C956" s="7" t="s">
        <v>20714</v>
      </c>
      <c r="D956" s="112">
        <v>5</v>
      </c>
      <c r="E956" s="7"/>
      <c r="F956" s="7"/>
      <c r="G956" s="2" t="s">
        <v>20708</v>
      </c>
      <c r="H956" s="2" t="s">
        <v>20715</v>
      </c>
      <c r="I956" s="2" t="s">
        <v>20716</v>
      </c>
      <c r="J956" s="2" t="s">
        <v>55</v>
      </c>
      <c r="K956" s="2" t="s">
        <v>20717</v>
      </c>
      <c r="L956" s="2" t="s">
        <v>20711</v>
      </c>
      <c r="M956" s="150" t="str">
        <f t="shared" si="615"/>
        <v>@sinclair_sb</v>
      </c>
      <c r="N956" s="152" t="str">
        <f t="shared" si="616"/>
        <v>Questionnaire</v>
      </c>
      <c r="O956" s="48" t="s">
        <v>20712</v>
      </c>
      <c r="P956" s="60" t="s">
        <v>1814</v>
      </c>
      <c r="Q956" s="48" t="s">
        <v>1832</v>
      </c>
      <c r="R956" s="48" t="s">
        <v>238</v>
      </c>
      <c r="S956" s="49" t="s">
        <v>74</v>
      </c>
      <c r="T956" s="48" t="s">
        <v>75</v>
      </c>
      <c r="U956" s="49" t="s">
        <v>3678</v>
      </c>
      <c r="V956" s="7" t="s">
        <v>214</v>
      </c>
      <c r="W956" s="49" t="s">
        <v>214</v>
      </c>
      <c r="X956" s="49" t="s">
        <v>214</v>
      </c>
      <c r="Y956" s="49" t="s">
        <v>214</v>
      </c>
      <c r="Z956" s="55" t="s">
        <v>214</v>
      </c>
      <c r="AA956" s="48" t="s">
        <v>20713</v>
      </c>
      <c r="AB956" s="84" t="s">
        <v>20712</v>
      </c>
      <c r="AC956" s="67" t="str">
        <f t="shared" si="617"/>
        <v>Link</v>
      </c>
      <c r="AD956" s="42">
        <v>18610</v>
      </c>
      <c r="AE956" s="55"/>
      <c r="AF956" s="55"/>
      <c r="AG956" s="56">
        <v>205470</v>
      </c>
      <c r="AH956" s="56"/>
      <c r="AI956" s="56"/>
      <c r="AJ956" s="56"/>
      <c r="AK956" s="56"/>
    </row>
    <row r="957" spans="1:37" ht="15" x14ac:dyDescent="0.2">
      <c r="A957" s="64" t="s">
        <v>8359</v>
      </c>
      <c r="B957" s="33" t="s">
        <v>12632</v>
      </c>
      <c r="C957" s="7" t="s">
        <v>20718</v>
      </c>
      <c r="D957" s="112">
        <v>5</v>
      </c>
      <c r="E957" s="7"/>
      <c r="F957" s="7"/>
      <c r="G957" s="2" t="s">
        <v>20708</v>
      </c>
      <c r="H957" s="2" t="s">
        <v>20719</v>
      </c>
      <c r="I957" s="2" t="s">
        <v>20720</v>
      </c>
      <c r="J957" s="2" t="s">
        <v>55</v>
      </c>
      <c r="K957" s="2" t="s">
        <v>20721</v>
      </c>
      <c r="L957" s="2" t="s">
        <v>20711</v>
      </c>
      <c r="M957" s="150" t="str">
        <f t="shared" si="615"/>
        <v>@sinclair_sb</v>
      </c>
      <c r="N957" s="152" t="str">
        <f t="shared" si="616"/>
        <v>Questionnaire</v>
      </c>
      <c r="O957" s="48" t="s">
        <v>20712</v>
      </c>
      <c r="P957" s="60" t="s">
        <v>1814</v>
      </c>
      <c r="Q957" s="48" t="s">
        <v>1832</v>
      </c>
      <c r="R957" s="48" t="s">
        <v>238</v>
      </c>
      <c r="S957" s="49" t="s">
        <v>74</v>
      </c>
      <c r="T957" s="48" t="s">
        <v>75</v>
      </c>
      <c r="U957" s="49" t="s">
        <v>3678</v>
      </c>
      <c r="V957" s="7" t="s">
        <v>214</v>
      </c>
      <c r="W957" s="49" t="s">
        <v>214</v>
      </c>
      <c r="X957" s="49" t="s">
        <v>214</v>
      </c>
      <c r="Y957" s="49" t="s">
        <v>214</v>
      </c>
      <c r="Z957" s="55" t="s">
        <v>214</v>
      </c>
      <c r="AA957" s="48" t="s">
        <v>20713</v>
      </c>
      <c r="AB957" s="84" t="s">
        <v>20712</v>
      </c>
      <c r="AC957" s="67" t="str">
        <f t="shared" si="617"/>
        <v>Link</v>
      </c>
      <c r="AD957" s="42">
        <v>18610</v>
      </c>
      <c r="AE957" s="55"/>
      <c r="AF957" s="55"/>
      <c r="AG957" s="56">
        <v>205470</v>
      </c>
      <c r="AH957" s="56"/>
      <c r="AI957" s="56"/>
      <c r="AJ957" s="56"/>
      <c r="AK957" s="56"/>
    </row>
    <row r="958" spans="1:37" ht="15" x14ac:dyDescent="0.2">
      <c r="A958" s="64" t="s">
        <v>8359</v>
      </c>
      <c r="B958" s="33" t="s">
        <v>12632</v>
      </c>
      <c r="C958" s="7" t="s">
        <v>20722</v>
      </c>
      <c r="D958" s="112">
        <v>5</v>
      </c>
      <c r="E958" s="7"/>
      <c r="F958" s="7"/>
      <c r="G958" s="2" t="s">
        <v>20708</v>
      </c>
      <c r="H958" s="2" t="s">
        <v>1492</v>
      </c>
      <c r="I958" s="2" t="s">
        <v>20723</v>
      </c>
      <c r="J958" s="2" t="s">
        <v>55</v>
      </c>
      <c r="K958" s="2" t="s">
        <v>20724</v>
      </c>
      <c r="L958" s="2" t="s">
        <v>20711</v>
      </c>
      <c r="M958" s="150" t="str">
        <f t="shared" si="615"/>
        <v>@sinclair_sb</v>
      </c>
      <c r="N958" s="152" t="str">
        <f t="shared" si="616"/>
        <v>Questionnaire</v>
      </c>
      <c r="O958" s="48" t="s">
        <v>20712</v>
      </c>
      <c r="P958" s="60" t="s">
        <v>1814</v>
      </c>
      <c r="Q958" s="48" t="s">
        <v>1832</v>
      </c>
      <c r="R958" s="48" t="s">
        <v>238</v>
      </c>
      <c r="S958" s="49" t="s">
        <v>74</v>
      </c>
      <c r="T958" s="48" t="s">
        <v>75</v>
      </c>
      <c r="U958" s="49" t="s">
        <v>3678</v>
      </c>
      <c r="V958" s="7" t="s">
        <v>214</v>
      </c>
      <c r="W958" s="49" t="s">
        <v>214</v>
      </c>
      <c r="X958" s="49" t="s">
        <v>214</v>
      </c>
      <c r="Y958" s="49" t="s">
        <v>214</v>
      </c>
      <c r="Z958" s="55" t="s">
        <v>214</v>
      </c>
      <c r="AA958" s="48" t="s">
        <v>20713</v>
      </c>
      <c r="AB958" s="84" t="s">
        <v>20712</v>
      </c>
      <c r="AC958" s="67" t="str">
        <f t="shared" si="617"/>
        <v>Link</v>
      </c>
      <c r="AD958" s="42">
        <v>18610</v>
      </c>
      <c r="AE958" s="55"/>
      <c r="AF958" s="55"/>
      <c r="AG958" s="56">
        <v>205470</v>
      </c>
      <c r="AH958" s="56"/>
      <c r="AI958" s="56"/>
      <c r="AJ958" s="56"/>
      <c r="AK958" s="56"/>
    </row>
    <row r="959" spans="1:37" ht="15" x14ac:dyDescent="0.2">
      <c r="A959" s="64" t="s">
        <v>2797</v>
      </c>
      <c r="B959" s="33" t="s">
        <v>12632</v>
      </c>
      <c r="C959" s="7" t="s">
        <v>20725</v>
      </c>
      <c r="D959" s="112">
        <v>5</v>
      </c>
      <c r="E959" s="7"/>
      <c r="F959" s="7"/>
      <c r="G959" s="2" t="s">
        <v>20726</v>
      </c>
      <c r="H959" s="2" t="s">
        <v>904</v>
      </c>
      <c r="I959" s="2" t="s">
        <v>20727</v>
      </c>
      <c r="J959" s="2" t="s">
        <v>48</v>
      </c>
      <c r="K959" s="2" t="s">
        <v>20728</v>
      </c>
      <c r="L959" s="2" t="s">
        <v>20729</v>
      </c>
      <c r="M959" s="48"/>
      <c r="N959" s="48" t="s">
        <v>22</v>
      </c>
      <c r="O959" s="48" t="s">
        <v>20730</v>
      </c>
      <c r="P959" s="60" t="s">
        <v>472</v>
      </c>
      <c r="Q959" s="48" t="s">
        <v>20731</v>
      </c>
      <c r="R959" s="60" t="s">
        <v>205</v>
      </c>
      <c r="S959" s="49" t="s">
        <v>74</v>
      </c>
      <c r="T959" s="48" t="s">
        <v>75</v>
      </c>
      <c r="U959" s="49" t="s">
        <v>3678</v>
      </c>
      <c r="V959" s="7" t="s">
        <v>214</v>
      </c>
      <c r="W959" s="49" t="s">
        <v>214</v>
      </c>
      <c r="X959" s="49" t="s">
        <v>214</v>
      </c>
      <c r="Y959" s="49" t="s">
        <v>214</v>
      </c>
      <c r="Z959" s="55" t="s">
        <v>214</v>
      </c>
      <c r="AA959" s="48" t="s">
        <v>20732</v>
      </c>
      <c r="AB959" s="52" t="s">
        <v>20730</v>
      </c>
      <c r="AC959" s="67" t="str">
        <f t="shared" ref="AC959:AC960" si="618">HYPERLINK("https://carlalbert.edu/academics/degrees-offered/","Link")</f>
        <v>Link</v>
      </c>
      <c r="AD959" s="42">
        <v>2194</v>
      </c>
      <c r="AE959" s="55"/>
      <c r="AF959" s="55"/>
      <c r="AG959" s="56">
        <v>206923</v>
      </c>
      <c r="AH959" s="56"/>
      <c r="AI959" s="56"/>
      <c r="AJ959" s="56"/>
      <c r="AK959" s="56"/>
    </row>
    <row r="960" spans="1:37" ht="15" x14ac:dyDescent="0.2">
      <c r="A960" s="64" t="s">
        <v>2797</v>
      </c>
      <c r="B960" s="33" t="s">
        <v>12632</v>
      </c>
      <c r="C960" s="7" t="s">
        <v>20733</v>
      </c>
      <c r="D960" s="112">
        <v>5</v>
      </c>
      <c r="E960" s="7"/>
      <c r="F960" s="7"/>
      <c r="G960" s="2" t="s">
        <v>20726</v>
      </c>
      <c r="H960" s="2" t="s">
        <v>3983</v>
      </c>
      <c r="I960" s="2" t="s">
        <v>20734</v>
      </c>
      <c r="J960" s="2" t="s">
        <v>55</v>
      </c>
      <c r="K960" s="2" t="s">
        <v>20735</v>
      </c>
      <c r="L960" s="2" t="s">
        <v>20729</v>
      </c>
      <c r="M960" s="48"/>
      <c r="N960" s="48" t="s">
        <v>22</v>
      </c>
      <c r="O960" s="48" t="s">
        <v>20730</v>
      </c>
      <c r="P960" s="60" t="s">
        <v>472</v>
      </c>
      <c r="Q960" s="48" t="s">
        <v>20731</v>
      </c>
      <c r="R960" s="60" t="s">
        <v>205</v>
      </c>
      <c r="S960" s="49" t="s">
        <v>74</v>
      </c>
      <c r="T960" s="48" t="s">
        <v>75</v>
      </c>
      <c r="U960" s="49" t="s">
        <v>3678</v>
      </c>
      <c r="V960" s="7" t="s">
        <v>214</v>
      </c>
      <c r="W960" s="49" t="s">
        <v>214</v>
      </c>
      <c r="X960" s="49" t="s">
        <v>214</v>
      </c>
      <c r="Y960" s="49" t="s">
        <v>214</v>
      </c>
      <c r="Z960" s="55" t="s">
        <v>214</v>
      </c>
      <c r="AA960" s="48" t="s">
        <v>20732</v>
      </c>
      <c r="AB960" s="52" t="s">
        <v>20730</v>
      </c>
      <c r="AC960" s="67" t="str">
        <f t="shared" si="618"/>
        <v>Link</v>
      </c>
      <c r="AD960" s="42">
        <v>2194</v>
      </c>
      <c r="AE960" s="55"/>
      <c r="AF960" s="55"/>
      <c r="AG960" s="56">
        <v>206923</v>
      </c>
      <c r="AH960" s="56"/>
      <c r="AI960" s="56"/>
      <c r="AJ960" s="56"/>
      <c r="AK960" s="56"/>
    </row>
    <row r="961" spans="1:37" ht="15" x14ac:dyDescent="0.2">
      <c r="A961" s="64" t="s">
        <v>2797</v>
      </c>
      <c r="B961" s="33" t="s">
        <v>12632</v>
      </c>
      <c r="C961" s="7" t="s">
        <v>20736</v>
      </c>
      <c r="D961" s="112">
        <v>5</v>
      </c>
      <c r="E961" s="7"/>
      <c r="F961" s="7"/>
      <c r="G961" s="2" t="s">
        <v>20737</v>
      </c>
      <c r="H961" s="2" t="s">
        <v>1342</v>
      </c>
      <c r="I961" s="2" t="s">
        <v>11848</v>
      </c>
      <c r="J961" s="2" t="s">
        <v>48</v>
      </c>
      <c r="K961" s="2" t="s">
        <v>20738</v>
      </c>
      <c r="L961" s="2"/>
      <c r="M961" s="150" t="str">
        <f>HYPERLINK("twitter.com/csccowgirls","@csccowgirls")</f>
        <v>@csccowgirls</v>
      </c>
      <c r="N961" s="48" t="s">
        <v>22</v>
      </c>
      <c r="O961" s="48" t="s">
        <v>20739</v>
      </c>
      <c r="P961" s="60" t="s">
        <v>472</v>
      </c>
      <c r="Q961" s="48" t="s">
        <v>12333</v>
      </c>
      <c r="R961" s="60" t="s">
        <v>205</v>
      </c>
      <c r="S961" s="49" t="s">
        <v>74</v>
      </c>
      <c r="T961" s="48" t="s">
        <v>75</v>
      </c>
      <c r="U961" s="49" t="s">
        <v>3678</v>
      </c>
      <c r="V961" s="7" t="s">
        <v>214</v>
      </c>
      <c r="W961" s="49" t="s">
        <v>214</v>
      </c>
      <c r="X961" s="49" t="s">
        <v>214</v>
      </c>
      <c r="Y961" s="49" t="s">
        <v>214</v>
      </c>
      <c r="Z961" s="49" t="s">
        <v>214</v>
      </c>
      <c r="AA961" s="48" t="s">
        <v>20740</v>
      </c>
      <c r="AB961" s="84" t="s">
        <v>20739</v>
      </c>
      <c r="AC961" s="67" t="str">
        <f>HYPERLINK("http://connorsstate.edu/aar/academic-information/","Link")</f>
        <v>Link</v>
      </c>
      <c r="AD961" s="42">
        <v>2348</v>
      </c>
      <c r="AE961" s="55"/>
      <c r="AF961" s="55"/>
      <c r="AG961" s="56">
        <v>206996</v>
      </c>
      <c r="AH961" s="56"/>
      <c r="AI961" s="56"/>
      <c r="AJ961" s="56"/>
      <c r="AK961" s="56"/>
    </row>
    <row r="962" spans="1:37" ht="15" x14ac:dyDescent="0.2">
      <c r="A962" s="64" t="s">
        <v>2797</v>
      </c>
      <c r="B962" s="33" t="s">
        <v>12632</v>
      </c>
      <c r="C962" s="7" t="s">
        <v>20741</v>
      </c>
      <c r="D962" s="112">
        <v>5</v>
      </c>
      <c r="E962" s="7"/>
      <c r="F962" s="7"/>
      <c r="G962" s="2" t="s">
        <v>20742</v>
      </c>
      <c r="H962" s="2" t="s">
        <v>107</v>
      </c>
      <c r="I962" s="2" t="s">
        <v>20743</v>
      </c>
      <c r="J962" s="2" t="s">
        <v>48</v>
      </c>
      <c r="K962" s="2" t="s">
        <v>20744</v>
      </c>
      <c r="L962" s="2" t="s">
        <v>20745</v>
      </c>
      <c r="M962" s="150" t="str">
        <f t="shared" ref="M962:M963" si="619">HYPERLINK("twitter.com/eosc_softball","@eosc_softball")</f>
        <v>@eosc_softball</v>
      </c>
      <c r="N962" s="152" t="str">
        <f t="shared" ref="N962:N963" si="620">HYPERLINK("https://www.eoscathletics.com/navbar-recruiting","Questionnaire")</f>
        <v>Questionnaire</v>
      </c>
      <c r="O962" s="48" t="s">
        <v>20746</v>
      </c>
      <c r="P962" s="60" t="s">
        <v>472</v>
      </c>
      <c r="Q962" s="48" t="s">
        <v>20747</v>
      </c>
      <c r="R962" s="60" t="s">
        <v>205</v>
      </c>
      <c r="S962" s="49" t="s">
        <v>74</v>
      </c>
      <c r="T962" s="48" t="s">
        <v>75</v>
      </c>
      <c r="U962" s="49" t="s">
        <v>3678</v>
      </c>
      <c r="V962" s="7" t="s">
        <v>214</v>
      </c>
      <c r="W962" s="49" t="s">
        <v>214</v>
      </c>
      <c r="X962" s="49" t="s">
        <v>214</v>
      </c>
      <c r="Y962" s="49" t="s">
        <v>214</v>
      </c>
      <c r="Z962" s="55" t="s">
        <v>214</v>
      </c>
      <c r="AA962" s="48" t="s">
        <v>20748</v>
      </c>
      <c r="AB962" s="84" t="s">
        <v>20746</v>
      </c>
      <c r="AC962" s="67" t="str">
        <f t="shared" ref="AC962:AC963" si="621">HYPERLINK("https://www.eosc.edu/academics/degree_programs.aspx","Link")</f>
        <v>Link</v>
      </c>
      <c r="AD962" s="42">
        <v>1641</v>
      </c>
      <c r="AE962" s="55"/>
      <c r="AF962" s="55"/>
      <c r="AG962" s="56">
        <v>207050</v>
      </c>
      <c r="AH962" s="56"/>
      <c r="AI962" s="56"/>
      <c r="AJ962" s="56"/>
      <c r="AK962" s="56"/>
    </row>
    <row r="963" spans="1:37" ht="15" x14ac:dyDescent="0.2">
      <c r="A963" s="64" t="s">
        <v>2797</v>
      </c>
      <c r="B963" s="33" t="s">
        <v>12632</v>
      </c>
      <c r="C963" s="7" t="s">
        <v>20749</v>
      </c>
      <c r="D963" s="112">
        <v>5</v>
      </c>
      <c r="E963" s="7"/>
      <c r="F963" s="7"/>
      <c r="G963" s="2" t="s">
        <v>20742</v>
      </c>
      <c r="H963" s="2" t="s">
        <v>5933</v>
      </c>
      <c r="I963" s="2" t="s">
        <v>20743</v>
      </c>
      <c r="J963" s="2" t="s">
        <v>1558</v>
      </c>
      <c r="K963" s="2" t="s">
        <v>20750</v>
      </c>
      <c r="L963" s="2" t="s">
        <v>20751</v>
      </c>
      <c r="M963" s="150" t="str">
        <f t="shared" si="619"/>
        <v>@eosc_softball</v>
      </c>
      <c r="N963" s="152" t="str">
        <f t="shared" si="620"/>
        <v>Questionnaire</v>
      </c>
      <c r="O963" s="48" t="s">
        <v>20746</v>
      </c>
      <c r="P963" s="60" t="s">
        <v>472</v>
      </c>
      <c r="Q963" s="48" t="s">
        <v>20747</v>
      </c>
      <c r="R963" s="60" t="s">
        <v>205</v>
      </c>
      <c r="S963" s="49" t="s">
        <v>74</v>
      </c>
      <c r="T963" s="48" t="s">
        <v>75</v>
      </c>
      <c r="U963" s="49" t="s">
        <v>3678</v>
      </c>
      <c r="V963" s="7" t="s">
        <v>214</v>
      </c>
      <c r="W963" s="49" t="s">
        <v>214</v>
      </c>
      <c r="X963" s="49" t="s">
        <v>214</v>
      </c>
      <c r="Y963" s="49" t="s">
        <v>214</v>
      </c>
      <c r="Z963" s="55" t="s">
        <v>214</v>
      </c>
      <c r="AA963" s="48" t="s">
        <v>20748</v>
      </c>
      <c r="AB963" s="84" t="s">
        <v>20746</v>
      </c>
      <c r="AC963" s="67" t="str">
        <f t="shared" si="621"/>
        <v>Link</v>
      </c>
      <c r="AD963" s="42">
        <v>1641</v>
      </c>
      <c r="AE963" s="55"/>
      <c r="AF963" s="55"/>
      <c r="AG963" s="56">
        <v>207050</v>
      </c>
      <c r="AH963" s="56"/>
      <c r="AI963" s="56"/>
      <c r="AJ963" s="56"/>
      <c r="AK963" s="56"/>
    </row>
    <row r="964" spans="1:37" ht="15" x14ac:dyDescent="0.2">
      <c r="A964" s="64" t="s">
        <v>2797</v>
      </c>
      <c r="B964" s="33" t="s">
        <v>12632</v>
      </c>
      <c r="C964" s="7" t="s">
        <v>20752</v>
      </c>
      <c r="D964" s="44">
        <v>5</v>
      </c>
      <c r="E964" s="7" t="s">
        <v>116</v>
      </c>
      <c r="F964" s="7"/>
      <c r="G964" s="2" t="s">
        <v>20753</v>
      </c>
      <c r="H964" s="7" t="s">
        <v>10561</v>
      </c>
      <c r="I964" s="7" t="s">
        <v>10298</v>
      </c>
      <c r="J964" s="7" t="s">
        <v>55</v>
      </c>
      <c r="K964" s="7" t="s">
        <v>20754</v>
      </c>
      <c r="L964" s="7"/>
      <c r="M964" s="150" t="str">
        <f t="shared" ref="M964:M966" si="622">HYPERLINK("twitter.com/msc_softball","@msc_softball")</f>
        <v>@msc_softball</v>
      </c>
      <c r="N964" s="153" t="s">
        <v>22</v>
      </c>
      <c r="O964" s="48" t="s">
        <v>20755</v>
      </c>
      <c r="P964" s="60" t="s">
        <v>472</v>
      </c>
      <c r="Q964" s="48" t="s">
        <v>20756</v>
      </c>
      <c r="R964" s="60" t="s">
        <v>205</v>
      </c>
      <c r="S964" s="49" t="s">
        <v>74</v>
      </c>
      <c r="T964" s="48" t="s">
        <v>75</v>
      </c>
      <c r="U964" s="49" t="s">
        <v>3678</v>
      </c>
      <c r="V964" s="7" t="s">
        <v>214</v>
      </c>
      <c r="W964" s="49" t="s">
        <v>214</v>
      </c>
      <c r="X964" s="49" t="s">
        <v>214</v>
      </c>
      <c r="Y964" s="49" t="s">
        <v>214</v>
      </c>
      <c r="Z964" s="55" t="s">
        <v>214</v>
      </c>
      <c r="AA964" s="48" t="s">
        <v>20757</v>
      </c>
      <c r="AB964" s="84" t="s">
        <v>20755</v>
      </c>
      <c r="AC964" s="67" t="str">
        <f t="shared" ref="AC964:AC966" si="623">HYPERLINK("http://www.mscok.edu/academics/degrees_programs.aspx","Link")</f>
        <v>Link</v>
      </c>
      <c r="AD964" s="42">
        <v>2398</v>
      </c>
      <c r="AE964" s="55"/>
      <c r="AF964" s="55"/>
      <c r="AG964" s="56">
        <v>207236</v>
      </c>
      <c r="AH964" s="85"/>
      <c r="AI964" s="85"/>
      <c r="AJ964" s="56"/>
      <c r="AK964" s="56"/>
    </row>
    <row r="965" spans="1:37" ht="15" x14ac:dyDescent="0.2">
      <c r="A965" s="64" t="s">
        <v>2797</v>
      </c>
      <c r="B965" s="33" t="s">
        <v>12632</v>
      </c>
      <c r="C965" s="7" t="s">
        <v>20758</v>
      </c>
      <c r="D965" s="44">
        <v>5</v>
      </c>
      <c r="E965" s="7" t="s">
        <v>116</v>
      </c>
      <c r="F965" s="7"/>
      <c r="G965" s="2" t="s">
        <v>20753</v>
      </c>
      <c r="H965" s="7" t="s">
        <v>20759</v>
      </c>
      <c r="I965" s="7" t="s">
        <v>20760</v>
      </c>
      <c r="J965" s="7" t="s">
        <v>55</v>
      </c>
      <c r="K965" s="7" t="s">
        <v>20761</v>
      </c>
      <c r="L965" s="7"/>
      <c r="M965" s="150" t="str">
        <f t="shared" si="622"/>
        <v>@msc_softball</v>
      </c>
      <c r="N965" s="153" t="s">
        <v>22</v>
      </c>
      <c r="O965" s="48" t="s">
        <v>20755</v>
      </c>
      <c r="P965" s="60" t="s">
        <v>472</v>
      </c>
      <c r="Q965" s="48" t="s">
        <v>20756</v>
      </c>
      <c r="R965" s="60" t="s">
        <v>205</v>
      </c>
      <c r="S965" s="49" t="s">
        <v>74</v>
      </c>
      <c r="T965" s="48" t="s">
        <v>75</v>
      </c>
      <c r="U965" s="49" t="s">
        <v>3678</v>
      </c>
      <c r="V965" s="7" t="s">
        <v>214</v>
      </c>
      <c r="W965" s="49" t="s">
        <v>214</v>
      </c>
      <c r="X965" s="49" t="s">
        <v>214</v>
      </c>
      <c r="Y965" s="49" t="s">
        <v>214</v>
      </c>
      <c r="Z965" s="55" t="s">
        <v>214</v>
      </c>
      <c r="AA965" s="48" t="s">
        <v>20757</v>
      </c>
      <c r="AB965" s="84" t="s">
        <v>20755</v>
      </c>
      <c r="AC965" s="67" t="str">
        <f t="shared" si="623"/>
        <v>Link</v>
      </c>
      <c r="AD965" s="42">
        <v>2398</v>
      </c>
      <c r="AE965" s="55"/>
      <c r="AF965" s="55"/>
      <c r="AG965" s="56">
        <v>207236</v>
      </c>
      <c r="AH965" s="85"/>
      <c r="AI965" s="85"/>
      <c r="AJ965" s="56"/>
      <c r="AK965" s="56"/>
    </row>
    <row r="966" spans="1:37" ht="15" x14ac:dyDescent="0.2">
      <c r="A966" s="64" t="s">
        <v>2797</v>
      </c>
      <c r="B966" s="33" t="s">
        <v>12632</v>
      </c>
      <c r="C966" s="7" t="s">
        <v>20762</v>
      </c>
      <c r="D966" s="112">
        <v>5</v>
      </c>
      <c r="E966" s="7"/>
      <c r="F966" s="7"/>
      <c r="G966" s="2" t="s">
        <v>20753</v>
      </c>
      <c r="H966" s="2" t="s">
        <v>5470</v>
      </c>
      <c r="I966" s="2" t="s">
        <v>20763</v>
      </c>
      <c r="J966" s="2" t="s">
        <v>48</v>
      </c>
      <c r="K966" s="2" t="s">
        <v>20764</v>
      </c>
      <c r="L966" s="2" t="s">
        <v>20765</v>
      </c>
      <c r="M966" s="150" t="str">
        <f t="shared" si="622"/>
        <v>@msc_softball</v>
      </c>
      <c r="N966" s="48" t="s">
        <v>22</v>
      </c>
      <c r="O966" s="48" t="s">
        <v>20755</v>
      </c>
      <c r="P966" s="60" t="s">
        <v>472</v>
      </c>
      <c r="Q966" s="48" t="s">
        <v>20756</v>
      </c>
      <c r="R966" s="60" t="s">
        <v>205</v>
      </c>
      <c r="S966" s="49" t="s">
        <v>74</v>
      </c>
      <c r="T966" s="48" t="s">
        <v>75</v>
      </c>
      <c r="U966" s="49" t="s">
        <v>3678</v>
      </c>
      <c r="V966" s="7" t="s">
        <v>214</v>
      </c>
      <c r="W966" s="49" t="s">
        <v>214</v>
      </c>
      <c r="X966" s="49" t="s">
        <v>214</v>
      </c>
      <c r="Y966" s="49" t="s">
        <v>214</v>
      </c>
      <c r="Z966" s="55" t="s">
        <v>214</v>
      </c>
      <c r="AA966" s="48" t="s">
        <v>20757</v>
      </c>
      <c r="AB966" s="84" t="s">
        <v>20755</v>
      </c>
      <c r="AC966" s="67" t="str">
        <f t="shared" si="623"/>
        <v>Link</v>
      </c>
      <c r="AD966" s="42">
        <v>2398</v>
      </c>
      <c r="AE966" s="55"/>
      <c r="AF966" s="55"/>
      <c r="AG966" s="56">
        <v>207236</v>
      </c>
      <c r="AH966" s="56"/>
      <c r="AI966" s="56"/>
      <c r="AJ966" s="56"/>
      <c r="AK966" s="56"/>
    </row>
    <row r="967" spans="1:37" ht="15" x14ac:dyDescent="0.2">
      <c r="A967" s="64" t="s">
        <v>2797</v>
      </c>
      <c r="B967" s="33" t="s">
        <v>12632</v>
      </c>
      <c r="C967" s="7" t="s">
        <v>20766</v>
      </c>
      <c r="D967" s="112">
        <v>5</v>
      </c>
      <c r="E967" s="7"/>
      <c r="F967" s="7"/>
      <c r="G967" s="2" t="s">
        <v>20767</v>
      </c>
      <c r="H967" s="2" t="s">
        <v>173</v>
      </c>
      <c r="I967" s="2" t="s">
        <v>20768</v>
      </c>
      <c r="J967" s="2" t="s">
        <v>48</v>
      </c>
      <c r="K967" s="2" t="s">
        <v>20769</v>
      </c>
      <c r="L967" s="2" t="s">
        <v>20770</v>
      </c>
      <c r="M967" s="150" t="str">
        <f t="shared" ref="M967:M970" si="624">HYPERLINK("twitter.com/neosftbll","@neosftbll")</f>
        <v>@neosftbll</v>
      </c>
      <c r="N967" s="48" t="s">
        <v>22</v>
      </c>
      <c r="O967" s="48" t="s">
        <v>20771</v>
      </c>
      <c r="P967" s="60" t="s">
        <v>472</v>
      </c>
      <c r="Q967" s="48" t="s">
        <v>6077</v>
      </c>
      <c r="R967" s="48" t="s">
        <v>354</v>
      </c>
      <c r="S967" s="49" t="s">
        <v>74</v>
      </c>
      <c r="T967" s="48" t="s">
        <v>75</v>
      </c>
      <c r="U967" s="49" t="s">
        <v>3678</v>
      </c>
      <c r="V967" s="7" t="s">
        <v>214</v>
      </c>
      <c r="W967" s="49" t="s">
        <v>214</v>
      </c>
      <c r="X967" s="49" t="s">
        <v>214</v>
      </c>
      <c r="Y967" s="49" t="s">
        <v>214</v>
      </c>
      <c r="Z967" s="55" t="s">
        <v>214</v>
      </c>
      <c r="AA967" s="48" t="s">
        <v>20772</v>
      </c>
      <c r="AB967" s="84" t="s">
        <v>20771</v>
      </c>
      <c r="AC967" s="67" t="str">
        <f t="shared" ref="AC967:AC970" si="625">HYPERLINK("http://www.neo.edu/academics/","Link")</f>
        <v>Link</v>
      </c>
      <c r="AD967" s="42">
        <v>2077</v>
      </c>
      <c r="AE967" s="55"/>
      <c r="AF967" s="55"/>
      <c r="AG967" s="56">
        <v>207290</v>
      </c>
      <c r="AH967" s="56"/>
      <c r="AI967" s="56"/>
      <c r="AJ967" s="56"/>
      <c r="AK967" s="56"/>
    </row>
    <row r="968" spans="1:37" ht="15" x14ac:dyDescent="0.2">
      <c r="A968" s="64" t="s">
        <v>2797</v>
      </c>
      <c r="B968" s="33" t="s">
        <v>12632</v>
      </c>
      <c r="C968" s="7" t="s">
        <v>20773</v>
      </c>
      <c r="D968" s="112">
        <v>5</v>
      </c>
      <c r="E968" s="7"/>
      <c r="F968" s="7"/>
      <c r="G968" s="2" t="s">
        <v>20767</v>
      </c>
      <c r="H968" s="2" t="s">
        <v>767</v>
      </c>
      <c r="I968" s="2" t="s">
        <v>20774</v>
      </c>
      <c r="J968" s="2" t="s">
        <v>55</v>
      </c>
      <c r="K968" s="95" t="s">
        <v>20775</v>
      </c>
      <c r="L968" s="2" t="s">
        <v>20776</v>
      </c>
      <c r="M968" s="150" t="str">
        <f t="shared" si="624"/>
        <v>@neosftbll</v>
      </c>
      <c r="N968" s="48" t="s">
        <v>22</v>
      </c>
      <c r="O968" s="48" t="s">
        <v>20771</v>
      </c>
      <c r="P968" s="60" t="s">
        <v>472</v>
      </c>
      <c r="Q968" s="48" t="s">
        <v>6077</v>
      </c>
      <c r="R968" s="48" t="s">
        <v>354</v>
      </c>
      <c r="S968" s="49" t="s">
        <v>74</v>
      </c>
      <c r="T968" s="48" t="s">
        <v>75</v>
      </c>
      <c r="U968" s="49" t="s">
        <v>3678</v>
      </c>
      <c r="V968" s="7" t="s">
        <v>214</v>
      </c>
      <c r="W968" s="49" t="s">
        <v>214</v>
      </c>
      <c r="X968" s="49" t="s">
        <v>214</v>
      </c>
      <c r="Y968" s="49" t="s">
        <v>214</v>
      </c>
      <c r="Z968" s="55" t="s">
        <v>214</v>
      </c>
      <c r="AA968" s="48" t="s">
        <v>20772</v>
      </c>
      <c r="AB968" s="84" t="s">
        <v>20771</v>
      </c>
      <c r="AC968" s="67" t="str">
        <f t="shared" si="625"/>
        <v>Link</v>
      </c>
      <c r="AD968" s="42">
        <v>2077</v>
      </c>
      <c r="AE968" s="55"/>
      <c r="AF968" s="55"/>
      <c r="AG968" s="56">
        <v>207290</v>
      </c>
      <c r="AH968" s="56"/>
      <c r="AI968" s="56"/>
      <c r="AJ968" s="56"/>
      <c r="AK968" s="56"/>
    </row>
    <row r="969" spans="1:37" ht="15" x14ac:dyDescent="0.2">
      <c r="A969" s="64" t="s">
        <v>2797</v>
      </c>
      <c r="B969" s="33" t="s">
        <v>12632</v>
      </c>
      <c r="C969" s="7" t="s">
        <v>20777</v>
      </c>
      <c r="D969" s="112">
        <v>5</v>
      </c>
      <c r="E969" s="7"/>
      <c r="F969" s="7"/>
      <c r="G969" s="2" t="s">
        <v>20767</v>
      </c>
      <c r="H969" s="2" t="s">
        <v>3315</v>
      </c>
      <c r="I969" s="2" t="s">
        <v>20778</v>
      </c>
      <c r="J969" s="2" t="s">
        <v>55</v>
      </c>
      <c r="K969" s="2"/>
      <c r="L969" s="2" t="s">
        <v>20770</v>
      </c>
      <c r="M969" s="150" t="str">
        <f t="shared" si="624"/>
        <v>@neosftbll</v>
      </c>
      <c r="N969" s="48" t="s">
        <v>22</v>
      </c>
      <c r="O969" s="48" t="s">
        <v>20771</v>
      </c>
      <c r="P969" s="60" t="s">
        <v>472</v>
      </c>
      <c r="Q969" s="48" t="s">
        <v>6077</v>
      </c>
      <c r="R969" s="48" t="s">
        <v>354</v>
      </c>
      <c r="S969" s="49" t="s">
        <v>74</v>
      </c>
      <c r="T969" s="48" t="s">
        <v>75</v>
      </c>
      <c r="U969" s="49" t="s">
        <v>3678</v>
      </c>
      <c r="V969" s="7" t="s">
        <v>214</v>
      </c>
      <c r="W969" s="49" t="s">
        <v>214</v>
      </c>
      <c r="X969" s="49" t="s">
        <v>214</v>
      </c>
      <c r="Y969" s="49" t="s">
        <v>214</v>
      </c>
      <c r="Z969" s="55" t="s">
        <v>214</v>
      </c>
      <c r="AA969" s="48" t="s">
        <v>20772</v>
      </c>
      <c r="AB969" s="84" t="s">
        <v>20771</v>
      </c>
      <c r="AC969" s="67" t="str">
        <f t="shared" si="625"/>
        <v>Link</v>
      </c>
      <c r="AD969" s="42">
        <v>2077</v>
      </c>
      <c r="AE969" s="55"/>
      <c r="AF969" s="55"/>
      <c r="AG969" s="56">
        <v>207290</v>
      </c>
      <c r="AH969" s="56"/>
      <c r="AI969" s="56"/>
      <c r="AJ969" s="56"/>
      <c r="AK969" s="56"/>
    </row>
    <row r="970" spans="1:37" ht="15" x14ac:dyDescent="0.2">
      <c r="A970" s="64" t="s">
        <v>2797</v>
      </c>
      <c r="B970" s="33" t="s">
        <v>12632</v>
      </c>
      <c r="C970" s="7" t="s">
        <v>20779</v>
      </c>
      <c r="D970" s="112">
        <v>5</v>
      </c>
      <c r="E970" s="7"/>
      <c r="F970" s="7"/>
      <c r="G970" s="2" t="s">
        <v>20767</v>
      </c>
      <c r="H970" s="2" t="s">
        <v>20780</v>
      </c>
      <c r="I970" s="2" t="s">
        <v>2235</v>
      </c>
      <c r="J970" s="2" t="s">
        <v>55</v>
      </c>
      <c r="K970" s="95" t="s">
        <v>20781</v>
      </c>
      <c r="L970" s="2" t="s">
        <v>20782</v>
      </c>
      <c r="M970" s="150" t="str">
        <f t="shared" si="624"/>
        <v>@neosftbll</v>
      </c>
      <c r="N970" s="48" t="s">
        <v>22</v>
      </c>
      <c r="O970" s="48" t="s">
        <v>20771</v>
      </c>
      <c r="P970" s="60" t="s">
        <v>472</v>
      </c>
      <c r="Q970" s="48" t="s">
        <v>6077</v>
      </c>
      <c r="R970" s="48" t="s">
        <v>354</v>
      </c>
      <c r="S970" s="49" t="s">
        <v>74</v>
      </c>
      <c r="T970" s="48" t="s">
        <v>75</v>
      </c>
      <c r="U970" s="49" t="s">
        <v>3678</v>
      </c>
      <c r="V970" s="7" t="s">
        <v>214</v>
      </c>
      <c r="W970" s="49" t="s">
        <v>214</v>
      </c>
      <c r="X970" s="49" t="s">
        <v>214</v>
      </c>
      <c r="Y970" s="49" t="s">
        <v>214</v>
      </c>
      <c r="Z970" s="55" t="s">
        <v>214</v>
      </c>
      <c r="AA970" s="48" t="s">
        <v>20772</v>
      </c>
      <c r="AB970" s="84" t="s">
        <v>20771</v>
      </c>
      <c r="AC970" s="67" t="str">
        <f t="shared" si="625"/>
        <v>Link</v>
      </c>
      <c r="AD970" s="42">
        <v>2077</v>
      </c>
      <c r="AE970" s="55"/>
      <c r="AF970" s="55"/>
      <c r="AG970" s="56">
        <v>207290</v>
      </c>
      <c r="AH970" s="56"/>
      <c r="AI970" s="56"/>
      <c r="AJ970" s="56"/>
      <c r="AK970" s="56"/>
    </row>
    <row r="971" spans="1:37" ht="15" x14ac:dyDescent="0.2">
      <c r="A971" s="64" t="s">
        <v>2797</v>
      </c>
      <c r="B971" s="33" t="s">
        <v>12632</v>
      </c>
      <c r="C971" s="7" t="s">
        <v>20783</v>
      </c>
      <c r="D971" s="112">
        <v>5</v>
      </c>
      <c r="E971" s="7"/>
      <c r="F971" s="7"/>
      <c r="G971" s="2" t="s">
        <v>20784</v>
      </c>
      <c r="H971" s="2" t="s">
        <v>306</v>
      </c>
      <c r="I971" s="2" t="s">
        <v>3984</v>
      </c>
      <c r="J971" s="2" t="s">
        <v>48</v>
      </c>
      <c r="K971" s="2" t="s">
        <v>20785</v>
      </c>
      <c r="L971" s="2" t="s">
        <v>20786</v>
      </c>
      <c r="M971" s="150" t="str">
        <f t="shared" ref="M971:M974" si="626">HYPERLINK("twitter.com/noc_jetssb","@noc_jetssb")</f>
        <v>@noc_jetssb</v>
      </c>
      <c r="N971" s="152" t="str">
        <f t="shared" ref="N971:N974" si="627">HYPERLINK("https://nocjets.com/recruits","Questionnaire")</f>
        <v>Questionnaire</v>
      </c>
      <c r="O971" s="48" t="s">
        <v>20787</v>
      </c>
      <c r="P971" s="60" t="s">
        <v>472</v>
      </c>
      <c r="Q971" s="48" t="s">
        <v>20788</v>
      </c>
      <c r="R971" s="48" t="s">
        <v>186</v>
      </c>
      <c r="S971" s="49" t="s">
        <v>74</v>
      </c>
      <c r="T971" s="48" t="s">
        <v>75</v>
      </c>
      <c r="U971" s="49" t="s">
        <v>3678</v>
      </c>
      <c r="V971" s="7" t="s">
        <v>214</v>
      </c>
      <c r="W971" s="49" t="s">
        <v>214</v>
      </c>
      <c r="X971" s="49" t="s">
        <v>214</v>
      </c>
      <c r="Y971" s="49" t="s">
        <v>214</v>
      </c>
      <c r="Z971" s="55" t="s">
        <v>214</v>
      </c>
      <c r="AA971" s="48" t="s">
        <v>20789</v>
      </c>
      <c r="AB971" s="84" t="s">
        <v>20787</v>
      </c>
      <c r="AC971" s="67" t="str">
        <f t="shared" ref="AC971:AC975" si="628">HYPERLINK("http://www.noc.edu/degreeprograms","Link")</f>
        <v>Link</v>
      </c>
      <c r="AD971" s="42">
        <v>4543</v>
      </c>
      <c r="AE971" s="55"/>
      <c r="AF971" s="55"/>
      <c r="AG971" s="56">
        <v>207281</v>
      </c>
      <c r="AH971" s="56"/>
      <c r="AI971" s="56"/>
      <c r="AJ971" s="56"/>
      <c r="AK971" s="56"/>
    </row>
    <row r="972" spans="1:37" ht="15" x14ac:dyDescent="0.2">
      <c r="A972" s="64" t="s">
        <v>2797</v>
      </c>
      <c r="B972" s="33" t="s">
        <v>12632</v>
      </c>
      <c r="C972" s="7" t="s">
        <v>20790</v>
      </c>
      <c r="D972" s="112">
        <v>5</v>
      </c>
      <c r="E972" s="7"/>
      <c r="F972" s="7"/>
      <c r="G972" s="2" t="s">
        <v>20784</v>
      </c>
      <c r="H972" s="2" t="s">
        <v>2816</v>
      </c>
      <c r="I972" s="2" t="s">
        <v>3984</v>
      </c>
      <c r="J972" s="2" t="s">
        <v>55</v>
      </c>
      <c r="K972" s="2"/>
      <c r="L972" s="2"/>
      <c r="M972" s="150" t="str">
        <f t="shared" si="626"/>
        <v>@noc_jetssb</v>
      </c>
      <c r="N972" s="152" t="str">
        <f t="shared" si="627"/>
        <v>Questionnaire</v>
      </c>
      <c r="O972" s="48" t="s">
        <v>20787</v>
      </c>
      <c r="P972" s="60" t="s">
        <v>472</v>
      </c>
      <c r="Q972" s="48" t="s">
        <v>20788</v>
      </c>
      <c r="R972" s="48" t="s">
        <v>186</v>
      </c>
      <c r="S972" s="49" t="s">
        <v>74</v>
      </c>
      <c r="T972" s="48" t="s">
        <v>75</v>
      </c>
      <c r="U972" s="49" t="s">
        <v>3678</v>
      </c>
      <c r="V972" s="7" t="s">
        <v>214</v>
      </c>
      <c r="W972" s="49" t="s">
        <v>214</v>
      </c>
      <c r="X972" s="49" t="s">
        <v>214</v>
      </c>
      <c r="Y972" s="49" t="s">
        <v>214</v>
      </c>
      <c r="Z972" s="55" t="s">
        <v>214</v>
      </c>
      <c r="AA972" s="48" t="s">
        <v>20789</v>
      </c>
      <c r="AB972" s="84" t="s">
        <v>20787</v>
      </c>
      <c r="AC972" s="67" t="str">
        <f t="shared" si="628"/>
        <v>Link</v>
      </c>
      <c r="AD972" s="42">
        <v>4543</v>
      </c>
      <c r="AE972" s="55"/>
      <c r="AF972" s="55"/>
      <c r="AG972" s="56">
        <v>207281</v>
      </c>
      <c r="AH972" s="56"/>
      <c r="AI972" s="56"/>
      <c r="AJ972" s="56"/>
      <c r="AK972" s="56"/>
    </row>
    <row r="973" spans="1:37" ht="15" x14ac:dyDescent="0.2">
      <c r="A973" s="64" t="s">
        <v>2797</v>
      </c>
      <c r="B973" s="33" t="s">
        <v>12632</v>
      </c>
      <c r="C973" s="7" t="s">
        <v>20791</v>
      </c>
      <c r="D973" s="112">
        <v>5</v>
      </c>
      <c r="E973" s="7"/>
      <c r="F973" s="7"/>
      <c r="G973" s="2" t="s">
        <v>20784</v>
      </c>
      <c r="H973" s="2" t="s">
        <v>4049</v>
      </c>
      <c r="I973" s="2" t="s">
        <v>904</v>
      </c>
      <c r="J973" s="2" t="s">
        <v>55</v>
      </c>
      <c r="K973" s="2" t="s">
        <v>20792</v>
      </c>
      <c r="L973" s="2" t="s">
        <v>20793</v>
      </c>
      <c r="M973" s="150" t="str">
        <f t="shared" si="626"/>
        <v>@noc_jetssb</v>
      </c>
      <c r="N973" s="152" t="str">
        <f t="shared" si="627"/>
        <v>Questionnaire</v>
      </c>
      <c r="O973" s="48" t="s">
        <v>20787</v>
      </c>
      <c r="P973" s="60" t="s">
        <v>472</v>
      </c>
      <c r="Q973" s="48" t="s">
        <v>20788</v>
      </c>
      <c r="R973" s="48" t="s">
        <v>186</v>
      </c>
      <c r="S973" s="49" t="s">
        <v>74</v>
      </c>
      <c r="T973" s="48" t="s">
        <v>75</v>
      </c>
      <c r="U973" s="49" t="s">
        <v>3678</v>
      </c>
      <c r="V973" s="7" t="s">
        <v>214</v>
      </c>
      <c r="W973" s="49" t="s">
        <v>214</v>
      </c>
      <c r="X973" s="49" t="s">
        <v>214</v>
      </c>
      <c r="Y973" s="49" t="s">
        <v>214</v>
      </c>
      <c r="Z973" s="55" t="s">
        <v>214</v>
      </c>
      <c r="AA973" s="48" t="s">
        <v>20789</v>
      </c>
      <c r="AB973" s="84" t="s">
        <v>20787</v>
      </c>
      <c r="AC973" s="67" t="str">
        <f t="shared" si="628"/>
        <v>Link</v>
      </c>
      <c r="AD973" s="42">
        <v>4543</v>
      </c>
      <c r="AE973" s="55"/>
      <c r="AF973" s="55"/>
      <c r="AG973" s="56">
        <v>207281</v>
      </c>
      <c r="AH973" s="56"/>
      <c r="AI973" s="56"/>
      <c r="AJ973" s="56"/>
      <c r="AK973" s="56"/>
    </row>
    <row r="974" spans="1:37" ht="15" x14ac:dyDescent="0.2">
      <c r="A974" s="64" t="s">
        <v>2797</v>
      </c>
      <c r="B974" s="33" t="s">
        <v>12632</v>
      </c>
      <c r="C974" s="7" t="s">
        <v>20794</v>
      </c>
      <c r="D974" s="112">
        <v>5</v>
      </c>
      <c r="E974" s="7"/>
      <c r="F974" s="7"/>
      <c r="G974" s="2" t="s">
        <v>20784</v>
      </c>
      <c r="H974" s="2" t="s">
        <v>20795</v>
      </c>
      <c r="I974" s="2" t="s">
        <v>904</v>
      </c>
      <c r="J974" s="2" t="s">
        <v>55</v>
      </c>
      <c r="K974" s="2"/>
      <c r="L974" s="2"/>
      <c r="M974" s="150" t="str">
        <f t="shared" si="626"/>
        <v>@noc_jetssb</v>
      </c>
      <c r="N974" s="152" t="str">
        <f t="shared" si="627"/>
        <v>Questionnaire</v>
      </c>
      <c r="O974" s="48" t="s">
        <v>20787</v>
      </c>
      <c r="P974" s="60" t="s">
        <v>472</v>
      </c>
      <c r="Q974" s="48" t="s">
        <v>20788</v>
      </c>
      <c r="R974" s="48" t="s">
        <v>186</v>
      </c>
      <c r="S974" s="49" t="s">
        <v>74</v>
      </c>
      <c r="T974" s="48" t="s">
        <v>75</v>
      </c>
      <c r="U974" s="49" t="s">
        <v>3678</v>
      </c>
      <c r="V974" s="7" t="s">
        <v>214</v>
      </c>
      <c r="W974" s="49" t="s">
        <v>214</v>
      </c>
      <c r="X974" s="49" t="s">
        <v>214</v>
      </c>
      <c r="Y974" s="49" t="s">
        <v>214</v>
      </c>
      <c r="Z974" s="55" t="s">
        <v>214</v>
      </c>
      <c r="AA974" s="48" t="s">
        <v>20789</v>
      </c>
      <c r="AB974" s="84" t="s">
        <v>20787</v>
      </c>
      <c r="AC974" s="67" t="str">
        <f t="shared" si="628"/>
        <v>Link</v>
      </c>
      <c r="AD974" s="42">
        <v>4543</v>
      </c>
      <c r="AE974" s="55"/>
      <c r="AF974" s="55"/>
      <c r="AG974" s="56">
        <v>207281</v>
      </c>
      <c r="AH974" s="56"/>
      <c r="AI974" s="56"/>
      <c r="AJ974" s="56"/>
      <c r="AK974" s="56"/>
    </row>
    <row r="975" spans="1:37" ht="15" x14ac:dyDescent="0.2">
      <c r="A975" s="64" t="s">
        <v>2797</v>
      </c>
      <c r="B975" s="33" t="s">
        <v>12632</v>
      </c>
      <c r="C975" s="7" t="s">
        <v>20796</v>
      </c>
      <c r="D975" s="112">
        <v>5</v>
      </c>
      <c r="E975" s="7"/>
      <c r="F975" s="7"/>
      <c r="G975" s="2" t="s">
        <v>20797</v>
      </c>
      <c r="H975" s="2" t="s">
        <v>1717</v>
      </c>
      <c r="I975" s="2" t="s">
        <v>20798</v>
      </c>
      <c r="J975" s="2" t="s">
        <v>48</v>
      </c>
      <c r="K975" s="2" t="s">
        <v>20799</v>
      </c>
      <c r="L975" s="2" t="s">
        <v>20800</v>
      </c>
      <c r="M975" s="150" t="str">
        <f>HYPERLINK("twitter.com/nocmavssoftball","@nocmavssoftball")</f>
        <v>@nocmavssoftball</v>
      </c>
      <c r="N975" s="152" t="str">
        <f>HYPERLINK("https://www.nocmavs.com/recruits","Questionnaire")</f>
        <v>Questionnaire</v>
      </c>
      <c r="O975" s="48" t="s">
        <v>20801</v>
      </c>
      <c r="P975" s="60" t="s">
        <v>472</v>
      </c>
      <c r="Q975" s="48" t="s">
        <v>20802</v>
      </c>
      <c r="R975" s="60" t="s">
        <v>205</v>
      </c>
      <c r="S975" s="49" t="s">
        <v>74</v>
      </c>
      <c r="T975" s="48" t="s">
        <v>75</v>
      </c>
      <c r="U975" s="49" t="s">
        <v>3678</v>
      </c>
      <c r="V975" s="7" t="s">
        <v>214</v>
      </c>
      <c r="W975" s="49" t="s">
        <v>214</v>
      </c>
      <c r="X975" s="49" t="s">
        <v>214</v>
      </c>
      <c r="Y975" s="49" t="s">
        <v>214</v>
      </c>
      <c r="Z975" s="49" t="s">
        <v>214</v>
      </c>
      <c r="AA975" s="48" t="s">
        <v>20789</v>
      </c>
      <c r="AB975" s="84" t="s">
        <v>20801</v>
      </c>
      <c r="AC975" s="67" t="str">
        <f t="shared" si="628"/>
        <v>Link</v>
      </c>
      <c r="AD975" s="42">
        <v>4543</v>
      </c>
      <c r="AE975" s="55"/>
      <c r="AF975" s="55"/>
      <c r="AG975" s="56">
        <v>207281</v>
      </c>
      <c r="AH975" s="56"/>
      <c r="AI975" s="56"/>
      <c r="AJ975" s="56"/>
      <c r="AK975" s="56"/>
    </row>
    <row r="976" spans="1:37" ht="15" x14ac:dyDescent="0.2">
      <c r="A976" s="64" t="s">
        <v>2797</v>
      </c>
      <c r="B976" s="33" t="s">
        <v>12632</v>
      </c>
      <c r="C976" s="7" t="s">
        <v>20803</v>
      </c>
      <c r="D976" s="112">
        <v>5</v>
      </c>
      <c r="E976" s="7"/>
      <c r="F976" s="7"/>
      <c r="G976" s="2" t="s">
        <v>20804</v>
      </c>
      <c r="H976" s="2" t="s">
        <v>4599</v>
      </c>
      <c r="I976" s="2" t="s">
        <v>18216</v>
      </c>
      <c r="J976" s="2" t="s">
        <v>48</v>
      </c>
      <c r="K976" s="2" t="s">
        <v>20805</v>
      </c>
      <c r="L976" s="2" t="s">
        <v>20806</v>
      </c>
      <c r="M976" s="150" t="str">
        <f t="shared" ref="M976:M977" si="629">HYPERLINK("twitter.com/ssc_softball","@ssc_softball")</f>
        <v>@ssc_softball</v>
      </c>
      <c r="N976" s="152" t="str">
        <f t="shared" ref="N976:N977" si="630">HYPERLINK("https://seminole.prestosports.com//information/recruiting-questionnaire","Questionnaire")</f>
        <v>Questionnaire</v>
      </c>
      <c r="O976" s="48" t="s">
        <v>20807</v>
      </c>
      <c r="P976" s="60" t="s">
        <v>472</v>
      </c>
      <c r="Q976" s="48" t="s">
        <v>20808</v>
      </c>
      <c r="R976" s="60" t="s">
        <v>205</v>
      </c>
      <c r="S976" s="49" t="s">
        <v>74</v>
      </c>
      <c r="T976" s="48" t="s">
        <v>75</v>
      </c>
      <c r="U976" s="49" t="s">
        <v>3678</v>
      </c>
      <c r="V976" s="7" t="s">
        <v>214</v>
      </c>
      <c r="W976" s="49" t="s">
        <v>214</v>
      </c>
      <c r="X976" s="49" t="s">
        <v>214</v>
      </c>
      <c r="Y976" s="49" t="s">
        <v>214</v>
      </c>
      <c r="Z976" s="55" t="s">
        <v>214</v>
      </c>
      <c r="AA976" s="48" t="s">
        <v>20809</v>
      </c>
      <c r="AB976" s="84" t="s">
        <v>20807</v>
      </c>
      <c r="AC976" s="67" t="str">
        <f t="shared" ref="AC976:AC977" si="631">HYPERLINK("https://www.sscok.edu/schedule/Academics/AcadPgDegee.html","Link")</f>
        <v>Link</v>
      </c>
      <c r="AD976" s="42">
        <v>1729</v>
      </c>
      <c r="AE976" s="55"/>
      <c r="AF976" s="55"/>
      <c r="AG976" s="56">
        <v>207740</v>
      </c>
      <c r="AH976" s="56"/>
      <c r="AI976" s="56"/>
      <c r="AJ976" s="56"/>
      <c r="AK976" s="56"/>
    </row>
    <row r="977" spans="1:37" ht="15" x14ac:dyDescent="0.2">
      <c r="A977" s="64" t="s">
        <v>2797</v>
      </c>
      <c r="B977" s="33" t="s">
        <v>12632</v>
      </c>
      <c r="C977" s="7" t="s">
        <v>20810</v>
      </c>
      <c r="D977" s="112">
        <v>5</v>
      </c>
      <c r="E977" s="7"/>
      <c r="F977" s="7"/>
      <c r="G977" s="2" t="s">
        <v>20804</v>
      </c>
      <c r="H977" s="2" t="s">
        <v>20811</v>
      </c>
      <c r="I977" s="2" t="s">
        <v>6154</v>
      </c>
      <c r="J977" s="2" t="s">
        <v>55</v>
      </c>
      <c r="K977" s="2"/>
      <c r="L977" s="2" t="s">
        <v>20806</v>
      </c>
      <c r="M977" s="150" t="str">
        <f t="shared" si="629"/>
        <v>@ssc_softball</v>
      </c>
      <c r="N977" s="152" t="str">
        <f t="shared" si="630"/>
        <v>Questionnaire</v>
      </c>
      <c r="O977" s="48" t="s">
        <v>20807</v>
      </c>
      <c r="P977" s="60" t="s">
        <v>472</v>
      </c>
      <c r="Q977" s="48" t="s">
        <v>20808</v>
      </c>
      <c r="R977" s="60" t="s">
        <v>205</v>
      </c>
      <c r="S977" s="49" t="s">
        <v>74</v>
      </c>
      <c r="T977" s="48" t="s">
        <v>75</v>
      </c>
      <c r="U977" s="49" t="s">
        <v>3678</v>
      </c>
      <c r="V977" s="7" t="s">
        <v>214</v>
      </c>
      <c r="W977" s="49" t="s">
        <v>214</v>
      </c>
      <c r="X977" s="49" t="s">
        <v>214</v>
      </c>
      <c r="Y977" s="49" t="s">
        <v>214</v>
      </c>
      <c r="Z977" s="55" t="s">
        <v>214</v>
      </c>
      <c r="AA977" s="48" t="s">
        <v>20809</v>
      </c>
      <c r="AB977" s="84" t="s">
        <v>20807</v>
      </c>
      <c r="AC977" s="67" t="str">
        <f t="shared" si="631"/>
        <v>Link</v>
      </c>
      <c r="AD977" s="42">
        <v>1729</v>
      </c>
      <c r="AE977" s="55"/>
      <c r="AF977" s="55"/>
      <c r="AG977" s="56">
        <v>207740</v>
      </c>
      <c r="AH977" s="56"/>
      <c r="AI977" s="56"/>
      <c r="AJ977" s="56"/>
      <c r="AK977" s="56"/>
    </row>
    <row r="978" spans="1:37" ht="15" x14ac:dyDescent="0.2">
      <c r="A978" s="31" t="s">
        <v>2797</v>
      </c>
      <c r="B978" s="33" t="s">
        <v>12632</v>
      </c>
      <c r="C978" s="7"/>
      <c r="D978" s="112">
        <v>5</v>
      </c>
      <c r="E978" s="7"/>
      <c r="F978" s="112"/>
      <c r="G978" s="2" t="s">
        <v>20812</v>
      </c>
      <c r="H978" s="2" t="s">
        <v>1374</v>
      </c>
      <c r="I978" s="2" t="s">
        <v>20813</v>
      </c>
      <c r="J978" s="2" t="s">
        <v>48</v>
      </c>
      <c r="K978" s="2" t="s">
        <v>20814</v>
      </c>
      <c r="L978" s="2" t="s">
        <v>20815</v>
      </c>
      <c r="M978" s="45" t="str">
        <f>HYPERLINK("twitter.com/softballwosc","@softballwosc")</f>
        <v>@softballwosc</v>
      </c>
      <c r="N978" s="48" t="s">
        <v>22</v>
      </c>
      <c r="O978" s="48" t="s">
        <v>20816</v>
      </c>
      <c r="P978" s="60" t="s">
        <v>472</v>
      </c>
      <c r="Q978" s="48" t="s">
        <v>20817</v>
      </c>
      <c r="R978" s="48" t="s">
        <v>172</v>
      </c>
      <c r="S978" s="49" t="s">
        <v>74</v>
      </c>
      <c r="T978" s="48" t="s">
        <v>75</v>
      </c>
      <c r="U978" s="49" t="s">
        <v>3678</v>
      </c>
      <c r="V978" s="7" t="s">
        <v>214</v>
      </c>
      <c r="W978" s="49" t="s">
        <v>214</v>
      </c>
      <c r="X978" s="49" t="s">
        <v>214</v>
      </c>
      <c r="Y978" s="49" t="s">
        <v>214</v>
      </c>
      <c r="Z978" s="49" t="s">
        <v>214</v>
      </c>
      <c r="AA978" s="48" t="s">
        <v>20818</v>
      </c>
      <c r="AB978" s="84" t="s">
        <v>20816</v>
      </c>
      <c r="AC978" s="53" t="str">
        <f>HYPERLINK("https://www.wosc.edu/index.php?page=college-catalog","Link")</f>
        <v>Link</v>
      </c>
      <c r="AD978" s="42">
        <v>1419</v>
      </c>
      <c r="AE978" s="55"/>
      <c r="AF978" s="55"/>
      <c r="AG978" s="56">
        <v>208035</v>
      </c>
      <c r="AH978" s="7" t="s">
        <v>2459</v>
      </c>
      <c r="AI978" s="7"/>
      <c r="AJ978" s="7"/>
      <c r="AK978" s="7"/>
    </row>
    <row r="979" spans="1:37" ht="15" x14ac:dyDescent="0.2">
      <c r="A979" s="64" t="s">
        <v>9218</v>
      </c>
      <c r="B979" s="33" t="s">
        <v>12632</v>
      </c>
      <c r="C979" s="7" t="s">
        <v>20819</v>
      </c>
      <c r="D979" s="112">
        <v>5</v>
      </c>
      <c r="E979" s="7"/>
      <c r="F979" s="7"/>
      <c r="G979" s="2" t="s">
        <v>20820</v>
      </c>
      <c r="H979" s="2" t="s">
        <v>363</v>
      </c>
      <c r="I979" s="2" t="s">
        <v>17805</v>
      </c>
      <c r="J979" s="2" t="s">
        <v>48</v>
      </c>
      <c r="K979" s="2" t="s">
        <v>20821</v>
      </c>
      <c r="L979" s="2" t="s">
        <v>20822</v>
      </c>
      <c r="M979" s="150" t="str">
        <f t="shared" ref="M979:M981" si="632">HYPERLINK("twitter.com/bluemtnsoftball","@bluemtnsoftball")</f>
        <v>@bluemtnsoftball</v>
      </c>
      <c r="N979" s="48" t="s">
        <v>22</v>
      </c>
      <c r="O979" s="48" t="s">
        <v>20823</v>
      </c>
      <c r="P979" s="60" t="s">
        <v>3670</v>
      </c>
      <c r="Q979" s="48" t="s">
        <v>15954</v>
      </c>
      <c r="R979" s="48" t="s">
        <v>172</v>
      </c>
      <c r="S979" s="49" t="s">
        <v>74</v>
      </c>
      <c r="T979" s="48" t="s">
        <v>75</v>
      </c>
      <c r="U979" s="49" t="s">
        <v>3678</v>
      </c>
      <c r="V979" s="7" t="s">
        <v>214</v>
      </c>
      <c r="W979" s="49" t="s">
        <v>214</v>
      </c>
      <c r="X979" s="49" t="s">
        <v>214</v>
      </c>
      <c r="Y979" s="49" t="s">
        <v>214</v>
      </c>
      <c r="Z979" s="55" t="s">
        <v>214</v>
      </c>
      <c r="AA979" s="48" t="s">
        <v>20824</v>
      </c>
      <c r="AB979" s="90" t="s">
        <v>20823</v>
      </c>
      <c r="AC979" s="67" t="str">
        <f t="shared" ref="AC979:AC981" si="633">HYPERLINK("http://www.bluecc.edu/academics/degrees","Link")</f>
        <v>Link</v>
      </c>
      <c r="AD979" s="42">
        <v>1660</v>
      </c>
      <c r="AE979" s="55"/>
      <c r="AF979" s="55"/>
      <c r="AG979" s="56">
        <v>208275</v>
      </c>
      <c r="AH979" s="56"/>
      <c r="AI979" s="56"/>
      <c r="AJ979" s="56"/>
      <c r="AK979" s="56"/>
    </row>
    <row r="980" spans="1:37" ht="15" x14ac:dyDescent="0.2">
      <c r="A980" s="64" t="s">
        <v>9218</v>
      </c>
      <c r="B980" s="33" t="s">
        <v>12632</v>
      </c>
      <c r="C980" s="7" t="s">
        <v>20825</v>
      </c>
      <c r="D980" s="112">
        <v>5</v>
      </c>
      <c r="E980" s="7"/>
      <c r="F980" s="7"/>
      <c r="G980" s="2" t="s">
        <v>20820</v>
      </c>
      <c r="H980" s="2" t="s">
        <v>20826</v>
      </c>
      <c r="I980" s="2" t="s">
        <v>20827</v>
      </c>
      <c r="J980" s="2" t="s">
        <v>55</v>
      </c>
      <c r="K980" s="2" t="s">
        <v>20828</v>
      </c>
      <c r="L980" s="2" t="s">
        <v>20829</v>
      </c>
      <c r="M980" s="150" t="str">
        <f t="shared" si="632"/>
        <v>@bluemtnsoftball</v>
      </c>
      <c r="N980" s="48" t="s">
        <v>22</v>
      </c>
      <c r="O980" s="48" t="s">
        <v>20823</v>
      </c>
      <c r="P980" s="60" t="s">
        <v>3670</v>
      </c>
      <c r="Q980" s="48" t="s">
        <v>15954</v>
      </c>
      <c r="R980" s="48" t="s">
        <v>172</v>
      </c>
      <c r="S980" s="49" t="s">
        <v>74</v>
      </c>
      <c r="T980" s="48" t="s">
        <v>75</v>
      </c>
      <c r="U980" s="49" t="s">
        <v>3678</v>
      </c>
      <c r="V980" s="7" t="s">
        <v>214</v>
      </c>
      <c r="W980" s="49" t="s">
        <v>214</v>
      </c>
      <c r="X980" s="49" t="s">
        <v>214</v>
      </c>
      <c r="Y980" s="49" t="s">
        <v>214</v>
      </c>
      <c r="Z980" s="55" t="s">
        <v>214</v>
      </c>
      <c r="AA980" s="48" t="s">
        <v>20824</v>
      </c>
      <c r="AB980" s="90" t="s">
        <v>20823</v>
      </c>
      <c r="AC980" s="67" t="str">
        <f t="shared" si="633"/>
        <v>Link</v>
      </c>
      <c r="AD980" s="42">
        <v>1660</v>
      </c>
      <c r="AE980" s="55"/>
      <c r="AF980" s="55"/>
      <c r="AG980" s="56">
        <v>208275</v>
      </c>
      <c r="AH980" s="56"/>
      <c r="AI980" s="56"/>
      <c r="AJ980" s="56"/>
      <c r="AK980" s="56"/>
    </row>
    <row r="981" spans="1:37" ht="15" x14ac:dyDescent="0.2">
      <c r="A981" s="64" t="s">
        <v>9218</v>
      </c>
      <c r="B981" s="33" t="s">
        <v>12632</v>
      </c>
      <c r="C981" s="7" t="s">
        <v>20830</v>
      </c>
      <c r="D981" s="112">
        <v>5</v>
      </c>
      <c r="E981" s="7"/>
      <c r="F981" s="7"/>
      <c r="G981" s="2" t="s">
        <v>20820</v>
      </c>
      <c r="H981" s="2" t="s">
        <v>1589</v>
      </c>
      <c r="I981" s="2" t="s">
        <v>20831</v>
      </c>
      <c r="J981" s="2" t="s">
        <v>55</v>
      </c>
      <c r="K981" s="2" t="s">
        <v>20832</v>
      </c>
      <c r="L981" s="2" t="s">
        <v>20822</v>
      </c>
      <c r="M981" s="150" t="str">
        <f t="shared" si="632"/>
        <v>@bluemtnsoftball</v>
      </c>
      <c r="N981" s="48" t="s">
        <v>22</v>
      </c>
      <c r="O981" s="48" t="s">
        <v>20823</v>
      </c>
      <c r="P981" s="60" t="s">
        <v>3670</v>
      </c>
      <c r="Q981" s="48" t="s">
        <v>15954</v>
      </c>
      <c r="R981" s="48" t="s">
        <v>172</v>
      </c>
      <c r="S981" s="49" t="s">
        <v>74</v>
      </c>
      <c r="T981" s="48" t="s">
        <v>75</v>
      </c>
      <c r="U981" s="49" t="s">
        <v>3678</v>
      </c>
      <c r="V981" s="7" t="s">
        <v>214</v>
      </c>
      <c r="W981" s="49" t="s">
        <v>214</v>
      </c>
      <c r="X981" s="49" t="s">
        <v>214</v>
      </c>
      <c r="Y981" s="49" t="s">
        <v>214</v>
      </c>
      <c r="Z981" s="55" t="s">
        <v>214</v>
      </c>
      <c r="AA981" s="48" t="s">
        <v>20824</v>
      </c>
      <c r="AB981" s="90" t="s">
        <v>20823</v>
      </c>
      <c r="AC981" s="67" t="str">
        <f t="shared" si="633"/>
        <v>Link</v>
      </c>
      <c r="AD981" s="42">
        <v>1660</v>
      </c>
      <c r="AE981" s="55"/>
      <c r="AF981" s="55"/>
      <c r="AG981" s="56">
        <v>208275</v>
      </c>
      <c r="AH981" s="56"/>
      <c r="AI981" s="56"/>
      <c r="AJ981" s="56"/>
      <c r="AK981" s="56"/>
    </row>
    <row r="982" spans="1:37" ht="15" x14ac:dyDescent="0.2">
      <c r="A982" s="31" t="s">
        <v>9218</v>
      </c>
      <c r="B982" s="33" t="s">
        <v>12632</v>
      </c>
      <c r="C982" s="7"/>
      <c r="D982" s="112">
        <v>5</v>
      </c>
      <c r="E982" s="7"/>
      <c r="F982" s="112"/>
      <c r="G982" s="2" t="s">
        <v>20833</v>
      </c>
      <c r="H982" s="2" t="s">
        <v>3279</v>
      </c>
      <c r="I982" s="2" t="s">
        <v>20834</v>
      </c>
      <c r="J982" s="2" t="s">
        <v>48</v>
      </c>
      <c r="K982" s="2" t="s">
        <v>20835</v>
      </c>
      <c r="L982" s="2" t="s">
        <v>20836</v>
      </c>
      <c r="M982" s="48"/>
      <c r="N982" s="48" t="s">
        <v>22</v>
      </c>
      <c r="O982" s="48" t="s">
        <v>20837</v>
      </c>
      <c r="P982" s="60" t="s">
        <v>3670</v>
      </c>
      <c r="Q982" s="48" t="s">
        <v>5684</v>
      </c>
      <c r="R982" s="48" t="s">
        <v>62</v>
      </c>
      <c r="S982" s="49" t="s">
        <v>74</v>
      </c>
      <c r="T982" s="48" t="s">
        <v>75</v>
      </c>
      <c r="U982" s="49" t="s">
        <v>3678</v>
      </c>
      <c r="V982" s="7" t="s">
        <v>214</v>
      </c>
      <c r="W982" s="49" t="s">
        <v>214</v>
      </c>
      <c r="X982" s="49" t="s">
        <v>214</v>
      </c>
      <c r="Y982" s="49" t="s">
        <v>214</v>
      </c>
      <c r="Z982" s="55" t="s">
        <v>214</v>
      </c>
      <c r="AA982" s="48" t="s">
        <v>20838</v>
      </c>
      <c r="AB982" s="52" t="s">
        <v>20837</v>
      </c>
      <c r="AC982" s="53" t="str">
        <f>HYPERLINK("https://www.chemeketa.edu/students/student-services/enrollment-services/change-your-major/active-majors/","Link")</f>
        <v>Link</v>
      </c>
      <c r="AD982" s="42">
        <v>10797</v>
      </c>
      <c r="AE982" s="55"/>
      <c r="AF982" s="55"/>
      <c r="AG982" s="56">
        <v>208390</v>
      </c>
      <c r="AH982" s="7" t="s">
        <v>2459</v>
      </c>
      <c r="AI982" s="7"/>
      <c r="AJ982" s="7"/>
      <c r="AK982" s="7"/>
    </row>
    <row r="983" spans="1:37" ht="15" x14ac:dyDescent="0.2">
      <c r="A983" s="31" t="s">
        <v>9218</v>
      </c>
      <c r="B983" s="33" t="s">
        <v>12632</v>
      </c>
      <c r="C983" s="7"/>
      <c r="D983" s="112">
        <v>5</v>
      </c>
      <c r="E983" s="7"/>
      <c r="F983" s="112"/>
      <c r="G983" s="2" t="s">
        <v>20839</v>
      </c>
      <c r="H983" s="2" t="s">
        <v>201</v>
      </c>
      <c r="I983" s="2" t="s">
        <v>20840</v>
      </c>
      <c r="J983" s="2" t="s">
        <v>48</v>
      </c>
      <c r="K983" s="2" t="s">
        <v>20841</v>
      </c>
      <c r="L983" s="2" t="s">
        <v>20842</v>
      </c>
      <c r="M983" s="48"/>
      <c r="N983" s="48" t="s">
        <v>22</v>
      </c>
      <c r="O983" s="48" t="s">
        <v>20843</v>
      </c>
      <c r="P983" s="60" t="s">
        <v>3670</v>
      </c>
      <c r="Q983" s="48" t="s">
        <v>20844</v>
      </c>
      <c r="R983" s="48" t="s">
        <v>468</v>
      </c>
      <c r="S983" s="49" t="s">
        <v>74</v>
      </c>
      <c r="T983" s="48" t="s">
        <v>75</v>
      </c>
      <c r="U983" s="49" t="s">
        <v>3678</v>
      </c>
      <c r="V983" s="7" t="s">
        <v>214</v>
      </c>
      <c r="W983" s="49" t="s">
        <v>214</v>
      </c>
      <c r="X983" s="49" t="s">
        <v>214</v>
      </c>
      <c r="Y983" s="49" t="s">
        <v>214</v>
      </c>
      <c r="Z983" s="55" t="s">
        <v>214</v>
      </c>
      <c r="AA983" s="48" t="s">
        <v>20845</v>
      </c>
      <c r="AB983" s="52" t="s">
        <v>20843</v>
      </c>
      <c r="AC983" s="53" t="str">
        <f>HYPERLINK("http://www.clackamas.edu/academics/academic-offerings/degrees-and-certificates","Link")</f>
        <v>Link</v>
      </c>
      <c r="AD983" s="42">
        <v>6777</v>
      </c>
      <c r="AE983" s="55"/>
      <c r="AF983" s="55"/>
      <c r="AG983" s="56">
        <v>208406</v>
      </c>
      <c r="AH983" s="7" t="s">
        <v>2459</v>
      </c>
      <c r="AI983" s="7"/>
      <c r="AJ983" s="7"/>
      <c r="AK983" s="7"/>
    </row>
    <row r="984" spans="1:37" ht="15" x14ac:dyDescent="0.2">
      <c r="A984" s="31" t="s">
        <v>9218</v>
      </c>
      <c r="B984" s="33" t="s">
        <v>12632</v>
      </c>
      <c r="C984" s="7"/>
      <c r="D984" s="112">
        <v>5</v>
      </c>
      <c r="E984" s="7"/>
      <c r="F984" s="112"/>
      <c r="G984" s="2" t="s">
        <v>20846</v>
      </c>
      <c r="H984" s="2" t="s">
        <v>1075</v>
      </c>
      <c r="I984" s="2" t="s">
        <v>3577</v>
      </c>
      <c r="J984" s="2" t="s">
        <v>48</v>
      </c>
      <c r="K984" s="2" t="s">
        <v>20847</v>
      </c>
      <c r="L984" s="2" t="s">
        <v>20848</v>
      </c>
      <c r="M984" s="45" t="str">
        <f t="shared" ref="M984:M986" si="634">HYPERLINK("twitter.com/mthoodsoftball","@mthoodsoftball")</f>
        <v>@mthoodsoftball</v>
      </c>
      <c r="N984" s="114" t="str">
        <f t="shared" ref="N984:N986" si="635">HYPERLINK("https://www.mhcc.edu/Softball_Questionnaire/","Questionnaire")</f>
        <v>Questionnaire</v>
      </c>
      <c r="O984" s="48" t="s">
        <v>20849</v>
      </c>
      <c r="P984" s="60" t="s">
        <v>3670</v>
      </c>
      <c r="Q984" s="48" t="s">
        <v>20850</v>
      </c>
      <c r="R984" s="48" t="s">
        <v>238</v>
      </c>
      <c r="S984" s="5" t="s">
        <v>74</v>
      </c>
      <c r="T984" s="48" t="s">
        <v>75</v>
      </c>
      <c r="U984" s="49" t="s">
        <v>3678</v>
      </c>
      <c r="V984" s="7" t="s">
        <v>214</v>
      </c>
      <c r="W984" s="49" t="s">
        <v>214</v>
      </c>
      <c r="X984" s="49" t="s">
        <v>214</v>
      </c>
      <c r="Y984" s="49" t="s">
        <v>214</v>
      </c>
      <c r="Z984" s="55" t="s">
        <v>214</v>
      </c>
      <c r="AA984" s="48" t="s">
        <v>20851</v>
      </c>
      <c r="AB984" s="84" t="s">
        <v>20849</v>
      </c>
      <c r="AC984" s="53" t="str">
        <f t="shared" ref="AC984:AC986" si="636">HYPERLINK("https://www.mhcc.edu/Degrees/","Link")</f>
        <v>Link</v>
      </c>
      <c r="AD984" s="42">
        <v>9170</v>
      </c>
      <c r="AE984" s="55"/>
      <c r="AF984" s="55"/>
      <c r="AG984" s="56">
        <v>209250</v>
      </c>
      <c r="AH984" s="7" t="s">
        <v>2459</v>
      </c>
      <c r="AI984" s="7"/>
      <c r="AJ984" s="7"/>
      <c r="AK984" s="7"/>
    </row>
    <row r="985" spans="1:37" ht="15" x14ac:dyDescent="0.2">
      <c r="A985" s="31" t="s">
        <v>9218</v>
      </c>
      <c r="B985" s="33" t="s">
        <v>12632</v>
      </c>
      <c r="C985" s="7"/>
      <c r="D985" s="112">
        <v>5</v>
      </c>
      <c r="E985" s="7"/>
      <c r="F985" s="112"/>
      <c r="G985" s="2" t="s">
        <v>20846</v>
      </c>
      <c r="H985" s="2" t="s">
        <v>20852</v>
      </c>
      <c r="I985" s="2" t="s">
        <v>20853</v>
      </c>
      <c r="J985" s="2" t="s">
        <v>55</v>
      </c>
      <c r="K985" s="2"/>
      <c r="L985" s="2"/>
      <c r="M985" s="45" t="str">
        <f t="shared" si="634"/>
        <v>@mthoodsoftball</v>
      </c>
      <c r="N985" s="114" t="str">
        <f t="shared" si="635"/>
        <v>Questionnaire</v>
      </c>
      <c r="O985" s="48" t="s">
        <v>20849</v>
      </c>
      <c r="P985" s="60" t="s">
        <v>3670</v>
      </c>
      <c r="Q985" s="48" t="s">
        <v>20850</v>
      </c>
      <c r="R985" s="48" t="s">
        <v>238</v>
      </c>
      <c r="S985" s="5" t="s">
        <v>74</v>
      </c>
      <c r="T985" s="48" t="s">
        <v>75</v>
      </c>
      <c r="U985" s="49" t="s">
        <v>3678</v>
      </c>
      <c r="V985" s="7" t="s">
        <v>214</v>
      </c>
      <c r="W985" s="49" t="s">
        <v>214</v>
      </c>
      <c r="X985" s="49" t="s">
        <v>214</v>
      </c>
      <c r="Y985" s="49" t="s">
        <v>214</v>
      </c>
      <c r="Z985" s="55" t="s">
        <v>214</v>
      </c>
      <c r="AA985" s="48" t="s">
        <v>20851</v>
      </c>
      <c r="AB985" s="84" t="s">
        <v>20849</v>
      </c>
      <c r="AC985" s="53" t="str">
        <f t="shared" si="636"/>
        <v>Link</v>
      </c>
      <c r="AD985" s="42">
        <v>9170</v>
      </c>
      <c r="AE985" s="55"/>
      <c r="AF985" s="55"/>
      <c r="AG985" s="56">
        <v>209250</v>
      </c>
      <c r="AH985" s="7" t="s">
        <v>2459</v>
      </c>
      <c r="AI985" s="7"/>
      <c r="AJ985" s="7"/>
      <c r="AK985" s="7"/>
    </row>
    <row r="986" spans="1:37" ht="15" x14ac:dyDescent="0.2">
      <c r="A986" s="31" t="s">
        <v>9218</v>
      </c>
      <c r="B986" s="33" t="s">
        <v>12632</v>
      </c>
      <c r="C986" s="7"/>
      <c r="D986" s="112">
        <v>5</v>
      </c>
      <c r="E986" s="7"/>
      <c r="F986" s="112"/>
      <c r="G986" s="2" t="s">
        <v>20846</v>
      </c>
      <c r="H986" s="2" t="s">
        <v>1124</v>
      </c>
      <c r="I986" s="2" t="s">
        <v>5493</v>
      </c>
      <c r="J986" s="2" t="s">
        <v>55</v>
      </c>
      <c r="K986" s="2"/>
      <c r="L986" s="2"/>
      <c r="M986" s="45" t="str">
        <f t="shared" si="634"/>
        <v>@mthoodsoftball</v>
      </c>
      <c r="N986" s="114" t="str">
        <f t="shared" si="635"/>
        <v>Questionnaire</v>
      </c>
      <c r="O986" s="48" t="s">
        <v>20849</v>
      </c>
      <c r="P986" s="60" t="s">
        <v>3670</v>
      </c>
      <c r="Q986" s="48" t="s">
        <v>20850</v>
      </c>
      <c r="R986" s="48" t="s">
        <v>238</v>
      </c>
      <c r="S986" s="5" t="s">
        <v>74</v>
      </c>
      <c r="T986" s="48" t="s">
        <v>75</v>
      </c>
      <c r="U986" s="49" t="s">
        <v>3678</v>
      </c>
      <c r="V986" s="7" t="s">
        <v>214</v>
      </c>
      <c r="W986" s="49" t="s">
        <v>214</v>
      </c>
      <c r="X986" s="49" t="s">
        <v>214</v>
      </c>
      <c r="Y986" s="49" t="s">
        <v>214</v>
      </c>
      <c r="Z986" s="55" t="s">
        <v>214</v>
      </c>
      <c r="AA986" s="48" t="s">
        <v>20851</v>
      </c>
      <c r="AB986" s="84" t="s">
        <v>20849</v>
      </c>
      <c r="AC986" s="53" t="str">
        <f t="shared" si="636"/>
        <v>Link</v>
      </c>
      <c r="AD986" s="42">
        <v>9170</v>
      </c>
      <c r="AE986" s="55"/>
      <c r="AF986" s="55"/>
      <c r="AG986" s="56">
        <v>209250</v>
      </c>
      <c r="AH986" s="7" t="s">
        <v>2459</v>
      </c>
      <c r="AI986" s="7"/>
      <c r="AJ986" s="7"/>
      <c r="AK986" s="7"/>
    </row>
    <row r="987" spans="1:37" ht="15" x14ac:dyDescent="0.2">
      <c r="A987" s="64" t="s">
        <v>9218</v>
      </c>
      <c r="B987" s="33" t="s">
        <v>12632</v>
      </c>
      <c r="C987" s="7" t="s">
        <v>20854</v>
      </c>
      <c r="D987" s="112">
        <v>5</v>
      </c>
      <c r="E987" s="7"/>
      <c r="F987" s="7"/>
      <c r="G987" s="2" t="s">
        <v>20855</v>
      </c>
      <c r="H987" s="2" t="s">
        <v>306</v>
      </c>
      <c r="I987" s="2" t="s">
        <v>20856</v>
      </c>
      <c r="J987" s="2" t="s">
        <v>48</v>
      </c>
      <c r="K987" s="2" t="s">
        <v>20857</v>
      </c>
      <c r="L987" s="2" t="s">
        <v>20858</v>
      </c>
      <c r="M987" s="150" t="str">
        <f>HYPERLINK("twitter.com/swoccsoftball","@swoccsoftball")</f>
        <v>@swoccsoftball</v>
      </c>
      <c r="N987" s="152" t="str">
        <f>HYPERLINK("https://swoccathletics.com/sb_output.aspx?form=3","Questionnaire")</f>
        <v>Questionnaire</v>
      </c>
      <c r="O987" s="48" t="s">
        <v>20859</v>
      </c>
      <c r="P987" s="60" t="s">
        <v>3670</v>
      </c>
      <c r="Q987" s="48" t="s">
        <v>20860</v>
      </c>
      <c r="R987" s="48" t="s">
        <v>172</v>
      </c>
      <c r="S987" s="5" t="s">
        <v>74</v>
      </c>
      <c r="T987" s="48" t="s">
        <v>75</v>
      </c>
      <c r="U987" s="49" t="s">
        <v>3678</v>
      </c>
      <c r="V987" s="7" t="s">
        <v>214</v>
      </c>
      <c r="W987" s="49" t="s">
        <v>214</v>
      </c>
      <c r="X987" s="49" t="s">
        <v>214</v>
      </c>
      <c r="Y987" s="49" t="s">
        <v>214</v>
      </c>
      <c r="Z987" s="49" t="s">
        <v>214</v>
      </c>
      <c r="AA987" s="39">
        <v>16715</v>
      </c>
      <c r="AB987" s="84" t="s">
        <v>20859</v>
      </c>
      <c r="AC987" s="67" t="str">
        <f>HYPERLINK("https://ecatalog.socc.edu/programsaz/","Link")</f>
        <v>Link</v>
      </c>
      <c r="AD987" s="42">
        <v>2160</v>
      </c>
      <c r="AE987" s="55"/>
      <c r="AF987" s="55"/>
      <c r="AG987" s="56">
        <v>210155</v>
      </c>
      <c r="AH987" s="56"/>
      <c r="AI987" s="56"/>
      <c r="AJ987" s="56"/>
      <c r="AK987" s="56"/>
    </row>
    <row r="988" spans="1:37" ht="15" x14ac:dyDescent="0.2">
      <c r="A988" s="64" t="s">
        <v>9218</v>
      </c>
      <c r="B988" s="33" t="s">
        <v>12632</v>
      </c>
      <c r="C988" s="7" t="s">
        <v>20861</v>
      </c>
      <c r="D988" s="112">
        <v>5</v>
      </c>
      <c r="E988" s="7"/>
      <c r="F988" s="7"/>
      <c r="G988" s="2" t="s">
        <v>20862</v>
      </c>
      <c r="H988" s="2" t="s">
        <v>15136</v>
      </c>
      <c r="I988" s="2" t="s">
        <v>20863</v>
      </c>
      <c r="J988" s="2" t="s">
        <v>48</v>
      </c>
      <c r="K988" s="2" t="s">
        <v>20864</v>
      </c>
      <c r="L988" s="2" t="s">
        <v>20865</v>
      </c>
      <c r="M988" s="150" t="str">
        <f t="shared" ref="M988:M989" si="637">HYPERLINK("twitter.com/tvcc_softball","@tvcc_softball")</f>
        <v>@tvcc_softball</v>
      </c>
      <c r="N988" s="152" t="str">
        <f t="shared" ref="N988:N989" si="638">HYPERLINK("https://www.gochuks.com/information/Recruits","Questionnaire")</f>
        <v>Questionnaire</v>
      </c>
      <c r="O988" s="48" t="s">
        <v>20866</v>
      </c>
      <c r="P988" s="60" t="s">
        <v>3670</v>
      </c>
      <c r="Q988" s="48" t="s">
        <v>20867</v>
      </c>
      <c r="R988" s="48" t="s">
        <v>172</v>
      </c>
      <c r="S988" s="49" t="s">
        <v>74</v>
      </c>
      <c r="T988" s="48" t="s">
        <v>75</v>
      </c>
      <c r="U988" s="49" t="s">
        <v>3678</v>
      </c>
      <c r="V988" s="7" t="s">
        <v>214</v>
      </c>
      <c r="W988" s="49" t="s">
        <v>214</v>
      </c>
      <c r="X988" s="49" t="s">
        <v>214</v>
      </c>
      <c r="Y988" s="49" t="s">
        <v>214</v>
      </c>
      <c r="Z988" s="55" t="s">
        <v>214</v>
      </c>
      <c r="AA988" s="48" t="s">
        <v>20868</v>
      </c>
      <c r="AB988" s="52" t="s">
        <v>20866</v>
      </c>
      <c r="AC988" s="67" t="str">
        <f t="shared" ref="AC988:AC989" si="639">HYPERLINK("http://www.tvcc.cc/academics/","Link")</f>
        <v>Link</v>
      </c>
      <c r="AD988" s="42">
        <v>2017</v>
      </c>
      <c r="AE988" s="55"/>
      <c r="AF988" s="55"/>
      <c r="AG988" s="56">
        <v>210234</v>
      </c>
      <c r="AH988" s="56"/>
      <c r="AI988" s="56"/>
      <c r="AJ988" s="56"/>
      <c r="AK988" s="56"/>
    </row>
    <row r="989" spans="1:37" ht="15" x14ac:dyDescent="0.2">
      <c r="A989" s="64" t="s">
        <v>9218</v>
      </c>
      <c r="B989" s="33" t="s">
        <v>12632</v>
      </c>
      <c r="C989" s="7" t="s">
        <v>20869</v>
      </c>
      <c r="D989" s="112">
        <v>5</v>
      </c>
      <c r="E989" s="7"/>
      <c r="F989" s="7"/>
      <c r="G989" s="2" t="s">
        <v>20862</v>
      </c>
      <c r="H989" s="2" t="s">
        <v>3899</v>
      </c>
      <c r="I989" s="2" t="s">
        <v>20870</v>
      </c>
      <c r="J989" s="2" t="s">
        <v>55</v>
      </c>
      <c r="K989" s="2"/>
      <c r="L989" s="2" t="s">
        <v>20871</v>
      </c>
      <c r="M989" s="150" t="str">
        <f t="shared" si="637"/>
        <v>@tvcc_softball</v>
      </c>
      <c r="N989" s="152" t="str">
        <f t="shared" si="638"/>
        <v>Questionnaire</v>
      </c>
      <c r="O989" s="48" t="s">
        <v>20866</v>
      </c>
      <c r="P989" s="60" t="s">
        <v>3670</v>
      </c>
      <c r="Q989" s="48" t="s">
        <v>20867</v>
      </c>
      <c r="R989" s="48" t="s">
        <v>172</v>
      </c>
      <c r="S989" s="49" t="s">
        <v>74</v>
      </c>
      <c r="T989" s="48" t="s">
        <v>75</v>
      </c>
      <c r="U989" s="49" t="s">
        <v>3678</v>
      </c>
      <c r="V989" s="7" t="s">
        <v>214</v>
      </c>
      <c r="W989" s="49" t="s">
        <v>214</v>
      </c>
      <c r="X989" s="49" t="s">
        <v>214</v>
      </c>
      <c r="Y989" s="49" t="s">
        <v>214</v>
      </c>
      <c r="Z989" s="55" t="s">
        <v>214</v>
      </c>
      <c r="AA989" s="48" t="s">
        <v>20868</v>
      </c>
      <c r="AB989" s="52" t="s">
        <v>20866</v>
      </c>
      <c r="AC989" s="67" t="str">
        <f t="shared" si="639"/>
        <v>Link</v>
      </c>
      <c r="AD989" s="42">
        <v>2017</v>
      </c>
      <c r="AE989" s="55"/>
      <c r="AF989" s="55"/>
      <c r="AG989" s="56">
        <v>210234</v>
      </c>
      <c r="AH989" s="56"/>
      <c r="AI989" s="56"/>
      <c r="AJ989" s="56"/>
      <c r="AK989" s="56"/>
    </row>
    <row r="990" spans="1:37" ht="15" x14ac:dyDescent="0.2">
      <c r="A990" s="64" t="s">
        <v>7298</v>
      </c>
      <c r="B990" s="36" t="s">
        <v>12632</v>
      </c>
      <c r="C990" s="7" t="s">
        <v>20872</v>
      </c>
      <c r="D990" s="112">
        <v>5</v>
      </c>
      <c r="E990" s="7"/>
      <c r="F990" s="7"/>
      <c r="G990" s="2" t="s">
        <v>20873</v>
      </c>
      <c r="H990" s="2" t="s">
        <v>2200</v>
      </c>
      <c r="I990" s="2" t="s">
        <v>20874</v>
      </c>
      <c r="J990" s="2" t="s">
        <v>48</v>
      </c>
      <c r="K990" s="2" t="s">
        <v>20875</v>
      </c>
      <c r="L990" s="2" t="s">
        <v>20876</v>
      </c>
      <c r="M990" s="150" t="str">
        <f t="shared" ref="M990:M991" si="640">HYPERLINK("twitter.com/buckssoftball1","@buckssoftball1")</f>
        <v>@buckssoftball1</v>
      </c>
      <c r="N990" s="152" t="str">
        <f t="shared" ref="N990:N991" si="641">HYPERLINK("http://athletics.bucks.edu/information/recruit_me_form","Questionnaire")</f>
        <v>Questionnaire</v>
      </c>
      <c r="O990" s="48" t="s">
        <v>20877</v>
      </c>
      <c r="P990" s="47" t="s">
        <v>1231</v>
      </c>
      <c r="Q990" s="48" t="s">
        <v>20878</v>
      </c>
      <c r="R990" s="60" t="s">
        <v>205</v>
      </c>
      <c r="S990" s="49" t="s">
        <v>74</v>
      </c>
      <c r="T990" s="48" t="s">
        <v>75</v>
      </c>
      <c r="U990" s="49" t="s">
        <v>3678</v>
      </c>
      <c r="V990" s="7" t="s">
        <v>214</v>
      </c>
      <c r="W990" s="49" t="s">
        <v>214</v>
      </c>
      <c r="X990" s="49" t="s">
        <v>214</v>
      </c>
      <c r="Y990" s="49" t="s">
        <v>214</v>
      </c>
      <c r="Z990" s="55" t="s">
        <v>214</v>
      </c>
      <c r="AA990" s="54" t="s">
        <v>20879</v>
      </c>
      <c r="AB990" s="72" t="s">
        <v>20877</v>
      </c>
      <c r="AC990" s="67" t="str">
        <f t="shared" ref="AC990:AC991" si="642">HYPERLINK("http://www.bucks.edu/academics/courses/majors/","Link")</f>
        <v>Link</v>
      </c>
      <c r="AD990" s="54">
        <v>7784</v>
      </c>
      <c r="AE990" s="55"/>
      <c r="AF990" s="55"/>
      <c r="AG990" s="56">
        <v>211307</v>
      </c>
      <c r="AH990" s="56"/>
      <c r="AI990" s="56"/>
      <c r="AJ990" s="56"/>
      <c r="AK990" s="56"/>
    </row>
    <row r="991" spans="1:37" ht="15" x14ac:dyDescent="0.2">
      <c r="A991" s="64" t="s">
        <v>7298</v>
      </c>
      <c r="B991" s="36" t="s">
        <v>12632</v>
      </c>
      <c r="C991" s="7" t="s">
        <v>20880</v>
      </c>
      <c r="D991" s="112">
        <v>5</v>
      </c>
      <c r="E991" s="7"/>
      <c r="F991" s="7"/>
      <c r="G991" s="2" t="s">
        <v>20873</v>
      </c>
      <c r="H991" s="2" t="s">
        <v>981</v>
      </c>
      <c r="I991" s="2" t="s">
        <v>7390</v>
      </c>
      <c r="J991" s="2" t="s">
        <v>55</v>
      </c>
      <c r="K991" s="2"/>
      <c r="L991" s="2"/>
      <c r="M991" s="150" t="str">
        <f t="shared" si="640"/>
        <v>@buckssoftball1</v>
      </c>
      <c r="N991" s="152" t="str">
        <f t="shared" si="641"/>
        <v>Questionnaire</v>
      </c>
      <c r="O991" s="48" t="s">
        <v>20877</v>
      </c>
      <c r="P991" s="47" t="s">
        <v>1231</v>
      </c>
      <c r="Q991" s="48" t="s">
        <v>20878</v>
      </c>
      <c r="R991" s="60" t="s">
        <v>205</v>
      </c>
      <c r="S991" s="49" t="s">
        <v>74</v>
      </c>
      <c r="T991" s="48" t="s">
        <v>75</v>
      </c>
      <c r="U991" s="49" t="s">
        <v>3678</v>
      </c>
      <c r="V991" s="7" t="s">
        <v>214</v>
      </c>
      <c r="W991" s="49" t="s">
        <v>214</v>
      </c>
      <c r="X991" s="49" t="s">
        <v>214</v>
      </c>
      <c r="Y991" s="49" t="s">
        <v>214</v>
      </c>
      <c r="Z991" s="55" t="s">
        <v>214</v>
      </c>
      <c r="AA991" s="54" t="s">
        <v>20879</v>
      </c>
      <c r="AB991" s="72" t="s">
        <v>20877</v>
      </c>
      <c r="AC991" s="67" t="str">
        <f t="shared" si="642"/>
        <v>Link</v>
      </c>
      <c r="AD991" s="54">
        <v>7784</v>
      </c>
      <c r="AE991" s="55"/>
      <c r="AF991" s="55"/>
      <c r="AG991" s="56">
        <v>211307</v>
      </c>
      <c r="AH991" s="56"/>
      <c r="AI991" s="56"/>
      <c r="AJ991" s="56"/>
      <c r="AK991" s="56"/>
    </row>
    <row r="992" spans="1:37" ht="15" x14ac:dyDescent="0.2">
      <c r="A992" s="31" t="s">
        <v>7298</v>
      </c>
      <c r="B992" s="33" t="s">
        <v>12632</v>
      </c>
      <c r="C992" s="7"/>
      <c r="D992" s="112">
        <v>5</v>
      </c>
      <c r="E992" s="7"/>
      <c r="F992" s="112"/>
      <c r="G992" s="2" t="s">
        <v>20881</v>
      </c>
      <c r="H992" s="2" t="s">
        <v>2465</v>
      </c>
      <c r="I992" s="2" t="s">
        <v>20882</v>
      </c>
      <c r="J992" s="2" t="s">
        <v>48</v>
      </c>
      <c r="K992" s="2" t="s">
        <v>20883</v>
      </c>
      <c r="L992" s="2" t="s">
        <v>20884</v>
      </c>
      <c r="M992" s="48"/>
      <c r="N992" s="114" t="str">
        <f t="shared" ref="N992:N994" si="643">HYPERLINK("https://bc3.edu/campus/butler/athletics/interest-form.html","Questionnaire")</f>
        <v>Questionnaire</v>
      </c>
      <c r="O992" s="48" t="s">
        <v>20885</v>
      </c>
      <c r="P992" s="60" t="s">
        <v>1231</v>
      </c>
      <c r="Q992" s="48" t="s">
        <v>3078</v>
      </c>
      <c r="R992" s="48" t="s">
        <v>172</v>
      </c>
      <c r="S992" s="49" t="s">
        <v>74</v>
      </c>
      <c r="T992" s="48" t="s">
        <v>75</v>
      </c>
      <c r="U992" s="49" t="s">
        <v>3678</v>
      </c>
      <c r="V992" s="7" t="s">
        <v>214</v>
      </c>
      <c r="W992" s="49" t="s">
        <v>214</v>
      </c>
      <c r="X992" s="49" t="s">
        <v>214</v>
      </c>
      <c r="Y992" s="49" t="s">
        <v>214</v>
      </c>
      <c r="Z992" s="49" t="s">
        <v>214</v>
      </c>
      <c r="AA992" s="48" t="s">
        <v>20886</v>
      </c>
      <c r="AB992" s="90" t="s">
        <v>20885</v>
      </c>
      <c r="AC992" s="53" t="str">
        <f t="shared" ref="AC992:AC994" si="644">HYPERLINK("https://www.bc3.edu/programs-classes/degrees/index.html","Link")</f>
        <v>Link</v>
      </c>
      <c r="AD992" s="42">
        <v>3496</v>
      </c>
      <c r="AE992" s="55"/>
      <c r="AF992" s="55"/>
      <c r="AG992" s="56">
        <v>211343</v>
      </c>
      <c r="AH992" s="7" t="s">
        <v>2459</v>
      </c>
      <c r="AI992" s="7"/>
      <c r="AJ992" s="7"/>
      <c r="AK992" s="7"/>
    </row>
    <row r="993" spans="1:37" ht="15" x14ac:dyDescent="0.2">
      <c r="A993" s="31" t="s">
        <v>7298</v>
      </c>
      <c r="B993" s="33" t="s">
        <v>12632</v>
      </c>
      <c r="C993" s="7"/>
      <c r="D993" s="112">
        <v>5</v>
      </c>
      <c r="E993" s="7"/>
      <c r="F993" s="112"/>
      <c r="G993" s="2" t="s">
        <v>20881</v>
      </c>
      <c r="H993" s="2" t="s">
        <v>991</v>
      </c>
      <c r="I993" s="2" t="s">
        <v>812</v>
      </c>
      <c r="J993" s="2" t="s">
        <v>55</v>
      </c>
      <c r="K993" s="2"/>
      <c r="L993" s="2"/>
      <c r="M993" s="48"/>
      <c r="N993" s="114" t="str">
        <f t="shared" si="643"/>
        <v>Questionnaire</v>
      </c>
      <c r="O993" s="48" t="s">
        <v>20885</v>
      </c>
      <c r="P993" s="60" t="s">
        <v>1231</v>
      </c>
      <c r="Q993" s="48" t="s">
        <v>3078</v>
      </c>
      <c r="R993" s="48" t="s">
        <v>172</v>
      </c>
      <c r="S993" s="49" t="s">
        <v>74</v>
      </c>
      <c r="T993" s="48" t="s">
        <v>75</v>
      </c>
      <c r="U993" s="49" t="s">
        <v>3678</v>
      </c>
      <c r="V993" s="7" t="s">
        <v>214</v>
      </c>
      <c r="W993" s="49" t="s">
        <v>214</v>
      </c>
      <c r="X993" s="49" t="s">
        <v>214</v>
      </c>
      <c r="Y993" s="49" t="s">
        <v>214</v>
      </c>
      <c r="Z993" s="49" t="s">
        <v>214</v>
      </c>
      <c r="AA993" s="48" t="s">
        <v>20886</v>
      </c>
      <c r="AB993" s="90" t="s">
        <v>20885</v>
      </c>
      <c r="AC993" s="53" t="str">
        <f t="shared" si="644"/>
        <v>Link</v>
      </c>
      <c r="AD993" s="42">
        <v>3496</v>
      </c>
      <c r="AE993" s="55"/>
      <c r="AF993" s="55"/>
      <c r="AG993" s="56">
        <v>211343</v>
      </c>
      <c r="AH993" s="7" t="s">
        <v>2459</v>
      </c>
      <c r="AI993" s="7"/>
      <c r="AJ993" s="7"/>
      <c r="AK993" s="7"/>
    </row>
    <row r="994" spans="1:37" ht="15" x14ac:dyDescent="0.2">
      <c r="A994" s="31" t="s">
        <v>7298</v>
      </c>
      <c r="B994" s="33" t="s">
        <v>12632</v>
      </c>
      <c r="C994" s="7"/>
      <c r="D994" s="112">
        <v>5</v>
      </c>
      <c r="E994" s="7"/>
      <c r="F994" s="112"/>
      <c r="G994" s="2" t="s">
        <v>20881</v>
      </c>
      <c r="H994" s="2" t="s">
        <v>173</v>
      </c>
      <c r="I994" s="2" t="s">
        <v>894</v>
      </c>
      <c r="J994" s="2" t="s">
        <v>55</v>
      </c>
      <c r="K994" s="2"/>
      <c r="L994" s="2"/>
      <c r="M994" s="48"/>
      <c r="N994" s="114" t="str">
        <f t="shared" si="643"/>
        <v>Questionnaire</v>
      </c>
      <c r="O994" s="48" t="s">
        <v>20885</v>
      </c>
      <c r="P994" s="60" t="s">
        <v>1231</v>
      </c>
      <c r="Q994" s="48" t="s">
        <v>3078</v>
      </c>
      <c r="R994" s="48" t="s">
        <v>172</v>
      </c>
      <c r="S994" s="49" t="s">
        <v>74</v>
      </c>
      <c r="T994" s="48" t="s">
        <v>75</v>
      </c>
      <c r="U994" s="49" t="s">
        <v>3678</v>
      </c>
      <c r="V994" s="7" t="s">
        <v>214</v>
      </c>
      <c r="W994" s="49" t="s">
        <v>214</v>
      </c>
      <c r="X994" s="49" t="s">
        <v>214</v>
      </c>
      <c r="Y994" s="49" t="s">
        <v>214</v>
      </c>
      <c r="Z994" s="49" t="s">
        <v>214</v>
      </c>
      <c r="AA994" s="48" t="s">
        <v>20886</v>
      </c>
      <c r="AB994" s="90" t="s">
        <v>20885</v>
      </c>
      <c r="AC994" s="53" t="str">
        <f t="shared" si="644"/>
        <v>Link</v>
      </c>
      <c r="AD994" s="42">
        <v>3496</v>
      </c>
      <c r="AE994" s="55"/>
      <c r="AF994" s="55"/>
      <c r="AG994" s="56">
        <v>211343</v>
      </c>
      <c r="AH994" s="7" t="s">
        <v>2459</v>
      </c>
      <c r="AI994" s="7"/>
      <c r="AJ994" s="7"/>
      <c r="AK994" s="7"/>
    </row>
    <row r="995" spans="1:37" ht="15" x14ac:dyDescent="0.2">
      <c r="A995" s="64" t="s">
        <v>7298</v>
      </c>
      <c r="B995" s="33" t="s">
        <v>12632</v>
      </c>
      <c r="C995" s="7" t="s">
        <v>20887</v>
      </c>
      <c r="D995" s="112">
        <v>5</v>
      </c>
      <c r="E995" s="7"/>
      <c r="F995" s="7"/>
      <c r="G995" s="2" t="s">
        <v>20888</v>
      </c>
      <c r="H995" s="2" t="s">
        <v>2591</v>
      </c>
      <c r="I995" s="2" t="s">
        <v>20889</v>
      </c>
      <c r="J995" s="2" t="s">
        <v>48</v>
      </c>
      <c r="K995" s="2" t="s">
        <v>20890</v>
      </c>
      <c r="L995" s="2" t="s">
        <v>20891</v>
      </c>
      <c r="M995" s="48"/>
      <c r="N995" s="152" t="str">
        <f>HYPERLINK("https://ccacsouthsports.com/general/Recruiting_Form","Questionnaire")</f>
        <v>Questionnaire</v>
      </c>
      <c r="O995" s="48" t="s">
        <v>20892</v>
      </c>
      <c r="P995" s="60" t="s">
        <v>1231</v>
      </c>
      <c r="Q995" s="48" t="s">
        <v>1243</v>
      </c>
      <c r="R995" s="48" t="s">
        <v>354</v>
      </c>
      <c r="S995" s="5" t="s">
        <v>74</v>
      </c>
      <c r="T995" s="48" t="s">
        <v>75</v>
      </c>
      <c r="U995" s="49" t="s">
        <v>3678</v>
      </c>
      <c r="V995" s="7" t="s">
        <v>214</v>
      </c>
      <c r="W995" s="49" t="s">
        <v>214</v>
      </c>
      <c r="X995" s="49" t="s">
        <v>214</v>
      </c>
      <c r="Y995" s="49" t="s">
        <v>214</v>
      </c>
      <c r="Z995" s="55" t="s">
        <v>214</v>
      </c>
      <c r="AA995" s="48" t="s">
        <v>20893</v>
      </c>
      <c r="AB995" s="90" t="s">
        <v>20892</v>
      </c>
      <c r="AC995" s="67" t="str">
        <f>HYPERLINK("https://www.ccac.edu/Programs_and_Disciplines.aspx","Link")</f>
        <v>Link</v>
      </c>
      <c r="AD995" s="42">
        <v>16092</v>
      </c>
      <c r="AE995" s="55"/>
      <c r="AF995" s="55"/>
      <c r="AG995" s="56">
        <v>210605</v>
      </c>
      <c r="AH995" s="56"/>
      <c r="AI995" s="56"/>
      <c r="AJ995" s="56"/>
      <c r="AK995" s="56"/>
    </row>
    <row r="996" spans="1:37" ht="15" x14ac:dyDescent="0.2">
      <c r="A996" s="64" t="s">
        <v>7298</v>
      </c>
      <c r="B996" s="33" t="s">
        <v>12632</v>
      </c>
      <c r="C996" s="7" t="s">
        <v>20894</v>
      </c>
      <c r="D996" s="112">
        <v>5</v>
      </c>
      <c r="E996" s="7"/>
      <c r="F996" s="7"/>
      <c r="G996" s="2" t="s">
        <v>20895</v>
      </c>
      <c r="H996" s="2" t="s">
        <v>20896</v>
      </c>
      <c r="I996" s="2"/>
      <c r="J996" s="2" t="s">
        <v>20897</v>
      </c>
      <c r="K996" s="2" t="s">
        <v>20898</v>
      </c>
      <c r="L996" s="2" t="s">
        <v>20899</v>
      </c>
      <c r="M996" s="48"/>
      <c r="N996" s="152" t="str">
        <f t="shared" ref="N996:N997" si="645">HYPERLINK("https://ccbc.prestosports.com/information/recruits/Recruit_Questionnaire","Questionnaire")</f>
        <v>Questionnaire</v>
      </c>
      <c r="O996" s="48" t="s">
        <v>20900</v>
      </c>
      <c r="P996" s="60" t="s">
        <v>1231</v>
      </c>
      <c r="Q996" s="48" t="s">
        <v>20901</v>
      </c>
      <c r="R996" s="60" t="s">
        <v>205</v>
      </c>
      <c r="S996" s="49" t="s">
        <v>74</v>
      </c>
      <c r="T996" s="48" t="s">
        <v>75</v>
      </c>
      <c r="U996" s="49" t="s">
        <v>3678</v>
      </c>
      <c r="V996" s="7" t="s">
        <v>214</v>
      </c>
      <c r="W996" s="49" t="s">
        <v>214</v>
      </c>
      <c r="X996" s="49" t="s">
        <v>214</v>
      </c>
      <c r="Y996" s="49" t="s">
        <v>214</v>
      </c>
      <c r="Z996" s="55" t="s">
        <v>214</v>
      </c>
      <c r="AA996" s="48" t="s">
        <v>20902</v>
      </c>
      <c r="AB996" s="52" t="s">
        <v>20900</v>
      </c>
      <c r="AC996" s="67" t="str">
        <f t="shared" ref="AC996:AC997" si="646">HYPERLINK("http://www.ccbc.edu/ProgramsOffered","Link")</f>
        <v>Link</v>
      </c>
      <c r="AD996" s="42">
        <v>2373</v>
      </c>
      <c r="AE996" s="55"/>
      <c r="AF996" s="55"/>
      <c r="AG996" s="56">
        <v>211079</v>
      </c>
      <c r="AH996" s="56"/>
      <c r="AI996" s="56"/>
      <c r="AJ996" s="56"/>
      <c r="AK996" s="56"/>
    </row>
    <row r="997" spans="1:37" ht="15" x14ac:dyDescent="0.2">
      <c r="A997" s="64" t="s">
        <v>7298</v>
      </c>
      <c r="B997" s="33" t="s">
        <v>12632</v>
      </c>
      <c r="C997" s="7" t="s">
        <v>20903</v>
      </c>
      <c r="D997" s="112">
        <v>5</v>
      </c>
      <c r="E997" s="7"/>
      <c r="F997" s="7"/>
      <c r="G997" s="2" t="s">
        <v>20895</v>
      </c>
      <c r="H997" s="2" t="s">
        <v>421</v>
      </c>
      <c r="I997" s="2"/>
      <c r="J997" s="2" t="s">
        <v>48</v>
      </c>
      <c r="K997" s="2"/>
      <c r="L997" s="2"/>
      <c r="M997" s="48"/>
      <c r="N997" s="152" t="str">
        <f t="shared" si="645"/>
        <v>Questionnaire</v>
      </c>
      <c r="O997" s="48" t="s">
        <v>20900</v>
      </c>
      <c r="P997" s="60" t="s">
        <v>1231</v>
      </c>
      <c r="Q997" s="48" t="s">
        <v>20901</v>
      </c>
      <c r="R997" s="60" t="s">
        <v>205</v>
      </c>
      <c r="S997" s="49" t="s">
        <v>74</v>
      </c>
      <c r="T997" s="48" t="s">
        <v>75</v>
      </c>
      <c r="U997" s="49" t="s">
        <v>3678</v>
      </c>
      <c r="V997" s="7" t="s">
        <v>214</v>
      </c>
      <c r="W997" s="49" t="s">
        <v>214</v>
      </c>
      <c r="X997" s="49" t="s">
        <v>214</v>
      </c>
      <c r="Y997" s="49" t="s">
        <v>214</v>
      </c>
      <c r="Z997" s="55" t="s">
        <v>214</v>
      </c>
      <c r="AA997" s="48" t="s">
        <v>20902</v>
      </c>
      <c r="AB997" s="52" t="s">
        <v>20900</v>
      </c>
      <c r="AC997" s="67" t="str">
        <f t="shared" si="646"/>
        <v>Link</v>
      </c>
      <c r="AD997" s="42">
        <v>2373</v>
      </c>
      <c r="AE997" s="55"/>
      <c r="AF997" s="55"/>
      <c r="AG997" s="56">
        <v>211079</v>
      </c>
      <c r="AH997" s="56"/>
      <c r="AI997" s="56"/>
      <c r="AJ997" s="56"/>
      <c r="AK997" s="56"/>
    </row>
    <row r="998" spans="1:37" ht="15" x14ac:dyDescent="0.2">
      <c r="A998" s="64" t="s">
        <v>7298</v>
      </c>
      <c r="B998" s="33" t="s">
        <v>12632</v>
      </c>
      <c r="C998" s="7" t="s">
        <v>20904</v>
      </c>
      <c r="D998" s="44">
        <v>5</v>
      </c>
      <c r="E998" s="7" t="s">
        <v>116</v>
      </c>
      <c r="F998" s="7"/>
      <c r="G998" s="2" t="s">
        <v>20905</v>
      </c>
      <c r="H998" s="7" t="s">
        <v>4036</v>
      </c>
      <c r="I998" s="7" t="s">
        <v>3498</v>
      </c>
      <c r="J998" s="7" t="s">
        <v>55</v>
      </c>
      <c r="K998" s="7"/>
      <c r="L998" s="7"/>
      <c r="M998" s="150" t="str">
        <f t="shared" ref="M998:M1004" si="647">HYPERLINK("twitter.com/lc_ladyfalcons","@lc_ladyfalcons")</f>
        <v>@lc_ladyfalcons</v>
      </c>
      <c r="N998" s="152" t="str">
        <f t="shared" ref="N998:N1004" si="648">HYPERLINK("http://explore.lackawanna.edu/athletics/inquiryform","Questionnaire")</f>
        <v>Questionnaire</v>
      </c>
      <c r="O998" s="48" t="s">
        <v>20906</v>
      </c>
      <c r="P998" s="60" t="s">
        <v>1231</v>
      </c>
      <c r="Q998" s="48" t="s">
        <v>13366</v>
      </c>
      <c r="R998" s="48" t="s">
        <v>238</v>
      </c>
      <c r="S998" s="49" t="s">
        <v>74</v>
      </c>
      <c r="T998" s="48" t="s">
        <v>75</v>
      </c>
      <c r="U998" s="49" t="s">
        <v>3678</v>
      </c>
      <c r="V998" s="7" t="s">
        <v>214</v>
      </c>
      <c r="W998" s="49" t="s">
        <v>214</v>
      </c>
      <c r="X998" s="49" t="s">
        <v>214</v>
      </c>
      <c r="Y998" s="49" t="s">
        <v>214</v>
      </c>
      <c r="Z998" s="55" t="s">
        <v>214</v>
      </c>
      <c r="AA998" s="39">
        <v>27490</v>
      </c>
      <c r="AB998" s="84" t="s">
        <v>20906</v>
      </c>
      <c r="AC998" s="67" t="str">
        <f t="shared" ref="AC998:AC1004" si="649">HYPERLINK("http://www.lackawanna.edu/academics/majors-and-certificates/","Link")</f>
        <v>Link</v>
      </c>
      <c r="AD998" s="42">
        <v>1489</v>
      </c>
      <c r="AE998" s="55"/>
      <c r="AF998" s="55"/>
      <c r="AG998" s="56">
        <v>213376</v>
      </c>
      <c r="AH998" s="85"/>
      <c r="AI998" s="85"/>
      <c r="AJ998" s="56"/>
      <c r="AK998" s="56"/>
    </row>
    <row r="999" spans="1:37" ht="15" x14ac:dyDescent="0.2">
      <c r="A999" s="64" t="s">
        <v>7298</v>
      </c>
      <c r="B999" s="33" t="s">
        <v>12632</v>
      </c>
      <c r="C999" s="7" t="s">
        <v>20907</v>
      </c>
      <c r="D999" s="112">
        <v>5</v>
      </c>
      <c r="E999" s="7"/>
      <c r="F999" s="7"/>
      <c r="G999" s="2" t="s">
        <v>20905</v>
      </c>
      <c r="H999" s="2" t="s">
        <v>94</v>
      </c>
      <c r="I999" s="2" t="s">
        <v>20908</v>
      </c>
      <c r="J999" s="2" t="s">
        <v>48</v>
      </c>
      <c r="K999" s="2" t="s">
        <v>20909</v>
      </c>
      <c r="L999" s="2" t="s">
        <v>20910</v>
      </c>
      <c r="M999" s="150" t="str">
        <f t="shared" si="647"/>
        <v>@lc_ladyfalcons</v>
      </c>
      <c r="N999" s="152" t="str">
        <f t="shared" si="648"/>
        <v>Questionnaire</v>
      </c>
      <c r="O999" s="48" t="s">
        <v>20906</v>
      </c>
      <c r="P999" s="60" t="s">
        <v>1231</v>
      </c>
      <c r="Q999" s="48" t="s">
        <v>13366</v>
      </c>
      <c r="R999" s="48" t="s">
        <v>238</v>
      </c>
      <c r="S999" s="49" t="s">
        <v>74</v>
      </c>
      <c r="T999" s="48" t="s">
        <v>75</v>
      </c>
      <c r="U999" s="49" t="s">
        <v>3678</v>
      </c>
      <c r="V999" s="7" t="s">
        <v>214</v>
      </c>
      <c r="W999" s="49" t="s">
        <v>214</v>
      </c>
      <c r="X999" s="49" t="s">
        <v>214</v>
      </c>
      <c r="Y999" s="49" t="s">
        <v>214</v>
      </c>
      <c r="Z999" s="55" t="s">
        <v>214</v>
      </c>
      <c r="AA999" s="39">
        <v>27490</v>
      </c>
      <c r="AB999" s="84" t="s">
        <v>20906</v>
      </c>
      <c r="AC999" s="67" t="str">
        <f t="shared" si="649"/>
        <v>Link</v>
      </c>
      <c r="AD999" s="42">
        <v>1489</v>
      </c>
      <c r="AE999" s="55"/>
      <c r="AF999" s="55"/>
      <c r="AG999" s="56">
        <v>213376</v>
      </c>
      <c r="AH999" s="56"/>
      <c r="AI999" s="56"/>
      <c r="AJ999" s="56"/>
      <c r="AK999" s="56"/>
    </row>
    <row r="1000" spans="1:37" ht="15" x14ac:dyDescent="0.2">
      <c r="A1000" s="64" t="s">
        <v>7298</v>
      </c>
      <c r="B1000" s="33" t="s">
        <v>12632</v>
      </c>
      <c r="C1000" s="7" t="s">
        <v>20911</v>
      </c>
      <c r="D1000" s="112">
        <v>5</v>
      </c>
      <c r="E1000" s="7"/>
      <c r="F1000" s="7"/>
      <c r="G1000" s="2" t="s">
        <v>20905</v>
      </c>
      <c r="H1000" s="2" t="s">
        <v>329</v>
      </c>
      <c r="I1000" s="2" t="s">
        <v>11847</v>
      </c>
      <c r="J1000" s="2" t="s">
        <v>55</v>
      </c>
      <c r="K1000" s="2" t="s">
        <v>20912</v>
      </c>
      <c r="L1000" s="2" t="s">
        <v>20913</v>
      </c>
      <c r="M1000" s="150" t="str">
        <f t="shared" si="647"/>
        <v>@lc_ladyfalcons</v>
      </c>
      <c r="N1000" s="152" t="str">
        <f t="shared" si="648"/>
        <v>Questionnaire</v>
      </c>
      <c r="O1000" s="48" t="s">
        <v>20906</v>
      </c>
      <c r="P1000" s="60" t="s">
        <v>1231</v>
      </c>
      <c r="Q1000" s="48" t="s">
        <v>13366</v>
      </c>
      <c r="R1000" s="48" t="s">
        <v>238</v>
      </c>
      <c r="S1000" s="49" t="s">
        <v>74</v>
      </c>
      <c r="T1000" s="48" t="s">
        <v>75</v>
      </c>
      <c r="U1000" s="49" t="s">
        <v>3678</v>
      </c>
      <c r="V1000" s="7" t="s">
        <v>214</v>
      </c>
      <c r="W1000" s="49" t="s">
        <v>214</v>
      </c>
      <c r="X1000" s="49" t="s">
        <v>214</v>
      </c>
      <c r="Y1000" s="49" t="s">
        <v>214</v>
      </c>
      <c r="Z1000" s="55" t="s">
        <v>214</v>
      </c>
      <c r="AA1000" s="39">
        <v>27490</v>
      </c>
      <c r="AB1000" s="84" t="s">
        <v>20906</v>
      </c>
      <c r="AC1000" s="67" t="str">
        <f t="shared" si="649"/>
        <v>Link</v>
      </c>
      <c r="AD1000" s="42">
        <v>1489</v>
      </c>
      <c r="AE1000" s="55"/>
      <c r="AF1000" s="55"/>
      <c r="AG1000" s="56">
        <v>213376</v>
      </c>
      <c r="AH1000" s="56"/>
      <c r="AI1000" s="56"/>
      <c r="AJ1000" s="56"/>
      <c r="AK1000" s="56"/>
    </row>
    <row r="1001" spans="1:37" ht="15" x14ac:dyDescent="0.2">
      <c r="A1001" s="64" t="s">
        <v>7298</v>
      </c>
      <c r="B1001" s="33" t="s">
        <v>12632</v>
      </c>
      <c r="C1001" s="7" t="s">
        <v>20914</v>
      </c>
      <c r="D1001" s="112">
        <v>5</v>
      </c>
      <c r="E1001" s="7"/>
      <c r="F1001" s="7"/>
      <c r="G1001" s="2" t="s">
        <v>20905</v>
      </c>
      <c r="H1001" s="2" t="s">
        <v>481</v>
      </c>
      <c r="I1001" s="2" t="s">
        <v>20915</v>
      </c>
      <c r="J1001" s="2" t="s">
        <v>55</v>
      </c>
      <c r="K1001" s="2" t="s">
        <v>20916</v>
      </c>
      <c r="L1001" s="2" t="s">
        <v>20913</v>
      </c>
      <c r="M1001" s="150" t="str">
        <f t="shared" si="647"/>
        <v>@lc_ladyfalcons</v>
      </c>
      <c r="N1001" s="152" t="str">
        <f t="shared" si="648"/>
        <v>Questionnaire</v>
      </c>
      <c r="O1001" s="48" t="s">
        <v>20906</v>
      </c>
      <c r="P1001" s="60" t="s">
        <v>1231</v>
      </c>
      <c r="Q1001" s="48" t="s">
        <v>13366</v>
      </c>
      <c r="R1001" s="48" t="s">
        <v>238</v>
      </c>
      <c r="S1001" s="49" t="s">
        <v>74</v>
      </c>
      <c r="T1001" s="48" t="s">
        <v>75</v>
      </c>
      <c r="U1001" s="49" t="s">
        <v>3678</v>
      </c>
      <c r="V1001" s="7" t="s">
        <v>214</v>
      </c>
      <c r="W1001" s="49" t="s">
        <v>214</v>
      </c>
      <c r="X1001" s="49" t="s">
        <v>214</v>
      </c>
      <c r="Y1001" s="49" t="s">
        <v>214</v>
      </c>
      <c r="Z1001" s="55" t="s">
        <v>214</v>
      </c>
      <c r="AA1001" s="39">
        <v>27490</v>
      </c>
      <c r="AB1001" s="84" t="s">
        <v>20906</v>
      </c>
      <c r="AC1001" s="67" t="str">
        <f t="shared" si="649"/>
        <v>Link</v>
      </c>
      <c r="AD1001" s="42">
        <v>1489</v>
      </c>
      <c r="AE1001" s="55"/>
      <c r="AF1001" s="55"/>
      <c r="AG1001" s="56">
        <v>213376</v>
      </c>
      <c r="AH1001" s="56"/>
      <c r="AI1001" s="56"/>
      <c r="AJ1001" s="56"/>
      <c r="AK1001" s="56"/>
    </row>
    <row r="1002" spans="1:37" ht="15" x14ac:dyDescent="0.2">
      <c r="A1002" s="64" t="s">
        <v>7298</v>
      </c>
      <c r="B1002" s="33" t="s">
        <v>12632</v>
      </c>
      <c r="C1002" s="7" t="s">
        <v>20917</v>
      </c>
      <c r="D1002" s="112">
        <v>5</v>
      </c>
      <c r="E1002" s="7"/>
      <c r="F1002" s="7"/>
      <c r="G1002" s="2" t="s">
        <v>20905</v>
      </c>
      <c r="H1002" s="2" t="s">
        <v>930</v>
      </c>
      <c r="I1002" s="2" t="s">
        <v>20918</v>
      </c>
      <c r="J1002" s="2" t="s">
        <v>919</v>
      </c>
      <c r="K1002" s="2" t="s">
        <v>20919</v>
      </c>
      <c r="L1002" s="2" t="s">
        <v>20913</v>
      </c>
      <c r="M1002" s="150" t="str">
        <f t="shared" si="647"/>
        <v>@lc_ladyfalcons</v>
      </c>
      <c r="N1002" s="152" t="str">
        <f t="shared" si="648"/>
        <v>Questionnaire</v>
      </c>
      <c r="O1002" s="48" t="s">
        <v>20906</v>
      </c>
      <c r="P1002" s="60" t="s">
        <v>1231</v>
      </c>
      <c r="Q1002" s="48" t="s">
        <v>13366</v>
      </c>
      <c r="R1002" s="48" t="s">
        <v>238</v>
      </c>
      <c r="S1002" s="49" t="s">
        <v>74</v>
      </c>
      <c r="T1002" s="48" t="s">
        <v>75</v>
      </c>
      <c r="U1002" s="49" t="s">
        <v>3678</v>
      </c>
      <c r="V1002" s="7" t="s">
        <v>214</v>
      </c>
      <c r="W1002" s="49" t="s">
        <v>214</v>
      </c>
      <c r="X1002" s="49" t="s">
        <v>214</v>
      </c>
      <c r="Y1002" s="49" t="s">
        <v>214</v>
      </c>
      <c r="Z1002" s="55" t="s">
        <v>214</v>
      </c>
      <c r="AA1002" s="39">
        <v>27490</v>
      </c>
      <c r="AB1002" s="84" t="s">
        <v>20906</v>
      </c>
      <c r="AC1002" s="67" t="str">
        <f t="shared" si="649"/>
        <v>Link</v>
      </c>
      <c r="AD1002" s="42">
        <v>1489</v>
      </c>
      <c r="AE1002" s="55"/>
      <c r="AF1002" s="55"/>
      <c r="AG1002" s="56">
        <v>213376</v>
      </c>
      <c r="AH1002" s="56"/>
      <c r="AI1002" s="56"/>
      <c r="AJ1002" s="56"/>
      <c r="AK1002" s="56"/>
    </row>
    <row r="1003" spans="1:37" ht="15" x14ac:dyDescent="0.2">
      <c r="A1003" s="64" t="s">
        <v>7298</v>
      </c>
      <c r="B1003" s="33" t="s">
        <v>12632</v>
      </c>
      <c r="C1003" s="7" t="s">
        <v>20920</v>
      </c>
      <c r="D1003" s="112">
        <v>5</v>
      </c>
      <c r="E1003" s="7"/>
      <c r="F1003" s="7"/>
      <c r="G1003" s="2" t="s">
        <v>20905</v>
      </c>
      <c r="H1003" s="2" t="s">
        <v>3315</v>
      </c>
      <c r="I1003" s="2" t="s">
        <v>20921</v>
      </c>
      <c r="J1003" s="2" t="s">
        <v>55</v>
      </c>
      <c r="K1003" s="2"/>
      <c r="L1003" s="2"/>
      <c r="M1003" s="150" t="str">
        <f t="shared" si="647"/>
        <v>@lc_ladyfalcons</v>
      </c>
      <c r="N1003" s="152" t="str">
        <f t="shared" si="648"/>
        <v>Questionnaire</v>
      </c>
      <c r="O1003" s="48" t="s">
        <v>20906</v>
      </c>
      <c r="P1003" s="60" t="s">
        <v>1231</v>
      </c>
      <c r="Q1003" s="48" t="s">
        <v>13366</v>
      </c>
      <c r="R1003" s="48" t="s">
        <v>238</v>
      </c>
      <c r="S1003" s="49" t="s">
        <v>74</v>
      </c>
      <c r="T1003" s="48" t="s">
        <v>75</v>
      </c>
      <c r="U1003" s="49" t="s">
        <v>3678</v>
      </c>
      <c r="V1003" s="7" t="s">
        <v>214</v>
      </c>
      <c r="W1003" s="49" t="s">
        <v>214</v>
      </c>
      <c r="X1003" s="49" t="s">
        <v>214</v>
      </c>
      <c r="Y1003" s="49" t="s">
        <v>214</v>
      </c>
      <c r="Z1003" s="55" t="s">
        <v>214</v>
      </c>
      <c r="AA1003" s="39">
        <v>27490</v>
      </c>
      <c r="AB1003" s="84" t="s">
        <v>20906</v>
      </c>
      <c r="AC1003" s="67" t="str">
        <f t="shared" si="649"/>
        <v>Link</v>
      </c>
      <c r="AD1003" s="42">
        <v>1489</v>
      </c>
      <c r="AE1003" s="55"/>
      <c r="AF1003" s="55"/>
      <c r="AG1003" s="56">
        <v>213376</v>
      </c>
      <c r="AH1003" s="56"/>
      <c r="AI1003" s="56"/>
      <c r="AJ1003" s="56"/>
      <c r="AK1003" s="56"/>
    </row>
    <row r="1004" spans="1:37" ht="15" x14ac:dyDescent="0.2">
      <c r="A1004" s="64" t="s">
        <v>7298</v>
      </c>
      <c r="B1004" s="33" t="s">
        <v>12632</v>
      </c>
      <c r="C1004" s="7" t="s">
        <v>20922</v>
      </c>
      <c r="D1004" s="112">
        <v>5</v>
      </c>
      <c r="E1004" s="7"/>
      <c r="F1004" s="7"/>
      <c r="G1004" s="2" t="s">
        <v>20905</v>
      </c>
      <c r="H1004" s="2" t="s">
        <v>5585</v>
      </c>
      <c r="I1004" s="2" t="s">
        <v>20923</v>
      </c>
      <c r="J1004" s="2" t="s">
        <v>55</v>
      </c>
      <c r="K1004" s="2"/>
      <c r="L1004" s="2"/>
      <c r="M1004" s="150" t="str">
        <f t="shared" si="647"/>
        <v>@lc_ladyfalcons</v>
      </c>
      <c r="N1004" s="152" t="str">
        <f t="shared" si="648"/>
        <v>Questionnaire</v>
      </c>
      <c r="O1004" s="48" t="s">
        <v>20906</v>
      </c>
      <c r="P1004" s="60" t="s">
        <v>1231</v>
      </c>
      <c r="Q1004" s="48" t="s">
        <v>13366</v>
      </c>
      <c r="R1004" s="48" t="s">
        <v>238</v>
      </c>
      <c r="S1004" s="49" t="s">
        <v>74</v>
      </c>
      <c r="T1004" s="48" t="s">
        <v>75</v>
      </c>
      <c r="U1004" s="49" t="s">
        <v>3678</v>
      </c>
      <c r="V1004" s="7" t="s">
        <v>214</v>
      </c>
      <c r="W1004" s="49" t="s">
        <v>214</v>
      </c>
      <c r="X1004" s="49" t="s">
        <v>214</v>
      </c>
      <c r="Y1004" s="49" t="s">
        <v>214</v>
      </c>
      <c r="Z1004" s="55" t="s">
        <v>214</v>
      </c>
      <c r="AA1004" s="39">
        <v>27490</v>
      </c>
      <c r="AB1004" s="84" t="s">
        <v>20906</v>
      </c>
      <c r="AC1004" s="67" t="str">
        <f t="shared" si="649"/>
        <v>Link</v>
      </c>
      <c r="AD1004" s="42">
        <v>1489</v>
      </c>
      <c r="AE1004" s="55"/>
      <c r="AF1004" s="55"/>
      <c r="AG1004" s="56">
        <v>213376</v>
      </c>
      <c r="AH1004" s="56"/>
      <c r="AI1004" s="56"/>
      <c r="AJ1004" s="56"/>
      <c r="AK1004" s="56"/>
    </row>
    <row r="1005" spans="1:37" ht="15" x14ac:dyDescent="0.2">
      <c r="A1005" s="64" t="s">
        <v>7298</v>
      </c>
      <c r="B1005" s="2" t="s">
        <v>12632</v>
      </c>
      <c r="C1005" s="7" t="s">
        <v>20924</v>
      </c>
      <c r="D1005" s="112">
        <v>5</v>
      </c>
      <c r="E1005" s="7"/>
      <c r="F1005" s="7"/>
      <c r="G1005" s="2" t="s">
        <v>20925</v>
      </c>
      <c r="H1005" s="2" t="s">
        <v>173</v>
      </c>
      <c r="I1005" s="2" t="s">
        <v>20926</v>
      </c>
      <c r="J1005" s="2" t="s">
        <v>48</v>
      </c>
      <c r="K1005" s="2" t="s">
        <v>20927</v>
      </c>
      <c r="L1005" s="2" t="s">
        <v>20928</v>
      </c>
      <c r="M1005" s="150" t="str">
        <f t="shared" ref="M1005:M1008" si="650">HYPERLINK("twitter.com/lccc_softball","@lccc_softball")</f>
        <v>@lccc_softball</v>
      </c>
      <c r="N1005" s="152" t="str">
        <f t="shared" ref="N1005:N1008" si="651">HYPERLINK("https://gocougarsports.com/sb_output.aspx?form=3","Questionnaire")</f>
        <v>Questionnaire</v>
      </c>
      <c r="O1005" s="48" t="s">
        <v>20929</v>
      </c>
      <c r="P1005" s="47" t="s">
        <v>1231</v>
      </c>
      <c r="Q1005" s="48" t="s">
        <v>20930</v>
      </c>
      <c r="R1005" s="94" t="s">
        <v>205</v>
      </c>
      <c r="S1005" s="49" t="s">
        <v>74</v>
      </c>
      <c r="T1005" s="48" t="s">
        <v>75</v>
      </c>
      <c r="U1005" s="49" t="s">
        <v>3678</v>
      </c>
      <c r="V1005" s="7" t="s">
        <v>214</v>
      </c>
      <c r="W1005" s="49" t="s">
        <v>214</v>
      </c>
      <c r="X1005" s="49" t="s">
        <v>214</v>
      </c>
      <c r="Y1005" s="49" t="s">
        <v>214</v>
      </c>
      <c r="Z1005" s="55" t="s">
        <v>214</v>
      </c>
      <c r="AA1005" s="54" t="s">
        <v>20931</v>
      </c>
      <c r="AB1005" s="75" t="s">
        <v>20929</v>
      </c>
      <c r="AC1005" s="67" t="str">
        <f t="shared" ref="AC1005:AC1008" si="652">HYPERLINK("https://www.lccc.edu/academics","Link")</f>
        <v>Link</v>
      </c>
      <c r="AD1005" s="54">
        <v>6956</v>
      </c>
      <c r="AE1005" s="55"/>
      <c r="AF1005" s="55"/>
      <c r="AG1005" s="56">
        <v>213525</v>
      </c>
      <c r="AH1005" s="56"/>
      <c r="AI1005" s="56"/>
      <c r="AJ1005" s="56"/>
      <c r="AK1005" s="56"/>
    </row>
    <row r="1006" spans="1:37" ht="15" x14ac:dyDescent="0.2">
      <c r="A1006" s="64" t="s">
        <v>7298</v>
      </c>
      <c r="B1006" s="2" t="s">
        <v>12632</v>
      </c>
      <c r="C1006" s="7" t="s">
        <v>20932</v>
      </c>
      <c r="D1006" s="112">
        <v>5</v>
      </c>
      <c r="E1006" s="7"/>
      <c r="F1006" s="7"/>
      <c r="G1006" s="2" t="s">
        <v>20925</v>
      </c>
      <c r="H1006" s="2" t="s">
        <v>4233</v>
      </c>
      <c r="I1006" s="2" t="s">
        <v>20933</v>
      </c>
      <c r="J1006" s="2" t="s">
        <v>55</v>
      </c>
      <c r="K1006" s="2"/>
      <c r="L1006" s="2"/>
      <c r="M1006" s="150" t="str">
        <f t="shared" si="650"/>
        <v>@lccc_softball</v>
      </c>
      <c r="N1006" s="152" t="str">
        <f t="shared" si="651"/>
        <v>Questionnaire</v>
      </c>
      <c r="O1006" s="48" t="s">
        <v>20929</v>
      </c>
      <c r="P1006" s="47" t="s">
        <v>1231</v>
      </c>
      <c r="Q1006" s="48" t="s">
        <v>20930</v>
      </c>
      <c r="R1006" s="94" t="s">
        <v>205</v>
      </c>
      <c r="S1006" s="49" t="s">
        <v>74</v>
      </c>
      <c r="T1006" s="48" t="s">
        <v>75</v>
      </c>
      <c r="U1006" s="49" t="s">
        <v>3678</v>
      </c>
      <c r="V1006" s="7" t="s">
        <v>214</v>
      </c>
      <c r="W1006" s="49" t="s">
        <v>214</v>
      </c>
      <c r="X1006" s="49" t="s">
        <v>214</v>
      </c>
      <c r="Y1006" s="49" t="s">
        <v>214</v>
      </c>
      <c r="Z1006" s="55" t="s">
        <v>214</v>
      </c>
      <c r="AA1006" s="54" t="s">
        <v>20931</v>
      </c>
      <c r="AB1006" s="75" t="s">
        <v>20929</v>
      </c>
      <c r="AC1006" s="67" t="str">
        <f t="shared" si="652"/>
        <v>Link</v>
      </c>
      <c r="AD1006" s="54">
        <v>6956</v>
      </c>
      <c r="AE1006" s="55"/>
      <c r="AF1006" s="55"/>
      <c r="AG1006" s="56">
        <v>213525</v>
      </c>
      <c r="AH1006" s="56"/>
      <c r="AI1006" s="56"/>
      <c r="AJ1006" s="56"/>
      <c r="AK1006" s="56"/>
    </row>
    <row r="1007" spans="1:37" ht="15" x14ac:dyDescent="0.2">
      <c r="A1007" s="64" t="s">
        <v>7298</v>
      </c>
      <c r="B1007" s="2" t="s">
        <v>12632</v>
      </c>
      <c r="C1007" s="7" t="s">
        <v>20934</v>
      </c>
      <c r="D1007" s="112">
        <v>5</v>
      </c>
      <c r="E1007" s="7"/>
      <c r="F1007" s="7"/>
      <c r="G1007" s="2" t="s">
        <v>20925</v>
      </c>
      <c r="H1007" s="2" t="s">
        <v>135</v>
      </c>
      <c r="I1007" s="2" t="s">
        <v>4003</v>
      </c>
      <c r="J1007" s="2" t="s">
        <v>55</v>
      </c>
      <c r="K1007" s="2"/>
      <c r="L1007" s="2"/>
      <c r="M1007" s="150" t="str">
        <f t="shared" si="650"/>
        <v>@lccc_softball</v>
      </c>
      <c r="N1007" s="152" t="str">
        <f t="shared" si="651"/>
        <v>Questionnaire</v>
      </c>
      <c r="O1007" s="48" t="s">
        <v>20929</v>
      </c>
      <c r="P1007" s="47" t="s">
        <v>1231</v>
      </c>
      <c r="Q1007" s="48" t="s">
        <v>20930</v>
      </c>
      <c r="R1007" s="94" t="s">
        <v>205</v>
      </c>
      <c r="S1007" s="49" t="s">
        <v>74</v>
      </c>
      <c r="T1007" s="48" t="s">
        <v>75</v>
      </c>
      <c r="U1007" s="49" t="s">
        <v>3678</v>
      </c>
      <c r="V1007" s="7" t="s">
        <v>214</v>
      </c>
      <c r="W1007" s="49" t="s">
        <v>214</v>
      </c>
      <c r="X1007" s="49" t="s">
        <v>214</v>
      </c>
      <c r="Y1007" s="49" t="s">
        <v>214</v>
      </c>
      <c r="Z1007" s="55" t="s">
        <v>214</v>
      </c>
      <c r="AA1007" s="54" t="s">
        <v>20931</v>
      </c>
      <c r="AB1007" s="75" t="s">
        <v>20929</v>
      </c>
      <c r="AC1007" s="67" t="str">
        <f t="shared" si="652"/>
        <v>Link</v>
      </c>
      <c r="AD1007" s="54">
        <v>6956</v>
      </c>
      <c r="AE1007" s="55"/>
      <c r="AF1007" s="55"/>
      <c r="AG1007" s="56">
        <v>213525</v>
      </c>
      <c r="AH1007" s="56"/>
      <c r="AI1007" s="56"/>
      <c r="AJ1007" s="56"/>
      <c r="AK1007" s="56"/>
    </row>
    <row r="1008" spans="1:37" ht="15" x14ac:dyDescent="0.2">
      <c r="A1008" s="64" t="s">
        <v>7298</v>
      </c>
      <c r="B1008" s="2" t="s">
        <v>12632</v>
      </c>
      <c r="C1008" s="7" t="s">
        <v>20935</v>
      </c>
      <c r="D1008" s="112">
        <v>5</v>
      </c>
      <c r="E1008" s="7"/>
      <c r="F1008" s="7"/>
      <c r="G1008" s="2" t="s">
        <v>20925</v>
      </c>
      <c r="H1008" s="2" t="s">
        <v>2599</v>
      </c>
      <c r="I1008" s="2" t="s">
        <v>2570</v>
      </c>
      <c r="J1008" s="2" t="s">
        <v>55</v>
      </c>
      <c r="K1008" s="2"/>
      <c r="L1008" s="2"/>
      <c r="M1008" s="150" t="str">
        <f t="shared" si="650"/>
        <v>@lccc_softball</v>
      </c>
      <c r="N1008" s="152" t="str">
        <f t="shared" si="651"/>
        <v>Questionnaire</v>
      </c>
      <c r="O1008" s="48" t="s">
        <v>20929</v>
      </c>
      <c r="P1008" s="47" t="s">
        <v>1231</v>
      </c>
      <c r="Q1008" s="48" t="s">
        <v>20930</v>
      </c>
      <c r="R1008" s="94" t="s">
        <v>205</v>
      </c>
      <c r="S1008" s="49" t="s">
        <v>74</v>
      </c>
      <c r="T1008" s="48" t="s">
        <v>75</v>
      </c>
      <c r="U1008" s="49" t="s">
        <v>3678</v>
      </c>
      <c r="V1008" s="7" t="s">
        <v>214</v>
      </c>
      <c r="W1008" s="49" t="s">
        <v>214</v>
      </c>
      <c r="X1008" s="49" t="s">
        <v>214</v>
      </c>
      <c r="Y1008" s="49" t="s">
        <v>214</v>
      </c>
      <c r="Z1008" s="55" t="s">
        <v>214</v>
      </c>
      <c r="AA1008" s="54" t="s">
        <v>20931</v>
      </c>
      <c r="AB1008" s="75" t="s">
        <v>20929</v>
      </c>
      <c r="AC1008" s="67" t="str">
        <f t="shared" si="652"/>
        <v>Link</v>
      </c>
      <c r="AD1008" s="54">
        <v>6956</v>
      </c>
      <c r="AE1008" s="55"/>
      <c r="AF1008" s="55"/>
      <c r="AG1008" s="56">
        <v>213525</v>
      </c>
      <c r="AH1008" s="56"/>
      <c r="AI1008" s="56"/>
      <c r="AJ1008" s="56"/>
      <c r="AK1008" s="56"/>
    </row>
    <row r="1009" spans="1:37" ht="15" x14ac:dyDescent="0.2">
      <c r="A1009" s="31" t="s">
        <v>7298</v>
      </c>
      <c r="B1009" s="2" t="s">
        <v>12632</v>
      </c>
      <c r="C1009" s="7"/>
      <c r="D1009" s="112">
        <v>5</v>
      </c>
      <c r="E1009" s="7"/>
      <c r="F1009" s="112"/>
      <c r="G1009" s="2" t="s">
        <v>20936</v>
      </c>
      <c r="H1009" s="2" t="s">
        <v>15064</v>
      </c>
      <c r="I1009" s="2" t="s">
        <v>20937</v>
      </c>
      <c r="J1009" s="2" t="s">
        <v>48</v>
      </c>
      <c r="K1009" s="95" t="s">
        <v>20938</v>
      </c>
      <c r="L1009" s="2" t="s">
        <v>20939</v>
      </c>
      <c r="M1009" s="48"/>
      <c r="N1009" s="48" t="s">
        <v>22</v>
      </c>
      <c r="O1009" s="48" t="s">
        <v>20940</v>
      </c>
      <c r="P1009" s="47" t="s">
        <v>1231</v>
      </c>
      <c r="Q1009" s="48" t="s">
        <v>20941</v>
      </c>
      <c r="R1009" s="48" t="s">
        <v>172</v>
      </c>
      <c r="S1009" s="49" t="s">
        <v>74</v>
      </c>
      <c r="T1009" s="7" t="s">
        <v>75</v>
      </c>
      <c r="U1009" s="7" t="s">
        <v>3678</v>
      </c>
      <c r="V1009" s="7" t="s">
        <v>214</v>
      </c>
      <c r="W1009" s="49" t="s">
        <v>214</v>
      </c>
      <c r="X1009" s="49" t="s">
        <v>214</v>
      </c>
      <c r="Y1009" s="49" t="s">
        <v>214</v>
      </c>
      <c r="Z1009" s="55" t="s">
        <v>214</v>
      </c>
      <c r="AA1009" s="55" t="s">
        <v>20942</v>
      </c>
      <c r="AB1009" s="75" t="s">
        <v>20940</v>
      </c>
      <c r="AC1009" s="53" t="str">
        <f>HYPERLINK("https://www.luzerne.edu/academics/catalog2018/","Link")</f>
        <v>Link</v>
      </c>
      <c r="AD1009" s="54">
        <v>5360</v>
      </c>
      <c r="AE1009" s="55"/>
      <c r="AF1009" s="7"/>
      <c r="AG1009" s="56">
        <v>213659</v>
      </c>
      <c r="AH1009" s="7" t="s">
        <v>2459</v>
      </c>
      <c r="AI1009" s="7"/>
      <c r="AJ1009" s="7"/>
      <c r="AK1009" s="7"/>
    </row>
    <row r="1010" spans="1:37" ht="15" x14ac:dyDescent="0.2">
      <c r="A1010" s="64" t="s">
        <v>7298</v>
      </c>
      <c r="B1010" s="33" t="s">
        <v>12632</v>
      </c>
      <c r="C1010" s="7" t="s">
        <v>20943</v>
      </c>
      <c r="D1010" s="112">
        <v>5</v>
      </c>
      <c r="E1010" s="7"/>
      <c r="F1010" s="7"/>
      <c r="G1010" s="2" t="s">
        <v>20944</v>
      </c>
      <c r="H1010" s="2" t="s">
        <v>2790</v>
      </c>
      <c r="I1010" s="2" t="s">
        <v>20945</v>
      </c>
      <c r="J1010" s="2" t="s">
        <v>48</v>
      </c>
      <c r="K1010" s="2" t="s">
        <v>20946</v>
      </c>
      <c r="L1010" s="2" t="s">
        <v>20947</v>
      </c>
      <c r="M1010" s="48"/>
      <c r="N1010" s="152" t="str">
        <f t="shared" ref="N1010:N1011" si="653">HYPERLINK("https://www.mnesaints.com/recruits/Recruit_Page","Questionnaire")</f>
        <v>Questionnaire</v>
      </c>
      <c r="O1010" s="48" t="s">
        <v>20948</v>
      </c>
      <c r="P1010" s="60" t="s">
        <v>1231</v>
      </c>
      <c r="Q1010" s="48" t="s">
        <v>18818</v>
      </c>
      <c r="R1010" s="60" t="s">
        <v>205</v>
      </c>
      <c r="S1010" s="49" t="s">
        <v>63</v>
      </c>
      <c r="T1010" s="48" t="s">
        <v>343</v>
      </c>
      <c r="U1010" s="49" t="s">
        <v>3678</v>
      </c>
      <c r="V1010" s="7" t="s">
        <v>214</v>
      </c>
      <c r="W1010" s="49" t="s">
        <v>214</v>
      </c>
      <c r="X1010" s="49" t="s">
        <v>214</v>
      </c>
      <c r="Y1010" s="49" t="s">
        <v>214</v>
      </c>
      <c r="Z1010" s="49" t="s">
        <v>214</v>
      </c>
      <c r="AA1010" s="39">
        <v>30410</v>
      </c>
      <c r="AB1010" s="84" t="s">
        <v>20948</v>
      </c>
      <c r="AC1010" s="67" t="str">
        <f t="shared" ref="AC1010:AC1011" si="654">HYPERLINK("https://northeast.mercyhurst.edu/academics","Link")</f>
        <v>Link</v>
      </c>
      <c r="AD1010" s="42">
        <v>842</v>
      </c>
      <c r="AE1010" s="55"/>
      <c r="AF1010" s="55"/>
      <c r="AG1010" s="85"/>
      <c r="AH1010" s="85"/>
      <c r="AI1010" s="85"/>
      <c r="AJ1010" s="85"/>
      <c r="AK1010" s="85"/>
    </row>
    <row r="1011" spans="1:37" ht="15" x14ac:dyDescent="0.2">
      <c r="A1011" s="64" t="s">
        <v>7298</v>
      </c>
      <c r="B1011" s="33" t="s">
        <v>12632</v>
      </c>
      <c r="C1011" s="7" t="s">
        <v>20949</v>
      </c>
      <c r="D1011" s="112">
        <v>5</v>
      </c>
      <c r="E1011" s="7"/>
      <c r="F1011" s="7"/>
      <c r="G1011" s="2" t="s">
        <v>20944</v>
      </c>
      <c r="H1011" s="2" t="s">
        <v>3385</v>
      </c>
      <c r="I1011" s="2" t="s">
        <v>9770</v>
      </c>
      <c r="J1011" s="2" t="s">
        <v>55</v>
      </c>
      <c r="K1011" s="2"/>
      <c r="L1011" s="2"/>
      <c r="M1011" s="48"/>
      <c r="N1011" s="152" t="str">
        <f t="shared" si="653"/>
        <v>Questionnaire</v>
      </c>
      <c r="O1011" s="48" t="s">
        <v>20948</v>
      </c>
      <c r="P1011" s="60" t="s">
        <v>1231</v>
      </c>
      <c r="Q1011" s="48" t="s">
        <v>18818</v>
      </c>
      <c r="R1011" s="60" t="s">
        <v>205</v>
      </c>
      <c r="S1011" s="49" t="s">
        <v>63</v>
      </c>
      <c r="T1011" s="48" t="s">
        <v>343</v>
      </c>
      <c r="U1011" s="49" t="s">
        <v>3678</v>
      </c>
      <c r="V1011" s="7" t="s">
        <v>214</v>
      </c>
      <c r="W1011" s="49" t="s">
        <v>214</v>
      </c>
      <c r="X1011" s="49" t="s">
        <v>214</v>
      </c>
      <c r="Y1011" s="49" t="s">
        <v>214</v>
      </c>
      <c r="Z1011" s="49" t="s">
        <v>214</v>
      </c>
      <c r="AA1011" s="39">
        <v>30410</v>
      </c>
      <c r="AB1011" s="84" t="s">
        <v>20948</v>
      </c>
      <c r="AC1011" s="67" t="str">
        <f t="shared" si="654"/>
        <v>Link</v>
      </c>
      <c r="AD1011" s="42">
        <v>842</v>
      </c>
      <c r="AE1011" s="55"/>
      <c r="AF1011" s="55"/>
      <c r="AG1011" s="85"/>
      <c r="AH1011" s="85"/>
      <c r="AI1011" s="85"/>
      <c r="AJ1011" s="85"/>
      <c r="AK1011" s="85"/>
    </row>
    <row r="1012" spans="1:37" ht="15" x14ac:dyDescent="0.2">
      <c r="A1012" s="64" t="s">
        <v>7298</v>
      </c>
      <c r="B1012" s="36" t="s">
        <v>12632</v>
      </c>
      <c r="C1012" s="7" t="s">
        <v>20950</v>
      </c>
      <c r="D1012" s="112">
        <v>5</v>
      </c>
      <c r="E1012" s="7"/>
      <c r="F1012" s="7"/>
      <c r="G1012" s="2" t="s">
        <v>20951</v>
      </c>
      <c r="H1012" s="2" t="s">
        <v>9797</v>
      </c>
      <c r="I1012" s="2" t="s">
        <v>5980</v>
      </c>
      <c r="J1012" s="2" t="s">
        <v>48</v>
      </c>
      <c r="K1012" s="2" t="s">
        <v>20952</v>
      </c>
      <c r="L1012" s="2"/>
      <c r="M1012" s="48"/>
      <c r="N1012" s="152" t="str">
        <f t="shared" ref="N1012:N1014" si="655">HYPERLINK("https://mcraptors.com/information/Prospective_Athlete_Form","Questionnaire")</f>
        <v>Questionnaire</v>
      </c>
      <c r="O1012" s="48" t="s">
        <v>20953</v>
      </c>
      <c r="P1012" s="47" t="s">
        <v>1231</v>
      </c>
      <c r="Q1012" s="48" t="s">
        <v>20954</v>
      </c>
      <c r="R1012" s="94" t="s">
        <v>205</v>
      </c>
      <c r="S1012" s="73" t="s">
        <v>74</v>
      </c>
      <c r="T1012" s="48" t="s">
        <v>75</v>
      </c>
      <c r="U1012" s="49" t="s">
        <v>3678</v>
      </c>
      <c r="V1012" s="7" t="s">
        <v>214</v>
      </c>
      <c r="W1012" s="49" t="s">
        <v>214</v>
      </c>
      <c r="X1012" s="49" t="s">
        <v>214</v>
      </c>
      <c r="Y1012" s="49" t="s">
        <v>214</v>
      </c>
      <c r="Z1012" s="55" t="s">
        <v>214</v>
      </c>
      <c r="AA1012" s="54" t="s">
        <v>20955</v>
      </c>
      <c r="AB1012" s="75" t="s">
        <v>20953</v>
      </c>
      <c r="AC1012" s="67" t="str">
        <f t="shared" ref="AC1012:AC1014" si="656">HYPERLINK("https://www.mc3.edu/degrees-and-programs","Link")</f>
        <v>Link</v>
      </c>
      <c r="AD1012" s="54">
        <v>10392</v>
      </c>
      <c r="AE1012" s="55"/>
      <c r="AF1012" s="55"/>
      <c r="AG1012" s="56">
        <v>214111</v>
      </c>
      <c r="AH1012" s="56"/>
      <c r="AI1012" s="56"/>
      <c r="AJ1012" s="56"/>
      <c r="AK1012" s="56"/>
    </row>
    <row r="1013" spans="1:37" ht="15" x14ac:dyDescent="0.2">
      <c r="A1013" s="64" t="s">
        <v>7298</v>
      </c>
      <c r="B1013" s="36" t="s">
        <v>12632</v>
      </c>
      <c r="C1013" s="7" t="s">
        <v>20956</v>
      </c>
      <c r="D1013" s="112">
        <v>5</v>
      </c>
      <c r="E1013" s="7"/>
      <c r="F1013" s="7"/>
      <c r="G1013" s="2" t="s">
        <v>20951</v>
      </c>
      <c r="H1013" s="2" t="s">
        <v>9797</v>
      </c>
      <c r="I1013" s="2" t="s">
        <v>5980</v>
      </c>
      <c r="J1013" s="2" t="s">
        <v>1048</v>
      </c>
      <c r="K1013" s="95" t="s">
        <v>20957</v>
      </c>
      <c r="L1013" s="7"/>
      <c r="M1013" s="48"/>
      <c r="N1013" s="152" t="str">
        <f t="shared" si="655"/>
        <v>Questionnaire</v>
      </c>
      <c r="O1013" s="48" t="s">
        <v>20953</v>
      </c>
      <c r="P1013" s="47" t="s">
        <v>1231</v>
      </c>
      <c r="Q1013" s="48" t="s">
        <v>20954</v>
      </c>
      <c r="R1013" s="94" t="s">
        <v>205</v>
      </c>
      <c r="S1013" s="73" t="s">
        <v>74</v>
      </c>
      <c r="T1013" s="48" t="s">
        <v>75</v>
      </c>
      <c r="U1013" s="49" t="s">
        <v>3678</v>
      </c>
      <c r="V1013" s="7" t="s">
        <v>214</v>
      </c>
      <c r="W1013" s="49" t="s">
        <v>214</v>
      </c>
      <c r="X1013" s="49" t="s">
        <v>214</v>
      </c>
      <c r="Y1013" s="49" t="s">
        <v>214</v>
      </c>
      <c r="Z1013" s="55" t="s">
        <v>214</v>
      </c>
      <c r="AA1013" s="54" t="s">
        <v>20955</v>
      </c>
      <c r="AB1013" s="75" t="s">
        <v>20953</v>
      </c>
      <c r="AC1013" s="67" t="str">
        <f t="shared" si="656"/>
        <v>Link</v>
      </c>
      <c r="AD1013" s="54">
        <v>10392</v>
      </c>
      <c r="AE1013" s="55"/>
      <c r="AF1013" s="55"/>
      <c r="AG1013" s="56">
        <v>214111</v>
      </c>
      <c r="AH1013" s="56"/>
      <c r="AI1013" s="56"/>
      <c r="AJ1013" s="56"/>
      <c r="AK1013" s="56"/>
    </row>
    <row r="1014" spans="1:37" ht="15" x14ac:dyDescent="0.2">
      <c r="A1014" s="64" t="s">
        <v>7298</v>
      </c>
      <c r="B1014" s="36" t="s">
        <v>12632</v>
      </c>
      <c r="C1014" s="7" t="s">
        <v>20958</v>
      </c>
      <c r="D1014" s="112">
        <v>5</v>
      </c>
      <c r="E1014" s="7"/>
      <c r="F1014" s="7"/>
      <c r="G1014" s="2" t="s">
        <v>20951</v>
      </c>
      <c r="H1014" s="2" t="s">
        <v>4659</v>
      </c>
      <c r="I1014" s="2" t="s">
        <v>20959</v>
      </c>
      <c r="J1014" s="2" t="s">
        <v>55</v>
      </c>
      <c r="K1014" s="2"/>
      <c r="L1014" s="2"/>
      <c r="M1014" s="48"/>
      <c r="N1014" s="152" t="str">
        <f t="shared" si="655"/>
        <v>Questionnaire</v>
      </c>
      <c r="O1014" s="48" t="s">
        <v>20953</v>
      </c>
      <c r="P1014" s="47" t="s">
        <v>1231</v>
      </c>
      <c r="Q1014" s="48" t="s">
        <v>20954</v>
      </c>
      <c r="R1014" s="94" t="s">
        <v>205</v>
      </c>
      <c r="S1014" s="73" t="s">
        <v>74</v>
      </c>
      <c r="T1014" s="48" t="s">
        <v>75</v>
      </c>
      <c r="U1014" s="49" t="s">
        <v>3678</v>
      </c>
      <c r="V1014" s="7" t="s">
        <v>214</v>
      </c>
      <c r="W1014" s="49" t="s">
        <v>214</v>
      </c>
      <c r="X1014" s="49" t="s">
        <v>214</v>
      </c>
      <c r="Y1014" s="49" t="s">
        <v>214</v>
      </c>
      <c r="Z1014" s="55" t="s">
        <v>214</v>
      </c>
      <c r="AA1014" s="54" t="s">
        <v>20955</v>
      </c>
      <c r="AB1014" s="75" t="s">
        <v>20953</v>
      </c>
      <c r="AC1014" s="67" t="str">
        <f t="shared" si="656"/>
        <v>Link</v>
      </c>
      <c r="AD1014" s="54">
        <v>10392</v>
      </c>
      <c r="AE1014" s="55"/>
      <c r="AF1014" s="55"/>
      <c r="AG1014" s="56">
        <v>214111</v>
      </c>
      <c r="AH1014" s="56"/>
      <c r="AI1014" s="56"/>
      <c r="AJ1014" s="56"/>
      <c r="AK1014" s="56"/>
    </row>
    <row r="1015" spans="1:37" ht="15" x14ac:dyDescent="0.2">
      <c r="A1015" s="64" t="s">
        <v>7298</v>
      </c>
      <c r="B1015" s="2" t="s">
        <v>12632</v>
      </c>
      <c r="C1015" s="7" t="s">
        <v>20960</v>
      </c>
      <c r="D1015" s="112">
        <v>5</v>
      </c>
      <c r="E1015" s="7"/>
      <c r="F1015" s="7"/>
      <c r="G1015" s="2" t="s">
        <v>20961</v>
      </c>
      <c r="H1015" s="2" t="s">
        <v>3899</v>
      </c>
      <c r="I1015" s="2" t="s">
        <v>20962</v>
      </c>
      <c r="J1015" s="2" t="s">
        <v>48</v>
      </c>
      <c r="K1015" s="2" t="s">
        <v>20963</v>
      </c>
      <c r="L1015" s="2" t="s">
        <v>20964</v>
      </c>
      <c r="M1015" s="48"/>
      <c r="N1015" s="152" t="str">
        <f t="shared" ref="N1015:N1018" si="657">HYPERLINK("https://www.nccspartans.com/sb_output.aspx?form=3","Questionnaire")</f>
        <v>Questionnaire</v>
      </c>
      <c r="O1015" s="48" t="s">
        <v>5765</v>
      </c>
      <c r="P1015" s="47" t="s">
        <v>1231</v>
      </c>
      <c r="Q1015" s="48" t="s">
        <v>11442</v>
      </c>
      <c r="R1015" s="48" t="s">
        <v>238</v>
      </c>
      <c r="S1015" s="73" t="s">
        <v>74</v>
      </c>
      <c r="T1015" s="48" t="s">
        <v>75</v>
      </c>
      <c r="U1015" s="49" t="s">
        <v>3678</v>
      </c>
      <c r="V1015" s="7" t="s">
        <v>214</v>
      </c>
      <c r="W1015" s="49" t="s">
        <v>214</v>
      </c>
      <c r="X1015" s="49" t="s">
        <v>214</v>
      </c>
      <c r="Y1015" s="49" t="s">
        <v>214</v>
      </c>
      <c r="Z1015" s="55" t="s">
        <v>214</v>
      </c>
      <c r="AA1015" s="54" t="s">
        <v>20965</v>
      </c>
      <c r="AB1015" s="75" t="s">
        <v>5765</v>
      </c>
      <c r="AC1015" s="67" t="str">
        <f t="shared" ref="AC1015:AC1018" si="658">HYPERLINK("https://www.northampton.edu/academics/programs-and-majors.htm","Link")</f>
        <v>Link</v>
      </c>
      <c r="AD1015" s="54">
        <v>9921</v>
      </c>
      <c r="AE1015" s="55"/>
      <c r="AF1015" s="55"/>
      <c r="AG1015" s="56">
        <v>214379</v>
      </c>
      <c r="AH1015" s="56"/>
      <c r="AI1015" s="56"/>
      <c r="AJ1015" s="56"/>
      <c r="AK1015" s="56"/>
    </row>
    <row r="1016" spans="1:37" ht="15" x14ac:dyDescent="0.2">
      <c r="A1016" s="64" t="s">
        <v>7298</v>
      </c>
      <c r="B1016" s="2" t="s">
        <v>12632</v>
      </c>
      <c r="C1016" s="7" t="s">
        <v>20966</v>
      </c>
      <c r="D1016" s="112">
        <v>5</v>
      </c>
      <c r="E1016" s="7"/>
      <c r="F1016" s="7"/>
      <c r="G1016" s="2" t="s">
        <v>20961</v>
      </c>
      <c r="H1016" s="2" t="s">
        <v>3899</v>
      </c>
      <c r="I1016" s="2" t="s">
        <v>20962</v>
      </c>
      <c r="J1016" s="2" t="s">
        <v>1048</v>
      </c>
      <c r="K1016" s="95" t="s">
        <v>20967</v>
      </c>
      <c r="L1016" s="2" t="s">
        <v>20964</v>
      </c>
      <c r="M1016" s="48"/>
      <c r="N1016" s="152" t="str">
        <f t="shared" si="657"/>
        <v>Questionnaire</v>
      </c>
      <c r="O1016" s="48" t="s">
        <v>5765</v>
      </c>
      <c r="P1016" s="47" t="s">
        <v>1231</v>
      </c>
      <c r="Q1016" s="48" t="s">
        <v>11442</v>
      </c>
      <c r="R1016" s="48" t="s">
        <v>238</v>
      </c>
      <c r="S1016" s="73" t="s">
        <v>74</v>
      </c>
      <c r="T1016" s="48" t="s">
        <v>75</v>
      </c>
      <c r="U1016" s="49" t="s">
        <v>3678</v>
      </c>
      <c r="V1016" s="7" t="s">
        <v>214</v>
      </c>
      <c r="W1016" s="49" t="s">
        <v>214</v>
      </c>
      <c r="X1016" s="49" t="s">
        <v>214</v>
      </c>
      <c r="Y1016" s="49" t="s">
        <v>214</v>
      </c>
      <c r="Z1016" s="55" t="s">
        <v>214</v>
      </c>
      <c r="AA1016" s="54" t="s">
        <v>20965</v>
      </c>
      <c r="AB1016" s="75" t="s">
        <v>5765</v>
      </c>
      <c r="AC1016" s="67" t="str">
        <f t="shared" si="658"/>
        <v>Link</v>
      </c>
      <c r="AD1016" s="54">
        <v>9921</v>
      </c>
      <c r="AE1016" s="55"/>
      <c r="AF1016" s="55"/>
      <c r="AG1016" s="56">
        <v>214379</v>
      </c>
      <c r="AH1016" s="56"/>
      <c r="AI1016" s="56"/>
      <c r="AJ1016" s="56"/>
      <c r="AK1016" s="56"/>
    </row>
    <row r="1017" spans="1:37" ht="15" x14ac:dyDescent="0.2">
      <c r="A1017" s="64" t="s">
        <v>7298</v>
      </c>
      <c r="B1017" s="2" t="s">
        <v>12632</v>
      </c>
      <c r="C1017" s="7" t="s">
        <v>20968</v>
      </c>
      <c r="D1017" s="112">
        <v>5</v>
      </c>
      <c r="E1017" s="7"/>
      <c r="F1017" s="7"/>
      <c r="G1017" s="2" t="s">
        <v>20961</v>
      </c>
      <c r="H1017" s="2" t="s">
        <v>1251</v>
      </c>
      <c r="I1017" s="2" t="s">
        <v>20969</v>
      </c>
      <c r="J1017" s="2" t="s">
        <v>55</v>
      </c>
      <c r="K1017" s="2" t="s">
        <v>20970</v>
      </c>
      <c r="L1017" s="2" t="s">
        <v>20971</v>
      </c>
      <c r="M1017" s="48"/>
      <c r="N1017" s="152" t="str">
        <f t="shared" si="657"/>
        <v>Questionnaire</v>
      </c>
      <c r="O1017" s="48" t="s">
        <v>5765</v>
      </c>
      <c r="P1017" s="47" t="s">
        <v>1231</v>
      </c>
      <c r="Q1017" s="48" t="s">
        <v>11442</v>
      </c>
      <c r="R1017" s="48" t="s">
        <v>238</v>
      </c>
      <c r="S1017" s="73" t="s">
        <v>74</v>
      </c>
      <c r="T1017" s="48" t="s">
        <v>75</v>
      </c>
      <c r="U1017" s="49" t="s">
        <v>3678</v>
      </c>
      <c r="V1017" s="7" t="s">
        <v>214</v>
      </c>
      <c r="W1017" s="49" t="s">
        <v>214</v>
      </c>
      <c r="X1017" s="49" t="s">
        <v>214</v>
      </c>
      <c r="Y1017" s="49" t="s">
        <v>214</v>
      </c>
      <c r="Z1017" s="55" t="s">
        <v>214</v>
      </c>
      <c r="AA1017" s="54" t="s">
        <v>20965</v>
      </c>
      <c r="AB1017" s="75" t="s">
        <v>5765</v>
      </c>
      <c r="AC1017" s="67" t="str">
        <f t="shared" si="658"/>
        <v>Link</v>
      </c>
      <c r="AD1017" s="54">
        <v>9921</v>
      </c>
      <c r="AE1017" s="55"/>
      <c r="AF1017" s="55"/>
      <c r="AG1017" s="56">
        <v>214379</v>
      </c>
      <c r="AH1017" s="56"/>
      <c r="AI1017" s="56"/>
      <c r="AJ1017" s="56"/>
      <c r="AK1017" s="56"/>
    </row>
    <row r="1018" spans="1:37" ht="15" x14ac:dyDescent="0.2">
      <c r="A1018" s="64" t="s">
        <v>7298</v>
      </c>
      <c r="B1018" s="2" t="s">
        <v>12632</v>
      </c>
      <c r="C1018" s="7" t="s">
        <v>20972</v>
      </c>
      <c r="D1018" s="112">
        <v>5</v>
      </c>
      <c r="E1018" s="7"/>
      <c r="F1018" s="7"/>
      <c r="G1018" s="2" t="s">
        <v>20961</v>
      </c>
      <c r="H1018" s="2" t="s">
        <v>1791</v>
      </c>
      <c r="I1018" s="2" t="s">
        <v>977</v>
      </c>
      <c r="J1018" s="2" t="s">
        <v>55</v>
      </c>
      <c r="K1018" s="2" t="s">
        <v>20963</v>
      </c>
      <c r="L1018" s="2" t="s">
        <v>20971</v>
      </c>
      <c r="M1018" s="48"/>
      <c r="N1018" s="152" t="str">
        <f t="shared" si="657"/>
        <v>Questionnaire</v>
      </c>
      <c r="O1018" s="48" t="s">
        <v>5765</v>
      </c>
      <c r="P1018" s="47" t="s">
        <v>1231</v>
      </c>
      <c r="Q1018" s="48" t="s">
        <v>11442</v>
      </c>
      <c r="R1018" s="48" t="s">
        <v>238</v>
      </c>
      <c r="S1018" s="73" t="s">
        <v>74</v>
      </c>
      <c r="T1018" s="48" t="s">
        <v>75</v>
      </c>
      <c r="U1018" s="49" t="s">
        <v>3678</v>
      </c>
      <c r="V1018" s="7" t="s">
        <v>214</v>
      </c>
      <c r="W1018" s="49" t="s">
        <v>214</v>
      </c>
      <c r="X1018" s="49" t="s">
        <v>214</v>
      </c>
      <c r="Y1018" s="49" t="s">
        <v>214</v>
      </c>
      <c r="Z1018" s="55" t="s">
        <v>214</v>
      </c>
      <c r="AA1018" s="54" t="s">
        <v>20965</v>
      </c>
      <c r="AB1018" s="75" t="s">
        <v>5765</v>
      </c>
      <c r="AC1018" s="67" t="str">
        <f t="shared" si="658"/>
        <v>Link</v>
      </c>
      <c r="AD1018" s="54">
        <v>9921</v>
      </c>
      <c r="AE1018" s="55"/>
      <c r="AF1018" s="55"/>
      <c r="AG1018" s="56">
        <v>214379</v>
      </c>
      <c r="AH1018" s="56"/>
      <c r="AI1018" s="56"/>
      <c r="AJ1018" s="56"/>
      <c r="AK1018" s="56"/>
    </row>
    <row r="1019" spans="1:37" ht="15" x14ac:dyDescent="0.2">
      <c r="A1019" s="64" t="s">
        <v>7298</v>
      </c>
      <c r="B1019" s="33" t="s">
        <v>12632</v>
      </c>
      <c r="C1019" s="7" t="s">
        <v>20973</v>
      </c>
      <c r="D1019" s="112">
        <v>5</v>
      </c>
      <c r="E1019" s="7"/>
      <c r="F1019" s="7"/>
      <c r="G1019" s="2" t="s">
        <v>20974</v>
      </c>
      <c r="H1019" s="2" t="s">
        <v>1124</v>
      </c>
      <c r="I1019" s="2" t="s">
        <v>20975</v>
      </c>
      <c r="J1019" s="2" t="s">
        <v>48</v>
      </c>
      <c r="K1019" s="2" t="s">
        <v>20976</v>
      </c>
      <c r="L1019" s="2"/>
      <c r="M1019" s="150" t="str">
        <f t="shared" ref="M1019:M1020" si="659">HYPERLINK("twitter.com/wcccsoftball","@wcccsoftball")</f>
        <v>@wcccsoftball</v>
      </c>
      <c r="N1019" s="152" t="str">
        <f t="shared" ref="N1019:N1020" si="660">HYPERLINK("http://athletics.westmoreland.edu/recruit/questionnaire","Questionnaire")</f>
        <v>Questionnaire</v>
      </c>
      <c r="O1019" s="48" t="s">
        <v>20977</v>
      </c>
      <c r="P1019" s="60" t="s">
        <v>1231</v>
      </c>
      <c r="Q1019" s="48" t="s">
        <v>20978</v>
      </c>
      <c r="R1019" s="60" t="s">
        <v>205</v>
      </c>
      <c r="S1019" s="49" t="s">
        <v>74</v>
      </c>
      <c r="T1019" s="48" t="s">
        <v>75</v>
      </c>
      <c r="U1019" s="49" t="s">
        <v>3678</v>
      </c>
      <c r="V1019" s="7" t="s">
        <v>214</v>
      </c>
      <c r="W1019" s="49" t="s">
        <v>214</v>
      </c>
      <c r="X1019" s="49" t="s">
        <v>214</v>
      </c>
      <c r="Y1019" s="49" t="s">
        <v>214</v>
      </c>
      <c r="Z1019" s="55" t="s">
        <v>214</v>
      </c>
      <c r="AA1019" s="48" t="s">
        <v>20979</v>
      </c>
      <c r="AB1019" s="84" t="s">
        <v>20977</v>
      </c>
      <c r="AC1019" s="67" t="str">
        <f t="shared" ref="AC1019:AC1020" si="661">HYPERLINK("https://westmoreland.edu/pages/future-students/academic-programs/","Link")</f>
        <v>Link</v>
      </c>
      <c r="AD1019" s="42">
        <v>5554</v>
      </c>
      <c r="AE1019" s="55"/>
      <c r="AF1019" s="55"/>
      <c r="AG1019" s="56">
        <v>216825</v>
      </c>
      <c r="AH1019" s="56"/>
      <c r="AI1019" s="56"/>
      <c r="AJ1019" s="56"/>
      <c r="AK1019" s="56"/>
    </row>
    <row r="1020" spans="1:37" ht="15" x14ac:dyDescent="0.2">
      <c r="A1020" s="64" t="s">
        <v>7298</v>
      </c>
      <c r="B1020" s="33" t="s">
        <v>12632</v>
      </c>
      <c r="C1020" s="7" t="s">
        <v>20980</v>
      </c>
      <c r="D1020" s="112">
        <v>5</v>
      </c>
      <c r="E1020" s="7"/>
      <c r="F1020" s="7"/>
      <c r="G1020" s="2" t="s">
        <v>20974</v>
      </c>
      <c r="H1020" s="2" t="s">
        <v>2465</v>
      </c>
      <c r="I1020" s="2" t="s">
        <v>20981</v>
      </c>
      <c r="J1020" s="2" t="s">
        <v>55</v>
      </c>
      <c r="K1020" s="2"/>
      <c r="L1020" s="2" t="s">
        <v>20982</v>
      </c>
      <c r="M1020" s="150" t="str">
        <f t="shared" si="659"/>
        <v>@wcccsoftball</v>
      </c>
      <c r="N1020" s="152" t="str">
        <f t="shared" si="660"/>
        <v>Questionnaire</v>
      </c>
      <c r="O1020" s="48" t="s">
        <v>20977</v>
      </c>
      <c r="P1020" s="60" t="s">
        <v>1231</v>
      </c>
      <c r="Q1020" s="48" t="s">
        <v>20978</v>
      </c>
      <c r="R1020" s="60" t="s">
        <v>205</v>
      </c>
      <c r="S1020" s="49" t="s">
        <v>74</v>
      </c>
      <c r="T1020" s="48" t="s">
        <v>75</v>
      </c>
      <c r="U1020" s="49" t="s">
        <v>3678</v>
      </c>
      <c r="V1020" s="7" t="s">
        <v>214</v>
      </c>
      <c r="W1020" s="49" t="s">
        <v>214</v>
      </c>
      <c r="X1020" s="49" t="s">
        <v>214</v>
      </c>
      <c r="Y1020" s="49" t="s">
        <v>214</v>
      </c>
      <c r="Z1020" s="55" t="s">
        <v>214</v>
      </c>
      <c r="AA1020" s="48" t="s">
        <v>20979</v>
      </c>
      <c r="AB1020" s="84" t="s">
        <v>20977</v>
      </c>
      <c r="AC1020" s="67" t="str">
        <f t="shared" si="661"/>
        <v>Link</v>
      </c>
      <c r="AD1020" s="42">
        <v>5554</v>
      </c>
      <c r="AE1020" s="55"/>
      <c r="AF1020" s="55"/>
      <c r="AG1020" s="56">
        <v>216825</v>
      </c>
      <c r="AH1020" s="56"/>
      <c r="AI1020" s="56"/>
      <c r="AJ1020" s="56"/>
      <c r="AK1020" s="56"/>
    </row>
    <row r="1021" spans="1:37" ht="15" x14ac:dyDescent="0.2">
      <c r="A1021" s="64" t="s">
        <v>2139</v>
      </c>
      <c r="B1021" s="7" t="s">
        <v>12632</v>
      </c>
      <c r="C1021" s="7" t="s">
        <v>20983</v>
      </c>
      <c r="D1021" s="44">
        <v>5</v>
      </c>
      <c r="E1021" s="7"/>
      <c r="F1021" s="7"/>
      <c r="G1021" s="7" t="s">
        <v>20984</v>
      </c>
      <c r="H1021" s="7" t="s">
        <v>2599</v>
      </c>
      <c r="I1021" s="7" t="s">
        <v>20985</v>
      </c>
      <c r="J1021" s="7" t="s">
        <v>55</v>
      </c>
      <c r="K1021" s="7"/>
      <c r="L1021" s="7" t="s">
        <v>20986</v>
      </c>
      <c r="M1021" s="7"/>
      <c r="N1021" s="7"/>
      <c r="O1021" s="48" t="s">
        <v>20987</v>
      </c>
      <c r="P1021" s="47" t="s">
        <v>2123</v>
      </c>
      <c r="Q1021" s="48" t="s">
        <v>20988</v>
      </c>
      <c r="R1021" s="48" t="s">
        <v>238</v>
      </c>
      <c r="S1021" s="49" t="s">
        <v>74</v>
      </c>
      <c r="T1021" s="48" t="s">
        <v>75</v>
      </c>
      <c r="U1021" s="49" t="s">
        <v>3678</v>
      </c>
      <c r="V1021" s="48" t="s">
        <v>214</v>
      </c>
      <c r="W1021" s="49" t="s">
        <v>214</v>
      </c>
      <c r="X1021" s="49" t="s">
        <v>214</v>
      </c>
      <c r="Y1021" s="49" t="s">
        <v>214</v>
      </c>
      <c r="Z1021" s="55" t="s">
        <v>214</v>
      </c>
      <c r="AA1021" s="48" t="s">
        <v>20989</v>
      </c>
      <c r="AB1021" s="52" t="s">
        <v>20987</v>
      </c>
      <c r="AC1021" s="67" t="str">
        <f t="shared" ref="AC1021:AC1023" si="662">HYPERLINK("https://www.ccri.edu/catalog/programs.html","Link")</f>
        <v>Link</v>
      </c>
      <c r="AD1021" s="54">
        <v>15101</v>
      </c>
      <c r="AE1021" s="55"/>
      <c r="AF1021" s="55"/>
      <c r="AG1021" s="56">
        <v>217475</v>
      </c>
      <c r="AH1021" s="42"/>
      <c r="AI1021" s="55"/>
      <c r="AJ1021" s="55"/>
      <c r="AK1021" s="85"/>
    </row>
    <row r="1022" spans="1:37" ht="15" x14ac:dyDescent="0.2">
      <c r="A1022" s="64" t="s">
        <v>2139</v>
      </c>
      <c r="B1022" s="33" t="s">
        <v>12632</v>
      </c>
      <c r="C1022" s="7" t="s">
        <v>20990</v>
      </c>
      <c r="D1022" s="112">
        <v>5</v>
      </c>
      <c r="E1022" s="7"/>
      <c r="F1022" s="7"/>
      <c r="G1022" s="2" t="s">
        <v>20984</v>
      </c>
      <c r="H1022" s="2" t="s">
        <v>1159</v>
      </c>
      <c r="I1022" s="2" t="s">
        <v>20991</v>
      </c>
      <c r="J1022" s="2" t="s">
        <v>48</v>
      </c>
      <c r="K1022" s="2" t="s">
        <v>20992</v>
      </c>
      <c r="L1022" s="2" t="s">
        <v>20986</v>
      </c>
      <c r="M1022" s="150" t="str">
        <f t="shared" ref="M1022:M1023" si="663">HYPERLINK("twitter.com/ccri_softball","@ccri_softball")</f>
        <v>@ccri_softball</v>
      </c>
      <c r="N1022" s="152" t="str">
        <f t="shared" ref="N1022:N1023" si="664">HYPERLINK("http://www.ccri.edu/athl/questionnaire.html","Questionnaire")</f>
        <v>Questionnaire</v>
      </c>
      <c r="O1022" s="48" t="s">
        <v>20987</v>
      </c>
      <c r="P1022" s="60" t="s">
        <v>2123</v>
      </c>
      <c r="Q1022" s="48" t="s">
        <v>20988</v>
      </c>
      <c r="R1022" s="48" t="s">
        <v>238</v>
      </c>
      <c r="S1022" s="49" t="s">
        <v>74</v>
      </c>
      <c r="T1022" s="48" t="s">
        <v>75</v>
      </c>
      <c r="U1022" s="49" t="s">
        <v>3678</v>
      </c>
      <c r="V1022" s="7" t="s">
        <v>214</v>
      </c>
      <c r="W1022" s="49" t="s">
        <v>214</v>
      </c>
      <c r="X1022" s="49" t="s">
        <v>214</v>
      </c>
      <c r="Y1022" s="49" t="s">
        <v>214</v>
      </c>
      <c r="Z1022" s="55" t="s">
        <v>214</v>
      </c>
      <c r="AA1022" s="48" t="s">
        <v>20989</v>
      </c>
      <c r="AB1022" s="52" t="s">
        <v>20987</v>
      </c>
      <c r="AC1022" s="67" t="str">
        <f t="shared" si="662"/>
        <v>Link</v>
      </c>
      <c r="AD1022" s="42">
        <v>15101</v>
      </c>
      <c r="AE1022" s="55"/>
      <c r="AF1022" s="55"/>
      <c r="AG1022" s="56">
        <v>217475</v>
      </c>
      <c r="AH1022" s="56"/>
      <c r="AI1022" s="56"/>
      <c r="AJ1022" s="56"/>
      <c r="AK1022" s="56"/>
    </row>
    <row r="1023" spans="1:37" ht="15" x14ac:dyDescent="0.2">
      <c r="A1023" s="64" t="s">
        <v>2139</v>
      </c>
      <c r="B1023" s="33" t="s">
        <v>12632</v>
      </c>
      <c r="C1023" s="7" t="s">
        <v>20993</v>
      </c>
      <c r="D1023" s="112">
        <v>5</v>
      </c>
      <c r="E1023" s="7"/>
      <c r="F1023" s="7"/>
      <c r="G1023" s="2" t="s">
        <v>20984</v>
      </c>
      <c r="H1023" s="2" t="s">
        <v>421</v>
      </c>
      <c r="I1023" s="2"/>
      <c r="J1023" s="2" t="s">
        <v>55</v>
      </c>
      <c r="K1023" s="2"/>
      <c r="L1023" s="2" t="s">
        <v>20986</v>
      </c>
      <c r="M1023" s="150" t="str">
        <f t="shared" si="663"/>
        <v>@ccri_softball</v>
      </c>
      <c r="N1023" s="152" t="str">
        <f t="shared" si="664"/>
        <v>Questionnaire</v>
      </c>
      <c r="O1023" s="48" t="s">
        <v>20987</v>
      </c>
      <c r="P1023" s="60" t="s">
        <v>2123</v>
      </c>
      <c r="Q1023" s="48" t="s">
        <v>20988</v>
      </c>
      <c r="R1023" s="48" t="s">
        <v>238</v>
      </c>
      <c r="S1023" s="49" t="s">
        <v>74</v>
      </c>
      <c r="T1023" s="48" t="s">
        <v>75</v>
      </c>
      <c r="U1023" s="49" t="s">
        <v>3678</v>
      </c>
      <c r="V1023" s="7" t="s">
        <v>214</v>
      </c>
      <c r="W1023" s="49" t="s">
        <v>214</v>
      </c>
      <c r="X1023" s="49" t="s">
        <v>214</v>
      </c>
      <c r="Y1023" s="49" t="s">
        <v>214</v>
      </c>
      <c r="Z1023" s="55" t="s">
        <v>214</v>
      </c>
      <c r="AA1023" s="48" t="s">
        <v>20989</v>
      </c>
      <c r="AB1023" s="52" t="s">
        <v>20987</v>
      </c>
      <c r="AC1023" s="67" t="str">
        <f t="shared" si="662"/>
        <v>Link</v>
      </c>
      <c r="AD1023" s="42">
        <v>15101</v>
      </c>
      <c r="AE1023" s="55"/>
      <c r="AF1023" s="55"/>
      <c r="AG1023" s="56">
        <v>217475</v>
      </c>
      <c r="AH1023" s="56"/>
      <c r="AI1023" s="56"/>
      <c r="AJ1023" s="56"/>
      <c r="AK1023" s="56"/>
    </row>
    <row r="1024" spans="1:37" ht="15" x14ac:dyDescent="0.2">
      <c r="A1024" s="64" t="s">
        <v>10047</v>
      </c>
      <c r="B1024" s="33" t="s">
        <v>12632</v>
      </c>
      <c r="C1024" s="7" t="s">
        <v>20994</v>
      </c>
      <c r="D1024" s="112">
        <v>5</v>
      </c>
      <c r="E1024" s="7"/>
      <c r="F1024" s="7"/>
      <c r="G1024" s="2" t="s">
        <v>20995</v>
      </c>
      <c r="H1024" s="2" t="s">
        <v>7659</v>
      </c>
      <c r="I1024" s="2" t="s">
        <v>20996</v>
      </c>
      <c r="J1024" s="2" t="s">
        <v>48</v>
      </c>
      <c r="K1024" s="2" t="s">
        <v>20997</v>
      </c>
      <c r="L1024" s="2" t="s">
        <v>20998</v>
      </c>
      <c r="M1024" s="150" t="str">
        <f>HYPERLINK("twitter.com/salksoftball","@salksoftball")</f>
        <v>@salksoftball</v>
      </c>
      <c r="N1024" s="152" t="str">
        <f>HYPERLINK("https://uscsalkathletics.com/athletic-department/prospective-athlete-questionaire/","Questionnaire")</f>
        <v>Questionnaire</v>
      </c>
      <c r="O1024" s="48" t="s">
        <v>20999</v>
      </c>
      <c r="P1024" s="60" t="s">
        <v>653</v>
      </c>
      <c r="Q1024" s="48" t="s">
        <v>5458</v>
      </c>
      <c r="R1024" s="60" t="s">
        <v>205</v>
      </c>
      <c r="S1024" s="49" t="s">
        <v>74</v>
      </c>
      <c r="T1024" s="48" t="s">
        <v>75</v>
      </c>
      <c r="U1024" s="49"/>
      <c r="V1024" s="37">
        <v>2.66</v>
      </c>
      <c r="W1024" s="49" t="s">
        <v>15343</v>
      </c>
      <c r="X1024" s="49" t="s">
        <v>13329</v>
      </c>
      <c r="Y1024" s="49" t="s">
        <v>20578</v>
      </c>
      <c r="Z1024" s="65">
        <v>0.62</v>
      </c>
      <c r="AA1024" s="48" t="s">
        <v>21000</v>
      </c>
      <c r="AB1024" s="84" t="s">
        <v>20999</v>
      </c>
      <c r="AC1024" s="67" t="str">
        <f>HYPERLINK("http://www.sc.edu/about/system_and_campuses/salkehatchie/study/degree_programs/index.php","Link")</f>
        <v>Link</v>
      </c>
      <c r="AD1024" s="42">
        <v>1137</v>
      </c>
      <c r="AE1024" s="55"/>
      <c r="AF1024" s="55"/>
      <c r="AG1024" s="56">
        <v>218681</v>
      </c>
      <c r="AH1024" s="56"/>
      <c r="AI1024" s="56"/>
      <c r="AJ1024" s="56"/>
      <c r="AK1024" s="56"/>
    </row>
    <row r="1025" spans="1:37" ht="15" x14ac:dyDescent="0.2">
      <c r="A1025" s="64" t="s">
        <v>10047</v>
      </c>
      <c r="B1025" s="33" t="s">
        <v>12632</v>
      </c>
      <c r="C1025" s="7" t="s">
        <v>21001</v>
      </c>
      <c r="D1025" s="112">
        <v>5</v>
      </c>
      <c r="E1025" s="7"/>
      <c r="F1025" s="7"/>
      <c r="G1025" s="2" t="s">
        <v>21002</v>
      </c>
      <c r="H1025" s="2" t="s">
        <v>926</v>
      </c>
      <c r="I1025" s="2" t="s">
        <v>3984</v>
      </c>
      <c r="J1025" s="2" t="s">
        <v>48</v>
      </c>
      <c r="K1025" s="2" t="s">
        <v>21003</v>
      </c>
      <c r="L1025" s="2" t="s">
        <v>21004</v>
      </c>
      <c r="M1025" s="48"/>
      <c r="N1025" s="48" t="s">
        <v>22</v>
      </c>
      <c r="O1025" s="48" t="s">
        <v>21005</v>
      </c>
      <c r="P1025" s="60" t="s">
        <v>653</v>
      </c>
      <c r="Q1025" s="48" t="s">
        <v>4164</v>
      </c>
      <c r="R1025" s="48" t="s">
        <v>468</v>
      </c>
      <c r="S1025" s="49" t="s">
        <v>63</v>
      </c>
      <c r="T1025" s="48" t="s">
        <v>65</v>
      </c>
      <c r="U1025" s="49"/>
      <c r="V1025" s="7" t="s">
        <v>6405</v>
      </c>
      <c r="W1025" s="49" t="s">
        <v>5140</v>
      </c>
      <c r="X1025" s="49" t="s">
        <v>5178</v>
      </c>
      <c r="Y1025" s="49" t="s">
        <v>1400</v>
      </c>
      <c r="Z1025" s="65">
        <v>0.65</v>
      </c>
      <c r="AA1025" s="39">
        <v>29910</v>
      </c>
      <c r="AB1025" s="84" t="s">
        <v>21005</v>
      </c>
      <c r="AC1025" s="67" t="str">
        <f t="shared" ref="AC1025:AC1027" si="665">HYPERLINK("https://www.smcsc.edu/academics/degrees-and-programs/major-areas-of-study/","Link")</f>
        <v>Link</v>
      </c>
      <c r="AD1025" s="42">
        <v>737</v>
      </c>
      <c r="AE1025" s="55"/>
      <c r="AF1025" s="55"/>
      <c r="AG1025" s="56">
        <v>218821</v>
      </c>
      <c r="AH1025" s="56"/>
      <c r="AI1025" s="56"/>
      <c r="AJ1025" s="56"/>
      <c r="AK1025" s="56"/>
    </row>
    <row r="1026" spans="1:37" ht="15" x14ac:dyDescent="0.2">
      <c r="A1026" s="64" t="s">
        <v>10047</v>
      </c>
      <c r="B1026" s="33" t="s">
        <v>12632</v>
      </c>
      <c r="C1026" s="7" t="s">
        <v>21006</v>
      </c>
      <c r="D1026" s="112">
        <v>5</v>
      </c>
      <c r="E1026" s="7"/>
      <c r="F1026" s="7"/>
      <c r="G1026" s="2" t="s">
        <v>21002</v>
      </c>
      <c r="H1026" s="2" t="s">
        <v>926</v>
      </c>
      <c r="I1026" s="2" t="s">
        <v>3984</v>
      </c>
      <c r="J1026" s="2" t="s">
        <v>1048</v>
      </c>
      <c r="K1026" s="2" t="s">
        <v>21007</v>
      </c>
      <c r="L1026" s="2" t="s">
        <v>21004</v>
      </c>
      <c r="M1026" s="48"/>
      <c r="N1026" s="48" t="s">
        <v>22</v>
      </c>
      <c r="O1026" s="48" t="s">
        <v>21005</v>
      </c>
      <c r="P1026" s="60" t="s">
        <v>653</v>
      </c>
      <c r="Q1026" s="48" t="s">
        <v>4164</v>
      </c>
      <c r="R1026" s="48" t="s">
        <v>468</v>
      </c>
      <c r="S1026" s="49" t="s">
        <v>63</v>
      </c>
      <c r="T1026" s="48" t="s">
        <v>65</v>
      </c>
      <c r="U1026" s="49"/>
      <c r="V1026" s="7" t="s">
        <v>6405</v>
      </c>
      <c r="W1026" s="49" t="s">
        <v>5140</v>
      </c>
      <c r="X1026" s="49" t="s">
        <v>5178</v>
      </c>
      <c r="Y1026" s="49" t="s">
        <v>1400</v>
      </c>
      <c r="Z1026" s="65">
        <v>0.65</v>
      </c>
      <c r="AA1026" s="39">
        <v>29910</v>
      </c>
      <c r="AB1026" s="84" t="s">
        <v>21005</v>
      </c>
      <c r="AC1026" s="67" t="str">
        <f t="shared" si="665"/>
        <v>Link</v>
      </c>
      <c r="AD1026" s="42">
        <v>737</v>
      </c>
      <c r="AE1026" s="55"/>
      <c r="AF1026" s="55"/>
      <c r="AG1026" s="56">
        <v>218821</v>
      </c>
      <c r="AH1026" s="56"/>
      <c r="AI1026" s="56"/>
      <c r="AJ1026" s="56"/>
      <c r="AK1026" s="56"/>
    </row>
    <row r="1027" spans="1:37" ht="15" x14ac:dyDescent="0.2">
      <c r="A1027" s="64" t="s">
        <v>10047</v>
      </c>
      <c r="B1027" s="33" t="s">
        <v>12632</v>
      </c>
      <c r="C1027" s="7" t="s">
        <v>21008</v>
      </c>
      <c r="D1027" s="112">
        <v>5</v>
      </c>
      <c r="E1027" s="7"/>
      <c r="F1027" s="7"/>
      <c r="G1027" s="2" t="s">
        <v>21002</v>
      </c>
      <c r="H1027" s="2" t="s">
        <v>1080</v>
      </c>
      <c r="I1027" s="2" t="s">
        <v>4207</v>
      </c>
      <c r="J1027" s="2" t="s">
        <v>139</v>
      </c>
      <c r="K1027" s="2" t="s">
        <v>21009</v>
      </c>
      <c r="L1027" s="2"/>
      <c r="M1027" s="48"/>
      <c r="N1027" s="48" t="s">
        <v>22</v>
      </c>
      <c r="O1027" s="48" t="s">
        <v>21005</v>
      </c>
      <c r="P1027" s="60" t="s">
        <v>653</v>
      </c>
      <c r="Q1027" s="48" t="s">
        <v>4164</v>
      </c>
      <c r="R1027" s="48" t="s">
        <v>468</v>
      </c>
      <c r="S1027" s="49" t="s">
        <v>63</v>
      </c>
      <c r="T1027" s="48" t="s">
        <v>65</v>
      </c>
      <c r="U1027" s="49"/>
      <c r="V1027" s="7" t="s">
        <v>6405</v>
      </c>
      <c r="W1027" s="49" t="s">
        <v>5140</v>
      </c>
      <c r="X1027" s="49" t="s">
        <v>5178</v>
      </c>
      <c r="Y1027" s="49" t="s">
        <v>1400</v>
      </c>
      <c r="Z1027" s="65">
        <v>0.65</v>
      </c>
      <c r="AA1027" s="39">
        <v>29910</v>
      </c>
      <c r="AB1027" s="84" t="s">
        <v>21005</v>
      </c>
      <c r="AC1027" s="67" t="str">
        <f t="shared" si="665"/>
        <v>Link</v>
      </c>
      <c r="AD1027" s="42">
        <v>737</v>
      </c>
      <c r="AE1027" s="55"/>
      <c r="AF1027" s="55"/>
      <c r="AG1027" s="56">
        <v>218821</v>
      </c>
      <c r="AH1027" s="56"/>
      <c r="AI1027" s="56"/>
      <c r="AJ1027" s="56"/>
      <c r="AK1027" s="56"/>
    </row>
    <row r="1028" spans="1:37" ht="15" x14ac:dyDescent="0.2">
      <c r="A1028" s="31" t="s">
        <v>10627</v>
      </c>
      <c r="B1028" s="33" t="s">
        <v>12632</v>
      </c>
      <c r="C1028" s="7"/>
      <c r="D1028" s="112">
        <v>5</v>
      </c>
      <c r="E1028" s="7"/>
      <c r="F1028" s="112"/>
      <c r="G1028" s="2" t="s">
        <v>21010</v>
      </c>
      <c r="H1028" s="2" t="s">
        <v>21011</v>
      </c>
      <c r="I1028" s="2" t="s">
        <v>2213</v>
      </c>
      <c r="J1028" s="2" t="s">
        <v>48</v>
      </c>
      <c r="K1028" s="2" t="s">
        <v>21012</v>
      </c>
      <c r="L1028" s="2" t="s">
        <v>21013</v>
      </c>
      <c r="M1028" s="45" t="str">
        <f>HYPERLINK("twitter.com/cs_tigers_sb","@cs_tigers_sb")</f>
        <v>@cs_tigers_sb</v>
      </c>
      <c r="N1028" s="48" t="s">
        <v>22</v>
      </c>
      <c r="O1028" s="48" t="s">
        <v>21014</v>
      </c>
      <c r="P1028" s="60" t="s">
        <v>346</v>
      </c>
      <c r="Q1028" s="108" t="s">
        <v>12593</v>
      </c>
      <c r="R1028" s="48" t="s">
        <v>62</v>
      </c>
      <c r="S1028" s="49" t="s">
        <v>74</v>
      </c>
      <c r="T1028" s="48" t="s">
        <v>75</v>
      </c>
      <c r="U1028" s="49" t="s">
        <v>3678</v>
      </c>
      <c r="V1028" s="7" t="s">
        <v>214</v>
      </c>
      <c r="W1028" s="49" t="s">
        <v>214</v>
      </c>
      <c r="X1028" s="49" t="s">
        <v>214</v>
      </c>
      <c r="Y1028" s="49" t="s">
        <v>214</v>
      </c>
      <c r="Z1028" s="55" t="s">
        <v>214</v>
      </c>
      <c r="AA1028" s="48" t="s">
        <v>21015</v>
      </c>
      <c r="AB1028" s="90" t="s">
        <v>21014</v>
      </c>
      <c r="AC1028" s="53" t="str">
        <f>HYPERLINK("http://catalog.chattanoogastate.edu/content.php?catoid=9&amp;navoid=603","Link")</f>
        <v>Link</v>
      </c>
      <c r="AD1028" s="42">
        <v>8628</v>
      </c>
      <c r="AE1028" s="55"/>
      <c r="AF1028" s="55"/>
      <c r="AG1028" s="56">
        <v>219824</v>
      </c>
      <c r="AH1028" s="7" t="s">
        <v>2459</v>
      </c>
      <c r="AI1028" s="7"/>
      <c r="AJ1028" s="7"/>
      <c r="AK1028" s="7"/>
    </row>
    <row r="1029" spans="1:37" ht="15" x14ac:dyDescent="0.2">
      <c r="A1029" s="31" t="s">
        <v>10627</v>
      </c>
      <c r="B1029" s="33" t="s">
        <v>12632</v>
      </c>
      <c r="C1029" s="7"/>
      <c r="D1029" s="112">
        <v>5</v>
      </c>
      <c r="E1029" s="7"/>
      <c r="F1029" s="112"/>
      <c r="G1029" s="2" t="s">
        <v>21016</v>
      </c>
      <c r="H1029" s="2" t="s">
        <v>363</v>
      </c>
      <c r="I1029" s="2" t="s">
        <v>21017</v>
      </c>
      <c r="J1029" s="2" t="s">
        <v>48</v>
      </c>
      <c r="K1029" s="2" t="s">
        <v>21018</v>
      </c>
      <c r="L1029" s="2" t="s">
        <v>21019</v>
      </c>
      <c r="M1029" s="45" t="str">
        <f t="shared" ref="M1029:M1030" si="666">HYPERLINK("twitter.com/cscc_softball","@cscc_softball")</f>
        <v>@cscc_softball</v>
      </c>
      <c r="N1029" s="114" t="str">
        <f t="shared" ref="N1029:N1030" si="667">HYPERLINK("https://www.cscougars.com/sports/sball/Prospective_Softball_Player_Questionnaire","Questionnaire")</f>
        <v>Questionnaire</v>
      </c>
      <c r="O1029" s="48" t="s">
        <v>21020</v>
      </c>
      <c r="P1029" s="60" t="s">
        <v>346</v>
      </c>
      <c r="Q1029" s="48" t="s">
        <v>6150</v>
      </c>
      <c r="R1029" s="48" t="s">
        <v>468</v>
      </c>
      <c r="S1029" s="49" t="s">
        <v>74</v>
      </c>
      <c r="T1029" s="48" t="s">
        <v>75</v>
      </c>
      <c r="U1029" s="49" t="s">
        <v>3678</v>
      </c>
      <c r="V1029" s="7" t="s">
        <v>214</v>
      </c>
      <c r="W1029" s="49" t="s">
        <v>214</v>
      </c>
      <c r="X1029" s="49" t="s">
        <v>214</v>
      </c>
      <c r="Y1029" s="49" t="s">
        <v>214</v>
      </c>
      <c r="Z1029" s="55" t="s">
        <v>214</v>
      </c>
      <c r="AA1029" s="48" t="s">
        <v>21021</v>
      </c>
      <c r="AB1029" s="90" t="s">
        <v>21020</v>
      </c>
      <c r="AC1029" s="53" t="str">
        <f t="shared" ref="AC1029:AC1030" si="668">HYPERLINK("http://catalog.clevelandstatecc.edu/content.php?catoid=2&amp;navoid=90","Link")</f>
        <v>Link</v>
      </c>
      <c r="AD1029" s="42">
        <v>3315</v>
      </c>
      <c r="AE1029" s="55"/>
      <c r="AF1029" s="55"/>
      <c r="AG1029" s="56">
        <v>219879</v>
      </c>
      <c r="AH1029" s="7" t="s">
        <v>2459</v>
      </c>
      <c r="AI1029" s="7"/>
      <c r="AJ1029" s="7"/>
      <c r="AK1029" s="7"/>
    </row>
    <row r="1030" spans="1:37" ht="15" x14ac:dyDescent="0.2">
      <c r="A1030" s="31" t="s">
        <v>10627</v>
      </c>
      <c r="B1030" s="33" t="s">
        <v>12632</v>
      </c>
      <c r="C1030" s="7"/>
      <c r="D1030" s="112">
        <v>5</v>
      </c>
      <c r="E1030" s="7"/>
      <c r="F1030" s="112"/>
      <c r="G1030" s="2" t="s">
        <v>21016</v>
      </c>
      <c r="H1030" s="2" t="s">
        <v>21022</v>
      </c>
      <c r="I1030" s="2" t="s">
        <v>21023</v>
      </c>
      <c r="J1030" s="2" t="s">
        <v>55</v>
      </c>
      <c r="K1030" s="2" t="s">
        <v>21024</v>
      </c>
      <c r="L1030" s="2" t="s">
        <v>21025</v>
      </c>
      <c r="M1030" s="45" t="str">
        <f t="shared" si="666"/>
        <v>@cscc_softball</v>
      </c>
      <c r="N1030" s="114" t="str">
        <f t="shared" si="667"/>
        <v>Questionnaire</v>
      </c>
      <c r="O1030" s="48" t="s">
        <v>21020</v>
      </c>
      <c r="P1030" s="60" t="s">
        <v>346</v>
      </c>
      <c r="Q1030" s="48" t="s">
        <v>6150</v>
      </c>
      <c r="R1030" s="48" t="s">
        <v>468</v>
      </c>
      <c r="S1030" s="49" t="s">
        <v>74</v>
      </c>
      <c r="T1030" s="48" t="s">
        <v>75</v>
      </c>
      <c r="U1030" s="49" t="s">
        <v>3678</v>
      </c>
      <c r="V1030" s="7" t="s">
        <v>214</v>
      </c>
      <c r="W1030" s="49" t="s">
        <v>214</v>
      </c>
      <c r="X1030" s="49" t="s">
        <v>214</v>
      </c>
      <c r="Y1030" s="49" t="s">
        <v>214</v>
      </c>
      <c r="Z1030" s="55" t="s">
        <v>214</v>
      </c>
      <c r="AA1030" s="48" t="s">
        <v>21021</v>
      </c>
      <c r="AB1030" s="90" t="s">
        <v>21020</v>
      </c>
      <c r="AC1030" s="53" t="str">
        <f t="shared" si="668"/>
        <v>Link</v>
      </c>
      <c r="AD1030" s="42">
        <v>3315</v>
      </c>
      <c r="AE1030" s="55"/>
      <c r="AF1030" s="55"/>
      <c r="AG1030" s="56">
        <v>219879</v>
      </c>
      <c r="AH1030" s="7" t="s">
        <v>2459</v>
      </c>
      <c r="AI1030" s="7"/>
      <c r="AJ1030" s="7"/>
      <c r="AK1030" s="7"/>
    </row>
    <row r="1031" spans="1:37" ht="15" x14ac:dyDescent="0.2">
      <c r="A1031" s="31" t="s">
        <v>10627</v>
      </c>
      <c r="B1031" s="33" t="s">
        <v>12632</v>
      </c>
      <c r="C1031" s="7"/>
      <c r="D1031" s="112">
        <v>5</v>
      </c>
      <c r="E1031" s="7" t="s">
        <v>116</v>
      </c>
      <c r="F1031" s="112"/>
      <c r="G1031" s="2" t="s">
        <v>21026</v>
      </c>
      <c r="H1031" s="2" t="s">
        <v>4746</v>
      </c>
      <c r="I1031" s="2" t="s">
        <v>1447</v>
      </c>
      <c r="J1031" s="2" t="s">
        <v>48</v>
      </c>
      <c r="K1031" s="2" t="s">
        <v>21027</v>
      </c>
      <c r="L1031" s="2" t="s">
        <v>21028</v>
      </c>
      <c r="M1031" s="45" t="str">
        <f>HYPERLINK("twitter.com/cstatesoftball","@cstatesoftball")</f>
        <v>@cstatesoftball</v>
      </c>
      <c r="N1031" s="114" t="str">
        <f>HYPERLINK("https://www.columbiastate.edu/athletics/softball/softball-questionnaire","Questionnaire")</f>
        <v>Questionnaire</v>
      </c>
      <c r="O1031" s="48" t="s">
        <v>21029</v>
      </c>
      <c r="P1031" s="60" t="s">
        <v>346</v>
      </c>
      <c r="Q1031" s="48" t="s">
        <v>11426</v>
      </c>
      <c r="R1031" s="60" t="s">
        <v>205</v>
      </c>
      <c r="S1031" s="49" t="s">
        <v>74</v>
      </c>
      <c r="T1031" s="48" t="s">
        <v>75</v>
      </c>
      <c r="U1031" s="49" t="s">
        <v>3678</v>
      </c>
      <c r="V1031" s="7" t="s">
        <v>214</v>
      </c>
      <c r="W1031" s="49" t="s">
        <v>214</v>
      </c>
      <c r="X1031" s="49" t="s">
        <v>214</v>
      </c>
      <c r="Y1031" s="49" t="s">
        <v>214</v>
      </c>
      <c r="Z1031" s="49" t="s">
        <v>214</v>
      </c>
      <c r="AA1031" s="48" t="s">
        <v>21030</v>
      </c>
      <c r="AB1031" s="84" t="s">
        <v>21029</v>
      </c>
      <c r="AC1031" s="53" t="str">
        <f>HYPERLINK("https://www.columbiastate.edu/academics","Link")</f>
        <v>Link</v>
      </c>
      <c r="AD1031" s="42">
        <v>5645</v>
      </c>
      <c r="AE1031" s="55"/>
      <c r="AF1031" s="55"/>
      <c r="AG1031" s="56">
        <v>219888</v>
      </c>
      <c r="AH1031" s="7" t="s">
        <v>2459</v>
      </c>
      <c r="AI1031" s="7"/>
      <c r="AJ1031" s="7"/>
      <c r="AK1031" s="7"/>
    </row>
    <row r="1032" spans="1:37" ht="15" x14ac:dyDescent="0.2">
      <c r="A1032" s="31" t="s">
        <v>10627</v>
      </c>
      <c r="B1032" s="33" t="s">
        <v>12632</v>
      </c>
      <c r="C1032" s="7"/>
      <c r="D1032" s="112">
        <v>5</v>
      </c>
      <c r="E1032" s="7"/>
      <c r="F1032" s="112"/>
      <c r="G1032" s="2" t="s">
        <v>21031</v>
      </c>
      <c r="H1032" s="2" t="s">
        <v>2993</v>
      </c>
      <c r="I1032" s="2" t="s">
        <v>3206</v>
      </c>
      <c r="J1032" s="2" t="s">
        <v>48</v>
      </c>
      <c r="K1032" s="2" t="s">
        <v>21032</v>
      </c>
      <c r="L1032" s="2" t="s">
        <v>21033</v>
      </c>
      <c r="M1032" s="45" t="str">
        <f>HYPERLINK("twitter.com/dburgsball","@dburgsball")</f>
        <v>@dburgsball</v>
      </c>
      <c r="N1032" s="48" t="s">
        <v>22</v>
      </c>
      <c r="O1032" s="48" t="s">
        <v>21034</v>
      </c>
      <c r="P1032" s="60" t="s">
        <v>346</v>
      </c>
      <c r="Q1032" s="48" t="s">
        <v>21035</v>
      </c>
      <c r="R1032" s="48" t="s">
        <v>172</v>
      </c>
      <c r="S1032" s="49" t="s">
        <v>74</v>
      </c>
      <c r="T1032" s="48" t="s">
        <v>75</v>
      </c>
      <c r="U1032" s="49" t="s">
        <v>3678</v>
      </c>
      <c r="V1032" s="7" t="s">
        <v>214</v>
      </c>
      <c r="W1032" s="49" t="s">
        <v>214</v>
      </c>
      <c r="X1032" s="49" t="s">
        <v>214</v>
      </c>
      <c r="Y1032" s="49" t="s">
        <v>214</v>
      </c>
      <c r="Z1032" s="55" t="s">
        <v>214</v>
      </c>
      <c r="AA1032" s="48" t="s">
        <v>21036</v>
      </c>
      <c r="AB1032" s="84" t="s">
        <v>21034</v>
      </c>
      <c r="AC1032" s="53" t="str">
        <f>HYPERLINK("http://www.dscc.edu/programs-of-study/a-z-listing-of-degree-programs","Link")</f>
        <v>Link</v>
      </c>
      <c r="AD1032" s="42">
        <v>2816</v>
      </c>
      <c r="AE1032" s="55"/>
      <c r="AF1032" s="55"/>
      <c r="AG1032" s="56">
        <v>220057</v>
      </c>
      <c r="AH1032" s="7" t="s">
        <v>2459</v>
      </c>
      <c r="AI1032" s="7"/>
      <c r="AJ1032" s="7"/>
      <c r="AK1032" s="7"/>
    </row>
    <row r="1033" spans="1:37" ht="15" x14ac:dyDescent="0.2">
      <c r="A1033" s="64" t="s">
        <v>10627</v>
      </c>
      <c r="B1033" s="33" t="s">
        <v>12632</v>
      </c>
      <c r="C1033" s="7" t="s">
        <v>21037</v>
      </c>
      <c r="D1033" s="112">
        <v>5</v>
      </c>
      <c r="E1033" s="7"/>
      <c r="F1033" s="7"/>
      <c r="G1033" s="2" t="s">
        <v>21038</v>
      </c>
      <c r="H1033" s="2" t="s">
        <v>21039</v>
      </c>
      <c r="I1033" s="2" t="s">
        <v>21040</v>
      </c>
      <c r="J1033" s="2" t="s">
        <v>48</v>
      </c>
      <c r="K1033" s="2" t="s">
        <v>21041</v>
      </c>
      <c r="L1033" s="2" t="s">
        <v>21042</v>
      </c>
      <c r="M1033" s="150" t="str">
        <f t="shared" ref="M1033:M1035" si="669">HYPERLINK("twitter.com/hctigersoftball","@hctigersoftball")</f>
        <v>@hctigersoftball</v>
      </c>
      <c r="N1033" s="152" t="str">
        <f t="shared" ref="N1033:N1035" si="670">HYPERLINK("https://hiwasseetigers.com/sb_output.aspx?form=3","Questionnaire")</f>
        <v>Questionnaire</v>
      </c>
      <c r="O1033" s="48" t="s">
        <v>21043</v>
      </c>
      <c r="P1033" s="60" t="s">
        <v>346</v>
      </c>
      <c r="Q1033" s="48" t="s">
        <v>21044</v>
      </c>
      <c r="R1033" s="60" t="s">
        <v>205</v>
      </c>
      <c r="S1033" s="49" t="s">
        <v>74</v>
      </c>
      <c r="T1033" s="48" t="s">
        <v>75</v>
      </c>
      <c r="U1033" s="49" t="s">
        <v>3678</v>
      </c>
      <c r="V1033" s="7" t="s">
        <v>21045</v>
      </c>
      <c r="W1033" s="49" t="s">
        <v>3613</v>
      </c>
      <c r="X1033" s="49" t="s">
        <v>21046</v>
      </c>
      <c r="Y1033" s="49" t="s">
        <v>3544</v>
      </c>
      <c r="Z1033" s="65">
        <v>0.94</v>
      </c>
      <c r="AA1033" s="39">
        <v>25741</v>
      </c>
      <c r="AB1033" s="90" t="s">
        <v>21043</v>
      </c>
      <c r="AC1033" s="67" t="str">
        <f t="shared" ref="AC1033:AC1035" si="671">HYPERLINK("https://www.hiwassee.edu/academics/academic-degrees-programs-offered","Link")</f>
        <v>Link</v>
      </c>
      <c r="AD1033" s="42">
        <v>283</v>
      </c>
      <c r="AE1033" s="55"/>
      <c r="AF1033" s="55"/>
      <c r="AG1033" s="56">
        <v>220312</v>
      </c>
      <c r="AH1033" s="56"/>
      <c r="AI1033" s="56"/>
      <c r="AJ1033" s="56"/>
      <c r="AK1033" s="56"/>
    </row>
    <row r="1034" spans="1:37" ht="15" x14ac:dyDescent="0.2">
      <c r="A1034" s="64" t="s">
        <v>10627</v>
      </c>
      <c r="B1034" s="33" t="s">
        <v>12632</v>
      </c>
      <c r="C1034" s="7" t="s">
        <v>21047</v>
      </c>
      <c r="D1034" s="112">
        <v>5</v>
      </c>
      <c r="E1034" s="7"/>
      <c r="F1034" s="7"/>
      <c r="G1034" s="2" t="s">
        <v>21038</v>
      </c>
      <c r="H1034" s="2" t="s">
        <v>8620</v>
      </c>
      <c r="I1034" s="2" t="s">
        <v>21048</v>
      </c>
      <c r="J1034" s="2" t="s">
        <v>55</v>
      </c>
      <c r="K1034" s="2"/>
      <c r="L1034" s="2"/>
      <c r="M1034" s="150" t="str">
        <f t="shared" si="669"/>
        <v>@hctigersoftball</v>
      </c>
      <c r="N1034" s="152" t="str">
        <f t="shared" si="670"/>
        <v>Questionnaire</v>
      </c>
      <c r="O1034" s="48" t="s">
        <v>21043</v>
      </c>
      <c r="P1034" s="60" t="s">
        <v>346</v>
      </c>
      <c r="Q1034" s="48" t="s">
        <v>21044</v>
      </c>
      <c r="R1034" s="60" t="s">
        <v>205</v>
      </c>
      <c r="S1034" s="49" t="s">
        <v>74</v>
      </c>
      <c r="T1034" s="48" t="s">
        <v>75</v>
      </c>
      <c r="U1034" s="49" t="s">
        <v>3678</v>
      </c>
      <c r="V1034" s="7" t="s">
        <v>21045</v>
      </c>
      <c r="W1034" s="49" t="s">
        <v>3613</v>
      </c>
      <c r="X1034" s="49" t="s">
        <v>21046</v>
      </c>
      <c r="Y1034" s="49" t="s">
        <v>3544</v>
      </c>
      <c r="Z1034" s="65">
        <v>0.94</v>
      </c>
      <c r="AA1034" s="39">
        <v>25741</v>
      </c>
      <c r="AB1034" s="90" t="s">
        <v>21043</v>
      </c>
      <c r="AC1034" s="67" t="str">
        <f t="shared" si="671"/>
        <v>Link</v>
      </c>
      <c r="AD1034" s="42">
        <v>283</v>
      </c>
      <c r="AE1034" s="55"/>
      <c r="AF1034" s="55"/>
      <c r="AG1034" s="56">
        <v>220312</v>
      </c>
      <c r="AH1034" s="56"/>
      <c r="AI1034" s="56"/>
      <c r="AJ1034" s="56"/>
      <c r="AK1034" s="56"/>
    </row>
    <row r="1035" spans="1:37" ht="15" x14ac:dyDescent="0.2">
      <c r="A1035" s="64" t="s">
        <v>10627</v>
      </c>
      <c r="B1035" s="33" t="s">
        <v>12632</v>
      </c>
      <c r="C1035" s="7" t="s">
        <v>21049</v>
      </c>
      <c r="D1035" s="112">
        <v>5</v>
      </c>
      <c r="E1035" s="7"/>
      <c r="F1035" s="7"/>
      <c r="G1035" s="2" t="s">
        <v>21038</v>
      </c>
      <c r="H1035" s="2" t="s">
        <v>2031</v>
      </c>
      <c r="I1035" s="2" t="s">
        <v>17930</v>
      </c>
      <c r="J1035" s="2" t="s">
        <v>55</v>
      </c>
      <c r="K1035" s="2"/>
      <c r="L1035" s="2"/>
      <c r="M1035" s="150" t="str">
        <f t="shared" si="669"/>
        <v>@hctigersoftball</v>
      </c>
      <c r="N1035" s="152" t="str">
        <f t="shared" si="670"/>
        <v>Questionnaire</v>
      </c>
      <c r="O1035" s="48" t="s">
        <v>21043</v>
      </c>
      <c r="P1035" s="60" t="s">
        <v>346</v>
      </c>
      <c r="Q1035" s="48" t="s">
        <v>21044</v>
      </c>
      <c r="R1035" s="60" t="s">
        <v>205</v>
      </c>
      <c r="S1035" s="49" t="s">
        <v>74</v>
      </c>
      <c r="T1035" s="48" t="s">
        <v>75</v>
      </c>
      <c r="U1035" s="49" t="s">
        <v>3678</v>
      </c>
      <c r="V1035" s="7" t="s">
        <v>21045</v>
      </c>
      <c r="W1035" s="49" t="s">
        <v>3613</v>
      </c>
      <c r="X1035" s="49" t="s">
        <v>21046</v>
      </c>
      <c r="Y1035" s="49" t="s">
        <v>3544</v>
      </c>
      <c r="Z1035" s="65">
        <v>0.94</v>
      </c>
      <c r="AA1035" s="39">
        <v>25741</v>
      </c>
      <c r="AB1035" s="90" t="s">
        <v>21043</v>
      </c>
      <c r="AC1035" s="67" t="str">
        <f t="shared" si="671"/>
        <v>Link</v>
      </c>
      <c r="AD1035" s="42">
        <v>283</v>
      </c>
      <c r="AE1035" s="55"/>
      <c r="AF1035" s="55"/>
      <c r="AG1035" s="56">
        <v>220312</v>
      </c>
      <c r="AH1035" s="56"/>
      <c r="AI1035" s="56"/>
      <c r="AJ1035" s="56"/>
      <c r="AK1035" s="56"/>
    </row>
    <row r="1036" spans="1:37" ht="15" x14ac:dyDescent="0.2">
      <c r="A1036" s="31" t="s">
        <v>10627</v>
      </c>
      <c r="B1036" s="33" t="s">
        <v>12632</v>
      </c>
      <c r="C1036" s="7"/>
      <c r="D1036" s="112">
        <v>5</v>
      </c>
      <c r="E1036" s="7"/>
      <c r="F1036" s="112"/>
      <c r="G1036" s="2" t="s">
        <v>21050</v>
      </c>
      <c r="H1036" s="2" t="s">
        <v>1351</v>
      </c>
      <c r="I1036" s="2" t="s">
        <v>21051</v>
      </c>
      <c r="J1036" s="2" t="s">
        <v>48</v>
      </c>
      <c r="K1036" s="2" t="s">
        <v>21052</v>
      </c>
      <c r="L1036" s="2"/>
      <c r="M1036" s="45" t="str">
        <f t="shared" ref="M1036:M1037" si="672">HYPERLINK("twitter.com/jsccsoftball1","@jsccsoftball1")</f>
        <v>@jsccsoftball1</v>
      </c>
      <c r="N1036" s="48" t="s">
        <v>22</v>
      </c>
      <c r="O1036" s="48" t="s">
        <v>21053</v>
      </c>
      <c r="P1036" s="60" t="s">
        <v>346</v>
      </c>
      <c r="Q1036" s="48" t="s">
        <v>773</v>
      </c>
      <c r="R1036" s="48" t="s">
        <v>186</v>
      </c>
      <c r="S1036" s="49" t="s">
        <v>74</v>
      </c>
      <c r="T1036" s="48" t="s">
        <v>75</v>
      </c>
      <c r="U1036" s="49" t="s">
        <v>3678</v>
      </c>
      <c r="V1036" s="7" t="s">
        <v>214</v>
      </c>
      <c r="W1036" s="49" t="s">
        <v>214</v>
      </c>
      <c r="X1036" s="49" t="s">
        <v>214</v>
      </c>
      <c r="Y1036" s="49" t="s">
        <v>214</v>
      </c>
      <c r="Z1036" s="55" t="s">
        <v>214</v>
      </c>
      <c r="AA1036" s="48" t="s">
        <v>21054</v>
      </c>
      <c r="AB1036" s="84" t="s">
        <v>21053</v>
      </c>
      <c r="AC1036" s="53" t="str">
        <f t="shared" ref="AC1036:AC1037" si="673">HYPERLINK("https://www.jscc.edu/academics/majors.html","Link")</f>
        <v>Link</v>
      </c>
      <c r="AD1036" s="42">
        <v>4689</v>
      </c>
      <c r="AE1036" s="55"/>
      <c r="AF1036" s="55"/>
      <c r="AG1036" s="56">
        <v>220400</v>
      </c>
      <c r="AH1036" s="7" t="s">
        <v>2459</v>
      </c>
      <c r="AI1036" s="7"/>
      <c r="AJ1036" s="7"/>
      <c r="AK1036" s="7"/>
    </row>
    <row r="1037" spans="1:37" ht="15" x14ac:dyDescent="0.2">
      <c r="A1037" s="31" t="s">
        <v>10627</v>
      </c>
      <c r="B1037" s="33" t="s">
        <v>12632</v>
      </c>
      <c r="C1037" s="7"/>
      <c r="D1037" s="112">
        <v>5</v>
      </c>
      <c r="E1037" s="7"/>
      <c r="F1037" s="112"/>
      <c r="G1037" s="2" t="s">
        <v>21050</v>
      </c>
      <c r="H1037" s="2" t="s">
        <v>21055</v>
      </c>
      <c r="I1037" s="2" t="s">
        <v>12180</v>
      </c>
      <c r="J1037" s="2" t="s">
        <v>55</v>
      </c>
      <c r="K1037" s="2"/>
      <c r="L1037" s="2"/>
      <c r="M1037" s="45" t="str">
        <f t="shared" si="672"/>
        <v>@jsccsoftball1</v>
      </c>
      <c r="N1037" s="48" t="s">
        <v>22</v>
      </c>
      <c r="O1037" s="48" t="s">
        <v>21053</v>
      </c>
      <c r="P1037" s="60" t="s">
        <v>346</v>
      </c>
      <c r="Q1037" s="48" t="s">
        <v>773</v>
      </c>
      <c r="R1037" s="48" t="s">
        <v>186</v>
      </c>
      <c r="S1037" s="49" t="s">
        <v>74</v>
      </c>
      <c r="T1037" s="48" t="s">
        <v>75</v>
      </c>
      <c r="U1037" s="49" t="s">
        <v>3678</v>
      </c>
      <c r="V1037" s="7" t="s">
        <v>214</v>
      </c>
      <c r="W1037" s="49" t="s">
        <v>214</v>
      </c>
      <c r="X1037" s="49" t="s">
        <v>214</v>
      </c>
      <c r="Y1037" s="49" t="s">
        <v>214</v>
      </c>
      <c r="Z1037" s="55" t="s">
        <v>214</v>
      </c>
      <c r="AA1037" s="48" t="s">
        <v>21054</v>
      </c>
      <c r="AB1037" s="84" t="s">
        <v>21053</v>
      </c>
      <c r="AC1037" s="53" t="str">
        <f t="shared" si="673"/>
        <v>Link</v>
      </c>
      <c r="AD1037" s="42">
        <v>4689</v>
      </c>
      <c r="AE1037" s="55"/>
      <c r="AF1037" s="55"/>
      <c r="AG1037" s="56">
        <v>220400</v>
      </c>
      <c r="AH1037" s="7" t="s">
        <v>2459</v>
      </c>
      <c r="AI1037" s="7"/>
      <c r="AJ1037" s="7"/>
      <c r="AK1037" s="7"/>
    </row>
    <row r="1038" spans="1:37" ht="15" x14ac:dyDescent="0.2">
      <c r="A1038" s="31" t="s">
        <v>10627</v>
      </c>
      <c r="B1038" s="33" t="s">
        <v>12632</v>
      </c>
      <c r="C1038" s="7"/>
      <c r="D1038" s="112">
        <v>5</v>
      </c>
      <c r="E1038" s="7"/>
      <c r="F1038" s="112"/>
      <c r="G1038" s="2" t="s">
        <v>21056</v>
      </c>
      <c r="H1038" s="2" t="s">
        <v>17266</v>
      </c>
      <c r="I1038" s="2" t="s">
        <v>21057</v>
      </c>
      <c r="J1038" s="2" t="s">
        <v>48</v>
      </c>
      <c r="K1038" s="2" t="s">
        <v>21058</v>
      </c>
      <c r="L1038" s="2" t="s">
        <v>21059</v>
      </c>
      <c r="M1038" s="48"/>
      <c r="N1038" s="48" t="s">
        <v>22</v>
      </c>
      <c r="O1038" s="48" t="s">
        <v>21060</v>
      </c>
      <c r="P1038" s="60" t="s">
        <v>346</v>
      </c>
      <c r="Q1038" s="48" t="s">
        <v>3980</v>
      </c>
      <c r="R1038" s="60" t="s">
        <v>205</v>
      </c>
      <c r="S1038" s="49" t="s">
        <v>74</v>
      </c>
      <c r="T1038" s="48" t="s">
        <v>75</v>
      </c>
      <c r="U1038" s="49" t="s">
        <v>3678</v>
      </c>
      <c r="V1038" s="7" t="s">
        <v>214</v>
      </c>
      <c r="W1038" s="49" t="s">
        <v>214</v>
      </c>
      <c r="X1038" s="49" t="s">
        <v>214</v>
      </c>
      <c r="Y1038" s="49" t="s">
        <v>214</v>
      </c>
      <c r="Z1038" s="55" t="s">
        <v>214</v>
      </c>
      <c r="AA1038" s="48" t="s">
        <v>21061</v>
      </c>
      <c r="AB1038" s="84" t="s">
        <v>21060</v>
      </c>
      <c r="AC1038" s="53" t="str">
        <f>HYPERLINK("https://www.mscc.edu/programs/","Link")</f>
        <v>Link</v>
      </c>
      <c r="AD1038" s="42">
        <v>5838</v>
      </c>
      <c r="AE1038" s="55"/>
      <c r="AF1038" s="55"/>
      <c r="AG1038" s="56">
        <v>221096</v>
      </c>
      <c r="AH1038" s="7" t="s">
        <v>2459</v>
      </c>
      <c r="AI1038" s="7"/>
      <c r="AJ1038" s="7"/>
      <c r="AK1038" s="7"/>
    </row>
    <row r="1039" spans="1:37" ht="15" x14ac:dyDescent="0.2">
      <c r="A1039" s="31" t="s">
        <v>10627</v>
      </c>
      <c r="B1039" s="33" t="s">
        <v>12632</v>
      </c>
      <c r="C1039" s="7"/>
      <c r="D1039" s="112">
        <v>5</v>
      </c>
      <c r="E1039" s="7"/>
      <c r="F1039" s="112"/>
      <c r="G1039" s="2" t="s">
        <v>21062</v>
      </c>
      <c r="H1039" s="2" t="s">
        <v>4055</v>
      </c>
      <c r="I1039" s="2" t="s">
        <v>21063</v>
      </c>
      <c r="J1039" s="2" t="s">
        <v>48</v>
      </c>
      <c r="K1039" s="2" t="s">
        <v>21064</v>
      </c>
      <c r="L1039" s="2" t="s">
        <v>21065</v>
      </c>
      <c r="M1039" s="45" t="str">
        <f t="shared" ref="M1039:M1041" si="674">HYPERLINK("twitter.com/rsccsoftball","@rsccsoftball")</f>
        <v>@rsccsoftball</v>
      </c>
      <c r="N1039" s="48" t="s">
        <v>22</v>
      </c>
      <c r="O1039" s="48" t="s">
        <v>21066</v>
      </c>
      <c r="P1039" s="60" t="s">
        <v>346</v>
      </c>
      <c r="Q1039" s="48" t="s">
        <v>21067</v>
      </c>
      <c r="R1039" s="60" t="s">
        <v>205</v>
      </c>
      <c r="S1039" s="5" t="s">
        <v>74</v>
      </c>
      <c r="T1039" s="48" t="s">
        <v>75</v>
      </c>
      <c r="U1039" s="49" t="s">
        <v>3678</v>
      </c>
      <c r="V1039" s="7" t="s">
        <v>214</v>
      </c>
      <c r="W1039" s="49" t="s">
        <v>214</v>
      </c>
      <c r="X1039" s="49" t="s">
        <v>214</v>
      </c>
      <c r="Y1039" s="49" t="s">
        <v>214</v>
      </c>
      <c r="Z1039" s="55" t="s">
        <v>214</v>
      </c>
      <c r="AA1039" s="48" t="s">
        <v>21068</v>
      </c>
      <c r="AB1039" s="84" t="s">
        <v>21066</v>
      </c>
      <c r="AC1039" s="53" t="str">
        <f t="shared" ref="AC1039:AC1041" si="675">HYPERLINK("http://www.roanestate.edu/?5506-Academic-Programs","Link")</f>
        <v>Link</v>
      </c>
      <c r="AD1039" s="42">
        <v>5756</v>
      </c>
      <c r="AE1039" s="55"/>
      <c r="AF1039" s="55"/>
      <c r="AG1039" s="56">
        <v>221397</v>
      </c>
      <c r="AH1039" s="7" t="s">
        <v>2459</v>
      </c>
      <c r="AI1039" s="7"/>
      <c r="AJ1039" s="7"/>
      <c r="AK1039" s="7"/>
    </row>
    <row r="1040" spans="1:37" ht="15" x14ac:dyDescent="0.2">
      <c r="A1040" s="31" t="s">
        <v>10627</v>
      </c>
      <c r="B1040" s="33" t="s">
        <v>12632</v>
      </c>
      <c r="C1040" s="7"/>
      <c r="D1040" s="112">
        <v>5</v>
      </c>
      <c r="E1040" s="7" t="s">
        <v>116</v>
      </c>
      <c r="F1040" s="112"/>
      <c r="G1040" s="2" t="s">
        <v>21062</v>
      </c>
      <c r="H1040" s="2" t="s">
        <v>1604</v>
      </c>
      <c r="I1040" s="2" t="s">
        <v>21069</v>
      </c>
      <c r="J1040" s="2" t="s">
        <v>55</v>
      </c>
      <c r="K1040" s="2"/>
      <c r="L1040" s="2"/>
      <c r="M1040" s="45" t="str">
        <f t="shared" si="674"/>
        <v>@rsccsoftball</v>
      </c>
      <c r="N1040" s="48" t="s">
        <v>22</v>
      </c>
      <c r="O1040" s="48" t="s">
        <v>21066</v>
      </c>
      <c r="P1040" s="60" t="s">
        <v>346</v>
      </c>
      <c r="Q1040" s="48" t="s">
        <v>21067</v>
      </c>
      <c r="R1040" s="60" t="s">
        <v>205</v>
      </c>
      <c r="S1040" s="5" t="s">
        <v>74</v>
      </c>
      <c r="T1040" s="48" t="s">
        <v>75</v>
      </c>
      <c r="U1040" s="49" t="s">
        <v>3678</v>
      </c>
      <c r="V1040" s="7" t="s">
        <v>214</v>
      </c>
      <c r="W1040" s="49" t="s">
        <v>214</v>
      </c>
      <c r="X1040" s="49" t="s">
        <v>214</v>
      </c>
      <c r="Y1040" s="49" t="s">
        <v>214</v>
      </c>
      <c r="Z1040" s="55" t="s">
        <v>214</v>
      </c>
      <c r="AA1040" s="48" t="s">
        <v>21068</v>
      </c>
      <c r="AB1040" s="84" t="s">
        <v>21066</v>
      </c>
      <c r="AC1040" s="53" t="str">
        <f t="shared" si="675"/>
        <v>Link</v>
      </c>
      <c r="AD1040" s="42">
        <v>5756</v>
      </c>
      <c r="AE1040" s="55"/>
      <c r="AF1040" s="55"/>
      <c r="AG1040" s="56">
        <v>221397</v>
      </c>
      <c r="AH1040" s="7" t="s">
        <v>2459</v>
      </c>
      <c r="AI1040" s="7"/>
      <c r="AJ1040" s="7"/>
      <c r="AK1040" s="7"/>
    </row>
    <row r="1041" spans="1:37" ht="15" x14ac:dyDescent="0.2">
      <c r="A1041" s="31" t="s">
        <v>10627</v>
      </c>
      <c r="B1041" s="33" t="s">
        <v>12632</v>
      </c>
      <c r="C1041" s="7"/>
      <c r="D1041" s="112">
        <v>5</v>
      </c>
      <c r="E1041" s="7"/>
      <c r="F1041" s="112" t="s">
        <v>126</v>
      </c>
      <c r="G1041" s="2" t="s">
        <v>21062</v>
      </c>
      <c r="H1041" s="2" t="s">
        <v>21070</v>
      </c>
      <c r="I1041" s="2"/>
      <c r="J1041" s="2"/>
      <c r="K1041" s="2"/>
      <c r="L1041" s="2"/>
      <c r="M1041" s="45" t="str">
        <f t="shared" si="674"/>
        <v>@rsccsoftball</v>
      </c>
      <c r="N1041" s="48" t="s">
        <v>22</v>
      </c>
      <c r="O1041" s="48" t="s">
        <v>21066</v>
      </c>
      <c r="P1041" s="60" t="s">
        <v>346</v>
      </c>
      <c r="Q1041" s="48" t="s">
        <v>21067</v>
      </c>
      <c r="R1041" s="60" t="s">
        <v>205</v>
      </c>
      <c r="S1041" s="5" t="s">
        <v>74</v>
      </c>
      <c r="T1041" s="48" t="s">
        <v>75</v>
      </c>
      <c r="U1041" s="49" t="s">
        <v>3678</v>
      </c>
      <c r="V1041" s="7" t="s">
        <v>214</v>
      </c>
      <c r="W1041" s="49" t="s">
        <v>214</v>
      </c>
      <c r="X1041" s="49" t="s">
        <v>214</v>
      </c>
      <c r="Y1041" s="49" t="s">
        <v>214</v>
      </c>
      <c r="Z1041" s="55" t="s">
        <v>214</v>
      </c>
      <c r="AA1041" s="48" t="s">
        <v>21068</v>
      </c>
      <c r="AB1041" s="84" t="s">
        <v>21066</v>
      </c>
      <c r="AC1041" s="53" t="str">
        <f t="shared" si="675"/>
        <v>Link</v>
      </c>
      <c r="AD1041" s="42">
        <v>5756</v>
      </c>
      <c r="AE1041" s="55"/>
      <c r="AF1041" s="55"/>
      <c r="AG1041" s="56">
        <v>221397</v>
      </c>
      <c r="AH1041" s="7" t="s">
        <v>2459</v>
      </c>
      <c r="AI1041" s="7"/>
      <c r="AJ1041" s="7"/>
      <c r="AK1041" s="7"/>
    </row>
    <row r="1042" spans="1:37" ht="15" x14ac:dyDescent="0.2">
      <c r="A1042" s="64" t="s">
        <v>10627</v>
      </c>
      <c r="B1042" s="33" t="s">
        <v>12632</v>
      </c>
      <c r="C1042" s="7" t="s">
        <v>21071</v>
      </c>
      <c r="D1042" s="112">
        <v>5</v>
      </c>
      <c r="E1042" s="7"/>
      <c r="F1042" s="7"/>
      <c r="G1042" s="2" t="s">
        <v>21072</v>
      </c>
      <c r="H1042" s="2" t="s">
        <v>3026</v>
      </c>
      <c r="I1042" s="2" t="s">
        <v>21073</v>
      </c>
      <c r="J1042" s="2" t="s">
        <v>48</v>
      </c>
      <c r="K1042" s="2" t="s">
        <v>21074</v>
      </c>
      <c r="L1042" s="2" t="s">
        <v>21075</v>
      </c>
      <c r="M1042" s="150" t="str">
        <f t="shared" ref="M1042:M1044" si="676">HYPERLINK("twitter.com/ladysaluqisb","@ladysaluqisb")</f>
        <v>@ladysaluqisb</v>
      </c>
      <c r="N1042" s="48" t="s">
        <v>22</v>
      </c>
      <c r="O1042" s="48" t="s">
        <v>21076</v>
      </c>
      <c r="P1042" s="60" t="s">
        <v>346</v>
      </c>
      <c r="Q1042" s="48" t="s">
        <v>353</v>
      </c>
      <c r="R1042" s="48" t="s">
        <v>354</v>
      </c>
      <c r="S1042" s="49" t="s">
        <v>74</v>
      </c>
      <c r="T1042" s="48" t="s">
        <v>75</v>
      </c>
      <c r="U1042" s="49" t="s">
        <v>3678</v>
      </c>
      <c r="V1042" s="7" t="s">
        <v>214</v>
      </c>
      <c r="W1042" s="49" t="s">
        <v>214</v>
      </c>
      <c r="X1042" s="49" t="s">
        <v>214</v>
      </c>
      <c r="Y1042" s="49" t="s">
        <v>214</v>
      </c>
      <c r="Z1042" s="55" t="s">
        <v>214</v>
      </c>
      <c r="AA1042" s="48" t="s">
        <v>21077</v>
      </c>
      <c r="AB1042" s="84" t="s">
        <v>21076</v>
      </c>
      <c r="AC1042" s="67" t="str">
        <f t="shared" ref="AC1042:AC1044" si="677">HYPERLINK("http://www.tn.edu/academics/degrees-certificates.htm","Link")</f>
        <v>Link</v>
      </c>
      <c r="AD1042" s="42">
        <v>8327</v>
      </c>
      <c r="AE1042" s="55"/>
      <c r="AF1042" s="55"/>
      <c r="AG1042" s="56">
        <v>221485</v>
      </c>
      <c r="AH1042" s="56"/>
      <c r="AI1042" s="56"/>
      <c r="AJ1042" s="56"/>
      <c r="AK1042" s="56"/>
    </row>
    <row r="1043" spans="1:37" ht="15" x14ac:dyDescent="0.2">
      <c r="A1043" s="64" t="s">
        <v>10627</v>
      </c>
      <c r="B1043" s="33" t="s">
        <v>12632</v>
      </c>
      <c r="C1043" s="7" t="s">
        <v>21078</v>
      </c>
      <c r="D1043" s="112">
        <v>5</v>
      </c>
      <c r="E1043" s="7"/>
      <c r="F1043" s="7"/>
      <c r="G1043" s="2" t="s">
        <v>21072</v>
      </c>
      <c r="H1043" s="2" t="s">
        <v>6217</v>
      </c>
      <c r="I1043" s="2" t="s">
        <v>977</v>
      </c>
      <c r="J1043" s="2" t="s">
        <v>55</v>
      </c>
      <c r="K1043" s="2"/>
      <c r="L1043" s="2"/>
      <c r="M1043" s="150" t="str">
        <f t="shared" si="676"/>
        <v>@ladysaluqisb</v>
      </c>
      <c r="N1043" s="48" t="s">
        <v>22</v>
      </c>
      <c r="O1043" s="48" t="s">
        <v>21076</v>
      </c>
      <c r="P1043" s="60" t="s">
        <v>346</v>
      </c>
      <c r="Q1043" s="48" t="s">
        <v>353</v>
      </c>
      <c r="R1043" s="48" t="s">
        <v>354</v>
      </c>
      <c r="S1043" s="49" t="s">
        <v>74</v>
      </c>
      <c r="T1043" s="48" t="s">
        <v>75</v>
      </c>
      <c r="U1043" s="49" t="s">
        <v>3678</v>
      </c>
      <c r="V1043" s="7" t="s">
        <v>214</v>
      </c>
      <c r="W1043" s="49" t="s">
        <v>214</v>
      </c>
      <c r="X1043" s="49" t="s">
        <v>214</v>
      </c>
      <c r="Y1043" s="49" t="s">
        <v>214</v>
      </c>
      <c r="Z1043" s="55" t="s">
        <v>214</v>
      </c>
      <c r="AA1043" s="48" t="s">
        <v>21077</v>
      </c>
      <c r="AB1043" s="84" t="s">
        <v>21076</v>
      </c>
      <c r="AC1043" s="67" t="str">
        <f t="shared" si="677"/>
        <v>Link</v>
      </c>
      <c r="AD1043" s="42">
        <v>8327</v>
      </c>
      <c r="AE1043" s="55"/>
      <c r="AF1043" s="55"/>
      <c r="AG1043" s="56">
        <v>221485</v>
      </c>
      <c r="AH1043" s="56"/>
      <c r="AI1043" s="56"/>
      <c r="AJ1043" s="56"/>
      <c r="AK1043" s="56"/>
    </row>
    <row r="1044" spans="1:37" ht="15" x14ac:dyDescent="0.2">
      <c r="A1044" s="64" t="s">
        <v>10627</v>
      </c>
      <c r="B1044" s="33" t="s">
        <v>12632</v>
      </c>
      <c r="C1044" s="7" t="s">
        <v>21079</v>
      </c>
      <c r="D1044" s="112">
        <v>5</v>
      </c>
      <c r="E1044" s="7"/>
      <c r="F1044" s="7"/>
      <c r="G1044" s="2" t="s">
        <v>21072</v>
      </c>
      <c r="H1044" s="2" t="s">
        <v>981</v>
      </c>
      <c r="I1044" s="2" t="s">
        <v>21080</v>
      </c>
      <c r="J1044" s="2" t="s">
        <v>55</v>
      </c>
      <c r="K1044" s="2"/>
      <c r="L1044" s="2"/>
      <c r="M1044" s="150" t="str">
        <f t="shared" si="676"/>
        <v>@ladysaluqisb</v>
      </c>
      <c r="N1044" s="48" t="s">
        <v>22</v>
      </c>
      <c r="O1044" s="48" t="s">
        <v>21076</v>
      </c>
      <c r="P1044" s="60" t="s">
        <v>346</v>
      </c>
      <c r="Q1044" s="48" t="s">
        <v>353</v>
      </c>
      <c r="R1044" s="48" t="s">
        <v>354</v>
      </c>
      <c r="S1044" s="49" t="s">
        <v>74</v>
      </c>
      <c r="T1044" s="48" t="s">
        <v>75</v>
      </c>
      <c r="U1044" s="49" t="s">
        <v>3678</v>
      </c>
      <c r="V1044" s="7" t="s">
        <v>214</v>
      </c>
      <c r="W1044" s="49" t="s">
        <v>214</v>
      </c>
      <c r="X1044" s="49" t="s">
        <v>214</v>
      </c>
      <c r="Y1044" s="49" t="s">
        <v>214</v>
      </c>
      <c r="Z1044" s="55" t="s">
        <v>214</v>
      </c>
      <c r="AA1044" s="48" t="s">
        <v>21077</v>
      </c>
      <c r="AB1044" s="84" t="s">
        <v>21076</v>
      </c>
      <c r="AC1044" s="67" t="str">
        <f t="shared" si="677"/>
        <v>Link</v>
      </c>
      <c r="AD1044" s="42">
        <v>8327</v>
      </c>
      <c r="AE1044" s="55"/>
      <c r="AF1044" s="55"/>
      <c r="AG1044" s="56">
        <v>221485</v>
      </c>
      <c r="AH1044" s="56"/>
      <c r="AI1044" s="56"/>
      <c r="AJ1044" s="56"/>
      <c r="AK1044" s="56"/>
    </row>
    <row r="1045" spans="1:37" ht="15" x14ac:dyDescent="0.2">
      <c r="A1045" s="64" t="s">
        <v>10627</v>
      </c>
      <c r="B1045" s="33" t="s">
        <v>12632</v>
      </c>
      <c r="C1045" s="7" t="s">
        <v>21081</v>
      </c>
      <c r="D1045" s="112">
        <v>5</v>
      </c>
      <c r="E1045" s="7"/>
      <c r="F1045" s="7"/>
      <c r="G1045" s="2" t="s">
        <v>21082</v>
      </c>
      <c r="H1045" s="2" t="s">
        <v>17448</v>
      </c>
      <c r="I1045" s="2" t="s">
        <v>3179</v>
      </c>
      <c r="J1045" s="2" t="s">
        <v>48</v>
      </c>
      <c r="K1045" s="2" t="s">
        <v>21083</v>
      </c>
      <c r="L1045" s="2" t="s">
        <v>21084</v>
      </c>
      <c r="M1045" s="150" t="str">
        <f t="shared" ref="M1045:M1046" si="678">HYPERLINK("twitter.com/vsccpioneerssb","@vsccpioneerssb")</f>
        <v>@vsccpioneerssb</v>
      </c>
      <c r="N1045" s="152" t="str">
        <f t="shared" ref="N1045:N1046" si="679">HYPERLINK("http://www.volstatepioneers.com/Softball_Questionnaire","Questionnaire")</f>
        <v>Questionnaire</v>
      </c>
      <c r="O1045" s="48" t="s">
        <v>21085</v>
      </c>
      <c r="P1045" s="60" t="s">
        <v>346</v>
      </c>
      <c r="Q1045" s="48" t="s">
        <v>21086</v>
      </c>
      <c r="R1045" s="48" t="s">
        <v>468</v>
      </c>
      <c r="S1045" s="49" t="s">
        <v>74</v>
      </c>
      <c r="T1045" s="48" t="s">
        <v>75</v>
      </c>
      <c r="U1045" s="49" t="s">
        <v>3678</v>
      </c>
      <c r="V1045" s="7" t="s">
        <v>214</v>
      </c>
      <c r="W1045" s="49" t="s">
        <v>214</v>
      </c>
      <c r="X1045" s="49" t="s">
        <v>214</v>
      </c>
      <c r="Y1045" s="49" t="s">
        <v>214</v>
      </c>
      <c r="Z1045" s="55" t="s">
        <v>214</v>
      </c>
      <c r="AA1045" s="48" t="s">
        <v>21087</v>
      </c>
      <c r="AB1045" s="84" t="s">
        <v>21085</v>
      </c>
      <c r="AC1045" s="67" t="str">
        <f t="shared" ref="AC1045:AC1046" si="680">HYPERLINK("https://www.volstate.edu/academics/programs","Link")</f>
        <v>Link</v>
      </c>
      <c r="AD1045" s="42">
        <v>8684</v>
      </c>
      <c r="AE1045" s="55"/>
      <c r="AF1045" s="55"/>
      <c r="AG1045" s="56">
        <v>222053</v>
      </c>
      <c r="AH1045" s="56"/>
      <c r="AI1045" s="56"/>
      <c r="AJ1045" s="56"/>
      <c r="AK1045" s="56"/>
    </row>
    <row r="1046" spans="1:37" ht="15" x14ac:dyDescent="0.2">
      <c r="A1046" s="64" t="s">
        <v>10627</v>
      </c>
      <c r="B1046" s="33" t="s">
        <v>12632</v>
      </c>
      <c r="C1046" s="7" t="s">
        <v>21088</v>
      </c>
      <c r="D1046" s="112">
        <v>5</v>
      </c>
      <c r="E1046" s="7"/>
      <c r="F1046" s="7"/>
      <c r="G1046" s="2" t="s">
        <v>21082</v>
      </c>
      <c r="H1046" s="2" t="s">
        <v>5947</v>
      </c>
      <c r="I1046" s="2" t="s">
        <v>8582</v>
      </c>
      <c r="J1046" s="2" t="s">
        <v>55</v>
      </c>
      <c r="K1046" s="2" t="s">
        <v>21089</v>
      </c>
      <c r="L1046" s="2" t="s">
        <v>21090</v>
      </c>
      <c r="M1046" s="150" t="str">
        <f t="shared" si="678"/>
        <v>@vsccpioneerssb</v>
      </c>
      <c r="N1046" s="152" t="str">
        <f t="shared" si="679"/>
        <v>Questionnaire</v>
      </c>
      <c r="O1046" s="48" t="s">
        <v>21085</v>
      </c>
      <c r="P1046" s="60" t="s">
        <v>346</v>
      </c>
      <c r="Q1046" s="48" t="s">
        <v>21086</v>
      </c>
      <c r="R1046" s="48" t="s">
        <v>468</v>
      </c>
      <c r="S1046" s="49" t="s">
        <v>74</v>
      </c>
      <c r="T1046" s="48" t="s">
        <v>75</v>
      </c>
      <c r="U1046" s="49" t="s">
        <v>3678</v>
      </c>
      <c r="V1046" s="7" t="s">
        <v>214</v>
      </c>
      <c r="W1046" s="49" t="s">
        <v>214</v>
      </c>
      <c r="X1046" s="49" t="s">
        <v>214</v>
      </c>
      <c r="Y1046" s="49" t="s">
        <v>214</v>
      </c>
      <c r="Z1046" s="55" t="s">
        <v>214</v>
      </c>
      <c r="AA1046" s="48" t="s">
        <v>21087</v>
      </c>
      <c r="AB1046" s="84" t="s">
        <v>21085</v>
      </c>
      <c r="AC1046" s="67" t="str">
        <f t="shared" si="680"/>
        <v>Link</v>
      </c>
      <c r="AD1046" s="42">
        <v>8684</v>
      </c>
      <c r="AE1046" s="55"/>
      <c r="AF1046" s="55"/>
      <c r="AG1046" s="56">
        <v>222053</v>
      </c>
      <c r="AH1046" s="56"/>
      <c r="AI1046" s="56"/>
      <c r="AJ1046" s="56"/>
      <c r="AK1046" s="56"/>
    </row>
    <row r="1047" spans="1:37" ht="15" x14ac:dyDescent="0.2">
      <c r="A1047" s="64" t="s">
        <v>10627</v>
      </c>
      <c r="B1047" s="33" t="s">
        <v>12632</v>
      </c>
      <c r="C1047" s="7" t="s">
        <v>21091</v>
      </c>
      <c r="D1047" s="112">
        <v>5</v>
      </c>
      <c r="E1047" s="7"/>
      <c r="F1047" s="7"/>
      <c r="G1047" s="2" t="s">
        <v>21092</v>
      </c>
      <c r="H1047" s="2" t="s">
        <v>2157</v>
      </c>
      <c r="I1047" s="2" t="s">
        <v>21093</v>
      </c>
      <c r="J1047" s="2" t="s">
        <v>48</v>
      </c>
      <c r="K1047" s="2" t="s">
        <v>21094</v>
      </c>
      <c r="L1047" s="2" t="s">
        <v>21095</v>
      </c>
      <c r="M1047" s="150" t="str">
        <f t="shared" ref="M1047:M1049" si="681">HYPERLINK("twitter.com/wsccsoftball","@wsccsoftball")</f>
        <v>@wsccsoftball</v>
      </c>
      <c r="N1047" s="48" t="s">
        <v>22</v>
      </c>
      <c r="O1047" s="48" t="s">
        <v>21096</v>
      </c>
      <c r="P1047" s="60" t="s">
        <v>346</v>
      </c>
      <c r="Q1047" s="48" t="s">
        <v>8454</v>
      </c>
      <c r="R1047" s="48" t="s">
        <v>468</v>
      </c>
      <c r="S1047" s="49" t="s">
        <v>74</v>
      </c>
      <c r="T1047" s="48" t="s">
        <v>75</v>
      </c>
      <c r="U1047" s="49" t="s">
        <v>3678</v>
      </c>
      <c r="V1047" s="7" t="s">
        <v>214</v>
      </c>
      <c r="W1047" s="49" t="s">
        <v>214</v>
      </c>
      <c r="X1047" s="49" t="s">
        <v>214</v>
      </c>
      <c r="Y1047" s="49" t="s">
        <v>214</v>
      </c>
      <c r="Z1047" s="55" t="s">
        <v>214</v>
      </c>
      <c r="AA1047" s="48" t="s">
        <v>21097</v>
      </c>
      <c r="AB1047" s="84" t="s">
        <v>21096</v>
      </c>
      <c r="AC1047" s="67" t="str">
        <f t="shared" ref="AC1047:AC1049" si="682">HYPERLINK("http://www.ws.edu/academics/degrees-certificates/default.shtm","Link")</f>
        <v>Link</v>
      </c>
      <c r="AD1047" s="42">
        <v>5951</v>
      </c>
      <c r="AE1047" s="55"/>
      <c r="AF1047" s="55"/>
      <c r="AG1047" s="56">
        <v>222062</v>
      </c>
      <c r="AH1047" s="56"/>
      <c r="AI1047" s="56"/>
      <c r="AJ1047" s="56"/>
      <c r="AK1047" s="56"/>
    </row>
    <row r="1048" spans="1:37" ht="15" x14ac:dyDescent="0.2">
      <c r="A1048" s="64" t="s">
        <v>10627</v>
      </c>
      <c r="B1048" s="33" t="s">
        <v>12632</v>
      </c>
      <c r="C1048" s="7" t="s">
        <v>21098</v>
      </c>
      <c r="D1048" s="112">
        <v>5</v>
      </c>
      <c r="E1048" s="7"/>
      <c r="F1048" s="7"/>
      <c r="G1048" s="2" t="s">
        <v>21092</v>
      </c>
      <c r="H1048" s="2" t="s">
        <v>508</v>
      </c>
      <c r="I1048" s="2" t="s">
        <v>1124</v>
      </c>
      <c r="J1048" s="2" t="s">
        <v>55</v>
      </c>
      <c r="K1048" s="95" t="s">
        <v>21099</v>
      </c>
      <c r="L1048" s="2" t="s">
        <v>21095</v>
      </c>
      <c r="M1048" s="150" t="str">
        <f t="shared" si="681"/>
        <v>@wsccsoftball</v>
      </c>
      <c r="N1048" s="48" t="s">
        <v>22</v>
      </c>
      <c r="O1048" s="48" t="s">
        <v>21096</v>
      </c>
      <c r="P1048" s="60" t="s">
        <v>346</v>
      </c>
      <c r="Q1048" s="48" t="s">
        <v>8454</v>
      </c>
      <c r="R1048" s="48" t="s">
        <v>468</v>
      </c>
      <c r="S1048" s="49" t="s">
        <v>74</v>
      </c>
      <c r="T1048" s="48" t="s">
        <v>75</v>
      </c>
      <c r="U1048" s="49" t="s">
        <v>3678</v>
      </c>
      <c r="V1048" s="7" t="s">
        <v>214</v>
      </c>
      <c r="W1048" s="49" t="s">
        <v>214</v>
      </c>
      <c r="X1048" s="49" t="s">
        <v>214</v>
      </c>
      <c r="Y1048" s="49" t="s">
        <v>214</v>
      </c>
      <c r="Z1048" s="55" t="s">
        <v>214</v>
      </c>
      <c r="AA1048" s="48" t="s">
        <v>21097</v>
      </c>
      <c r="AB1048" s="84" t="s">
        <v>21096</v>
      </c>
      <c r="AC1048" s="67" t="str">
        <f t="shared" si="682"/>
        <v>Link</v>
      </c>
      <c r="AD1048" s="42">
        <v>5951</v>
      </c>
      <c r="AE1048" s="55"/>
      <c r="AF1048" s="55"/>
      <c r="AG1048" s="56">
        <v>222062</v>
      </c>
      <c r="AH1048" s="56"/>
      <c r="AI1048" s="56"/>
      <c r="AJ1048" s="56"/>
      <c r="AK1048" s="56"/>
    </row>
    <row r="1049" spans="1:37" ht="15" x14ac:dyDescent="0.2">
      <c r="A1049" s="64" t="s">
        <v>10627</v>
      </c>
      <c r="B1049" s="33" t="s">
        <v>12632</v>
      </c>
      <c r="C1049" s="7" t="s">
        <v>21100</v>
      </c>
      <c r="D1049" s="112">
        <v>5</v>
      </c>
      <c r="E1049" s="7"/>
      <c r="F1049" s="7"/>
      <c r="G1049" s="2" t="s">
        <v>21092</v>
      </c>
      <c r="H1049" s="2" t="s">
        <v>508</v>
      </c>
      <c r="I1049" s="2" t="s">
        <v>1124</v>
      </c>
      <c r="J1049" s="2" t="s">
        <v>6646</v>
      </c>
      <c r="K1049" s="2" t="s">
        <v>21101</v>
      </c>
      <c r="L1049" s="2" t="s">
        <v>21095</v>
      </c>
      <c r="M1049" s="150" t="str">
        <f t="shared" si="681"/>
        <v>@wsccsoftball</v>
      </c>
      <c r="N1049" s="48" t="s">
        <v>22</v>
      </c>
      <c r="O1049" s="48" t="s">
        <v>21096</v>
      </c>
      <c r="P1049" s="60" t="s">
        <v>346</v>
      </c>
      <c r="Q1049" s="48" t="s">
        <v>8454</v>
      </c>
      <c r="R1049" s="48" t="s">
        <v>468</v>
      </c>
      <c r="S1049" s="49" t="s">
        <v>74</v>
      </c>
      <c r="T1049" s="48" t="s">
        <v>75</v>
      </c>
      <c r="U1049" s="49" t="s">
        <v>3678</v>
      </c>
      <c r="V1049" s="7" t="s">
        <v>214</v>
      </c>
      <c r="W1049" s="49" t="s">
        <v>214</v>
      </c>
      <c r="X1049" s="49" t="s">
        <v>214</v>
      </c>
      <c r="Y1049" s="49" t="s">
        <v>214</v>
      </c>
      <c r="Z1049" s="55" t="s">
        <v>214</v>
      </c>
      <c r="AA1049" s="48" t="s">
        <v>21097</v>
      </c>
      <c r="AB1049" s="84" t="s">
        <v>21096</v>
      </c>
      <c r="AC1049" s="67" t="str">
        <f t="shared" si="682"/>
        <v>Link</v>
      </c>
      <c r="AD1049" s="42">
        <v>5951</v>
      </c>
      <c r="AE1049" s="55"/>
      <c r="AF1049" s="55"/>
      <c r="AG1049" s="56">
        <v>222062</v>
      </c>
      <c r="AH1049" s="56"/>
      <c r="AI1049" s="56"/>
      <c r="AJ1049" s="56"/>
      <c r="AK1049" s="56"/>
    </row>
    <row r="1050" spans="1:37" ht="15" x14ac:dyDescent="0.2">
      <c r="A1050" s="88" t="s">
        <v>2922</v>
      </c>
      <c r="B1050" s="33" t="s">
        <v>12632</v>
      </c>
      <c r="C1050" s="7" t="s">
        <v>21102</v>
      </c>
      <c r="D1050" s="44">
        <v>5</v>
      </c>
      <c r="E1050" s="7" t="s">
        <v>116</v>
      </c>
      <c r="F1050" s="7"/>
      <c r="G1050" s="2" t="s">
        <v>21103</v>
      </c>
      <c r="H1050" s="7" t="s">
        <v>21104</v>
      </c>
      <c r="I1050" s="7" t="s">
        <v>442</v>
      </c>
      <c r="J1050" s="7" t="s">
        <v>55</v>
      </c>
      <c r="K1050" s="7" t="s">
        <v>21105</v>
      </c>
      <c r="L1050" s="7"/>
      <c r="M1050" s="48"/>
      <c r="N1050" s="152" t="str">
        <f t="shared" ref="N1050:N1051" si="683">HYPERLINK("http://www.angelinaathletics.com/sports/sball/SBALL_FORM","Questionnaire")</f>
        <v>Questionnaire</v>
      </c>
      <c r="O1050" s="48" t="s">
        <v>13911</v>
      </c>
      <c r="P1050" s="60" t="s">
        <v>280</v>
      </c>
      <c r="Q1050" s="48" t="s">
        <v>21106</v>
      </c>
      <c r="R1050" s="48" t="s">
        <v>468</v>
      </c>
      <c r="S1050" s="49" t="s">
        <v>74</v>
      </c>
      <c r="T1050" s="48" t="s">
        <v>75</v>
      </c>
      <c r="U1050" s="49" t="s">
        <v>3678</v>
      </c>
      <c r="V1050" s="7" t="s">
        <v>214</v>
      </c>
      <c r="W1050" s="49" t="s">
        <v>214</v>
      </c>
      <c r="X1050" s="49" t="s">
        <v>214</v>
      </c>
      <c r="Y1050" s="49" t="s">
        <v>214</v>
      </c>
      <c r="Z1050" s="55" t="s">
        <v>214</v>
      </c>
      <c r="AA1050" s="48" t="s">
        <v>21107</v>
      </c>
      <c r="AB1050" s="90" t="s">
        <v>13911</v>
      </c>
      <c r="AC1050" s="67" t="str">
        <f t="shared" ref="AC1050:AC1051" si="684">HYPERLINK("http://www.angelina.edu/generalbulletin/dc-menu/","Link")</f>
        <v>Link</v>
      </c>
      <c r="AD1050" s="42">
        <v>5061</v>
      </c>
      <c r="AE1050" s="55"/>
      <c r="AF1050" s="55"/>
      <c r="AG1050" s="56">
        <v>222822</v>
      </c>
      <c r="AH1050" s="85"/>
      <c r="AI1050" s="85"/>
      <c r="AJ1050" s="56"/>
      <c r="AK1050" s="56"/>
    </row>
    <row r="1051" spans="1:37" ht="15" x14ac:dyDescent="0.2">
      <c r="A1051" s="88" t="s">
        <v>2922</v>
      </c>
      <c r="B1051" s="33" t="s">
        <v>12632</v>
      </c>
      <c r="C1051" s="7" t="s">
        <v>21108</v>
      </c>
      <c r="D1051" s="112">
        <v>5</v>
      </c>
      <c r="E1051" s="7" t="s">
        <v>116</v>
      </c>
      <c r="F1051" s="7"/>
      <c r="G1051" s="2" t="s">
        <v>21103</v>
      </c>
      <c r="H1051" s="7" t="s">
        <v>501</v>
      </c>
      <c r="I1051" s="7" t="s">
        <v>3729</v>
      </c>
      <c r="J1051" s="7" t="s">
        <v>48</v>
      </c>
      <c r="K1051" s="7" t="s">
        <v>21109</v>
      </c>
      <c r="L1051" s="7" t="s">
        <v>21110</v>
      </c>
      <c r="M1051" s="48"/>
      <c r="N1051" s="152" t="str">
        <f t="shared" si="683"/>
        <v>Questionnaire</v>
      </c>
      <c r="O1051" s="48" t="s">
        <v>13911</v>
      </c>
      <c r="P1051" s="60" t="s">
        <v>280</v>
      </c>
      <c r="Q1051" s="48" t="s">
        <v>21106</v>
      </c>
      <c r="R1051" s="48" t="s">
        <v>468</v>
      </c>
      <c r="S1051" s="49" t="s">
        <v>74</v>
      </c>
      <c r="T1051" s="48" t="s">
        <v>75</v>
      </c>
      <c r="U1051" s="49" t="s">
        <v>3678</v>
      </c>
      <c r="V1051" s="7" t="s">
        <v>214</v>
      </c>
      <c r="W1051" s="49" t="s">
        <v>214</v>
      </c>
      <c r="X1051" s="49" t="s">
        <v>214</v>
      </c>
      <c r="Y1051" s="49" t="s">
        <v>214</v>
      </c>
      <c r="Z1051" s="55" t="s">
        <v>214</v>
      </c>
      <c r="AA1051" s="48" t="s">
        <v>21107</v>
      </c>
      <c r="AB1051" s="90" t="s">
        <v>13911</v>
      </c>
      <c r="AC1051" s="67" t="str">
        <f t="shared" si="684"/>
        <v>Link</v>
      </c>
      <c r="AD1051" s="42">
        <v>5061</v>
      </c>
      <c r="AE1051" s="55"/>
      <c r="AF1051" s="55"/>
      <c r="AG1051" s="56">
        <v>222822</v>
      </c>
      <c r="AH1051" s="56"/>
      <c r="AI1051" s="56"/>
      <c r="AJ1051" s="56"/>
      <c r="AK1051" s="56"/>
    </row>
    <row r="1052" spans="1:37" ht="15" x14ac:dyDescent="0.2">
      <c r="A1052" s="64" t="s">
        <v>2922</v>
      </c>
      <c r="B1052" s="33" t="s">
        <v>12632</v>
      </c>
      <c r="C1052" s="7" t="s">
        <v>21111</v>
      </c>
      <c r="D1052" s="112">
        <v>5</v>
      </c>
      <c r="E1052" s="7"/>
      <c r="F1052" s="7"/>
      <c r="G1052" s="2" t="s">
        <v>21112</v>
      </c>
      <c r="H1052" s="2" t="s">
        <v>3899</v>
      </c>
      <c r="I1052" s="2" t="s">
        <v>21113</v>
      </c>
      <c r="J1052" s="2" t="s">
        <v>48</v>
      </c>
      <c r="K1052" s="2" t="s">
        <v>21114</v>
      </c>
      <c r="L1052" s="2" t="s">
        <v>21115</v>
      </c>
      <c r="M1052" s="150" t="str">
        <f t="shared" ref="M1052:M1053" si="685">HYPERLINK("twitter.com/BlinnSoftball","@BlinnSoftball")</f>
        <v>@BlinnSoftball</v>
      </c>
      <c r="N1052" s="152" t="str">
        <f t="shared" ref="N1052:N1053" si="686">HYPERLINK("http://www.buccaneersports.com/sports/fball/FootballProspectiveAthletes","Questionnaire")</f>
        <v>Questionnaire</v>
      </c>
      <c r="O1052" s="48" t="s">
        <v>21116</v>
      </c>
      <c r="P1052" s="60" t="s">
        <v>280</v>
      </c>
      <c r="Q1052" s="48" t="s">
        <v>21117</v>
      </c>
      <c r="R1052" s="48" t="s">
        <v>172</v>
      </c>
      <c r="S1052" s="49" t="s">
        <v>74</v>
      </c>
      <c r="T1052" s="48" t="s">
        <v>75</v>
      </c>
      <c r="U1052" s="49" t="s">
        <v>3678</v>
      </c>
      <c r="V1052" s="7" t="s">
        <v>214</v>
      </c>
      <c r="W1052" s="49" t="s">
        <v>214</v>
      </c>
      <c r="X1052" s="49" t="s">
        <v>214</v>
      </c>
      <c r="Y1052" s="49" t="s">
        <v>214</v>
      </c>
      <c r="Z1052" s="55" t="s">
        <v>214</v>
      </c>
      <c r="AA1052" s="48" t="s">
        <v>21118</v>
      </c>
      <c r="AB1052" s="90" t="s">
        <v>21116</v>
      </c>
      <c r="AC1052" s="67" t="str">
        <f t="shared" ref="AC1052:AC1053" si="687">HYPERLINK("http://www.blinn.edu/advising/path_Blinn.htm","Link")</f>
        <v>Link</v>
      </c>
      <c r="AD1052" s="42">
        <v>19096</v>
      </c>
      <c r="AE1052" s="55"/>
      <c r="AF1052" s="55"/>
      <c r="AG1052" s="56">
        <v>223427</v>
      </c>
      <c r="AH1052" s="56"/>
      <c r="AI1052" s="56"/>
      <c r="AJ1052" s="56"/>
      <c r="AK1052" s="56"/>
    </row>
    <row r="1053" spans="1:37" ht="15" x14ac:dyDescent="0.2">
      <c r="A1053" s="64" t="s">
        <v>2922</v>
      </c>
      <c r="B1053" s="33" t="s">
        <v>12632</v>
      </c>
      <c r="C1053" s="7" t="s">
        <v>21119</v>
      </c>
      <c r="D1053" s="112">
        <v>5</v>
      </c>
      <c r="E1053" s="7"/>
      <c r="F1053" s="7"/>
      <c r="G1053" s="2" t="s">
        <v>21112</v>
      </c>
      <c r="H1053" s="2" t="s">
        <v>21120</v>
      </c>
      <c r="I1053" s="2" t="s">
        <v>15351</v>
      </c>
      <c r="J1053" s="2" t="s">
        <v>55</v>
      </c>
      <c r="K1053" s="2" t="s">
        <v>21121</v>
      </c>
      <c r="L1053" s="2" t="s">
        <v>21122</v>
      </c>
      <c r="M1053" s="150" t="str">
        <f t="shared" si="685"/>
        <v>@BlinnSoftball</v>
      </c>
      <c r="N1053" s="152" t="str">
        <f t="shared" si="686"/>
        <v>Questionnaire</v>
      </c>
      <c r="O1053" s="48" t="s">
        <v>21116</v>
      </c>
      <c r="P1053" s="60" t="s">
        <v>280</v>
      </c>
      <c r="Q1053" s="48" t="s">
        <v>21117</v>
      </c>
      <c r="R1053" s="48" t="s">
        <v>172</v>
      </c>
      <c r="S1053" s="49" t="s">
        <v>74</v>
      </c>
      <c r="T1053" s="48" t="s">
        <v>75</v>
      </c>
      <c r="U1053" s="49" t="s">
        <v>3678</v>
      </c>
      <c r="V1053" s="7" t="s">
        <v>214</v>
      </c>
      <c r="W1053" s="49" t="s">
        <v>214</v>
      </c>
      <c r="X1053" s="49" t="s">
        <v>214</v>
      </c>
      <c r="Y1053" s="49" t="s">
        <v>214</v>
      </c>
      <c r="Z1053" s="55" t="s">
        <v>214</v>
      </c>
      <c r="AA1053" s="48" t="s">
        <v>21118</v>
      </c>
      <c r="AB1053" s="90" t="s">
        <v>21116</v>
      </c>
      <c r="AC1053" s="67" t="str">
        <f t="shared" si="687"/>
        <v>Link</v>
      </c>
      <c r="AD1053" s="42">
        <v>19096</v>
      </c>
      <c r="AE1053" s="55"/>
      <c r="AF1053" s="55"/>
      <c r="AG1053" s="56">
        <v>223427</v>
      </c>
      <c r="AH1053" s="56"/>
      <c r="AI1053" s="56"/>
      <c r="AJ1053" s="56"/>
      <c r="AK1053" s="56"/>
    </row>
    <row r="1054" spans="1:37" ht="15" x14ac:dyDescent="0.2">
      <c r="A1054" s="64" t="s">
        <v>2922</v>
      </c>
      <c r="B1054" s="33" t="s">
        <v>12632</v>
      </c>
      <c r="C1054" s="7" t="s">
        <v>21123</v>
      </c>
      <c r="D1054" s="112">
        <v>5</v>
      </c>
      <c r="E1054" s="7"/>
      <c r="F1054" s="7"/>
      <c r="G1054" s="2" t="s">
        <v>21124</v>
      </c>
      <c r="H1054" s="2" t="s">
        <v>8221</v>
      </c>
      <c r="I1054" s="2" t="s">
        <v>21125</v>
      </c>
      <c r="J1054" s="2" t="s">
        <v>48</v>
      </c>
      <c r="K1054" s="2" t="s">
        <v>21126</v>
      </c>
      <c r="L1054" s="2" t="s">
        <v>21127</v>
      </c>
      <c r="M1054" s="150" t="str">
        <f t="shared" ref="M1054:M1055" si="688">HYPERLINK("twitter.com/ciscosoftball","@ciscosoftball")</f>
        <v>@ciscosoftball</v>
      </c>
      <c r="N1054" s="152" t="str">
        <f t="shared" ref="N1054:N1055" si="689">HYPERLINK("https://www.wranglersports.net/Recruit_Questionnaire","Questionnaire")</f>
        <v>Questionnaire</v>
      </c>
      <c r="O1054" s="48" t="s">
        <v>21128</v>
      </c>
      <c r="P1054" s="60" t="s">
        <v>280</v>
      </c>
      <c r="Q1054" s="48" t="s">
        <v>21129</v>
      </c>
      <c r="R1054" s="60" t="s">
        <v>205</v>
      </c>
      <c r="S1054" s="49" t="s">
        <v>74</v>
      </c>
      <c r="T1054" s="48" t="s">
        <v>75</v>
      </c>
      <c r="U1054" s="49" t="s">
        <v>3678</v>
      </c>
      <c r="V1054" s="7" t="s">
        <v>214</v>
      </c>
      <c r="W1054" s="49" t="s">
        <v>214</v>
      </c>
      <c r="X1054" s="49" t="s">
        <v>214</v>
      </c>
      <c r="Y1054" s="49" t="s">
        <v>214</v>
      </c>
      <c r="Z1054" s="55" t="s">
        <v>214</v>
      </c>
      <c r="AA1054" s="48" t="s">
        <v>21130</v>
      </c>
      <c r="AB1054" s="90" t="s">
        <v>21128</v>
      </c>
      <c r="AC1054" s="67" t="str">
        <f t="shared" ref="AC1054:AC1055" si="690">HYPERLINK("https://www.cisco.edu/degrees-programs/course-catalog","Link")</f>
        <v>Link</v>
      </c>
      <c r="AD1054" s="42">
        <v>3244</v>
      </c>
      <c r="AE1054" s="55"/>
      <c r="AF1054" s="55"/>
      <c r="AG1054" s="56">
        <v>223898</v>
      </c>
      <c r="AH1054" s="56"/>
      <c r="AI1054" s="56"/>
      <c r="AJ1054" s="56"/>
      <c r="AK1054" s="56"/>
    </row>
    <row r="1055" spans="1:37" ht="15" x14ac:dyDescent="0.2">
      <c r="A1055" s="64" t="s">
        <v>2922</v>
      </c>
      <c r="B1055" s="33" t="s">
        <v>12632</v>
      </c>
      <c r="C1055" s="7" t="s">
        <v>21131</v>
      </c>
      <c r="D1055" s="112">
        <v>5</v>
      </c>
      <c r="E1055" s="7"/>
      <c r="F1055" s="7"/>
      <c r="G1055" s="2" t="s">
        <v>21124</v>
      </c>
      <c r="H1055" s="2" t="s">
        <v>513</v>
      </c>
      <c r="I1055" s="2" t="s">
        <v>21132</v>
      </c>
      <c r="J1055" s="2" t="s">
        <v>55</v>
      </c>
      <c r="K1055" s="2" t="s">
        <v>21133</v>
      </c>
      <c r="L1055" s="2" t="s">
        <v>21134</v>
      </c>
      <c r="M1055" s="150" t="str">
        <f t="shared" si="688"/>
        <v>@ciscosoftball</v>
      </c>
      <c r="N1055" s="152" t="str">
        <f t="shared" si="689"/>
        <v>Questionnaire</v>
      </c>
      <c r="O1055" s="48" t="s">
        <v>21128</v>
      </c>
      <c r="P1055" s="60" t="s">
        <v>280</v>
      </c>
      <c r="Q1055" s="48" t="s">
        <v>21129</v>
      </c>
      <c r="R1055" s="60" t="s">
        <v>205</v>
      </c>
      <c r="S1055" s="49" t="s">
        <v>74</v>
      </c>
      <c r="T1055" s="48" t="s">
        <v>75</v>
      </c>
      <c r="U1055" s="49" t="s">
        <v>3678</v>
      </c>
      <c r="V1055" s="7" t="s">
        <v>214</v>
      </c>
      <c r="W1055" s="49" t="s">
        <v>214</v>
      </c>
      <c r="X1055" s="49" t="s">
        <v>214</v>
      </c>
      <c r="Y1055" s="49" t="s">
        <v>214</v>
      </c>
      <c r="Z1055" s="55" t="s">
        <v>214</v>
      </c>
      <c r="AA1055" s="48" t="s">
        <v>21130</v>
      </c>
      <c r="AB1055" s="90" t="s">
        <v>21128</v>
      </c>
      <c r="AC1055" s="67" t="str">
        <f t="shared" si="690"/>
        <v>Link</v>
      </c>
      <c r="AD1055" s="42">
        <v>3244</v>
      </c>
      <c r="AE1055" s="55"/>
      <c r="AF1055" s="55"/>
      <c r="AG1055" s="56">
        <v>223898</v>
      </c>
      <c r="AH1055" s="56"/>
      <c r="AI1055" s="56"/>
      <c r="AJ1055" s="56"/>
      <c r="AK1055" s="56"/>
    </row>
    <row r="1056" spans="1:37" ht="15" x14ac:dyDescent="0.2">
      <c r="A1056" s="64" t="s">
        <v>2922</v>
      </c>
      <c r="B1056" s="33" t="s">
        <v>12632</v>
      </c>
      <c r="C1056" s="7" t="s">
        <v>21135</v>
      </c>
      <c r="D1056" s="112">
        <v>5</v>
      </c>
      <c r="E1056" s="7"/>
      <c r="F1056" s="7"/>
      <c r="G1056" s="2" t="s">
        <v>21136</v>
      </c>
      <c r="H1056" s="2" t="s">
        <v>21137</v>
      </c>
      <c r="I1056" s="2" t="s">
        <v>21138</v>
      </c>
      <c r="J1056" s="2" t="s">
        <v>48</v>
      </c>
      <c r="K1056" s="2" t="s">
        <v>21139</v>
      </c>
      <c r="L1056" s="2" t="s">
        <v>21140</v>
      </c>
      <c r="M1056" s="48"/>
      <c r="N1056" s="152" t="str">
        <f t="shared" ref="N1056:N1057" si="691">HYPERLINK("http://programs.clarendoncollege.edu/programs/PhysEd/softball/CC%20Softball%20Questionnaire.doc","Questionnaire")</f>
        <v>Questionnaire</v>
      </c>
      <c r="O1056" s="48" t="s">
        <v>21141</v>
      </c>
      <c r="P1056" s="60" t="s">
        <v>280</v>
      </c>
      <c r="Q1056" s="48" t="s">
        <v>21141</v>
      </c>
      <c r="R1056" s="60" t="s">
        <v>205</v>
      </c>
      <c r="S1056" s="49" t="s">
        <v>74</v>
      </c>
      <c r="T1056" s="48" t="s">
        <v>75</v>
      </c>
      <c r="U1056" s="49" t="s">
        <v>3678</v>
      </c>
      <c r="V1056" s="7" t="s">
        <v>214</v>
      </c>
      <c r="W1056" s="49" t="s">
        <v>214</v>
      </c>
      <c r="X1056" s="49" t="s">
        <v>214</v>
      </c>
      <c r="Y1056" s="49" t="s">
        <v>214</v>
      </c>
      <c r="Z1056" s="55" t="s">
        <v>214</v>
      </c>
      <c r="AA1056" s="48" t="s">
        <v>21142</v>
      </c>
      <c r="AB1056" s="52" t="s">
        <v>21141</v>
      </c>
      <c r="AC1056" s="67" t="str">
        <f t="shared" ref="AC1056:AC1057" si="692">HYPERLINK("http://www.clarendoncollege.edu/catalog","Link")</f>
        <v>Link</v>
      </c>
      <c r="AD1056" s="42">
        <v>1434</v>
      </c>
      <c r="AE1056" s="55"/>
      <c r="AF1056" s="55"/>
      <c r="AG1056" s="56">
        <v>223922</v>
      </c>
      <c r="AH1056" s="56"/>
      <c r="AI1056" s="56"/>
      <c r="AJ1056" s="56"/>
      <c r="AK1056" s="56"/>
    </row>
    <row r="1057" spans="1:37" ht="15" x14ac:dyDescent="0.2">
      <c r="A1057" s="64" t="s">
        <v>2922</v>
      </c>
      <c r="B1057" s="33" t="s">
        <v>12632</v>
      </c>
      <c r="C1057" s="7" t="s">
        <v>21143</v>
      </c>
      <c r="D1057" s="112">
        <v>5</v>
      </c>
      <c r="E1057" s="7"/>
      <c r="F1057" s="7"/>
      <c r="G1057" s="2" t="s">
        <v>21136</v>
      </c>
      <c r="H1057" s="2" t="s">
        <v>1124</v>
      </c>
      <c r="I1057" s="2" t="s">
        <v>17899</v>
      </c>
      <c r="J1057" s="2" t="s">
        <v>55</v>
      </c>
      <c r="K1057" s="2" t="s">
        <v>21144</v>
      </c>
      <c r="L1057" s="2" t="s">
        <v>21145</v>
      </c>
      <c r="M1057" s="48"/>
      <c r="N1057" s="152" t="str">
        <f t="shared" si="691"/>
        <v>Questionnaire</v>
      </c>
      <c r="O1057" s="48" t="s">
        <v>21141</v>
      </c>
      <c r="P1057" s="60" t="s">
        <v>280</v>
      </c>
      <c r="Q1057" s="48" t="s">
        <v>21141</v>
      </c>
      <c r="R1057" s="60" t="s">
        <v>205</v>
      </c>
      <c r="S1057" s="49" t="s">
        <v>74</v>
      </c>
      <c r="T1057" s="48" t="s">
        <v>75</v>
      </c>
      <c r="U1057" s="49" t="s">
        <v>3678</v>
      </c>
      <c r="V1057" s="7" t="s">
        <v>214</v>
      </c>
      <c r="W1057" s="49" t="s">
        <v>214</v>
      </c>
      <c r="X1057" s="49" t="s">
        <v>214</v>
      </c>
      <c r="Y1057" s="49" t="s">
        <v>214</v>
      </c>
      <c r="Z1057" s="55" t="s">
        <v>214</v>
      </c>
      <c r="AA1057" s="48" t="s">
        <v>21142</v>
      </c>
      <c r="AB1057" s="52" t="s">
        <v>21141</v>
      </c>
      <c r="AC1057" s="67" t="str">
        <f t="shared" si="692"/>
        <v>Link</v>
      </c>
      <c r="AD1057" s="42">
        <v>1434</v>
      </c>
      <c r="AE1057" s="55"/>
      <c r="AF1057" s="55"/>
      <c r="AG1057" s="56">
        <v>223922</v>
      </c>
      <c r="AH1057" s="56"/>
      <c r="AI1057" s="56"/>
      <c r="AJ1057" s="56"/>
      <c r="AK1057" s="56"/>
    </row>
    <row r="1058" spans="1:37" ht="15" x14ac:dyDescent="0.2">
      <c r="A1058" s="64" t="s">
        <v>2922</v>
      </c>
      <c r="B1058" s="33" t="s">
        <v>12632</v>
      </c>
      <c r="C1058" s="7" t="s">
        <v>21146</v>
      </c>
      <c r="D1058" s="112">
        <v>5</v>
      </c>
      <c r="E1058" s="7"/>
      <c r="F1058" s="7"/>
      <c r="G1058" s="2" t="s">
        <v>21147</v>
      </c>
      <c r="H1058" s="2" t="s">
        <v>431</v>
      </c>
      <c r="I1058" s="2" t="s">
        <v>5918</v>
      </c>
      <c r="J1058" s="2" t="s">
        <v>48</v>
      </c>
      <c r="K1058" s="2" t="s">
        <v>21148</v>
      </c>
      <c r="L1058" s="2" t="s">
        <v>21149</v>
      </c>
      <c r="M1058" s="150" t="str">
        <f>HYPERLINK("twitter.com/coastalbendsb","@coastalbendsb")</f>
        <v>@coastalbendsb</v>
      </c>
      <c r="N1058" s="152" t="str">
        <f>HYPERLINK("https://cbc.prestosports.com/recruits","Questionnaire")</f>
        <v>Questionnaire</v>
      </c>
      <c r="O1058" s="48" t="s">
        <v>21150</v>
      </c>
      <c r="P1058" s="60" t="s">
        <v>280</v>
      </c>
      <c r="Q1058" s="48" t="s">
        <v>21151</v>
      </c>
      <c r="R1058" s="48" t="s">
        <v>172</v>
      </c>
      <c r="S1058" s="5" t="s">
        <v>74</v>
      </c>
      <c r="T1058" s="48" t="s">
        <v>75</v>
      </c>
      <c r="U1058" s="49" t="s">
        <v>3678</v>
      </c>
      <c r="V1058" s="7" t="s">
        <v>214</v>
      </c>
      <c r="W1058" s="49" t="s">
        <v>214</v>
      </c>
      <c r="X1058" s="49" t="s">
        <v>214</v>
      </c>
      <c r="Y1058" s="49" t="s">
        <v>214</v>
      </c>
      <c r="Z1058" s="55" t="s">
        <v>214</v>
      </c>
      <c r="AA1058" s="48" t="s">
        <v>21152</v>
      </c>
      <c r="AB1058" s="90" t="s">
        <v>21150</v>
      </c>
      <c r="AC1058" s="67" t="str">
        <f>HYPERLINK("http://coastalbend.edu/Programs/","Link")</f>
        <v>Link</v>
      </c>
      <c r="AD1058" s="42">
        <v>5043</v>
      </c>
      <c r="AE1058" s="55"/>
      <c r="AF1058" s="55"/>
      <c r="AG1058" s="56">
        <v>223320</v>
      </c>
      <c r="AH1058" s="56"/>
      <c r="AI1058" s="56"/>
      <c r="AJ1058" s="56"/>
      <c r="AK1058" s="56"/>
    </row>
    <row r="1059" spans="1:37" ht="15" x14ac:dyDescent="0.2">
      <c r="A1059" s="64" t="s">
        <v>2922</v>
      </c>
      <c r="B1059" s="33" t="s">
        <v>12632</v>
      </c>
      <c r="C1059" s="7" t="s">
        <v>21153</v>
      </c>
      <c r="D1059" s="112">
        <v>5</v>
      </c>
      <c r="E1059" s="7"/>
      <c r="F1059" s="7"/>
      <c r="G1059" s="2" t="s">
        <v>21154</v>
      </c>
      <c r="H1059" s="2" t="s">
        <v>750</v>
      </c>
      <c r="I1059" s="2" t="s">
        <v>21155</v>
      </c>
      <c r="J1059" s="2" t="s">
        <v>48</v>
      </c>
      <c r="K1059" s="2" t="s">
        <v>21156</v>
      </c>
      <c r="L1059" s="2" t="s">
        <v>21157</v>
      </c>
      <c r="M1059" s="48"/>
      <c r="N1059" s="48" t="s">
        <v>22</v>
      </c>
      <c r="O1059" s="48" t="s">
        <v>21158</v>
      </c>
      <c r="P1059" s="60" t="s">
        <v>280</v>
      </c>
      <c r="Q1059" s="48" t="s">
        <v>21159</v>
      </c>
      <c r="R1059" s="48" t="s">
        <v>172</v>
      </c>
      <c r="S1059" s="49" t="s">
        <v>74</v>
      </c>
      <c r="T1059" s="48" t="s">
        <v>75</v>
      </c>
      <c r="U1059" s="49" t="s">
        <v>3678</v>
      </c>
      <c r="V1059" s="7" t="s">
        <v>214</v>
      </c>
      <c r="W1059" s="49" t="s">
        <v>214</v>
      </c>
      <c r="X1059" s="49" t="s">
        <v>214</v>
      </c>
      <c r="Y1059" s="49" t="s">
        <v>214</v>
      </c>
      <c r="Z1059" s="55" t="s">
        <v>214</v>
      </c>
      <c r="AA1059" s="48" t="s">
        <v>21160</v>
      </c>
      <c r="AB1059" s="52" t="s">
        <v>21158</v>
      </c>
      <c r="AC1059" s="67" t="str">
        <f t="shared" ref="AC1059:AC1060" si="693">HYPERLINK("http://www.fpctx.edu/Students/Documents/FPC%20Degree%20and%20Certificate%20Programs%20.pdf","Link")</f>
        <v>Link</v>
      </c>
      <c r="AD1059" s="42">
        <v>1556</v>
      </c>
      <c r="AE1059" s="55"/>
      <c r="AF1059" s="55"/>
      <c r="AG1059" s="56">
        <v>224891</v>
      </c>
      <c r="AH1059" s="56"/>
      <c r="AI1059" s="56"/>
      <c r="AJ1059" s="56"/>
      <c r="AK1059" s="56"/>
    </row>
    <row r="1060" spans="1:37" ht="15" x14ac:dyDescent="0.2">
      <c r="A1060" s="64" t="s">
        <v>2922</v>
      </c>
      <c r="B1060" s="33" t="s">
        <v>12632</v>
      </c>
      <c r="C1060" s="7" t="s">
        <v>21161</v>
      </c>
      <c r="D1060" s="112">
        <v>5</v>
      </c>
      <c r="E1060" s="7"/>
      <c r="F1060" s="7"/>
      <c r="G1060" s="2" t="s">
        <v>21154</v>
      </c>
      <c r="H1060" s="2" t="s">
        <v>10213</v>
      </c>
      <c r="I1060" s="2" t="s">
        <v>2816</v>
      </c>
      <c r="J1060" s="2" t="s">
        <v>55</v>
      </c>
      <c r="K1060" s="2" t="s">
        <v>21162</v>
      </c>
      <c r="L1060" s="2" t="s">
        <v>21157</v>
      </c>
      <c r="M1060" s="48"/>
      <c r="N1060" s="48" t="s">
        <v>22</v>
      </c>
      <c r="O1060" s="48" t="s">
        <v>21158</v>
      </c>
      <c r="P1060" s="60" t="s">
        <v>280</v>
      </c>
      <c r="Q1060" s="48" t="s">
        <v>21159</v>
      </c>
      <c r="R1060" s="48" t="s">
        <v>172</v>
      </c>
      <c r="S1060" s="49" t="s">
        <v>74</v>
      </c>
      <c r="T1060" s="48" t="s">
        <v>75</v>
      </c>
      <c r="U1060" s="49" t="s">
        <v>3678</v>
      </c>
      <c r="V1060" s="7" t="s">
        <v>214</v>
      </c>
      <c r="W1060" s="49" t="s">
        <v>214</v>
      </c>
      <c r="X1060" s="49" t="s">
        <v>214</v>
      </c>
      <c r="Y1060" s="49" t="s">
        <v>214</v>
      </c>
      <c r="Z1060" s="55" t="s">
        <v>214</v>
      </c>
      <c r="AA1060" s="48" t="s">
        <v>21160</v>
      </c>
      <c r="AB1060" s="52" t="s">
        <v>21158</v>
      </c>
      <c r="AC1060" s="67" t="str">
        <f t="shared" si="693"/>
        <v>Link</v>
      </c>
      <c r="AD1060" s="42">
        <v>1556</v>
      </c>
      <c r="AE1060" s="55"/>
      <c r="AF1060" s="55"/>
      <c r="AG1060" s="56">
        <v>224891</v>
      </c>
      <c r="AH1060" s="56"/>
      <c r="AI1060" s="56"/>
      <c r="AJ1060" s="56"/>
      <c r="AK1060" s="56"/>
    </row>
    <row r="1061" spans="1:37" ht="15" x14ac:dyDescent="0.2">
      <c r="A1061" s="64" t="s">
        <v>2922</v>
      </c>
      <c r="B1061" s="33" t="s">
        <v>12632</v>
      </c>
      <c r="C1061" s="7" t="s">
        <v>21163</v>
      </c>
      <c r="D1061" s="112">
        <v>5</v>
      </c>
      <c r="E1061" s="7"/>
      <c r="F1061" s="7"/>
      <c r="G1061" s="2" t="s">
        <v>21164</v>
      </c>
      <c r="H1061" s="2" t="s">
        <v>1351</v>
      </c>
      <c r="I1061" s="2" t="s">
        <v>21165</v>
      </c>
      <c r="J1061" s="2" t="s">
        <v>48</v>
      </c>
      <c r="K1061" s="2" t="s">
        <v>21166</v>
      </c>
      <c r="L1061" s="2" t="s">
        <v>21167</v>
      </c>
      <c r="M1061" s="48"/>
      <c r="N1061" s="48" t="s">
        <v>22</v>
      </c>
      <c r="O1061" s="48" t="s">
        <v>17852</v>
      </c>
      <c r="P1061" s="60" t="s">
        <v>280</v>
      </c>
      <c r="Q1061" s="48" t="s">
        <v>11268</v>
      </c>
      <c r="R1061" s="48" t="s">
        <v>172</v>
      </c>
      <c r="S1061" s="49" t="s">
        <v>74</v>
      </c>
      <c r="T1061" s="48" t="s">
        <v>75</v>
      </c>
      <c r="U1061" s="49"/>
      <c r="V1061" s="37">
        <v>3.15</v>
      </c>
      <c r="W1061" s="49" t="s">
        <v>214</v>
      </c>
      <c r="X1061" s="49" t="s">
        <v>214</v>
      </c>
      <c r="Y1061" s="49" t="s">
        <v>214</v>
      </c>
      <c r="Z1061" s="55" t="s">
        <v>214</v>
      </c>
      <c r="AA1061" s="48" t="s">
        <v>21168</v>
      </c>
      <c r="AB1061" s="84" t="s">
        <v>17852</v>
      </c>
      <c r="AC1061" s="67" t="str">
        <f t="shared" ref="AC1061:AC1062" si="694">HYPERLINK("https://grayson.edu/Pathways/online-programs-and-classes.html","Link")</f>
        <v>Link</v>
      </c>
      <c r="AD1061" s="42">
        <v>4600</v>
      </c>
      <c r="AE1061" s="55"/>
      <c r="AF1061" s="55"/>
      <c r="AG1061" s="56">
        <v>225070</v>
      </c>
      <c r="AH1061" s="56"/>
      <c r="AI1061" s="56"/>
      <c r="AJ1061" s="56"/>
      <c r="AK1061" s="56"/>
    </row>
    <row r="1062" spans="1:37" ht="15" x14ac:dyDescent="0.2">
      <c r="A1062" s="64" t="s">
        <v>2922</v>
      </c>
      <c r="B1062" s="33" t="s">
        <v>12632</v>
      </c>
      <c r="C1062" s="7" t="s">
        <v>21169</v>
      </c>
      <c r="D1062" s="112">
        <v>5</v>
      </c>
      <c r="E1062" s="7"/>
      <c r="F1062" s="7"/>
      <c r="G1062" s="2" t="s">
        <v>21164</v>
      </c>
      <c r="H1062" s="2" t="s">
        <v>361</v>
      </c>
      <c r="I1062" s="2" t="s">
        <v>977</v>
      </c>
      <c r="J1062" s="2" t="s">
        <v>55</v>
      </c>
      <c r="K1062" s="2" t="s">
        <v>21170</v>
      </c>
      <c r="L1062" s="2" t="s">
        <v>21171</v>
      </c>
      <c r="M1062" s="48"/>
      <c r="N1062" s="48" t="s">
        <v>22</v>
      </c>
      <c r="O1062" s="48" t="s">
        <v>17852</v>
      </c>
      <c r="P1062" s="60" t="s">
        <v>280</v>
      </c>
      <c r="Q1062" s="48" t="s">
        <v>11268</v>
      </c>
      <c r="R1062" s="48" t="s">
        <v>172</v>
      </c>
      <c r="S1062" s="49" t="s">
        <v>74</v>
      </c>
      <c r="T1062" s="48" t="s">
        <v>75</v>
      </c>
      <c r="U1062" s="49"/>
      <c r="V1062" s="37">
        <v>3.15</v>
      </c>
      <c r="W1062" s="49" t="s">
        <v>214</v>
      </c>
      <c r="X1062" s="49" t="s">
        <v>214</v>
      </c>
      <c r="Y1062" s="49" t="s">
        <v>214</v>
      </c>
      <c r="Z1062" s="55" t="s">
        <v>214</v>
      </c>
      <c r="AA1062" s="48" t="s">
        <v>21168</v>
      </c>
      <c r="AB1062" s="84" t="s">
        <v>17852</v>
      </c>
      <c r="AC1062" s="67" t="str">
        <f t="shared" si="694"/>
        <v>Link</v>
      </c>
      <c r="AD1062" s="42">
        <v>4600</v>
      </c>
      <c r="AE1062" s="55"/>
      <c r="AF1062" s="55"/>
      <c r="AG1062" s="56">
        <v>225070</v>
      </c>
      <c r="AH1062" s="56"/>
      <c r="AI1062" s="56"/>
      <c r="AJ1062" s="56"/>
      <c r="AK1062" s="56"/>
    </row>
    <row r="1063" spans="1:37" ht="15" x14ac:dyDescent="0.2">
      <c r="A1063" s="64" t="s">
        <v>2922</v>
      </c>
      <c r="B1063" s="33" t="s">
        <v>12632</v>
      </c>
      <c r="C1063" s="7" t="s">
        <v>21172</v>
      </c>
      <c r="D1063" s="112">
        <v>5</v>
      </c>
      <c r="E1063" s="7"/>
      <c r="F1063" s="7"/>
      <c r="G1063" s="2" t="s">
        <v>21173</v>
      </c>
      <c r="H1063" s="2" t="s">
        <v>4258</v>
      </c>
      <c r="I1063" s="2" t="s">
        <v>21174</v>
      </c>
      <c r="J1063" s="2" t="s">
        <v>48</v>
      </c>
      <c r="K1063" s="2" t="s">
        <v>21175</v>
      </c>
      <c r="L1063" s="2" t="s">
        <v>21176</v>
      </c>
      <c r="M1063" s="150" t="str">
        <f t="shared" ref="M1063:M1064" si="695">HYPERLINK("twitter.com/hillcollegesb","@hillcollegesb")</f>
        <v>@hillcollegesb</v>
      </c>
      <c r="N1063" s="48" t="s">
        <v>22</v>
      </c>
      <c r="O1063" s="48" t="s">
        <v>21177</v>
      </c>
      <c r="P1063" s="60" t="s">
        <v>280</v>
      </c>
      <c r="Q1063" s="48" t="s">
        <v>21178</v>
      </c>
      <c r="R1063" s="48" t="s">
        <v>468</v>
      </c>
      <c r="S1063" s="49" t="s">
        <v>74</v>
      </c>
      <c r="T1063" s="48" t="s">
        <v>75</v>
      </c>
      <c r="U1063" s="49" t="s">
        <v>3678</v>
      </c>
      <c r="V1063" s="7" t="s">
        <v>214</v>
      </c>
      <c r="W1063" s="49" t="s">
        <v>214</v>
      </c>
      <c r="X1063" s="49" t="s">
        <v>214</v>
      </c>
      <c r="Y1063" s="49" t="s">
        <v>214</v>
      </c>
      <c r="Z1063" s="55" t="s">
        <v>214</v>
      </c>
      <c r="AA1063" s="48" t="s">
        <v>21179</v>
      </c>
      <c r="AB1063" s="52" t="s">
        <v>21177</v>
      </c>
      <c r="AC1063" s="67" t="str">
        <f t="shared" ref="AC1063:AC1064" si="696">HYPERLINK("https://www.hillcollege.edu/academics/Index.html","Link")</f>
        <v>Link</v>
      </c>
      <c r="AD1063" s="42">
        <v>4075</v>
      </c>
      <c r="AE1063" s="55"/>
      <c r="AF1063" s="55"/>
      <c r="AG1063" s="56">
        <v>225371</v>
      </c>
      <c r="AH1063" s="56"/>
      <c r="AI1063" s="56"/>
      <c r="AJ1063" s="56"/>
      <c r="AK1063" s="56"/>
    </row>
    <row r="1064" spans="1:37" ht="15" x14ac:dyDescent="0.2">
      <c r="A1064" s="64" t="s">
        <v>2922</v>
      </c>
      <c r="B1064" s="33" t="s">
        <v>12632</v>
      </c>
      <c r="C1064" s="7" t="s">
        <v>21180</v>
      </c>
      <c r="D1064" s="112">
        <v>5</v>
      </c>
      <c r="E1064" s="7"/>
      <c r="F1064" s="7"/>
      <c r="G1064" s="2" t="s">
        <v>21173</v>
      </c>
      <c r="H1064" s="2" t="s">
        <v>644</v>
      </c>
      <c r="I1064" s="2" t="s">
        <v>16366</v>
      </c>
      <c r="J1064" s="2" t="s">
        <v>55</v>
      </c>
      <c r="K1064" s="2" t="s">
        <v>21181</v>
      </c>
      <c r="L1064" s="2" t="s">
        <v>21182</v>
      </c>
      <c r="M1064" s="150" t="str">
        <f t="shared" si="695"/>
        <v>@hillcollegesb</v>
      </c>
      <c r="N1064" s="48" t="s">
        <v>22</v>
      </c>
      <c r="O1064" s="48" t="s">
        <v>21177</v>
      </c>
      <c r="P1064" s="60" t="s">
        <v>280</v>
      </c>
      <c r="Q1064" s="48" t="s">
        <v>21178</v>
      </c>
      <c r="R1064" s="48" t="s">
        <v>468</v>
      </c>
      <c r="S1064" s="49" t="s">
        <v>74</v>
      </c>
      <c r="T1064" s="48" t="s">
        <v>75</v>
      </c>
      <c r="U1064" s="49" t="s">
        <v>3678</v>
      </c>
      <c r="V1064" s="7" t="s">
        <v>214</v>
      </c>
      <c r="W1064" s="49" t="s">
        <v>214</v>
      </c>
      <c r="X1064" s="49" t="s">
        <v>214</v>
      </c>
      <c r="Y1064" s="49" t="s">
        <v>214</v>
      </c>
      <c r="Z1064" s="55" t="s">
        <v>214</v>
      </c>
      <c r="AA1064" s="48" t="s">
        <v>21179</v>
      </c>
      <c r="AB1064" s="52" t="s">
        <v>21177</v>
      </c>
      <c r="AC1064" s="67" t="str">
        <f t="shared" si="696"/>
        <v>Link</v>
      </c>
      <c r="AD1064" s="42">
        <v>4075</v>
      </c>
      <c r="AE1064" s="55"/>
      <c r="AF1064" s="55"/>
      <c r="AG1064" s="56">
        <v>225371</v>
      </c>
      <c r="AH1064" s="56"/>
      <c r="AI1064" s="56"/>
      <c r="AJ1064" s="56"/>
      <c r="AK1064" s="56"/>
    </row>
    <row r="1065" spans="1:37" ht="15" x14ac:dyDescent="0.2">
      <c r="A1065" s="64" t="s">
        <v>2922</v>
      </c>
      <c r="B1065" s="33" t="s">
        <v>12632</v>
      </c>
      <c r="C1065" s="7"/>
      <c r="D1065" s="112">
        <v>5</v>
      </c>
      <c r="E1065" s="7"/>
      <c r="F1065" s="7"/>
      <c r="G1065" s="2" t="s">
        <v>21183</v>
      </c>
      <c r="H1065" s="2" t="s">
        <v>484</v>
      </c>
      <c r="I1065" s="2" t="s">
        <v>8380</v>
      </c>
      <c r="J1065" s="2" t="s">
        <v>48</v>
      </c>
      <c r="K1065" s="2" t="s">
        <v>21184</v>
      </c>
      <c r="L1065" s="2" t="s">
        <v>21185</v>
      </c>
      <c r="M1065" s="150" t="str">
        <f t="shared" ref="M1065:M1067" si="697">HYPERLINK("twitter.com/howardsoftball","@howardsoftball")</f>
        <v>@howardsoftball</v>
      </c>
      <c r="N1065" s="153" t="s">
        <v>22</v>
      </c>
      <c r="O1065" s="48" t="s">
        <v>21186</v>
      </c>
      <c r="P1065" s="60" t="s">
        <v>280</v>
      </c>
      <c r="Q1065" s="48" t="s">
        <v>21187</v>
      </c>
      <c r="R1065" s="48" t="s">
        <v>468</v>
      </c>
      <c r="S1065" s="49" t="s">
        <v>74</v>
      </c>
      <c r="T1065" s="48" t="s">
        <v>75</v>
      </c>
      <c r="U1065" s="49" t="s">
        <v>3678</v>
      </c>
      <c r="V1065" s="7" t="s">
        <v>214</v>
      </c>
      <c r="W1065" s="49" t="s">
        <v>214</v>
      </c>
      <c r="X1065" s="49" t="s">
        <v>214</v>
      </c>
      <c r="Y1065" s="49" t="s">
        <v>214</v>
      </c>
      <c r="Z1065" s="55" t="s">
        <v>214</v>
      </c>
      <c r="AA1065" s="48" t="s">
        <v>21188</v>
      </c>
      <c r="AB1065" s="84" t="s">
        <v>21186</v>
      </c>
      <c r="AC1065" s="67" t="str">
        <f t="shared" ref="AC1065:AC1067" si="698">HYPERLINK("http://catalog.howardcollege.edu/content.php?catoid=5&amp;navoid=139","Link")</f>
        <v>Link</v>
      </c>
      <c r="AD1065" s="42">
        <v>2121</v>
      </c>
      <c r="AE1065" s="55"/>
      <c r="AF1065" s="55"/>
      <c r="AG1065" s="56">
        <v>225520</v>
      </c>
      <c r="AH1065" s="7" t="s">
        <v>2459</v>
      </c>
      <c r="AI1065" s="56"/>
      <c r="AJ1065" s="56"/>
      <c r="AK1065" s="56"/>
    </row>
    <row r="1066" spans="1:37" ht="15" x14ac:dyDescent="0.2">
      <c r="A1066" s="64" t="s">
        <v>2922</v>
      </c>
      <c r="B1066" s="33" t="s">
        <v>12632</v>
      </c>
      <c r="C1066" s="7"/>
      <c r="D1066" s="112">
        <v>5</v>
      </c>
      <c r="E1066" s="7" t="s">
        <v>116</v>
      </c>
      <c r="F1066" s="7"/>
      <c r="G1066" s="2" t="s">
        <v>21183</v>
      </c>
      <c r="H1066" s="2" t="s">
        <v>981</v>
      </c>
      <c r="I1066" s="2" t="s">
        <v>5757</v>
      </c>
      <c r="J1066" s="2" t="s">
        <v>55</v>
      </c>
      <c r="K1066" s="2" t="s">
        <v>21189</v>
      </c>
      <c r="L1066" s="2" t="s">
        <v>21185</v>
      </c>
      <c r="M1066" s="150" t="str">
        <f t="shared" si="697"/>
        <v>@howardsoftball</v>
      </c>
      <c r="N1066" s="153" t="s">
        <v>22</v>
      </c>
      <c r="O1066" s="48" t="s">
        <v>21186</v>
      </c>
      <c r="P1066" s="60" t="s">
        <v>280</v>
      </c>
      <c r="Q1066" s="48" t="s">
        <v>21187</v>
      </c>
      <c r="R1066" s="48" t="s">
        <v>468</v>
      </c>
      <c r="S1066" s="49" t="s">
        <v>74</v>
      </c>
      <c r="T1066" s="48" t="s">
        <v>75</v>
      </c>
      <c r="U1066" s="49" t="s">
        <v>3678</v>
      </c>
      <c r="V1066" s="7" t="s">
        <v>214</v>
      </c>
      <c r="W1066" s="49" t="s">
        <v>214</v>
      </c>
      <c r="X1066" s="49" t="s">
        <v>214</v>
      </c>
      <c r="Y1066" s="49" t="s">
        <v>214</v>
      </c>
      <c r="Z1066" s="55" t="s">
        <v>214</v>
      </c>
      <c r="AA1066" s="48" t="s">
        <v>21188</v>
      </c>
      <c r="AB1066" s="84" t="s">
        <v>21186</v>
      </c>
      <c r="AC1066" s="67" t="str">
        <f t="shared" si="698"/>
        <v>Link</v>
      </c>
      <c r="AD1066" s="42">
        <v>2121</v>
      </c>
      <c r="AE1066" s="55"/>
      <c r="AF1066" s="55"/>
      <c r="AG1066" s="56">
        <v>225520</v>
      </c>
      <c r="AH1066" s="7" t="s">
        <v>2459</v>
      </c>
      <c r="AI1066" s="56"/>
      <c r="AJ1066" s="56"/>
      <c r="AK1066" s="56"/>
    </row>
    <row r="1067" spans="1:37" ht="15" x14ac:dyDescent="0.2">
      <c r="A1067" s="64" t="s">
        <v>2922</v>
      </c>
      <c r="B1067" s="33" t="s">
        <v>12632</v>
      </c>
      <c r="C1067" s="7" t="s">
        <v>21190</v>
      </c>
      <c r="D1067" s="112">
        <v>5</v>
      </c>
      <c r="E1067" s="7"/>
      <c r="F1067" s="7"/>
      <c r="G1067" s="2" t="s">
        <v>21183</v>
      </c>
      <c r="H1067" s="2" t="s">
        <v>484</v>
      </c>
      <c r="I1067" s="2" t="s">
        <v>8380</v>
      </c>
      <c r="J1067" s="2" t="s">
        <v>48</v>
      </c>
      <c r="K1067" s="2" t="s">
        <v>21184</v>
      </c>
      <c r="L1067" s="2" t="s">
        <v>21185</v>
      </c>
      <c r="M1067" s="150" t="str">
        <f t="shared" si="697"/>
        <v>@howardsoftball</v>
      </c>
      <c r="N1067" s="48" t="s">
        <v>22</v>
      </c>
      <c r="O1067" s="48" t="s">
        <v>21186</v>
      </c>
      <c r="P1067" s="60" t="s">
        <v>280</v>
      </c>
      <c r="Q1067" s="48" t="s">
        <v>21187</v>
      </c>
      <c r="R1067" s="48" t="s">
        <v>468</v>
      </c>
      <c r="S1067" s="49" t="s">
        <v>74</v>
      </c>
      <c r="T1067" s="48" t="s">
        <v>75</v>
      </c>
      <c r="U1067" s="49" t="s">
        <v>3678</v>
      </c>
      <c r="V1067" s="7" t="s">
        <v>214</v>
      </c>
      <c r="W1067" s="49" t="s">
        <v>214</v>
      </c>
      <c r="X1067" s="49" t="s">
        <v>214</v>
      </c>
      <c r="Y1067" s="49" t="s">
        <v>214</v>
      </c>
      <c r="Z1067" s="55" t="s">
        <v>214</v>
      </c>
      <c r="AA1067" s="48" t="s">
        <v>21188</v>
      </c>
      <c r="AB1067" s="84" t="s">
        <v>21186</v>
      </c>
      <c r="AC1067" s="67" t="str">
        <f t="shared" si="698"/>
        <v>Link</v>
      </c>
      <c r="AD1067" s="42">
        <v>2121</v>
      </c>
      <c r="AE1067" s="55"/>
      <c r="AF1067" s="55"/>
      <c r="AG1067" s="56">
        <v>225520</v>
      </c>
      <c r="AH1067" s="56"/>
      <c r="AI1067" s="56"/>
      <c r="AJ1067" s="56"/>
      <c r="AK1067" s="56"/>
    </row>
    <row r="1068" spans="1:37" ht="15" x14ac:dyDescent="0.2">
      <c r="A1068" s="31" t="s">
        <v>2922</v>
      </c>
      <c r="B1068" s="33" t="s">
        <v>12632</v>
      </c>
      <c r="C1068" s="7"/>
      <c r="D1068" s="112">
        <v>5</v>
      </c>
      <c r="E1068" s="7"/>
      <c r="F1068" s="112"/>
      <c r="G1068" s="2" t="s">
        <v>21191</v>
      </c>
      <c r="H1068" s="2" t="s">
        <v>789</v>
      </c>
      <c r="I1068" s="2" t="s">
        <v>2116</v>
      </c>
      <c r="J1068" s="2" t="s">
        <v>48</v>
      </c>
      <c r="K1068" s="2" t="s">
        <v>21192</v>
      </c>
      <c r="L1068" s="2"/>
      <c r="M1068" s="45" t="str">
        <f t="shared" ref="M1068:M1071" si="699">HYPERLINK("twitter.com/kilgoresoftball","@kilgoresoftball")</f>
        <v>@kilgoresoftball</v>
      </c>
      <c r="N1068" s="48" t="s">
        <v>22</v>
      </c>
      <c r="O1068" s="48" t="s">
        <v>12598</v>
      </c>
      <c r="P1068" s="60" t="s">
        <v>280</v>
      </c>
      <c r="Q1068" s="48" t="s">
        <v>12598</v>
      </c>
      <c r="R1068" s="48" t="s">
        <v>172</v>
      </c>
      <c r="S1068" s="49" t="s">
        <v>74</v>
      </c>
      <c r="T1068" s="48" t="s">
        <v>75</v>
      </c>
      <c r="U1068" s="49" t="s">
        <v>3678</v>
      </c>
      <c r="V1068" s="7" t="s">
        <v>214</v>
      </c>
      <c r="W1068" s="49" t="s">
        <v>214</v>
      </c>
      <c r="X1068" s="49" t="s">
        <v>214</v>
      </c>
      <c r="Y1068" s="49" t="s">
        <v>214</v>
      </c>
      <c r="Z1068" s="55" t="s">
        <v>214</v>
      </c>
      <c r="AA1068" s="48" t="s">
        <v>21193</v>
      </c>
      <c r="AB1068" s="90" t="s">
        <v>12598</v>
      </c>
      <c r="AC1068" s="53" t="str">
        <f t="shared" ref="AC1068:AC1071" si="700">HYPERLINK("https://www.kilgore.edu/academics/degree-and-certificate-programs","Link")</f>
        <v>Link</v>
      </c>
      <c r="AD1068" s="42">
        <v>5915</v>
      </c>
      <c r="AE1068" s="55"/>
      <c r="AF1068" s="55"/>
      <c r="AG1068" s="56">
        <v>226019</v>
      </c>
      <c r="AH1068" s="7" t="s">
        <v>2459</v>
      </c>
      <c r="AI1068" s="7"/>
      <c r="AJ1068" s="7"/>
      <c r="AK1068" s="7"/>
    </row>
    <row r="1069" spans="1:37" ht="15" x14ac:dyDescent="0.2">
      <c r="A1069" s="31" t="s">
        <v>2922</v>
      </c>
      <c r="B1069" s="33" t="s">
        <v>12632</v>
      </c>
      <c r="C1069" s="7"/>
      <c r="D1069" s="112">
        <v>5</v>
      </c>
      <c r="E1069" s="7"/>
      <c r="F1069" s="112"/>
      <c r="G1069" s="2" t="s">
        <v>21191</v>
      </c>
      <c r="H1069" s="2" t="s">
        <v>21194</v>
      </c>
      <c r="I1069" s="2" t="s">
        <v>578</v>
      </c>
      <c r="J1069" s="2" t="s">
        <v>55</v>
      </c>
      <c r="K1069" s="2" t="s">
        <v>21195</v>
      </c>
      <c r="L1069" s="2"/>
      <c r="M1069" s="45" t="str">
        <f t="shared" si="699"/>
        <v>@kilgoresoftball</v>
      </c>
      <c r="N1069" s="48" t="s">
        <v>22</v>
      </c>
      <c r="O1069" s="48" t="s">
        <v>12598</v>
      </c>
      <c r="P1069" s="60" t="s">
        <v>280</v>
      </c>
      <c r="Q1069" s="48" t="s">
        <v>12598</v>
      </c>
      <c r="R1069" s="48" t="s">
        <v>172</v>
      </c>
      <c r="S1069" s="49" t="s">
        <v>74</v>
      </c>
      <c r="T1069" s="48" t="s">
        <v>75</v>
      </c>
      <c r="U1069" s="49" t="s">
        <v>3678</v>
      </c>
      <c r="V1069" s="7" t="s">
        <v>214</v>
      </c>
      <c r="W1069" s="49" t="s">
        <v>214</v>
      </c>
      <c r="X1069" s="49" t="s">
        <v>214</v>
      </c>
      <c r="Y1069" s="49" t="s">
        <v>214</v>
      </c>
      <c r="Z1069" s="55" t="s">
        <v>214</v>
      </c>
      <c r="AA1069" s="48" t="s">
        <v>21193</v>
      </c>
      <c r="AB1069" s="90" t="s">
        <v>12598</v>
      </c>
      <c r="AC1069" s="53" t="str">
        <f t="shared" si="700"/>
        <v>Link</v>
      </c>
      <c r="AD1069" s="42">
        <v>5915</v>
      </c>
      <c r="AE1069" s="55"/>
      <c r="AF1069" s="55"/>
      <c r="AG1069" s="56">
        <v>226019</v>
      </c>
      <c r="AH1069" s="7" t="s">
        <v>2459</v>
      </c>
      <c r="AI1069" s="7"/>
      <c r="AJ1069" s="7"/>
      <c r="AK1069" s="7"/>
    </row>
    <row r="1070" spans="1:37" ht="15" x14ac:dyDescent="0.2">
      <c r="A1070" s="31" t="s">
        <v>2922</v>
      </c>
      <c r="B1070" s="33" t="s">
        <v>12632</v>
      </c>
      <c r="C1070" s="7"/>
      <c r="D1070" s="112">
        <v>5</v>
      </c>
      <c r="E1070" s="7"/>
      <c r="F1070" s="112"/>
      <c r="G1070" s="2" t="s">
        <v>21191</v>
      </c>
      <c r="H1070" s="2" t="s">
        <v>1969</v>
      </c>
      <c r="I1070" s="2" t="s">
        <v>8926</v>
      </c>
      <c r="J1070" s="2" t="s">
        <v>55</v>
      </c>
      <c r="K1070" s="2" t="s">
        <v>21196</v>
      </c>
      <c r="L1070" s="2"/>
      <c r="M1070" s="45" t="str">
        <f t="shared" si="699"/>
        <v>@kilgoresoftball</v>
      </c>
      <c r="N1070" s="48" t="s">
        <v>22</v>
      </c>
      <c r="O1070" s="48" t="s">
        <v>12598</v>
      </c>
      <c r="P1070" s="60" t="s">
        <v>280</v>
      </c>
      <c r="Q1070" s="48" t="s">
        <v>12598</v>
      </c>
      <c r="R1070" s="48" t="s">
        <v>172</v>
      </c>
      <c r="S1070" s="49" t="s">
        <v>74</v>
      </c>
      <c r="T1070" s="48" t="s">
        <v>75</v>
      </c>
      <c r="U1070" s="49" t="s">
        <v>3678</v>
      </c>
      <c r="V1070" s="7" t="s">
        <v>214</v>
      </c>
      <c r="W1070" s="49" t="s">
        <v>214</v>
      </c>
      <c r="X1070" s="49" t="s">
        <v>214</v>
      </c>
      <c r="Y1070" s="49" t="s">
        <v>214</v>
      </c>
      <c r="Z1070" s="55" t="s">
        <v>214</v>
      </c>
      <c r="AA1070" s="48" t="s">
        <v>21193</v>
      </c>
      <c r="AB1070" s="90" t="s">
        <v>12598</v>
      </c>
      <c r="AC1070" s="53" t="str">
        <f t="shared" si="700"/>
        <v>Link</v>
      </c>
      <c r="AD1070" s="42">
        <v>5915</v>
      </c>
      <c r="AE1070" s="55"/>
      <c r="AF1070" s="55"/>
      <c r="AG1070" s="56">
        <v>226019</v>
      </c>
      <c r="AH1070" s="7" t="s">
        <v>2459</v>
      </c>
      <c r="AI1070" s="7"/>
      <c r="AJ1070" s="7"/>
      <c r="AK1070" s="7"/>
    </row>
    <row r="1071" spans="1:37" ht="15" x14ac:dyDescent="0.2">
      <c r="A1071" s="31" t="s">
        <v>2922</v>
      </c>
      <c r="B1071" s="33" t="s">
        <v>12632</v>
      </c>
      <c r="C1071" s="7"/>
      <c r="D1071" s="112">
        <v>5</v>
      </c>
      <c r="E1071" s="7"/>
      <c r="F1071" s="112"/>
      <c r="G1071" s="2" t="s">
        <v>21191</v>
      </c>
      <c r="H1071" s="2" t="s">
        <v>4599</v>
      </c>
      <c r="I1071" s="2" t="s">
        <v>1906</v>
      </c>
      <c r="J1071" s="2" t="s">
        <v>55</v>
      </c>
      <c r="K1071" s="2" t="s">
        <v>21197</v>
      </c>
      <c r="L1071" s="2"/>
      <c r="M1071" s="45" t="str">
        <f t="shared" si="699"/>
        <v>@kilgoresoftball</v>
      </c>
      <c r="N1071" s="48" t="s">
        <v>22</v>
      </c>
      <c r="O1071" s="48" t="s">
        <v>12598</v>
      </c>
      <c r="P1071" s="60" t="s">
        <v>280</v>
      </c>
      <c r="Q1071" s="48" t="s">
        <v>12598</v>
      </c>
      <c r="R1071" s="48" t="s">
        <v>172</v>
      </c>
      <c r="S1071" s="49" t="s">
        <v>74</v>
      </c>
      <c r="T1071" s="48" t="s">
        <v>75</v>
      </c>
      <c r="U1071" s="49" t="s">
        <v>3678</v>
      </c>
      <c r="V1071" s="7" t="s">
        <v>214</v>
      </c>
      <c r="W1071" s="49" t="s">
        <v>214</v>
      </c>
      <c r="X1071" s="49" t="s">
        <v>214</v>
      </c>
      <c r="Y1071" s="49" t="s">
        <v>214</v>
      </c>
      <c r="Z1071" s="55" t="s">
        <v>214</v>
      </c>
      <c r="AA1071" s="48" t="s">
        <v>21193</v>
      </c>
      <c r="AB1071" s="90" t="s">
        <v>12598</v>
      </c>
      <c r="AC1071" s="53" t="str">
        <f t="shared" si="700"/>
        <v>Link</v>
      </c>
      <c r="AD1071" s="42">
        <v>5915</v>
      </c>
      <c r="AE1071" s="55"/>
      <c r="AF1071" s="55"/>
      <c r="AG1071" s="56">
        <v>226019</v>
      </c>
      <c r="AH1071" s="7" t="s">
        <v>2459</v>
      </c>
      <c r="AI1071" s="7"/>
      <c r="AJ1071" s="7"/>
      <c r="AK1071" s="7"/>
    </row>
    <row r="1072" spans="1:37" ht="15" x14ac:dyDescent="0.2">
      <c r="A1072" s="64" t="s">
        <v>2922</v>
      </c>
      <c r="B1072" s="33" t="s">
        <v>12632</v>
      </c>
      <c r="C1072" s="7" t="s">
        <v>21198</v>
      </c>
      <c r="D1072" s="112">
        <v>5</v>
      </c>
      <c r="E1072" s="7"/>
      <c r="F1072" s="7"/>
      <c r="G1072" s="2" t="s">
        <v>21199</v>
      </c>
      <c r="H1072" s="2" t="s">
        <v>21200</v>
      </c>
      <c r="I1072" s="2" t="s">
        <v>2335</v>
      </c>
      <c r="J1072" s="2" t="s">
        <v>48</v>
      </c>
      <c r="K1072" s="2" t="s">
        <v>21201</v>
      </c>
      <c r="L1072" s="2" t="s">
        <v>21202</v>
      </c>
      <c r="M1072" s="150" t="str">
        <f t="shared" ref="M1072:M1073" si="701">HYPERLINK("twitter.com/lscpa_softball","@lscpa_softball")</f>
        <v>@lscpa_softball</v>
      </c>
      <c r="N1072" s="48" t="s">
        <v>22</v>
      </c>
      <c r="O1072" s="48" t="s">
        <v>21203</v>
      </c>
      <c r="P1072" s="60" t="s">
        <v>280</v>
      </c>
      <c r="Q1072" s="48" t="s">
        <v>21204</v>
      </c>
      <c r="R1072" s="48" t="s">
        <v>186</v>
      </c>
      <c r="S1072" s="49" t="s">
        <v>74</v>
      </c>
      <c r="T1072" s="48" t="s">
        <v>75</v>
      </c>
      <c r="U1072" s="49" t="s">
        <v>3678</v>
      </c>
      <c r="V1072" s="7" t="s">
        <v>214</v>
      </c>
      <c r="W1072" s="49" t="s">
        <v>214</v>
      </c>
      <c r="X1072" s="49" t="s">
        <v>214</v>
      </c>
      <c r="Y1072" s="49" t="s">
        <v>214</v>
      </c>
      <c r="Z1072" s="55" t="s">
        <v>214</v>
      </c>
      <c r="AA1072" s="48" t="s">
        <v>21205</v>
      </c>
      <c r="AB1072" s="84" t="s">
        <v>21203</v>
      </c>
      <c r="AC1072" s="67" t="str">
        <f t="shared" ref="AC1072:AC1073" si="702">HYPERLINK("http://www.lsco.edu/programs/programs.asp","Link")</f>
        <v>Link</v>
      </c>
      <c r="AD1072" s="42">
        <v>2051</v>
      </c>
      <c r="AE1072" s="55"/>
      <c r="AF1072" s="55"/>
      <c r="AG1072" s="56">
        <v>226116</v>
      </c>
      <c r="AH1072" s="56"/>
      <c r="AI1072" s="56"/>
      <c r="AJ1072" s="56"/>
      <c r="AK1072" s="56"/>
    </row>
    <row r="1073" spans="1:37" ht="15" x14ac:dyDescent="0.2">
      <c r="A1073" s="64" t="s">
        <v>2922</v>
      </c>
      <c r="B1073" s="33" t="s">
        <v>12632</v>
      </c>
      <c r="C1073" s="7" t="s">
        <v>21206</v>
      </c>
      <c r="D1073" s="112">
        <v>5</v>
      </c>
      <c r="E1073" s="7"/>
      <c r="F1073" s="7"/>
      <c r="G1073" s="2" t="s">
        <v>21199</v>
      </c>
      <c r="H1073" s="2" t="s">
        <v>1075</v>
      </c>
      <c r="I1073" s="2" t="s">
        <v>131</v>
      </c>
      <c r="J1073" s="2" t="s">
        <v>55</v>
      </c>
      <c r="K1073" s="2" t="s">
        <v>21207</v>
      </c>
      <c r="L1073" s="2" t="s">
        <v>21208</v>
      </c>
      <c r="M1073" s="150" t="str">
        <f t="shared" si="701"/>
        <v>@lscpa_softball</v>
      </c>
      <c r="N1073" s="48" t="s">
        <v>22</v>
      </c>
      <c r="O1073" s="48" t="s">
        <v>21203</v>
      </c>
      <c r="P1073" s="60" t="s">
        <v>280</v>
      </c>
      <c r="Q1073" s="48" t="s">
        <v>21204</v>
      </c>
      <c r="R1073" s="48" t="s">
        <v>186</v>
      </c>
      <c r="S1073" s="49" t="s">
        <v>74</v>
      </c>
      <c r="T1073" s="48" t="s">
        <v>75</v>
      </c>
      <c r="U1073" s="49" t="s">
        <v>3678</v>
      </c>
      <c r="V1073" s="7" t="s">
        <v>214</v>
      </c>
      <c r="W1073" s="49" t="s">
        <v>214</v>
      </c>
      <c r="X1073" s="49" t="s">
        <v>214</v>
      </c>
      <c r="Y1073" s="49" t="s">
        <v>214</v>
      </c>
      <c r="Z1073" s="55" t="s">
        <v>214</v>
      </c>
      <c r="AA1073" s="48" t="s">
        <v>21205</v>
      </c>
      <c r="AB1073" s="84" t="s">
        <v>21203</v>
      </c>
      <c r="AC1073" s="67" t="str">
        <f t="shared" si="702"/>
        <v>Link</v>
      </c>
      <c r="AD1073" s="42">
        <v>2051</v>
      </c>
      <c r="AE1073" s="55"/>
      <c r="AF1073" s="55"/>
      <c r="AG1073" s="56">
        <v>226116</v>
      </c>
      <c r="AH1073" s="56"/>
      <c r="AI1073" s="56"/>
      <c r="AJ1073" s="56"/>
      <c r="AK1073" s="56"/>
    </row>
    <row r="1074" spans="1:37" ht="15" x14ac:dyDescent="0.2">
      <c r="A1074" s="64" t="s">
        <v>2922</v>
      </c>
      <c r="B1074" s="33" t="s">
        <v>12632</v>
      </c>
      <c r="C1074" s="7" t="s">
        <v>21209</v>
      </c>
      <c r="D1074" s="112">
        <v>5</v>
      </c>
      <c r="E1074" s="7"/>
      <c r="F1074" s="7"/>
      <c r="G1074" s="2" t="s">
        <v>21210</v>
      </c>
      <c r="H1074" s="2" t="s">
        <v>1492</v>
      </c>
      <c r="I1074" s="2" t="s">
        <v>669</v>
      </c>
      <c r="J1074" s="2" t="s">
        <v>48</v>
      </c>
      <c r="K1074" s="2" t="s">
        <v>21211</v>
      </c>
      <c r="L1074" s="2" t="s">
        <v>21212</v>
      </c>
      <c r="M1074" s="150" t="str">
        <f t="shared" ref="M1074:M1075" si="703">HYPERLINK("twitter.com/mclennan_sb","@mclennan_sb")</f>
        <v>@mclennan_sb</v>
      </c>
      <c r="N1074" s="48" t="s">
        <v>22</v>
      </c>
      <c r="O1074" s="48" t="s">
        <v>21213</v>
      </c>
      <c r="P1074" s="60" t="s">
        <v>280</v>
      </c>
      <c r="Q1074" s="48" t="s">
        <v>2618</v>
      </c>
      <c r="R1074" s="48" t="s">
        <v>238</v>
      </c>
      <c r="S1074" s="49" t="s">
        <v>74</v>
      </c>
      <c r="T1074" s="48" t="s">
        <v>75</v>
      </c>
      <c r="U1074" s="49" t="s">
        <v>3678</v>
      </c>
      <c r="V1074" s="7" t="s">
        <v>214</v>
      </c>
      <c r="W1074" s="49" t="s">
        <v>214</v>
      </c>
      <c r="X1074" s="49" t="s">
        <v>214</v>
      </c>
      <c r="Y1074" s="49" t="s">
        <v>214</v>
      </c>
      <c r="Z1074" s="55" t="s">
        <v>214</v>
      </c>
      <c r="AA1074" s="48" t="s">
        <v>21214</v>
      </c>
      <c r="AB1074" s="84" t="s">
        <v>21213</v>
      </c>
      <c r="AC1074" s="67" t="str">
        <f t="shared" ref="AC1074:AC1075" si="704">HYPERLINK("http://www.mclennan.edu/degree-plans/","Link")</f>
        <v>Link</v>
      </c>
      <c r="AD1074" s="42">
        <v>8799</v>
      </c>
      <c r="AE1074" s="55"/>
      <c r="AF1074" s="55"/>
      <c r="AG1074" s="56">
        <v>226578</v>
      </c>
      <c r="AH1074" s="56"/>
      <c r="AI1074" s="56"/>
      <c r="AJ1074" s="56"/>
      <c r="AK1074" s="56"/>
    </row>
    <row r="1075" spans="1:37" ht="15" x14ac:dyDescent="0.2">
      <c r="A1075" s="64" t="s">
        <v>2922</v>
      </c>
      <c r="B1075" s="33" t="s">
        <v>12632</v>
      </c>
      <c r="C1075" s="7" t="s">
        <v>21215</v>
      </c>
      <c r="D1075" s="112">
        <v>5</v>
      </c>
      <c r="E1075" s="7"/>
      <c r="F1075" s="7"/>
      <c r="G1075" s="2" t="s">
        <v>21210</v>
      </c>
      <c r="H1075" s="2" t="s">
        <v>201</v>
      </c>
      <c r="I1075" s="2" t="s">
        <v>2919</v>
      </c>
      <c r="J1075" s="2" t="s">
        <v>55</v>
      </c>
      <c r="K1075" s="2" t="s">
        <v>21216</v>
      </c>
      <c r="L1075" s="2" t="s">
        <v>21217</v>
      </c>
      <c r="M1075" s="150" t="str">
        <f t="shared" si="703"/>
        <v>@mclennan_sb</v>
      </c>
      <c r="N1075" s="48" t="s">
        <v>22</v>
      </c>
      <c r="O1075" s="48" t="s">
        <v>21213</v>
      </c>
      <c r="P1075" s="60" t="s">
        <v>280</v>
      </c>
      <c r="Q1075" s="48" t="s">
        <v>2618</v>
      </c>
      <c r="R1075" s="48" t="s">
        <v>238</v>
      </c>
      <c r="S1075" s="49" t="s">
        <v>74</v>
      </c>
      <c r="T1075" s="48" t="s">
        <v>75</v>
      </c>
      <c r="U1075" s="49" t="s">
        <v>3678</v>
      </c>
      <c r="V1075" s="7" t="s">
        <v>214</v>
      </c>
      <c r="W1075" s="49" t="s">
        <v>214</v>
      </c>
      <c r="X1075" s="49" t="s">
        <v>214</v>
      </c>
      <c r="Y1075" s="49" t="s">
        <v>214</v>
      </c>
      <c r="Z1075" s="55" t="s">
        <v>214</v>
      </c>
      <c r="AA1075" s="48" t="s">
        <v>21214</v>
      </c>
      <c r="AB1075" s="84" t="s">
        <v>21213</v>
      </c>
      <c r="AC1075" s="67" t="str">
        <f t="shared" si="704"/>
        <v>Link</v>
      </c>
      <c r="AD1075" s="42">
        <v>8799</v>
      </c>
      <c r="AE1075" s="55"/>
      <c r="AF1075" s="55"/>
      <c r="AG1075" s="56">
        <v>226578</v>
      </c>
      <c r="AH1075" s="56"/>
      <c r="AI1075" s="56"/>
      <c r="AJ1075" s="56"/>
      <c r="AK1075" s="56"/>
    </row>
    <row r="1076" spans="1:37" ht="15" x14ac:dyDescent="0.2">
      <c r="A1076" s="64" t="s">
        <v>2922</v>
      </c>
      <c r="B1076" s="33" t="s">
        <v>12632</v>
      </c>
      <c r="C1076" s="7" t="s">
        <v>21218</v>
      </c>
      <c r="D1076" s="112">
        <v>5</v>
      </c>
      <c r="E1076" s="7"/>
      <c r="F1076" s="7"/>
      <c r="G1076" s="2" t="s">
        <v>21219</v>
      </c>
      <c r="H1076" s="2" t="s">
        <v>1875</v>
      </c>
      <c r="I1076" s="2" t="s">
        <v>8951</v>
      </c>
      <c r="J1076" s="2" t="s">
        <v>48</v>
      </c>
      <c r="K1076" s="2" t="s">
        <v>21220</v>
      </c>
      <c r="L1076" s="2" t="s">
        <v>21221</v>
      </c>
      <c r="M1076" s="150" t="str">
        <f t="shared" ref="M1076:M1077" si="705">HYPERLINK("twitter.com/mcchapssoftball","@mcchapssoftball")</f>
        <v>@mcchapssoftball</v>
      </c>
      <c r="N1076" s="48" t="s">
        <v>22</v>
      </c>
      <c r="O1076" s="48" t="s">
        <v>21222</v>
      </c>
      <c r="P1076" s="60" t="s">
        <v>280</v>
      </c>
      <c r="Q1076" s="48" t="s">
        <v>5545</v>
      </c>
      <c r="R1076" s="48" t="s">
        <v>238</v>
      </c>
      <c r="S1076" s="49" t="s">
        <v>74</v>
      </c>
      <c r="T1076" s="48" t="s">
        <v>75</v>
      </c>
      <c r="U1076" s="49" t="s">
        <v>3678</v>
      </c>
      <c r="V1076" s="7" t="s">
        <v>214</v>
      </c>
      <c r="W1076" s="49" t="s">
        <v>214</v>
      </c>
      <c r="X1076" s="49" t="s">
        <v>214</v>
      </c>
      <c r="Y1076" s="49" t="s">
        <v>214</v>
      </c>
      <c r="Z1076" s="49" t="s">
        <v>214</v>
      </c>
      <c r="AA1076" s="48" t="s">
        <v>21223</v>
      </c>
      <c r="AB1076" s="84" t="s">
        <v>21222</v>
      </c>
      <c r="AC1076" s="67" t="str">
        <f t="shared" ref="AC1076:AC1077" si="706">HYPERLINK("http://catalog.midland.edu/content.php?catoid=6&amp;navoid=667","Link")</f>
        <v>Link</v>
      </c>
      <c r="AD1076" s="42">
        <v>5645</v>
      </c>
      <c r="AE1076" s="55"/>
      <c r="AF1076" s="55"/>
      <c r="AG1076" s="56">
        <v>226806</v>
      </c>
      <c r="AH1076" s="56"/>
      <c r="AI1076" s="56"/>
      <c r="AJ1076" s="56"/>
      <c r="AK1076" s="56"/>
    </row>
    <row r="1077" spans="1:37" ht="15" x14ac:dyDescent="0.2">
      <c r="A1077" s="64" t="s">
        <v>2922</v>
      </c>
      <c r="B1077" s="33" t="s">
        <v>12632</v>
      </c>
      <c r="C1077" s="7" t="s">
        <v>21224</v>
      </c>
      <c r="D1077" s="112">
        <v>5</v>
      </c>
      <c r="E1077" s="7"/>
      <c r="F1077" s="7"/>
      <c r="G1077" s="2" t="s">
        <v>21219</v>
      </c>
      <c r="H1077" s="2" t="s">
        <v>143</v>
      </c>
      <c r="I1077" s="2" t="s">
        <v>3861</v>
      </c>
      <c r="J1077" s="2" t="s">
        <v>55</v>
      </c>
      <c r="K1077" s="2" t="s">
        <v>21225</v>
      </c>
      <c r="L1077" s="2" t="s">
        <v>21226</v>
      </c>
      <c r="M1077" s="150" t="str">
        <f t="shared" si="705"/>
        <v>@mcchapssoftball</v>
      </c>
      <c r="N1077" s="48" t="s">
        <v>22</v>
      </c>
      <c r="O1077" s="48" t="s">
        <v>21222</v>
      </c>
      <c r="P1077" s="60" t="s">
        <v>280</v>
      </c>
      <c r="Q1077" s="48" t="s">
        <v>5545</v>
      </c>
      <c r="R1077" s="48" t="s">
        <v>238</v>
      </c>
      <c r="S1077" s="49" t="s">
        <v>74</v>
      </c>
      <c r="T1077" s="48" t="s">
        <v>75</v>
      </c>
      <c r="U1077" s="49" t="s">
        <v>3678</v>
      </c>
      <c r="V1077" s="7" t="s">
        <v>214</v>
      </c>
      <c r="W1077" s="49" t="s">
        <v>214</v>
      </c>
      <c r="X1077" s="49" t="s">
        <v>214</v>
      </c>
      <c r="Y1077" s="49" t="s">
        <v>214</v>
      </c>
      <c r="Z1077" s="49" t="s">
        <v>214</v>
      </c>
      <c r="AA1077" s="48" t="s">
        <v>21223</v>
      </c>
      <c r="AB1077" s="84" t="s">
        <v>21222</v>
      </c>
      <c r="AC1077" s="67" t="str">
        <f t="shared" si="706"/>
        <v>Link</v>
      </c>
      <c r="AD1077" s="42">
        <v>5645</v>
      </c>
      <c r="AE1077" s="55"/>
      <c r="AF1077" s="55"/>
      <c r="AG1077" s="56">
        <v>226806</v>
      </c>
      <c r="AH1077" s="56"/>
      <c r="AI1077" s="56"/>
      <c r="AJ1077" s="56"/>
      <c r="AK1077" s="56"/>
    </row>
    <row r="1078" spans="1:37" ht="15" x14ac:dyDescent="0.2">
      <c r="A1078" s="64" t="s">
        <v>2922</v>
      </c>
      <c r="B1078" s="33" t="s">
        <v>12632</v>
      </c>
      <c r="C1078" s="7" t="s">
        <v>21227</v>
      </c>
      <c r="D1078" s="112">
        <v>5</v>
      </c>
      <c r="E1078" s="7"/>
      <c r="F1078" s="7"/>
      <c r="G1078" s="2" t="s">
        <v>21228</v>
      </c>
      <c r="H1078" s="2" t="s">
        <v>201</v>
      </c>
      <c r="I1078" s="2" t="s">
        <v>21229</v>
      </c>
      <c r="J1078" s="2" t="s">
        <v>48</v>
      </c>
      <c r="K1078" s="2" t="s">
        <v>21230</v>
      </c>
      <c r="L1078" s="2" t="s">
        <v>21231</v>
      </c>
      <c r="M1078" s="48"/>
      <c r="N1078" s="48" t="s">
        <v>22</v>
      </c>
      <c r="O1078" s="48" t="s">
        <v>21232</v>
      </c>
      <c r="P1078" s="60" t="s">
        <v>280</v>
      </c>
      <c r="Q1078" s="48" t="s">
        <v>21233</v>
      </c>
      <c r="R1078" s="48" t="s">
        <v>172</v>
      </c>
      <c r="S1078" s="49" t="s">
        <v>74</v>
      </c>
      <c r="T1078" s="48" t="s">
        <v>75</v>
      </c>
      <c r="U1078" s="49" t="s">
        <v>3678</v>
      </c>
      <c r="V1078" s="7" t="s">
        <v>214</v>
      </c>
      <c r="W1078" s="49" t="s">
        <v>214</v>
      </c>
      <c r="X1078" s="49" t="s">
        <v>214</v>
      </c>
      <c r="Y1078" s="49" t="s">
        <v>214</v>
      </c>
      <c r="Z1078" s="49" t="s">
        <v>214</v>
      </c>
      <c r="AA1078" s="48" t="s">
        <v>21234</v>
      </c>
      <c r="AB1078" s="84" t="s">
        <v>21232</v>
      </c>
      <c r="AC1078" s="67" t="str">
        <f t="shared" ref="AC1078:AC1079" si="707">HYPERLINK("http://www.navarrocollege.edu/majors/","Link")</f>
        <v>Link</v>
      </c>
      <c r="AD1078" s="42">
        <v>9230</v>
      </c>
      <c r="AE1078" s="55"/>
      <c r="AF1078" s="55"/>
      <c r="AG1078" s="56">
        <v>227146</v>
      </c>
      <c r="AH1078" s="56"/>
      <c r="AI1078" s="56"/>
      <c r="AJ1078" s="56"/>
      <c r="AK1078" s="56"/>
    </row>
    <row r="1079" spans="1:37" ht="15" x14ac:dyDescent="0.2">
      <c r="A1079" s="64" t="s">
        <v>2922</v>
      </c>
      <c r="B1079" s="33" t="s">
        <v>12632</v>
      </c>
      <c r="C1079" s="7" t="s">
        <v>21235</v>
      </c>
      <c r="D1079" s="112">
        <v>5</v>
      </c>
      <c r="E1079" s="7"/>
      <c r="F1079" s="7" t="s">
        <v>126</v>
      </c>
      <c r="G1079" s="2" t="s">
        <v>21228</v>
      </c>
      <c r="H1079" s="2" t="s">
        <v>21236</v>
      </c>
      <c r="I1079" s="2"/>
      <c r="J1079" s="2"/>
      <c r="K1079" s="2"/>
      <c r="L1079" s="2"/>
      <c r="M1079" s="48"/>
      <c r="N1079" s="48" t="s">
        <v>22</v>
      </c>
      <c r="O1079" s="48" t="s">
        <v>21232</v>
      </c>
      <c r="P1079" s="60" t="s">
        <v>280</v>
      </c>
      <c r="Q1079" s="48" t="s">
        <v>21233</v>
      </c>
      <c r="R1079" s="48" t="s">
        <v>172</v>
      </c>
      <c r="S1079" s="49" t="s">
        <v>74</v>
      </c>
      <c r="T1079" s="48" t="s">
        <v>75</v>
      </c>
      <c r="U1079" s="49" t="s">
        <v>3678</v>
      </c>
      <c r="V1079" s="7" t="s">
        <v>214</v>
      </c>
      <c r="W1079" s="49" t="s">
        <v>214</v>
      </c>
      <c r="X1079" s="49" t="s">
        <v>214</v>
      </c>
      <c r="Y1079" s="49" t="s">
        <v>214</v>
      </c>
      <c r="Z1079" s="49" t="s">
        <v>214</v>
      </c>
      <c r="AA1079" s="48" t="s">
        <v>21234</v>
      </c>
      <c r="AB1079" s="84" t="s">
        <v>21232</v>
      </c>
      <c r="AC1079" s="67" t="str">
        <f t="shared" si="707"/>
        <v>Link</v>
      </c>
      <c r="AD1079" s="42">
        <v>9230</v>
      </c>
      <c r="AE1079" s="55"/>
      <c r="AF1079" s="55"/>
      <c r="AG1079" s="56">
        <v>227146</v>
      </c>
      <c r="AH1079" s="56"/>
      <c r="AI1079" s="56"/>
      <c r="AJ1079" s="56"/>
      <c r="AK1079" s="56"/>
    </row>
    <row r="1080" spans="1:37" ht="15" x14ac:dyDescent="0.2">
      <c r="A1080" s="64" t="s">
        <v>2922</v>
      </c>
      <c r="B1080" s="33" t="s">
        <v>12632</v>
      </c>
      <c r="C1080" s="7" t="s">
        <v>21237</v>
      </c>
      <c r="D1080" s="112">
        <v>5</v>
      </c>
      <c r="E1080" s="7"/>
      <c r="F1080" s="7"/>
      <c r="G1080" s="2" t="s">
        <v>21238</v>
      </c>
      <c r="H1080" s="2" t="s">
        <v>201</v>
      </c>
      <c r="I1080" s="2" t="s">
        <v>3026</v>
      </c>
      <c r="J1080" s="2" t="s">
        <v>48</v>
      </c>
      <c r="K1080" s="2" t="s">
        <v>21239</v>
      </c>
      <c r="L1080" s="2" t="s">
        <v>21240</v>
      </c>
      <c r="M1080" s="48"/>
      <c r="N1080" s="48" t="s">
        <v>22</v>
      </c>
      <c r="O1080" s="48" t="s">
        <v>21241</v>
      </c>
      <c r="P1080" s="60" t="s">
        <v>280</v>
      </c>
      <c r="Q1080" s="48" t="s">
        <v>3228</v>
      </c>
      <c r="R1080" s="48" t="s">
        <v>172</v>
      </c>
      <c r="S1080" s="49" t="s">
        <v>74</v>
      </c>
      <c r="T1080" s="48" t="s">
        <v>75</v>
      </c>
      <c r="U1080" s="49" t="s">
        <v>3678</v>
      </c>
      <c r="V1080" s="7" t="s">
        <v>214</v>
      </c>
      <c r="W1080" s="49" t="s">
        <v>214</v>
      </c>
      <c r="X1080" s="49" t="s">
        <v>214</v>
      </c>
      <c r="Y1080" s="49" t="s">
        <v>214</v>
      </c>
      <c r="Z1080" s="55" t="s">
        <v>214</v>
      </c>
      <c r="AA1080" s="48" t="s">
        <v>21242</v>
      </c>
      <c r="AB1080" s="84" t="s">
        <v>21241</v>
      </c>
      <c r="AC1080" s="67" t="str">
        <f t="shared" ref="AC1080:AC1081" si="708">HYPERLINK("http://catalog.ntcc.edu/content.php?catoid=2&amp;navoid=713","Link")</f>
        <v>Link</v>
      </c>
      <c r="AD1080" s="42">
        <v>3021</v>
      </c>
      <c r="AE1080" s="55"/>
      <c r="AF1080" s="55"/>
      <c r="AG1080" s="56">
        <v>227225</v>
      </c>
      <c r="AH1080" s="56"/>
      <c r="AI1080" s="56"/>
      <c r="AJ1080" s="56"/>
      <c r="AK1080" s="56"/>
    </row>
    <row r="1081" spans="1:37" ht="15" x14ac:dyDescent="0.2">
      <c r="A1081" s="64" t="s">
        <v>2922</v>
      </c>
      <c r="B1081" s="33" t="s">
        <v>12632</v>
      </c>
      <c r="C1081" s="7" t="s">
        <v>21243</v>
      </c>
      <c r="D1081" s="112">
        <v>5</v>
      </c>
      <c r="E1081" s="7"/>
      <c r="F1081" s="7"/>
      <c r="G1081" s="2" t="s">
        <v>21238</v>
      </c>
      <c r="H1081" s="2" t="s">
        <v>21244</v>
      </c>
      <c r="I1081" s="2" t="s">
        <v>16366</v>
      </c>
      <c r="J1081" s="2" t="s">
        <v>55</v>
      </c>
      <c r="K1081" s="2" t="s">
        <v>21245</v>
      </c>
      <c r="L1081" s="2" t="s">
        <v>21246</v>
      </c>
      <c r="M1081" s="48"/>
      <c r="N1081" s="48" t="s">
        <v>22</v>
      </c>
      <c r="O1081" s="48" t="s">
        <v>21241</v>
      </c>
      <c r="P1081" s="60" t="s">
        <v>280</v>
      </c>
      <c r="Q1081" s="48" t="s">
        <v>3228</v>
      </c>
      <c r="R1081" s="48" t="s">
        <v>172</v>
      </c>
      <c r="S1081" s="49" t="s">
        <v>74</v>
      </c>
      <c r="T1081" s="48" t="s">
        <v>75</v>
      </c>
      <c r="U1081" s="49" t="s">
        <v>3678</v>
      </c>
      <c r="V1081" s="7" t="s">
        <v>214</v>
      </c>
      <c r="W1081" s="49" t="s">
        <v>214</v>
      </c>
      <c r="X1081" s="49" t="s">
        <v>214</v>
      </c>
      <c r="Y1081" s="49" t="s">
        <v>214</v>
      </c>
      <c r="Z1081" s="55" t="s">
        <v>214</v>
      </c>
      <c r="AA1081" s="48" t="s">
        <v>21242</v>
      </c>
      <c r="AB1081" s="84" t="s">
        <v>21241</v>
      </c>
      <c r="AC1081" s="67" t="str">
        <f t="shared" si="708"/>
        <v>Link</v>
      </c>
      <c r="AD1081" s="42">
        <v>3021</v>
      </c>
      <c r="AE1081" s="55"/>
      <c r="AF1081" s="55"/>
      <c r="AG1081" s="56">
        <v>227225</v>
      </c>
      <c r="AH1081" s="56"/>
      <c r="AI1081" s="56"/>
      <c r="AJ1081" s="56"/>
      <c r="AK1081" s="56"/>
    </row>
    <row r="1082" spans="1:37" ht="15" x14ac:dyDescent="0.2">
      <c r="A1082" s="64" t="s">
        <v>2922</v>
      </c>
      <c r="B1082" s="33" t="s">
        <v>12632</v>
      </c>
      <c r="C1082" s="7" t="s">
        <v>21247</v>
      </c>
      <c r="D1082" s="112">
        <v>5</v>
      </c>
      <c r="E1082" s="7"/>
      <c r="F1082" s="7"/>
      <c r="G1082" s="2" t="s">
        <v>21248</v>
      </c>
      <c r="H1082" s="2" t="s">
        <v>94</v>
      </c>
      <c r="I1082" s="2" t="s">
        <v>773</v>
      </c>
      <c r="J1082" s="2" t="s">
        <v>48</v>
      </c>
      <c r="K1082" s="2" t="s">
        <v>21249</v>
      </c>
      <c r="L1082" s="2" t="s">
        <v>21250</v>
      </c>
      <c r="M1082" s="150" t="str">
        <f t="shared" ref="M1082:M1083" si="709">HYPERLINK("twitter.com/wranglersb","@wranglersb")</f>
        <v>@wranglersb</v>
      </c>
      <c r="N1082" s="152" t="str">
        <f t="shared" ref="N1082:N1083" si="710">HYPERLINK("http://www.wranglersports.com/sports/sball/softball_questionnaire","Questionnaire")</f>
        <v>Questionnaire</v>
      </c>
      <c r="O1082" s="48" t="s">
        <v>11453</v>
      </c>
      <c r="P1082" s="60" t="s">
        <v>280</v>
      </c>
      <c r="Q1082" s="48" t="s">
        <v>11453</v>
      </c>
      <c r="R1082" s="48" t="s">
        <v>238</v>
      </c>
      <c r="S1082" s="49" t="s">
        <v>74</v>
      </c>
      <c r="T1082" s="48" t="s">
        <v>75</v>
      </c>
      <c r="U1082" s="49" t="s">
        <v>3678</v>
      </c>
      <c r="V1082" s="7" t="s">
        <v>214</v>
      </c>
      <c r="W1082" s="49" t="s">
        <v>214</v>
      </c>
      <c r="X1082" s="49" t="s">
        <v>214</v>
      </c>
      <c r="Y1082" s="49" t="s">
        <v>214</v>
      </c>
      <c r="Z1082" s="55" t="s">
        <v>214</v>
      </c>
      <c r="AA1082" s="48" t="s">
        <v>21251</v>
      </c>
      <c r="AB1082" s="84" t="s">
        <v>11453</v>
      </c>
      <c r="AC1082" s="67" t="str">
        <f t="shared" ref="AC1082:AC1083" si="711">HYPERLINK("https://www2.odessa.edu/programs/degrees/index.html","Link")</f>
        <v>Link</v>
      </c>
      <c r="AD1082" s="42">
        <v>6134</v>
      </c>
      <c r="AE1082" s="55"/>
      <c r="AF1082" s="55"/>
      <c r="AG1082" s="56">
        <v>227304</v>
      </c>
      <c r="AH1082" s="56"/>
      <c r="AI1082" s="56"/>
      <c r="AJ1082" s="56"/>
      <c r="AK1082" s="56"/>
    </row>
    <row r="1083" spans="1:37" ht="15" x14ac:dyDescent="0.2">
      <c r="A1083" s="64" t="s">
        <v>2922</v>
      </c>
      <c r="B1083" s="33" t="s">
        <v>12632</v>
      </c>
      <c r="C1083" s="7" t="s">
        <v>21252</v>
      </c>
      <c r="D1083" s="112">
        <v>5</v>
      </c>
      <c r="E1083" s="7"/>
      <c r="F1083" s="7"/>
      <c r="G1083" s="2" t="s">
        <v>21248</v>
      </c>
      <c r="H1083" s="2" t="s">
        <v>53</v>
      </c>
      <c r="I1083" s="2" t="s">
        <v>21253</v>
      </c>
      <c r="J1083" s="2" t="s">
        <v>7553</v>
      </c>
      <c r="K1083" s="2" t="s">
        <v>21254</v>
      </c>
      <c r="L1083" s="2" t="s">
        <v>21255</v>
      </c>
      <c r="M1083" s="150" t="str">
        <f t="shared" si="709"/>
        <v>@wranglersb</v>
      </c>
      <c r="N1083" s="152" t="str">
        <f t="shared" si="710"/>
        <v>Questionnaire</v>
      </c>
      <c r="O1083" s="48" t="s">
        <v>11453</v>
      </c>
      <c r="P1083" s="60" t="s">
        <v>280</v>
      </c>
      <c r="Q1083" s="48" t="s">
        <v>11453</v>
      </c>
      <c r="R1083" s="48" t="s">
        <v>238</v>
      </c>
      <c r="S1083" s="49" t="s">
        <v>74</v>
      </c>
      <c r="T1083" s="48" t="s">
        <v>75</v>
      </c>
      <c r="U1083" s="49" t="s">
        <v>3678</v>
      </c>
      <c r="V1083" s="7" t="s">
        <v>214</v>
      </c>
      <c r="W1083" s="49" t="s">
        <v>214</v>
      </c>
      <c r="X1083" s="49" t="s">
        <v>214</v>
      </c>
      <c r="Y1083" s="49" t="s">
        <v>214</v>
      </c>
      <c r="Z1083" s="55" t="s">
        <v>214</v>
      </c>
      <c r="AA1083" s="48" t="s">
        <v>21251</v>
      </c>
      <c r="AB1083" s="84" t="s">
        <v>11453</v>
      </c>
      <c r="AC1083" s="67" t="str">
        <f t="shared" si="711"/>
        <v>Link</v>
      </c>
      <c r="AD1083" s="42">
        <v>6134</v>
      </c>
      <c r="AE1083" s="55"/>
      <c r="AF1083" s="55"/>
      <c r="AG1083" s="56">
        <v>227304</v>
      </c>
      <c r="AH1083" s="56"/>
      <c r="AI1083" s="56"/>
      <c r="AJ1083" s="56"/>
      <c r="AK1083" s="56"/>
    </row>
    <row r="1084" spans="1:37" ht="13" x14ac:dyDescent="0.15">
      <c r="A1084" s="64" t="s">
        <v>2922</v>
      </c>
      <c r="B1084" s="7" t="s">
        <v>12632</v>
      </c>
      <c r="C1084" s="7" t="s">
        <v>21256</v>
      </c>
      <c r="D1084" s="44">
        <v>5</v>
      </c>
      <c r="E1084" s="7"/>
      <c r="F1084" s="7"/>
      <c r="G1084" s="7" t="s">
        <v>21257</v>
      </c>
      <c r="H1084" s="7" t="s">
        <v>2201</v>
      </c>
      <c r="I1084" s="7" t="s">
        <v>21258</v>
      </c>
      <c r="J1084" s="7" t="s">
        <v>55</v>
      </c>
      <c r="K1084" s="7" t="s">
        <v>21259</v>
      </c>
      <c r="L1084" s="7"/>
      <c r="M1084" s="7"/>
      <c r="N1084" s="7"/>
      <c r="O1084" s="48" t="s">
        <v>21260</v>
      </c>
      <c r="P1084" s="60" t="s">
        <v>280</v>
      </c>
      <c r="Q1084" s="48" t="s">
        <v>21261</v>
      </c>
      <c r="R1084" s="48" t="s">
        <v>468</v>
      </c>
      <c r="S1084" s="49" t="s">
        <v>74</v>
      </c>
      <c r="T1084" s="48" t="s">
        <v>75</v>
      </c>
      <c r="U1084" s="49" t="s">
        <v>3678</v>
      </c>
      <c r="V1084" s="48" t="s">
        <v>214</v>
      </c>
      <c r="W1084" s="49" t="s">
        <v>214</v>
      </c>
      <c r="X1084" s="49" t="s">
        <v>214</v>
      </c>
      <c r="Y1084" s="49" t="s">
        <v>214</v>
      </c>
      <c r="Z1084" s="55" t="s">
        <v>214</v>
      </c>
      <c r="AA1084" s="48" t="s">
        <v>21262</v>
      </c>
      <c r="AB1084" s="62" t="s">
        <v>21260</v>
      </c>
      <c r="AC1084" s="67" t="str">
        <f t="shared" ref="AC1084:AC1086" si="712">HYPERLINK("http://www.parisjc.edu/index.php/pjc2/main/academics/","Link")</f>
        <v>Link</v>
      </c>
      <c r="AD1084" s="54">
        <v>4806</v>
      </c>
      <c r="AE1084" s="55"/>
      <c r="AF1084" s="55"/>
      <c r="AG1084" s="56">
        <v>227401</v>
      </c>
      <c r="AH1084" s="42"/>
      <c r="AI1084" s="55"/>
      <c r="AJ1084" s="55"/>
      <c r="AK1084" s="85"/>
    </row>
    <row r="1085" spans="1:37" ht="15" x14ac:dyDescent="0.2">
      <c r="A1085" s="64" t="s">
        <v>2922</v>
      </c>
      <c r="B1085" s="33" t="s">
        <v>12632</v>
      </c>
      <c r="C1085" s="7" t="s">
        <v>21263</v>
      </c>
      <c r="D1085" s="112">
        <v>5</v>
      </c>
      <c r="E1085" s="7"/>
      <c r="F1085" s="7"/>
      <c r="G1085" s="2" t="s">
        <v>21257</v>
      </c>
      <c r="H1085" s="2" t="s">
        <v>4804</v>
      </c>
      <c r="I1085" s="2" t="s">
        <v>21264</v>
      </c>
      <c r="J1085" s="2" t="s">
        <v>48</v>
      </c>
      <c r="K1085" s="2" t="s">
        <v>21265</v>
      </c>
      <c r="L1085" s="2" t="s">
        <v>21266</v>
      </c>
      <c r="M1085" s="48"/>
      <c r="N1085" s="152" t="str">
        <f t="shared" ref="N1085:N1086" si="713">HYPERLINK("https://parisjc.wufoo.com/forms/dragons-softball-recruitment-form","Questionnaire")</f>
        <v>Questionnaire</v>
      </c>
      <c r="O1085" s="48" t="s">
        <v>21260</v>
      </c>
      <c r="P1085" s="60" t="s">
        <v>280</v>
      </c>
      <c r="Q1085" s="48" t="s">
        <v>21261</v>
      </c>
      <c r="R1085" s="48" t="s">
        <v>468</v>
      </c>
      <c r="S1085" s="49" t="s">
        <v>74</v>
      </c>
      <c r="T1085" s="48" t="s">
        <v>75</v>
      </c>
      <c r="U1085" s="49" t="s">
        <v>3678</v>
      </c>
      <c r="V1085" s="7" t="s">
        <v>214</v>
      </c>
      <c r="W1085" s="49" t="s">
        <v>214</v>
      </c>
      <c r="X1085" s="49" t="s">
        <v>214</v>
      </c>
      <c r="Y1085" s="49" t="s">
        <v>214</v>
      </c>
      <c r="Z1085" s="55" t="s">
        <v>214</v>
      </c>
      <c r="AA1085" s="48" t="s">
        <v>21262</v>
      </c>
      <c r="AB1085" s="84" t="s">
        <v>21260</v>
      </c>
      <c r="AC1085" s="67" t="str">
        <f t="shared" si="712"/>
        <v>Link</v>
      </c>
      <c r="AD1085" s="42">
        <v>4806</v>
      </c>
      <c r="AE1085" s="55"/>
      <c r="AF1085" s="55"/>
      <c r="AG1085" s="56">
        <v>227401</v>
      </c>
      <c r="AH1085" s="56"/>
      <c r="AI1085" s="56"/>
      <c r="AJ1085" s="56"/>
      <c r="AK1085" s="56"/>
    </row>
    <row r="1086" spans="1:37" ht="15" x14ac:dyDescent="0.2">
      <c r="A1086" s="64" t="s">
        <v>2922</v>
      </c>
      <c r="B1086" s="33" t="s">
        <v>12632</v>
      </c>
      <c r="C1086" s="7" t="s">
        <v>21267</v>
      </c>
      <c r="D1086" s="112">
        <v>5</v>
      </c>
      <c r="E1086" s="7"/>
      <c r="F1086" s="7"/>
      <c r="G1086" s="2" t="s">
        <v>21257</v>
      </c>
      <c r="H1086" s="2" t="s">
        <v>1351</v>
      </c>
      <c r="I1086" s="2" t="s">
        <v>1906</v>
      </c>
      <c r="J1086" s="2" t="s">
        <v>55</v>
      </c>
      <c r="K1086" s="2" t="s">
        <v>21268</v>
      </c>
      <c r="L1086" s="2"/>
      <c r="M1086" s="48"/>
      <c r="N1086" s="152" t="str">
        <f t="shared" si="713"/>
        <v>Questionnaire</v>
      </c>
      <c r="O1086" s="48" t="s">
        <v>21260</v>
      </c>
      <c r="P1086" s="60" t="s">
        <v>280</v>
      </c>
      <c r="Q1086" s="48" t="s">
        <v>21261</v>
      </c>
      <c r="R1086" s="48" t="s">
        <v>468</v>
      </c>
      <c r="S1086" s="49" t="s">
        <v>74</v>
      </c>
      <c r="T1086" s="48" t="s">
        <v>75</v>
      </c>
      <c r="U1086" s="49" t="s">
        <v>3678</v>
      </c>
      <c r="V1086" s="7" t="s">
        <v>214</v>
      </c>
      <c r="W1086" s="49" t="s">
        <v>214</v>
      </c>
      <c r="X1086" s="49" t="s">
        <v>214</v>
      </c>
      <c r="Y1086" s="49" t="s">
        <v>214</v>
      </c>
      <c r="Z1086" s="55" t="s">
        <v>214</v>
      </c>
      <c r="AA1086" s="48" t="s">
        <v>21262</v>
      </c>
      <c r="AB1086" s="84" t="s">
        <v>21260</v>
      </c>
      <c r="AC1086" s="67" t="str">
        <f t="shared" si="712"/>
        <v>Link</v>
      </c>
      <c r="AD1086" s="42">
        <v>4806</v>
      </c>
      <c r="AE1086" s="55"/>
      <c r="AF1086" s="55"/>
      <c r="AG1086" s="56">
        <v>227401</v>
      </c>
      <c r="AH1086" s="56"/>
      <c r="AI1086" s="56"/>
      <c r="AJ1086" s="56"/>
      <c r="AK1086" s="56"/>
    </row>
    <row r="1087" spans="1:37" ht="15" x14ac:dyDescent="0.2">
      <c r="A1087" s="64" t="s">
        <v>2922</v>
      </c>
      <c r="B1087" s="33" t="s">
        <v>12632</v>
      </c>
      <c r="C1087" s="7" t="s">
        <v>21269</v>
      </c>
      <c r="D1087" s="44">
        <v>5</v>
      </c>
      <c r="E1087" s="7" t="s">
        <v>116</v>
      </c>
      <c r="F1087" s="7"/>
      <c r="G1087" s="2" t="s">
        <v>21270</v>
      </c>
      <c r="H1087" s="7" t="s">
        <v>17482</v>
      </c>
      <c r="I1087" s="7" t="s">
        <v>21271</v>
      </c>
      <c r="J1087" s="7" t="s">
        <v>48</v>
      </c>
      <c r="K1087" s="7" t="s">
        <v>21272</v>
      </c>
      <c r="L1087" s="7" t="s">
        <v>21273</v>
      </c>
      <c r="M1087" s="150" t="str">
        <f t="shared" ref="M1087:M1090" si="714">HYPERLINK("twitter.com/ranger_softball","@ranger_softball")</f>
        <v>@ranger_softball</v>
      </c>
      <c r="N1087" s="153" t="s">
        <v>22</v>
      </c>
      <c r="O1087" s="48" t="s">
        <v>21274</v>
      </c>
      <c r="P1087" s="60" t="s">
        <v>280</v>
      </c>
      <c r="Q1087" s="48" t="s">
        <v>21274</v>
      </c>
      <c r="R1087" s="60" t="s">
        <v>205</v>
      </c>
      <c r="S1087" s="49" t="s">
        <v>74</v>
      </c>
      <c r="T1087" s="48" t="s">
        <v>75</v>
      </c>
      <c r="U1087" s="49" t="s">
        <v>3678</v>
      </c>
      <c r="V1087" s="7" t="s">
        <v>214</v>
      </c>
      <c r="W1087" s="49" t="s">
        <v>214</v>
      </c>
      <c r="X1087" s="49" t="s">
        <v>214</v>
      </c>
      <c r="Y1087" s="49" t="s">
        <v>214</v>
      </c>
      <c r="Z1087" s="55" t="s">
        <v>214</v>
      </c>
      <c r="AA1087" s="48" t="s">
        <v>21275</v>
      </c>
      <c r="AB1087" s="84" t="s">
        <v>21274</v>
      </c>
      <c r="AC1087" s="67" t="str">
        <f t="shared" ref="AC1087:AC1090" si="715">HYPERLINK("https://www.rangercollege.edu/academics/","Link")</f>
        <v>Link</v>
      </c>
      <c r="AD1087" s="42">
        <v>2258</v>
      </c>
      <c r="AE1087" s="55"/>
      <c r="AF1087" s="55"/>
      <c r="AG1087" s="56">
        <v>227687</v>
      </c>
      <c r="AH1087" s="85"/>
      <c r="AI1087" s="85"/>
      <c r="AJ1087" s="56"/>
      <c r="AK1087" s="56"/>
    </row>
    <row r="1088" spans="1:37" ht="15" x14ac:dyDescent="0.2">
      <c r="A1088" s="64" t="s">
        <v>2922</v>
      </c>
      <c r="B1088" s="33" t="s">
        <v>12632</v>
      </c>
      <c r="C1088" s="7" t="s">
        <v>21276</v>
      </c>
      <c r="D1088" s="112">
        <v>5</v>
      </c>
      <c r="E1088" s="7"/>
      <c r="F1088" s="7" t="s">
        <v>126</v>
      </c>
      <c r="G1088" s="2" t="s">
        <v>21270</v>
      </c>
      <c r="H1088" s="2" t="s">
        <v>21277</v>
      </c>
      <c r="I1088" s="2"/>
      <c r="J1088" s="2"/>
      <c r="K1088" s="2"/>
      <c r="L1088" s="2"/>
      <c r="M1088" s="150" t="str">
        <f t="shared" si="714"/>
        <v>@ranger_softball</v>
      </c>
      <c r="N1088" s="48" t="s">
        <v>22</v>
      </c>
      <c r="O1088" s="48" t="s">
        <v>21274</v>
      </c>
      <c r="P1088" s="60" t="s">
        <v>280</v>
      </c>
      <c r="Q1088" s="48" t="s">
        <v>21274</v>
      </c>
      <c r="R1088" s="60" t="s">
        <v>205</v>
      </c>
      <c r="S1088" s="49" t="s">
        <v>74</v>
      </c>
      <c r="T1088" s="48" t="s">
        <v>75</v>
      </c>
      <c r="U1088" s="49" t="s">
        <v>3678</v>
      </c>
      <c r="V1088" s="7" t="s">
        <v>214</v>
      </c>
      <c r="W1088" s="49" t="s">
        <v>214</v>
      </c>
      <c r="X1088" s="49" t="s">
        <v>214</v>
      </c>
      <c r="Y1088" s="49" t="s">
        <v>214</v>
      </c>
      <c r="Z1088" s="55" t="s">
        <v>214</v>
      </c>
      <c r="AA1088" s="48" t="s">
        <v>21275</v>
      </c>
      <c r="AB1088" s="84" t="s">
        <v>21274</v>
      </c>
      <c r="AC1088" s="67" t="str">
        <f t="shared" si="715"/>
        <v>Link</v>
      </c>
      <c r="AD1088" s="42">
        <v>2258</v>
      </c>
      <c r="AE1088" s="55"/>
      <c r="AF1088" s="55"/>
      <c r="AG1088" s="56">
        <v>227687</v>
      </c>
      <c r="AH1088" s="56"/>
      <c r="AI1088" s="56"/>
      <c r="AJ1088" s="56"/>
      <c r="AK1088" s="56"/>
    </row>
    <row r="1089" spans="1:37" ht="15" x14ac:dyDescent="0.2">
      <c r="A1089" s="64" t="s">
        <v>2922</v>
      </c>
      <c r="B1089" s="33" t="s">
        <v>12632</v>
      </c>
      <c r="C1089" s="7" t="s">
        <v>21276</v>
      </c>
      <c r="D1089" s="112">
        <v>5</v>
      </c>
      <c r="E1089" s="7" t="s">
        <v>116</v>
      </c>
      <c r="F1089" s="7"/>
      <c r="G1089" s="2" t="s">
        <v>21270</v>
      </c>
      <c r="H1089" s="2" t="s">
        <v>421</v>
      </c>
      <c r="I1089" s="2"/>
      <c r="J1089" s="2" t="s">
        <v>48</v>
      </c>
      <c r="K1089" s="2"/>
      <c r="L1089" s="2"/>
      <c r="M1089" s="150" t="str">
        <f t="shared" si="714"/>
        <v>@ranger_softball</v>
      </c>
      <c r="N1089" s="48" t="s">
        <v>22</v>
      </c>
      <c r="O1089" s="48" t="s">
        <v>21274</v>
      </c>
      <c r="P1089" s="60" t="s">
        <v>280</v>
      </c>
      <c r="Q1089" s="48" t="s">
        <v>21274</v>
      </c>
      <c r="R1089" s="60" t="s">
        <v>205</v>
      </c>
      <c r="S1089" s="49" t="s">
        <v>74</v>
      </c>
      <c r="T1089" s="48" t="s">
        <v>75</v>
      </c>
      <c r="U1089" s="49" t="s">
        <v>3678</v>
      </c>
      <c r="V1089" s="7" t="s">
        <v>214</v>
      </c>
      <c r="W1089" s="49" t="s">
        <v>214</v>
      </c>
      <c r="X1089" s="49" t="s">
        <v>214</v>
      </c>
      <c r="Y1089" s="49" t="s">
        <v>214</v>
      </c>
      <c r="Z1089" s="55" t="s">
        <v>214</v>
      </c>
      <c r="AA1089" s="48" t="s">
        <v>21275</v>
      </c>
      <c r="AB1089" s="84" t="s">
        <v>21274</v>
      </c>
      <c r="AC1089" s="67" t="str">
        <f t="shared" si="715"/>
        <v>Link</v>
      </c>
      <c r="AD1089" s="42">
        <v>2258</v>
      </c>
      <c r="AE1089" s="55"/>
      <c r="AF1089" s="55"/>
      <c r="AG1089" s="56">
        <v>227687</v>
      </c>
      <c r="AH1089" s="56"/>
      <c r="AI1089" s="56"/>
      <c r="AJ1089" s="56"/>
      <c r="AK1089" s="56"/>
    </row>
    <row r="1090" spans="1:37" ht="15" x14ac:dyDescent="0.2">
      <c r="A1090" s="64" t="s">
        <v>2922</v>
      </c>
      <c r="B1090" s="33" t="s">
        <v>12632</v>
      </c>
      <c r="C1090" s="7" t="s">
        <v>21278</v>
      </c>
      <c r="D1090" s="112">
        <v>5</v>
      </c>
      <c r="E1090" s="7"/>
      <c r="F1090" s="7" t="s">
        <v>126</v>
      </c>
      <c r="G1090" s="2" t="s">
        <v>21270</v>
      </c>
      <c r="H1090" s="2" t="s">
        <v>21279</v>
      </c>
      <c r="I1090" s="2"/>
      <c r="J1090" s="2"/>
      <c r="K1090" s="2"/>
      <c r="L1090" s="2"/>
      <c r="M1090" s="150" t="str">
        <f t="shared" si="714"/>
        <v>@ranger_softball</v>
      </c>
      <c r="N1090" s="48" t="s">
        <v>22</v>
      </c>
      <c r="O1090" s="48" t="s">
        <v>21274</v>
      </c>
      <c r="P1090" s="60" t="s">
        <v>280</v>
      </c>
      <c r="Q1090" s="48" t="s">
        <v>21274</v>
      </c>
      <c r="R1090" s="60" t="s">
        <v>205</v>
      </c>
      <c r="S1090" s="49" t="s">
        <v>74</v>
      </c>
      <c r="T1090" s="48" t="s">
        <v>75</v>
      </c>
      <c r="U1090" s="49" t="s">
        <v>3678</v>
      </c>
      <c r="V1090" s="7" t="s">
        <v>214</v>
      </c>
      <c r="W1090" s="49" t="s">
        <v>214</v>
      </c>
      <c r="X1090" s="49" t="s">
        <v>214</v>
      </c>
      <c r="Y1090" s="49" t="s">
        <v>214</v>
      </c>
      <c r="Z1090" s="55" t="s">
        <v>214</v>
      </c>
      <c r="AA1090" s="48" t="s">
        <v>21275</v>
      </c>
      <c r="AB1090" s="84" t="s">
        <v>21274</v>
      </c>
      <c r="AC1090" s="67" t="str">
        <f t="shared" si="715"/>
        <v>Link</v>
      </c>
      <c r="AD1090" s="42">
        <v>2258</v>
      </c>
      <c r="AE1090" s="55"/>
      <c r="AF1090" s="55"/>
      <c r="AG1090" s="56">
        <v>227687</v>
      </c>
      <c r="AH1090" s="56"/>
      <c r="AI1090" s="56"/>
      <c r="AJ1090" s="56"/>
      <c r="AK1090" s="56"/>
    </row>
    <row r="1091" spans="1:37" ht="13" x14ac:dyDescent="0.15">
      <c r="A1091" s="110" t="s">
        <v>2922</v>
      </c>
      <c r="B1091" s="2" t="s">
        <v>12632</v>
      </c>
      <c r="C1091" s="7" t="s">
        <v>21280</v>
      </c>
      <c r="D1091" s="37">
        <v>5</v>
      </c>
      <c r="E1091" s="7" t="s">
        <v>116</v>
      </c>
      <c r="F1091" s="7"/>
      <c r="G1091" s="2" t="s">
        <v>21281</v>
      </c>
      <c r="H1091" s="2" t="s">
        <v>421</v>
      </c>
      <c r="I1091" s="2"/>
      <c r="J1091" s="2" t="s">
        <v>48</v>
      </c>
      <c r="K1091" s="2"/>
      <c r="L1091" s="2"/>
      <c r="M1091" s="48"/>
      <c r="N1091" s="48" t="s">
        <v>22</v>
      </c>
      <c r="O1091" s="48" t="s">
        <v>21282</v>
      </c>
      <c r="P1091" s="60" t="s">
        <v>280</v>
      </c>
      <c r="Q1091" s="6" t="s">
        <v>13491</v>
      </c>
      <c r="R1091" s="6" t="s">
        <v>288</v>
      </c>
      <c r="S1091" s="4" t="s">
        <v>74</v>
      </c>
      <c r="T1091" s="48" t="s">
        <v>75</v>
      </c>
      <c r="U1091" s="49" t="s">
        <v>3678</v>
      </c>
      <c r="V1091" s="48" t="s">
        <v>214</v>
      </c>
      <c r="W1091" s="4" t="s">
        <v>214</v>
      </c>
      <c r="X1091" s="4" t="s">
        <v>214</v>
      </c>
      <c r="Y1091" s="4" t="s">
        <v>214</v>
      </c>
      <c r="Z1091" s="55" t="s">
        <v>214</v>
      </c>
      <c r="AA1091" s="6" t="s">
        <v>21283</v>
      </c>
      <c r="AB1091" s="84" t="s">
        <v>21282</v>
      </c>
      <c r="AC1091" s="67" t="str">
        <f>HYPERLINK("https://www.richlandcollege.edu/cd/dcc/pages/default.aspx","Link")</f>
        <v>Link</v>
      </c>
      <c r="AD1091" s="42">
        <v>18106</v>
      </c>
      <c r="AE1091" s="55"/>
      <c r="AF1091" s="55"/>
      <c r="AG1091" s="56">
        <v>227766</v>
      </c>
      <c r="AH1091" s="55" t="s">
        <v>2459</v>
      </c>
      <c r="AI1091" s="55"/>
      <c r="AJ1091" s="55"/>
      <c r="AK1091" s="85"/>
    </row>
    <row r="1092" spans="1:37" ht="15" x14ac:dyDescent="0.2">
      <c r="A1092" s="31" t="s">
        <v>2922</v>
      </c>
      <c r="B1092" s="33" t="s">
        <v>12632</v>
      </c>
      <c r="C1092" s="7"/>
      <c r="D1092" s="112">
        <v>5</v>
      </c>
      <c r="E1092" s="7"/>
      <c r="F1092" s="112"/>
      <c r="G1092" s="2" t="s">
        <v>21284</v>
      </c>
      <c r="H1092" s="2" t="s">
        <v>484</v>
      </c>
      <c r="I1092" s="2" t="s">
        <v>21285</v>
      </c>
      <c r="J1092" s="2" t="s">
        <v>48</v>
      </c>
      <c r="K1092" s="2" t="s">
        <v>21286</v>
      </c>
      <c r="L1092" s="2" t="s">
        <v>21287</v>
      </c>
      <c r="M1092" s="48"/>
      <c r="N1092" s="114" t="str">
        <f t="shared" ref="N1092:N1093" si="716">HYPERLINK("https://www.sanjacsports.com/form/softball-questionnaire","Questionnaire")</f>
        <v>Questionnaire</v>
      </c>
      <c r="O1092" s="48" t="s">
        <v>21288</v>
      </c>
      <c r="P1092" s="60" t="s">
        <v>280</v>
      </c>
      <c r="Q1092" s="48" t="s">
        <v>15107</v>
      </c>
      <c r="R1092" s="48" t="s">
        <v>62</v>
      </c>
      <c r="S1092" s="5" t="s">
        <v>74</v>
      </c>
      <c r="T1092" s="48" t="s">
        <v>75</v>
      </c>
      <c r="U1092" s="49" t="s">
        <v>3678</v>
      </c>
      <c r="V1092" s="7" t="s">
        <v>214</v>
      </c>
      <c r="W1092" s="49" t="s">
        <v>214</v>
      </c>
      <c r="X1092" s="49" t="s">
        <v>214</v>
      </c>
      <c r="Y1092" s="49" t="s">
        <v>214</v>
      </c>
      <c r="Z1092" s="55" t="s">
        <v>214</v>
      </c>
      <c r="AA1092" s="48" t="s">
        <v>21289</v>
      </c>
      <c r="AB1092" s="84" t="s">
        <v>21288</v>
      </c>
      <c r="AC1092" s="53" t="str">
        <f t="shared" ref="AC1092:AC1093" si="717">HYPERLINK("http://www.sanjac.edu/degrees-certificates","Link")</f>
        <v>Link</v>
      </c>
      <c r="AD1092" s="42">
        <v>28998</v>
      </c>
      <c r="AE1092" s="55"/>
      <c r="AF1092" s="55"/>
      <c r="AG1092" s="56">
        <v>227979</v>
      </c>
      <c r="AH1092" s="7" t="s">
        <v>2459</v>
      </c>
      <c r="AI1092" s="7"/>
      <c r="AJ1092" s="7"/>
      <c r="AK1092" s="7"/>
    </row>
    <row r="1093" spans="1:37" ht="15" x14ac:dyDescent="0.2">
      <c r="A1093" s="31" t="s">
        <v>2922</v>
      </c>
      <c r="B1093" s="33" t="s">
        <v>12632</v>
      </c>
      <c r="C1093" s="7"/>
      <c r="D1093" s="112">
        <v>5</v>
      </c>
      <c r="E1093" s="7"/>
      <c r="F1093" s="112"/>
      <c r="G1093" s="2" t="s">
        <v>21284</v>
      </c>
      <c r="H1093" s="2" t="s">
        <v>130</v>
      </c>
      <c r="I1093" s="2" t="s">
        <v>21290</v>
      </c>
      <c r="J1093" s="2" t="s">
        <v>55</v>
      </c>
      <c r="K1093" s="2" t="s">
        <v>21291</v>
      </c>
      <c r="L1093" s="2" t="s">
        <v>21292</v>
      </c>
      <c r="M1093" s="48"/>
      <c r="N1093" s="114" t="str">
        <f t="shared" si="716"/>
        <v>Questionnaire</v>
      </c>
      <c r="O1093" s="48" t="s">
        <v>21288</v>
      </c>
      <c r="P1093" s="60" t="s">
        <v>280</v>
      </c>
      <c r="Q1093" s="48" t="s">
        <v>15107</v>
      </c>
      <c r="R1093" s="48" t="s">
        <v>62</v>
      </c>
      <c r="S1093" s="5" t="s">
        <v>74</v>
      </c>
      <c r="T1093" s="48" t="s">
        <v>75</v>
      </c>
      <c r="U1093" s="49" t="s">
        <v>3678</v>
      </c>
      <c r="V1093" s="7" t="s">
        <v>214</v>
      </c>
      <c r="W1093" s="49" t="s">
        <v>214</v>
      </c>
      <c r="X1093" s="49" t="s">
        <v>214</v>
      </c>
      <c r="Y1093" s="49" t="s">
        <v>214</v>
      </c>
      <c r="Z1093" s="55" t="s">
        <v>214</v>
      </c>
      <c r="AA1093" s="48" t="s">
        <v>21289</v>
      </c>
      <c r="AB1093" s="84" t="s">
        <v>21288</v>
      </c>
      <c r="AC1093" s="53" t="str">
        <f t="shared" si="717"/>
        <v>Link</v>
      </c>
      <c r="AD1093" s="42">
        <v>28998</v>
      </c>
      <c r="AE1093" s="55"/>
      <c r="AF1093" s="55"/>
      <c r="AG1093" s="56">
        <v>227979</v>
      </c>
      <c r="AH1093" s="7" t="s">
        <v>2459</v>
      </c>
      <c r="AI1093" s="7"/>
      <c r="AJ1093" s="7"/>
      <c r="AK1093" s="7"/>
    </row>
    <row r="1094" spans="1:37" ht="15" x14ac:dyDescent="0.2">
      <c r="A1094" s="64" t="s">
        <v>2922</v>
      </c>
      <c r="B1094" s="33" t="s">
        <v>12632</v>
      </c>
      <c r="C1094" s="7" t="s">
        <v>21293</v>
      </c>
      <c r="D1094" s="112">
        <v>5</v>
      </c>
      <c r="E1094" s="7"/>
      <c r="F1094" s="7"/>
      <c r="G1094" s="2" t="s">
        <v>21294</v>
      </c>
      <c r="H1094" s="2" t="s">
        <v>21295</v>
      </c>
      <c r="I1094" s="2" t="s">
        <v>21296</v>
      </c>
      <c r="J1094" s="2" t="s">
        <v>48</v>
      </c>
      <c r="K1094" s="2" t="s">
        <v>21297</v>
      </c>
      <c r="L1094" s="2" t="s">
        <v>21298</v>
      </c>
      <c r="M1094" s="150" t="str">
        <f t="shared" ref="M1094:M1095" si="718">HYPERLINK("twitter.com/softballtemple","@softballtemple")</f>
        <v>@softballtemple</v>
      </c>
      <c r="N1094" s="48" t="s">
        <v>22</v>
      </c>
      <c r="O1094" s="48" t="s">
        <v>21299</v>
      </c>
      <c r="P1094" s="60" t="s">
        <v>280</v>
      </c>
      <c r="Q1094" s="48" t="s">
        <v>21300</v>
      </c>
      <c r="R1094" s="48" t="s">
        <v>186</v>
      </c>
      <c r="S1094" s="49" t="s">
        <v>74</v>
      </c>
      <c r="T1094" s="48" t="s">
        <v>75</v>
      </c>
      <c r="U1094" s="49" t="s">
        <v>3678</v>
      </c>
      <c r="V1094" s="7" t="s">
        <v>214</v>
      </c>
      <c r="W1094" s="49" t="s">
        <v>214</v>
      </c>
      <c r="X1094" s="49" t="s">
        <v>214</v>
      </c>
      <c r="Y1094" s="49" t="s">
        <v>214</v>
      </c>
      <c r="Z1094" s="49" t="s">
        <v>214</v>
      </c>
      <c r="AA1094" s="48" t="s">
        <v>21301</v>
      </c>
      <c r="AB1094" s="84" t="s">
        <v>21299</v>
      </c>
      <c r="AC1094" s="67" t="str">
        <f t="shared" ref="AC1094:AC1095" si="719">HYPERLINK("http://templejc.edu/programs/","Link")</f>
        <v>Link</v>
      </c>
      <c r="AD1094" s="42">
        <v>4946</v>
      </c>
      <c r="AE1094" s="55"/>
      <c r="AF1094" s="55"/>
      <c r="AG1094" s="56">
        <v>228608</v>
      </c>
      <c r="AH1094" s="56"/>
      <c r="AI1094" s="56"/>
      <c r="AJ1094" s="56"/>
      <c r="AK1094" s="56"/>
    </row>
    <row r="1095" spans="1:37" ht="15" x14ac:dyDescent="0.2">
      <c r="A1095" s="64" t="s">
        <v>2922</v>
      </c>
      <c r="B1095" s="33" t="s">
        <v>12632</v>
      </c>
      <c r="C1095" s="7" t="s">
        <v>21302</v>
      </c>
      <c r="D1095" s="112">
        <v>5</v>
      </c>
      <c r="E1095" s="7"/>
      <c r="F1095" s="7"/>
      <c r="G1095" s="2" t="s">
        <v>21294</v>
      </c>
      <c r="H1095" s="2" t="s">
        <v>21303</v>
      </c>
      <c r="I1095" s="2" t="s">
        <v>13237</v>
      </c>
      <c r="J1095" s="2" t="s">
        <v>55</v>
      </c>
      <c r="K1095" s="2"/>
      <c r="L1095" s="2"/>
      <c r="M1095" s="150" t="str">
        <f t="shared" si="718"/>
        <v>@softballtemple</v>
      </c>
      <c r="N1095" s="48" t="s">
        <v>22</v>
      </c>
      <c r="O1095" s="48" t="s">
        <v>21299</v>
      </c>
      <c r="P1095" s="60" t="s">
        <v>280</v>
      </c>
      <c r="Q1095" s="48" t="s">
        <v>21300</v>
      </c>
      <c r="R1095" s="48" t="s">
        <v>186</v>
      </c>
      <c r="S1095" s="49" t="s">
        <v>74</v>
      </c>
      <c r="T1095" s="48" t="s">
        <v>75</v>
      </c>
      <c r="U1095" s="49" t="s">
        <v>3678</v>
      </c>
      <c r="V1095" s="7" t="s">
        <v>214</v>
      </c>
      <c r="W1095" s="49" t="s">
        <v>214</v>
      </c>
      <c r="X1095" s="49" t="s">
        <v>214</v>
      </c>
      <c r="Y1095" s="49" t="s">
        <v>214</v>
      </c>
      <c r="Z1095" s="49" t="s">
        <v>214</v>
      </c>
      <c r="AA1095" s="48" t="s">
        <v>21301</v>
      </c>
      <c r="AB1095" s="84" t="s">
        <v>21299</v>
      </c>
      <c r="AC1095" s="67" t="str">
        <f t="shared" si="719"/>
        <v>Link</v>
      </c>
      <c r="AD1095" s="42">
        <v>4946</v>
      </c>
      <c r="AE1095" s="55"/>
      <c r="AF1095" s="55"/>
      <c r="AG1095" s="56">
        <v>228608</v>
      </c>
      <c r="AH1095" s="56"/>
      <c r="AI1095" s="56"/>
      <c r="AJ1095" s="56"/>
      <c r="AK1095" s="56"/>
    </row>
    <row r="1096" spans="1:37" ht="15" x14ac:dyDescent="0.2">
      <c r="A1096" s="64" t="s">
        <v>2922</v>
      </c>
      <c r="B1096" s="33" t="s">
        <v>12632</v>
      </c>
      <c r="C1096" s="7" t="s">
        <v>21304</v>
      </c>
      <c r="D1096" s="112">
        <v>5</v>
      </c>
      <c r="E1096" s="7"/>
      <c r="F1096" s="7"/>
      <c r="G1096" s="2" t="s">
        <v>21305</v>
      </c>
      <c r="H1096" s="2" t="s">
        <v>21306</v>
      </c>
      <c r="I1096" s="2" t="s">
        <v>1934</v>
      </c>
      <c r="J1096" s="2" t="s">
        <v>2331</v>
      </c>
      <c r="K1096" s="2" t="s">
        <v>21307</v>
      </c>
      <c r="L1096" s="2" t="s">
        <v>21308</v>
      </c>
      <c r="M1096" s="150" t="str">
        <f t="shared" ref="M1096:M1097" si="720">HYPERLINK("twitter.com/tvccsoftball","@tvccsoftball")</f>
        <v>@tvccsoftball</v>
      </c>
      <c r="N1096" s="48" t="s">
        <v>22</v>
      </c>
      <c r="O1096" s="48" t="s">
        <v>21309</v>
      </c>
      <c r="P1096" s="60" t="s">
        <v>280</v>
      </c>
      <c r="Q1096" s="48" t="s">
        <v>7762</v>
      </c>
      <c r="R1096" s="48" t="s">
        <v>172</v>
      </c>
      <c r="S1096" s="49" t="s">
        <v>74</v>
      </c>
      <c r="T1096" s="48" t="s">
        <v>75</v>
      </c>
      <c r="U1096" s="49" t="s">
        <v>3678</v>
      </c>
      <c r="V1096" s="7" t="s">
        <v>214</v>
      </c>
      <c r="W1096" s="49" t="s">
        <v>214</v>
      </c>
      <c r="X1096" s="49" t="s">
        <v>214</v>
      </c>
      <c r="Y1096" s="49" t="s">
        <v>214</v>
      </c>
      <c r="Z1096" s="55" t="s">
        <v>214</v>
      </c>
      <c r="AA1096" s="48" t="s">
        <v>21310</v>
      </c>
      <c r="AB1096" s="84" t="s">
        <v>21309</v>
      </c>
      <c r="AC1096" s="67" t="str">
        <f t="shared" ref="AC1096:AC1097" si="721">HYPERLINK("https://www.tvcc.edu/degrees-certificates.aspx","Link")</f>
        <v>Link</v>
      </c>
      <c r="AD1096" s="42">
        <v>4738</v>
      </c>
      <c r="AE1096" s="55"/>
      <c r="AF1096" s="55"/>
      <c r="AG1096" s="56">
        <v>225308</v>
      </c>
      <c r="AH1096" s="56"/>
      <c r="AI1096" s="56"/>
      <c r="AJ1096" s="56"/>
      <c r="AK1096" s="56"/>
    </row>
    <row r="1097" spans="1:37" ht="15" x14ac:dyDescent="0.2">
      <c r="A1097" s="64" t="s">
        <v>2922</v>
      </c>
      <c r="B1097" s="33" t="s">
        <v>12632</v>
      </c>
      <c r="C1097" s="7" t="s">
        <v>21311</v>
      </c>
      <c r="D1097" s="112">
        <v>5</v>
      </c>
      <c r="E1097" s="7"/>
      <c r="F1097" s="7"/>
      <c r="G1097" s="2" t="s">
        <v>21305</v>
      </c>
      <c r="H1097" s="2" t="s">
        <v>2816</v>
      </c>
      <c r="I1097" s="2" t="s">
        <v>1934</v>
      </c>
      <c r="J1097" s="2" t="s">
        <v>2331</v>
      </c>
      <c r="K1097" s="2" t="s">
        <v>21312</v>
      </c>
      <c r="L1097" s="2" t="s">
        <v>21313</v>
      </c>
      <c r="M1097" s="150" t="str">
        <f t="shared" si="720"/>
        <v>@tvccsoftball</v>
      </c>
      <c r="N1097" s="48" t="s">
        <v>22</v>
      </c>
      <c r="O1097" s="48" t="s">
        <v>21309</v>
      </c>
      <c r="P1097" s="60" t="s">
        <v>280</v>
      </c>
      <c r="Q1097" s="48" t="s">
        <v>7762</v>
      </c>
      <c r="R1097" s="48" t="s">
        <v>172</v>
      </c>
      <c r="S1097" s="49" t="s">
        <v>74</v>
      </c>
      <c r="T1097" s="48" t="s">
        <v>75</v>
      </c>
      <c r="U1097" s="49" t="s">
        <v>3678</v>
      </c>
      <c r="V1097" s="7" t="s">
        <v>214</v>
      </c>
      <c r="W1097" s="49" t="s">
        <v>214</v>
      </c>
      <c r="X1097" s="49" t="s">
        <v>214</v>
      </c>
      <c r="Y1097" s="49" t="s">
        <v>214</v>
      </c>
      <c r="Z1097" s="55" t="s">
        <v>214</v>
      </c>
      <c r="AA1097" s="48" t="s">
        <v>21310</v>
      </c>
      <c r="AB1097" s="84" t="s">
        <v>21309</v>
      </c>
      <c r="AC1097" s="67" t="str">
        <f t="shared" si="721"/>
        <v>Link</v>
      </c>
      <c r="AD1097" s="42">
        <v>4738</v>
      </c>
      <c r="AE1097" s="55"/>
      <c r="AF1097" s="55"/>
      <c r="AG1097" s="56">
        <v>225308</v>
      </c>
      <c r="AH1097" s="56"/>
      <c r="AI1097" s="56"/>
      <c r="AJ1097" s="56"/>
      <c r="AK1097" s="56"/>
    </row>
    <row r="1098" spans="1:37" ht="13" x14ac:dyDescent="0.15">
      <c r="A1098" s="110" t="s">
        <v>2922</v>
      </c>
      <c r="B1098" s="2" t="s">
        <v>12632</v>
      </c>
      <c r="C1098" s="7"/>
      <c r="D1098" s="37">
        <v>4</v>
      </c>
      <c r="E1098" s="7"/>
      <c r="F1098" s="37"/>
      <c r="G1098" s="2" t="s">
        <v>21314</v>
      </c>
      <c r="H1098" s="2" t="s">
        <v>21315</v>
      </c>
      <c r="I1098" s="2" t="s">
        <v>21316</v>
      </c>
      <c r="J1098" s="2" t="s">
        <v>48</v>
      </c>
      <c r="K1098" s="95" t="str">
        <f>HYPERLINK("mailto:ttil@tjc.edu","ttil@tjc.edu")</f>
        <v>ttil@tjc.edu</v>
      </c>
      <c r="L1098" s="2" t="s">
        <v>21317</v>
      </c>
      <c r="M1098" s="48"/>
      <c r="N1098" s="48" t="s">
        <v>22</v>
      </c>
      <c r="O1098" s="48" t="s">
        <v>21318</v>
      </c>
      <c r="P1098" s="60" t="s">
        <v>280</v>
      </c>
      <c r="Q1098" s="6" t="s">
        <v>7130</v>
      </c>
      <c r="R1098" s="6" t="s">
        <v>238</v>
      </c>
      <c r="S1098" s="4" t="s">
        <v>74</v>
      </c>
      <c r="T1098" s="7" t="s">
        <v>75</v>
      </c>
      <c r="U1098" s="7" t="s">
        <v>3678</v>
      </c>
      <c r="V1098" s="7" t="s">
        <v>214</v>
      </c>
      <c r="W1098" s="4" t="s">
        <v>214</v>
      </c>
      <c r="X1098" s="4" t="s">
        <v>214</v>
      </c>
      <c r="Y1098" s="4" t="s">
        <v>214</v>
      </c>
      <c r="Z1098" s="55" t="s">
        <v>214</v>
      </c>
      <c r="AA1098" s="6" t="s">
        <v>21319</v>
      </c>
      <c r="AB1098" s="90" t="s">
        <v>21318</v>
      </c>
      <c r="AC1098" s="67" t="str">
        <f t="shared" ref="AC1098:AC1101" si="722">HYPERLINK("https://www.tjc.edu/degrees","Link")</f>
        <v>Link</v>
      </c>
      <c r="AD1098" s="42">
        <v>11493</v>
      </c>
      <c r="AE1098" s="55"/>
      <c r="AF1098" s="7"/>
      <c r="AG1098" s="56">
        <v>229355</v>
      </c>
      <c r="AH1098" s="7" t="s">
        <v>2459</v>
      </c>
      <c r="AI1098" s="7"/>
      <c r="AJ1098" s="7"/>
      <c r="AK1098" s="7"/>
    </row>
    <row r="1099" spans="1:37" ht="13" x14ac:dyDescent="0.15">
      <c r="A1099" s="110" t="s">
        <v>2922</v>
      </c>
      <c r="B1099" s="2" t="s">
        <v>12632</v>
      </c>
      <c r="C1099" s="7"/>
      <c r="D1099" s="37">
        <v>4</v>
      </c>
      <c r="E1099" s="7"/>
      <c r="F1099" s="37"/>
      <c r="G1099" s="2" t="s">
        <v>21314</v>
      </c>
      <c r="H1099" s="2" t="s">
        <v>1787</v>
      </c>
      <c r="I1099" s="2" t="s">
        <v>14503</v>
      </c>
      <c r="J1099" s="2" t="s">
        <v>55</v>
      </c>
      <c r="K1099" s="2" t="s">
        <v>21320</v>
      </c>
      <c r="L1099" s="2" t="s">
        <v>21321</v>
      </c>
      <c r="M1099" s="48"/>
      <c r="N1099" s="48" t="s">
        <v>22</v>
      </c>
      <c r="O1099" s="48" t="s">
        <v>21318</v>
      </c>
      <c r="P1099" s="60" t="s">
        <v>280</v>
      </c>
      <c r="Q1099" s="6" t="s">
        <v>7130</v>
      </c>
      <c r="R1099" s="6" t="s">
        <v>238</v>
      </c>
      <c r="S1099" s="4" t="s">
        <v>74</v>
      </c>
      <c r="T1099" s="7" t="s">
        <v>75</v>
      </c>
      <c r="U1099" s="7" t="s">
        <v>3678</v>
      </c>
      <c r="V1099" s="7" t="s">
        <v>214</v>
      </c>
      <c r="W1099" s="4" t="s">
        <v>214</v>
      </c>
      <c r="X1099" s="4" t="s">
        <v>214</v>
      </c>
      <c r="Y1099" s="4" t="s">
        <v>214</v>
      </c>
      <c r="Z1099" s="55" t="s">
        <v>214</v>
      </c>
      <c r="AA1099" s="6" t="s">
        <v>21319</v>
      </c>
      <c r="AB1099" s="90" t="s">
        <v>21318</v>
      </c>
      <c r="AC1099" s="67" t="str">
        <f t="shared" si="722"/>
        <v>Link</v>
      </c>
      <c r="AD1099" s="42">
        <v>11493</v>
      </c>
      <c r="AE1099" s="55"/>
      <c r="AF1099" s="7"/>
      <c r="AG1099" s="56">
        <v>229355</v>
      </c>
      <c r="AH1099" s="7" t="s">
        <v>2459</v>
      </c>
      <c r="AI1099" s="7"/>
      <c r="AJ1099" s="7"/>
      <c r="AK1099" s="7"/>
    </row>
    <row r="1100" spans="1:37" ht="15" x14ac:dyDescent="0.2">
      <c r="A1100" s="31" t="s">
        <v>2922</v>
      </c>
      <c r="B1100" s="33" t="s">
        <v>12632</v>
      </c>
      <c r="C1100" s="7"/>
      <c r="D1100" s="112">
        <v>5</v>
      </c>
      <c r="E1100" s="7"/>
      <c r="F1100" s="112"/>
      <c r="G1100" s="2" t="s">
        <v>21314</v>
      </c>
      <c r="H1100" s="2" t="s">
        <v>421</v>
      </c>
      <c r="I1100" s="2"/>
      <c r="J1100" s="2" t="s">
        <v>48</v>
      </c>
      <c r="K1100" s="2"/>
      <c r="L1100" s="2"/>
      <c r="M1100" s="45" t="str">
        <f t="shared" ref="M1100:M1101" si="723">HYPERLINK("twitter.com/tjcapachesb","@tjcapachesb")</f>
        <v>@tjcapachesb</v>
      </c>
      <c r="N1100" s="48" t="s">
        <v>22</v>
      </c>
      <c r="O1100" s="48" t="s">
        <v>21318</v>
      </c>
      <c r="P1100" s="60" t="s">
        <v>280</v>
      </c>
      <c r="Q1100" s="48" t="s">
        <v>7130</v>
      </c>
      <c r="R1100" s="48" t="s">
        <v>238</v>
      </c>
      <c r="S1100" s="49" t="s">
        <v>74</v>
      </c>
      <c r="T1100" s="48" t="s">
        <v>75</v>
      </c>
      <c r="U1100" s="49" t="s">
        <v>3678</v>
      </c>
      <c r="V1100" s="7" t="s">
        <v>214</v>
      </c>
      <c r="W1100" s="49" t="s">
        <v>214</v>
      </c>
      <c r="X1100" s="49" t="s">
        <v>214</v>
      </c>
      <c r="Y1100" s="49" t="s">
        <v>214</v>
      </c>
      <c r="Z1100" s="55" t="s">
        <v>214</v>
      </c>
      <c r="AA1100" s="48" t="s">
        <v>21319</v>
      </c>
      <c r="AB1100" s="90" t="s">
        <v>21318</v>
      </c>
      <c r="AC1100" s="53" t="str">
        <f t="shared" si="722"/>
        <v>Link</v>
      </c>
      <c r="AD1100" s="42">
        <v>11493</v>
      </c>
      <c r="AE1100" s="55"/>
      <c r="AF1100" s="55"/>
      <c r="AG1100" s="56">
        <v>229355</v>
      </c>
      <c r="AH1100" s="7" t="s">
        <v>2459</v>
      </c>
      <c r="AI1100" s="7"/>
      <c r="AJ1100" s="7"/>
      <c r="AK1100" s="7"/>
    </row>
    <row r="1101" spans="1:37" ht="15" x14ac:dyDescent="0.2">
      <c r="A1101" s="31" t="s">
        <v>2922</v>
      </c>
      <c r="B1101" s="33" t="s">
        <v>12632</v>
      </c>
      <c r="C1101" s="7"/>
      <c r="D1101" s="112">
        <v>5</v>
      </c>
      <c r="E1101" s="7"/>
      <c r="F1101" s="112"/>
      <c r="G1101" s="2" t="s">
        <v>21314</v>
      </c>
      <c r="H1101" s="2" t="s">
        <v>173</v>
      </c>
      <c r="I1101" s="2" t="s">
        <v>1727</v>
      </c>
      <c r="J1101" s="2" t="s">
        <v>1423</v>
      </c>
      <c r="K1101" s="2" t="s">
        <v>21322</v>
      </c>
      <c r="L1101" s="2" t="s">
        <v>21323</v>
      </c>
      <c r="M1101" s="45" t="str">
        <f t="shared" si="723"/>
        <v>@tjcapachesb</v>
      </c>
      <c r="N1101" s="48" t="s">
        <v>22</v>
      </c>
      <c r="O1101" s="48" t="s">
        <v>21318</v>
      </c>
      <c r="P1101" s="60" t="s">
        <v>280</v>
      </c>
      <c r="Q1101" s="48" t="s">
        <v>7130</v>
      </c>
      <c r="R1101" s="48" t="s">
        <v>238</v>
      </c>
      <c r="S1101" s="49" t="s">
        <v>74</v>
      </c>
      <c r="T1101" s="48" t="s">
        <v>75</v>
      </c>
      <c r="U1101" s="49" t="s">
        <v>3678</v>
      </c>
      <c r="V1101" s="7" t="s">
        <v>214</v>
      </c>
      <c r="W1101" s="49" t="s">
        <v>214</v>
      </c>
      <c r="X1101" s="49" t="s">
        <v>214</v>
      </c>
      <c r="Y1101" s="49" t="s">
        <v>214</v>
      </c>
      <c r="Z1101" s="55" t="s">
        <v>214</v>
      </c>
      <c r="AA1101" s="48" t="s">
        <v>21319</v>
      </c>
      <c r="AB1101" s="90" t="s">
        <v>21318</v>
      </c>
      <c r="AC1101" s="53" t="str">
        <f t="shared" si="722"/>
        <v>Link</v>
      </c>
      <c r="AD1101" s="42">
        <v>11493</v>
      </c>
      <c r="AE1101" s="55"/>
      <c r="AF1101" s="55"/>
      <c r="AG1101" s="56">
        <v>229355</v>
      </c>
      <c r="AH1101" s="7" t="s">
        <v>2459</v>
      </c>
      <c r="AI1101" s="7"/>
      <c r="AJ1101" s="7"/>
      <c r="AK1101" s="7"/>
    </row>
    <row r="1102" spans="1:37" ht="15" x14ac:dyDescent="0.2">
      <c r="A1102" s="64" t="s">
        <v>2922</v>
      </c>
      <c r="B1102" s="33" t="s">
        <v>12632</v>
      </c>
      <c r="C1102" s="7" t="s">
        <v>21324</v>
      </c>
      <c r="D1102" s="44">
        <v>5</v>
      </c>
      <c r="E1102" s="7" t="s">
        <v>116</v>
      </c>
      <c r="F1102" s="7"/>
      <c r="G1102" s="2" t="s">
        <v>21325</v>
      </c>
      <c r="H1102" s="7" t="s">
        <v>21326</v>
      </c>
      <c r="I1102" s="7" t="s">
        <v>1906</v>
      </c>
      <c r="J1102" s="7" t="s">
        <v>48</v>
      </c>
      <c r="K1102" s="7" t="s">
        <v>21327</v>
      </c>
      <c r="L1102" s="7" t="s">
        <v>21328</v>
      </c>
      <c r="M1102" s="48"/>
      <c r="N1102" s="153" t="s">
        <v>22</v>
      </c>
      <c r="O1102" s="48" t="s">
        <v>9188</v>
      </c>
      <c r="P1102" s="60" t="s">
        <v>280</v>
      </c>
      <c r="Q1102" s="48" t="s">
        <v>9188</v>
      </c>
      <c r="R1102" s="48" t="s">
        <v>468</v>
      </c>
      <c r="S1102" s="49" t="s">
        <v>74</v>
      </c>
      <c r="T1102" s="48" t="s">
        <v>75</v>
      </c>
      <c r="U1102" s="49" t="s">
        <v>3678</v>
      </c>
      <c r="V1102" s="7" t="s">
        <v>214</v>
      </c>
      <c r="W1102" s="49" t="s">
        <v>214</v>
      </c>
      <c r="X1102" s="49" t="s">
        <v>214</v>
      </c>
      <c r="Y1102" s="49" t="s">
        <v>214</v>
      </c>
      <c r="Z1102" s="55" t="s">
        <v>214</v>
      </c>
      <c r="AA1102" s="48" t="s">
        <v>21329</v>
      </c>
      <c r="AB1102" s="84" t="s">
        <v>9188</v>
      </c>
      <c r="AC1102" s="67" t="str">
        <f t="shared" ref="AC1102:AC1104" si="724">HYPERLINK("https://www.wc.edu/academics/curricula/aa-and-degrees","Link")</f>
        <v>Link</v>
      </c>
      <c r="AD1102" s="42">
        <v>5619</v>
      </c>
      <c r="AE1102" s="55"/>
      <c r="AF1102" s="55"/>
      <c r="AG1102" s="56">
        <v>229799</v>
      </c>
      <c r="AH1102" s="85"/>
      <c r="AI1102" s="85"/>
      <c r="AJ1102" s="56"/>
      <c r="AK1102" s="56"/>
    </row>
    <row r="1103" spans="1:37" ht="15" x14ac:dyDescent="0.2">
      <c r="A1103" s="64" t="s">
        <v>2922</v>
      </c>
      <c r="B1103" s="33" t="s">
        <v>12632</v>
      </c>
      <c r="C1103" s="7" t="s">
        <v>21330</v>
      </c>
      <c r="D1103" s="112">
        <v>5</v>
      </c>
      <c r="E1103" s="7"/>
      <c r="F1103" s="7"/>
      <c r="G1103" s="2" t="s">
        <v>21325</v>
      </c>
      <c r="H1103" s="2" t="s">
        <v>21326</v>
      </c>
      <c r="I1103" s="2" t="s">
        <v>1906</v>
      </c>
      <c r="J1103" s="2" t="s">
        <v>48</v>
      </c>
      <c r="K1103" s="2" t="s">
        <v>21327</v>
      </c>
      <c r="L1103" s="2" t="s">
        <v>21328</v>
      </c>
      <c r="M1103" s="48"/>
      <c r="N1103" s="48" t="s">
        <v>22</v>
      </c>
      <c r="O1103" s="48" t="s">
        <v>9188</v>
      </c>
      <c r="P1103" s="60" t="s">
        <v>280</v>
      </c>
      <c r="Q1103" s="48" t="s">
        <v>9188</v>
      </c>
      <c r="R1103" s="48" t="s">
        <v>468</v>
      </c>
      <c r="S1103" s="49" t="s">
        <v>74</v>
      </c>
      <c r="T1103" s="48" t="s">
        <v>75</v>
      </c>
      <c r="U1103" s="49" t="s">
        <v>3678</v>
      </c>
      <c r="V1103" s="7" t="s">
        <v>214</v>
      </c>
      <c r="W1103" s="49" t="s">
        <v>214</v>
      </c>
      <c r="X1103" s="49" t="s">
        <v>214</v>
      </c>
      <c r="Y1103" s="49" t="s">
        <v>214</v>
      </c>
      <c r="Z1103" s="55" t="s">
        <v>214</v>
      </c>
      <c r="AA1103" s="48" t="s">
        <v>21329</v>
      </c>
      <c r="AB1103" s="84" t="s">
        <v>9188</v>
      </c>
      <c r="AC1103" s="67" t="str">
        <f t="shared" si="724"/>
        <v>Link</v>
      </c>
      <c r="AD1103" s="42">
        <v>5619</v>
      </c>
      <c r="AE1103" s="55"/>
      <c r="AF1103" s="55"/>
      <c r="AG1103" s="56">
        <v>229799</v>
      </c>
      <c r="AH1103" s="56"/>
      <c r="AI1103" s="56"/>
      <c r="AJ1103" s="56"/>
      <c r="AK1103" s="56"/>
    </row>
    <row r="1104" spans="1:37" ht="15" x14ac:dyDescent="0.2">
      <c r="A1104" s="64" t="s">
        <v>2922</v>
      </c>
      <c r="B1104" s="33" t="s">
        <v>12632</v>
      </c>
      <c r="C1104" s="7" t="s">
        <v>21331</v>
      </c>
      <c r="D1104" s="112">
        <v>5</v>
      </c>
      <c r="E1104" s="7"/>
      <c r="F1104" s="7"/>
      <c r="G1104" s="2" t="s">
        <v>21325</v>
      </c>
      <c r="H1104" s="2" t="s">
        <v>1492</v>
      </c>
      <c r="I1104" s="2" t="s">
        <v>21332</v>
      </c>
      <c r="J1104" s="2" t="s">
        <v>55</v>
      </c>
      <c r="K1104" s="2" t="s">
        <v>21333</v>
      </c>
      <c r="L1104" s="2" t="s">
        <v>21334</v>
      </c>
      <c r="M1104" s="48"/>
      <c r="N1104" s="48" t="s">
        <v>22</v>
      </c>
      <c r="O1104" s="48" t="s">
        <v>9188</v>
      </c>
      <c r="P1104" s="60" t="s">
        <v>280</v>
      </c>
      <c r="Q1104" s="48" t="s">
        <v>9188</v>
      </c>
      <c r="R1104" s="48" t="s">
        <v>468</v>
      </c>
      <c r="S1104" s="49" t="s">
        <v>74</v>
      </c>
      <c r="T1104" s="48" t="s">
        <v>75</v>
      </c>
      <c r="U1104" s="49" t="s">
        <v>3678</v>
      </c>
      <c r="V1104" s="7" t="s">
        <v>214</v>
      </c>
      <c r="W1104" s="49" t="s">
        <v>214</v>
      </c>
      <c r="X1104" s="49" t="s">
        <v>214</v>
      </c>
      <c r="Y1104" s="49" t="s">
        <v>214</v>
      </c>
      <c r="Z1104" s="55" t="s">
        <v>214</v>
      </c>
      <c r="AA1104" s="48" t="s">
        <v>21329</v>
      </c>
      <c r="AB1104" s="84" t="s">
        <v>9188</v>
      </c>
      <c r="AC1104" s="67" t="str">
        <f t="shared" si="724"/>
        <v>Link</v>
      </c>
      <c r="AD1104" s="42">
        <v>5619</v>
      </c>
      <c r="AE1104" s="55"/>
      <c r="AF1104" s="55"/>
      <c r="AG1104" s="56">
        <v>229799</v>
      </c>
      <c r="AH1104" s="56"/>
      <c r="AI1104" s="56"/>
      <c r="AJ1104" s="56"/>
      <c r="AK1104" s="56"/>
    </row>
    <row r="1105" spans="1:37" ht="15" x14ac:dyDescent="0.2">
      <c r="A1105" s="64" t="s">
        <v>2922</v>
      </c>
      <c r="B1105" s="33" t="s">
        <v>12632</v>
      </c>
      <c r="C1105" s="7" t="s">
        <v>21335</v>
      </c>
      <c r="D1105" s="112">
        <v>5</v>
      </c>
      <c r="E1105" s="7"/>
      <c r="F1105" s="7"/>
      <c r="G1105" s="2" t="s">
        <v>21336</v>
      </c>
      <c r="H1105" s="2" t="s">
        <v>3956</v>
      </c>
      <c r="I1105" s="2" t="s">
        <v>17729</v>
      </c>
      <c r="J1105" s="2" t="s">
        <v>48</v>
      </c>
      <c r="K1105" s="2" t="s">
        <v>21337</v>
      </c>
      <c r="L1105" s="2" t="s">
        <v>21338</v>
      </c>
      <c r="M1105" s="150" t="str">
        <f t="shared" ref="M1105:M1106" si="725">HYPERLINK("twitter.com/wtsoftball","@wtsoftball")</f>
        <v>@wtsoftball</v>
      </c>
      <c r="N1105" s="152" t="str">
        <f t="shared" ref="N1105:N1106" si="726">HYPERLINK("https://www.wtcathletics.com/sports/sball/questionnaire","Questionnaire")</f>
        <v>Questionnaire</v>
      </c>
      <c r="O1105" s="48" t="s">
        <v>21339</v>
      </c>
      <c r="P1105" s="60" t="s">
        <v>280</v>
      </c>
      <c r="Q1105" s="48" t="s">
        <v>10434</v>
      </c>
      <c r="R1105" s="48" t="s">
        <v>172</v>
      </c>
      <c r="S1105" s="49" t="s">
        <v>74</v>
      </c>
      <c r="T1105" s="48" t="s">
        <v>75</v>
      </c>
      <c r="U1105" s="49" t="s">
        <v>3678</v>
      </c>
      <c r="V1105" s="7" t="s">
        <v>214</v>
      </c>
      <c r="W1105" s="49" t="s">
        <v>214</v>
      </c>
      <c r="X1105" s="49" t="s">
        <v>214</v>
      </c>
      <c r="Y1105" s="49" t="s">
        <v>214</v>
      </c>
      <c r="Z1105" s="55" t="s">
        <v>214</v>
      </c>
      <c r="AA1105" s="48" t="s">
        <v>21340</v>
      </c>
      <c r="AB1105" s="90" t="s">
        <v>21339</v>
      </c>
      <c r="AC1105" s="67" t="str">
        <f t="shared" ref="AC1105:AC1106" si="727">HYPERLINK("http://www.wtc.edu/whywtc/Academic.html","Link")</f>
        <v>Link</v>
      </c>
      <c r="AD1105" s="42">
        <v>2177</v>
      </c>
      <c r="AE1105" s="55"/>
      <c r="AF1105" s="55"/>
      <c r="AG1105" s="56">
        <v>229832</v>
      </c>
      <c r="AH1105" s="56"/>
      <c r="AI1105" s="56"/>
      <c r="AJ1105" s="56"/>
      <c r="AK1105" s="56"/>
    </row>
    <row r="1106" spans="1:37" ht="15" x14ac:dyDescent="0.2">
      <c r="A1106" s="64" t="s">
        <v>2922</v>
      </c>
      <c r="B1106" s="33" t="s">
        <v>12632</v>
      </c>
      <c r="C1106" s="7" t="s">
        <v>21341</v>
      </c>
      <c r="D1106" s="112">
        <v>5</v>
      </c>
      <c r="E1106" s="7"/>
      <c r="F1106" s="7" t="s">
        <v>126</v>
      </c>
      <c r="G1106" s="2" t="s">
        <v>21336</v>
      </c>
      <c r="H1106" s="2" t="s">
        <v>21342</v>
      </c>
      <c r="I1106" s="2"/>
      <c r="J1106" s="2"/>
      <c r="K1106" s="2"/>
      <c r="L1106" s="2"/>
      <c r="M1106" s="150" t="str">
        <f t="shared" si="725"/>
        <v>@wtsoftball</v>
      </c>
      <c r="N1106" s="152" t="str">
        <f t="shared" si="726"/>
        <v>Questionnaire</v>
      </c>
      <c r="O1106" s="48" t="s">
        <v>21339</v>
      </c>
      <c r="P1106" s="60" t="s">
        <v>280</v>
      </c>
      <c r="Q1106" s="48" t="s">
        <v>10434</v>
      </c>
      <c r="R1106" s="48" t="s">
        <v>172</v>
      </c>
      <c r="S1106" s="49" t="s">
        <v>74</v>
      </c>
      <c r="T1106" s="48" t="s">
        <v>75</v>
      </c>
      <c r="U1106" s="49" t="s">
        <v>3678</v>
      </c>
      <c r="V1106" s="7" t="s">
        <v>214</v>
      </c>
      <c r="W1106" s="49" t="s">
        <v>214</v>
      </c>
      <c r="X1106" s="49" t="s">
        <v>214</v>
      </c>
      <c r="Y1106" s="49" t="s">
        <v>214</v>
      </c>
      <c r="Z1106" s="55" t="s">
        <v>214</v>
      </c>
      <c r="AA1106" s="48" t="s">
        <v>21340</v>
      </c>
      <c r="AB1106" s="90" t="s">
        <v>21339</v>
      </c>
      <c r="AC1106" s="67" t="str">
        <f t="shared" si="727"/>
        <v>Link</v>
      </c>
      <c r="AD1106" s="42">
        <v>2177</v>
      </c>
      <c r="AE1106" s="55"/>
      <c r="AF1106" s="55"/>
      <c r="AG1106" s="56">
        <v>229832</v>
      </c>
      <c r="AH1106" s="56"/>
      <c r="AI1106" s="56"/>
      <c r="AJ1106" s="56"/>
      <c r="AK1106" s="56"/>
    </row>
    <row r="1107" spans="1:37" ht="15" x14ac:dyDescent="0.2">
      <c r="A1107" s="64" t="s">
        <v>11071</v>
      </c>
      <c r="B1107" s="33" t="s">
        <v>12632</v>
      </c>
      <c r="C1107" s="7" t="s">
        <v>21343</v>
      </c>
      <c r="D1107" s="112">
        <v>5</v>
      </c>
      <c r="E1107" s="7"/>
      <c r="F1107" s="7"/>
      <c r="G1107" s="2" t="s">
        <v>21344</v>
      </c>
      <c r="H1107" s="2" t="s">
        <v>1056</v>
      </c>
      <c r="I1107" s="2" t="s">
        <v>21345</v>
      </c>
      <c r="J1107" s="2" t="s">
        <v>5138</v>
      </c>
      <c r="K1107" s="2"/>
      <c r="L1107" s="2"/>
      <c r="M1107" s="150" t="str">
        <f t="shared" ref="M1107:M1114" si="728">HYPERLINK("twitter.com/slcc_softball","@slcc_softball")</f>
        <v>@slcc_softball</v>
      </c>
      <c r="N1107" s="152" t="str">
        <f t="shared" ref="N1107:N1114" si="729">HYPERLINK("https://slccbruins.com/sb_output.aspx?form=3","Questionnaire")</f>
        <v>Questionnaire</v>
      </c>
      <c r="O1107" s="48" t="s">
        <v>21346</v>
      </c>
      <c r="P1107" s="60" t="s">
        <v>3719</v>
      </c>
      <c r="Q1107" s="48" t="s">
        <v>11072</v>
      </c>
      <c r="R1107" s="48" t="s">
        <v>62</v>
      </c>
      <c r="S1107" s="49" t="s">
        <v>74</v>
      </c>
      <c r="T1107" s="48" t="s">
        <v>75</v>
      </c>
      <c r="U1107" s="49" t="s">
        <v>3678</v>
      </c>
      <c r="V1107" s="7" t="s">
        <v>214</v>
      </c>
      <c r="W1107" s="49" t="s">
        <v>214</v>
      </c>
      <c r="X1107" s="49" t="s">
        <v>214</v>
      </c>
      <c r="Y1107" s="49" t="s">
        <v>214</v>
      </c>
      <c r="Z1107" s="55" t="s">
        <v>214</v>
      </c>
      <c r="AA1107" s="48" t="s">
        <v>21347</v>
      </c>
      <c r="AB1107" s="84" t="s">
        <v>21346</v>
      </c>
      <c r="AC1107" s="67" t="str">
        <f t="shared" ref="AC1107:AC1114" si="730">HYPERLINK("http://catalog.slcc.edu/content.php?catoid=10&amp;navoid=762","Link")</f>
        <v>Link</v>
      </c>
      <c r="AD1107" s="42">
        <v>29901</v>
      </c>
      <c r="AE1107" s="55"/>
      <c r="AF1107" s="55"/>
      <c r="AG1107" s="56">
        <v>230746</v>
      </c>
      <c r="AH1107" s="56"/>
      <c r="AI1107" s="56"/>
      <c r="AJ1107" s="56"/>
      <c r="AK1107" s="56"/>
    </row>
    <row r="1108" spans="1:37" ht="15" x14ac:dyDescent="0.2">
      <c r="A1108" s="64" t="s">
        <v>11071</v>
      </c>
      <c r="B1108" s="33" t="s">
        <v>12632</v>
      </c>
      <c r="C1108" s="7" t="s">
        <v>21348</v>
      </c>
      <c r="D1108" s="112">
        <v>5</v>
      </c>
      <c r="E1108" s="7"/>
      <c r="F1108" s="7" t="s">
        <v>126</v>
      </c>
      <c r="G1108" s="2" t="s">
        <v>21344</v>
      </c>
      <c r="H1108" s="2" t="s">
        <v>21349</v>
      </c>
      <c r="I1108" s="2"/>
      <c r="J1108" s="2"/>
      <c r="K1108" s="2"/>
      <c r="L1108" s="2"/>
      <c r="M1108" s="150" t="str">
        <f t="shared" si="728"/>
        <v>@slcc_softball</v>
      </c>
      <c r="N1108" s="152" t="str">
        <f t="shared" si="729"/>
        <v>Questionnaire</v>
      </c>
      <c r="O1108" s="48" t="s">
        <v>21346</v>
      </c>
      <c r="P1108" s="60" t="s">
        <v>3719</v>
      </c>
      <c r="Q1108" s="48" t="s">
        <v>11072</v>
      </c>
      <c r="R1108" s="48" t="s">
        <v>62</v>
      </c>
      <c r="S1108" s="49" t="s">
        <v>74</v>
      </c>
      <c r="T1108" s="48" t="s">
        <v>75</v>
      </c>
      <c r="U1108" s="49" t="s">
        <v>3678</v>
      </c>
      <c r="V1108" s="7" t="s">
        <v>214</v>
      </c>
      <c r="W1108" s="49" t="s">
        <v>214</v>
      </c>
      <c r="X1108" s="49" t="s">
        <v>214</v>
      </c>
      <c r="Y1108" s="49" t="s">
        <v>214</v>
      </c>
      <c r="Z1108" s="55" t="s">
        <v>214</v>
      </c>
      <c r="AA1108" s="48" t="s">
        <v>21347</v>
      </c>
      <c r="AB1108" s="84" t="s">
        <v>21346</v>
      </c>
      <c r="AC1108" s="67" t="str">
        <f t="shared" si="730"/>
        <v>Link</v>
      </c>
      <c r="AD1108" s="42">
        <v>29901</v>
      </c>
      <c r="AE1108" s="55"/>
      <c r="AF1108" s="55"/>
      <c r="AG1108" s="56">
        <v>230746</v>
      </c>
      <c r="AH1108" s="56"/>
      <c r="AI1108" s="56"/>
      <c r="AJ1108" s="56"/>
      <c r="AK1108" s="56"/>
    </row>
    <row r="1109" spans="1:37" ht="15" x14ac:dyDescent="0.2">
      <c r="A1109" s="64" t="s">
        <v>11071</v>
      </c>
      <c r="B1109" s="33" t="s">
        <v>12632</v>
      </c>
      <c r="C1109" s="7" t="s">
        <v>21350</v>
      </c>
      <c r="D1109" s="44">
        <v>5</v>
      </c>
      <c r="E1109" s="7" t="s">
        <v>116</v>
      </c>
      <c r="F1109" s="7"/>
      <c r="G1109" s="2" t="s">
        <v>21344</v>
      </c>
      <c r="H1109" s="7" t="s">
        <v>21351</v>
      </c>
      <c r="I1109" s="7" t="s">
        <v>19007</v>
      </c>
      <c r="J1109" s="7" t="s">
        <v>139</v>
      </c>
      <c r="K1109" s="7"/>
      <c r="L1109" s="7"/>
      <c r="M1109" s="150" t="str">
        <f t="shared" si="728"/>
        <v>@slcc_softball</v>
      </c>
      <c r="N1109" s="152" t="str">
        <f t="shared" si="729"/>
        <v>Questionnaire</v>
      </c>
      <c r="O1109" s="48" t="s">
        <v>21346</v>
      </c>
      <c r="P1109" s="60" t="s">
        <v>3719</v>
      </c>
      <c r="Q1109" s="48" t="s">
        <v>11072</v>
      </c>
      <c r="R1109" s="48" t="s">
        <v>62</v>
      </c>
      <c r="S1109" s="49" t="s">
        <v>74</v>
      </c>
      <c r="T1109" s="48" t="s">
        <v>75</v>
      </c>
      <c r="U1109" s="49" t="s">
        <v>3678</v>
      </c>
      <c r="V1109" s="7" t="s">
        <v>214</v>
      </c>
      <c r="W1109" s="49" t="s">
        <v>214</v>
      </c>
      <c r="X1109" s="49" t="s">
        <v>214</v>
      </c>
      <c r="Y1109" s="49" t="s">
        <v>214</v>
      </c>
      <c r="Z1109" s="55" t="s">
        <v>214</v>
      </c>
      <c r="AA1109" s="48" t="s">
        <v>21347</v>
      </c>
      <c r="AB1109" s="84" t="s">
        <v>21346</v>
      </c>
      <c r="AC1109" s="67" t="str">
        <f t="shared" si="730"/>
        <v>Link</v>
      </c>
      <c r="AD1109" s="42">
        <v>29901</v>
      </c>
      <c r="AE1109" s="55"/>
      <c r="AF1109" s="55"/>
      <c r="AG1109" s="56">
        <v>230746</v>
      </c>
      <c r="AH1109" s="85"/>
      <c r="AI1109" s="85"/>
      <c r="AJ1109" s="56"/>
      <c r="AK1109" s="56"/>
    </row>
    <row r="1110" spans="1:37" ht="15" x14ac:dyDescent="0.2">
      <c r="A1110" s="64" t="s">
        <v>11071</v>
      </c>
      <c r="B1110" s="33" t="s">
        <v>12632</v>
      </c>
      <c r="C1110" s="7" t="s">
        <v>21352</v>
      </c>
      <c r="D1110" s="44">
        <v>5</v>
      </c>
      <c r="E1110" s="7" t="s">
        <v>116</v>
      </c>
      <c r="F1110" s="7"/>
      <c r="G1110" s="2" t="s">
        <v>21344</v>
      </c>
      <c r="H1110" s="7" t="s">
        <v>306</v>
      </c>
      <c r="I1110" s="7" t="s">
        <v>3046</v>
      </c>
      <c r="J1110" s="7" t="s">
        <v>55</v>
      </c>
      <c r="K1110" s="7"/>
      <c r="L1110" s="7"/>
      <c r="M1110" s="150" t="str">
        <f t="shared" si="728"/>
        <v>@slcc_softball</v>
      </c>
      <c r="N1110" s="152" t="str">
        <f t="shared" si="729"/>
        <v>Questionnaire</v>
      </c>
      <c r="O1110" s="48" t="s">
        <v>21346</v>
      </c>
      <c r="P1110" s="60" t="s">
        <v>3719</v>
      </c>
      <c r="Q1110" s="48" t="s">
        <v>11072</v>
      </c>
      <c r="R1110" s="48" t="s">
        <v>62</v>
      </c>
      <c r="S1110" s="49" t="s">
        <v>74</v>
      </c>
      <c r="T1110" s="48" t="s">
        <v>75</v>
      </c>
      <c r="U1110" s="49" t="s">
        <v>3678</v>
      </c>
      <c r="V1110" s="7" t="s">
        <v>214</v>
      </c>
      <c r="W1110" s="49" t="s">
        <v>214</v>
      </c>
      <c r="X1110" s="49" t="s">
        <v>214</v>
      </c>
      <c r="Y1110" s="49" t="s">
        <v>214</v>
      </c>
      <c r="Z1110" s="55" t="s">
        <v>214</v>
      </c>
      <c r="AA1110" s="48" t="s">
        <v>21347</v>
      </c>
      <c r="AB1110" s="84" t="s">
        <v>21346</v>
      </c>
      <c r="AC1110" s="67" t="str">
        <f t="shared" si="730"/>
        <v>Link</v>
      </c>
      <c r="AD1110" s="42">
        <v>29901</v>
      </c>
      <c r="AE1110" s="55"/>
      <c r="AF1110" s="55"/>
      <c r="AG1110" s="56">
        <v>230746</v>
      </c>
      <c r="AH1110" s="85"/>
      <c r="AI1110" s="85"/>
      <c r="AJ1110" s="56"/>
      <c r="AK1110" s="56"/>
    </row>
    <row r="1111" spans="1:37" ht="15" x14ac:dyDescent="0.2">
      <c r="A1111" s="64" t="s">
        <v>11071</v>
      </c>
      <c r="B1111" s="33" t="s">
        <v>12632</v>
      </c>
      <c r="C1111" s="7" t="s">
        <v>21353</v>
      </c>
      <c r="D1111" s="112">
        <v>5</v>
      </c>
      <c r="E1111" s="7"/>
      <c r="F1111" s="7"/>
      <c r="G1111" s="2" t="s">
        <v>21344</v>
      </c>
      <c r="H1111" s="2" t="s">
        <v>21354</v>
      </c>
      <c r="I1111" s="2" t="s">
        <v>8090</v>
      </c>
      <c r="J1111" s="2" t="s">
        <v>48</v>
      </c>
      <c r="K1111" s="2" t="s">
        <v>21355</v>
      </c>
      <c r="L1111" s="2" t="s">
        <v>21356</v>
      </c>
      <c r="M1111" s="150" t="str">
        <f t="shared" si="728"/>
        <v>@slcc_softball</v>
      </c>
      <c r="N1111" s="152" t="str">
        <f t="shared" si="729"/>
        <v>Questionnaire</v>
      </c>
      <c r="O1111" s="48" t="s">
        <v>21346</v>
      </c>
      <c r="P1111" s="60" t="s">
        <v>3719</v>
      </c>
      <c r="Q1111" s="48" t="s">
        <v>11072</v>
      </c>
      <c r="R1111" s="48" t="s">
        <v>62</v>
      </c>
      <c r="S1111" s="49" t="s">
        <v>74</v>
      </c>
      <c r="T1111" s="48" t="s">
        <v>75</v>
      </c>
      <c r="U1111" s="49" t="s">
        <v>3678</v>
      </c>
      <c r="V1111" s="7" t="s">
        <v>214</v>
      </c>
      <c r="W1111" s="49" t="s">
        <v>214</v>
      </c>
      <c r="X1111" s="49" t="s">
        <v>214</v>
      </c>
      <c r="Y1111" s="49" t="s">
        <v>214</v>
      </c>
      <c r="Z1111" s="55" t="s">
        <v>214</v>
      </c>
      <c r="AA1111" s="48" t="s">
        <v>21347</v>
      </c>
      <c r="AB1111" s="84" t="s">
        <v>21346</v>
      </c>
      <c r="AC1111" s="67" t="str">
        <f t="shared" si="730"/>
        <v>Link</v>
      </c>
      <c r="AD1111" s="42">
        <v>29901</v>
      </c>
      <c r="AE1111" s="55"/>
      <c r="AF1111" s="55"/>
      <c r="AG1111" s="56">
        <v>230746</v>
      </c>
      <c r="AH1111" s="56"/>
      <c r="AI1111" s="56"/>
      <c r="AJ1111" s="56"/>
      <c r="AK1111" s="56"/>
    </row>
    <row r="1112" spans="1:37" ht="15" x14ac:dyDescent="0.2">
      <c r="A1112" s="64" t="s">
        <v>11071</v>
      </c>
      <c r="B1112" s="33" t="s">
        <v>12632</v>
      </c>
      <c r="C1112" s="7" t="s">
        <v>21357</v>
      </c>
      <c r="D1112" s="112">
        <v>5</v>
      </c>
      <c r="E1112" s="7"/>
      <c r="F1112" s="7"/>
      <c r="G1112" s="2" t="s">
        <v>21344</v>
      </c>
      <c r="H1112" s="2" t="s">
        <v>513</v>
      </c>
      <c r="I1112" s="2" t="s">
        <v>21358</v>
      </c>
      <c r="J1112" s="2" t="s">
        <v>55</v>
      </c>
      <c r="K1112" s="2" t="s">
        <v>21359</v>
      </c>
      <c r="L1112" s="2" t="s">
        <v>21360</v>
      </c>
      <c r="M1112" s="150" t="str">
        <f t="shared" si="728"/>
        <v>@slcc_softball</v>
      </c>
      <c r="N1112" s="152" t="str">
        <f t="shared" si="729"/>
        <v>Questionnaire</v>
      </c>
      <c r="O1112" s="48" t="s">
        <v>21346</v>
      </c>
      <c r="P1112" s="60" t="s">
        <v>3719</v>
      </c>
      <c r="Q1112" s="48" t="s">
        <v>11072</v>
      </c>
      <c r="R1112" s="48" t="s">
        <v>62</v>
      </c>
      <c r="S1112" s="49" t="s">
        <v>74</v>
      </c>
      <c r="T1112" s="48" t="s">
        <v>75</v>
      </c>
      <c r="U1112" s="49" t="s">
        <v>3678</v>
      </c>
      <c r="V1112" s="7" t="s">
        <v>214</v>
      </c>
      <c r="W1112" s="49" t="s">
        <v>214</v>
      </c>
      <c r="X1112" s="49" t="s">
        <v>214</v>
      </c>
      <c r="Y1112" s="49" t="s">
        <v>214</v>
      </c>
      <c r="Z1112" s="55" t="s">
        <v>214</v>
      </c>
      <c r="AA1112" s="48" t="s">
        <v>21347</v>
      </c>
      <c r="AB1112" s="84" t="s">
        <v>21346</v>
      </c>
      <c r="AC1112" s="67" t="str">
        <f t="shared" si="730"/>
        <v>Link</v>
      </c>
      <c r="AD1112" s="42">
        <v>29901</v>
      </c>
      <c r="AE1112" s="55"/>
      <c r="AF1112" s="55"/>
      <c r="AG1112" s="56">
        <v>230746</v>
      </c>
      <c r="AH1112" s="56"/>
      <c r="AI1112" s="56"/>
      <c r="AJ1112" s="56"/>
      <c r="AK1112" s="56"/>
    </row>
    <row r="1113" spans="1:37" ht="15" x14ac:dyDescent="0.2">
      <c r="A1113" s="64" t="s">
        <v>11071</v>
      </c>
      <c r="B1113" s="33" t="s">
        <v>12632</v>
      </c>
      <c r="C1113" s="7" t="s">
        <v>21361</v>
      </c>
      <c r="D1113" s="112">
        <v>5</v>
      </c>
      <c r="E1113" s="7"/>
      <c r="F1113" s="7"/>
      <c r="G1113" s="2" t="s">
        <v>21344</v>
      </c>
      <c r="H1113" s="2" t="s">
        <v>481</v>
      </c>
      <c r="I1113" s="2" t="s">
        <v>21362</v>
      </c>
      <c r="J1113" s="2" t="s">
        <v>139</v>
      </c>
      <c r="K1113" s="2"/>
      <c r="L1113" s="2"/>
      <c r="M1113" s="150" t="str">
        <f t="shared" si="728"/>
        <v>@slcc_softball</v>
      </c>
      <c r="N1113" s="152" t="str">
        <f t="shared" si="729"/>
        <v>Questionnaire</v>
      </c>
      <c r="O1113" s="48" t="s">
        <v>21346</v>
      </c>
      <c r="P1113" s="60" t="s">
        <v>3719</v>
      </c>
      <c r="Q1113" s="48" t="s">
        <v>11072</v>
      </c>
      <c r="R1113" s="48" t="s">
        <v>62</v>
      </c>
      <c r="S1113" s="49" t="s">
        <v>74</v>
      </c>
      <c r="T1113" s="48" t="s">
        <v>75</v>
      </c>
      <c r="U1113" s="49" t="s">
        <v>3678</v>
      </c>
      <c r="V1113" s="7" t="s">
        <v>214</v>
      </c>
      <c r="W1113" s="49" t="s">
        <v>214</v>
      </c>
      <c r="X1113" s="49" t="s">
        <v>214</v>
      </c>
      <c r="Y1113" s="49" t="s">
        <v>214</v>
      </c>
      <c r="Z1113" s="55" t="s">
        <v>214</v>
      </c>
      <c r="AA1113" s="48" t="s">
        <v>21347</v>
      </c>
      <c r="AB1113" s="84" t="s">
        <v>21346</v>
      </c>
      <c r="AC1113" s="67" t="str">
        <f t="shared" si="730"/>
        <v>Link</v>
      </c>
      <c r="AD1113" s="42">
        <v>29901</v>
      </c>
      <c r="AE1113" s="55"/>
      <c r="AF1113" s="55"/>
      <c r="AG1113" s="56">
        <v>230746</v>
      </c>
      <c r="AH1113" s="56"/>
      <c r="AI1113" s="56"/>
      <c r="AJ1113" s="56"/>
      <c r="AK1113" s="56"/>
    </row>
    <row r="1114" spans="1:37" ht="15" x14ac:dyDescent="0.2">
      <c r="A1114" s="64" t="s">
        <v>11071</v>
      </c>
      <c r="B1114" s="33" t="s">
        <v>12632</v>
      </c>
      <c r="C1114" s="7" t="s">
        <v>21363</v>
      </c>
      <c r="D1114" s="112">
        <v>5</v>
      </c>
      <c r="E1114" s="7"/>
      <c r="F1114" s="7"/>
      <c r="G1114" s="2" t="s">
        <v>21344</v>
      </c>
      <c r="H1114" s="2" t="s">
        <v>294</v>
      </c>
      <c r="I1114" s="2" t="s">
        <v>21364</v>
      </c>
      <c r="J1114" s="2" t="s">
        <v>919</v>
      </c>
      <c r="K1114" s="2"/>
      <c r="L1114" s="2"/>
      <c r="M1114" s="150" t="str">
        <f t="shared" si="728"/>
        <v>@slcc_softball</v>
      </c>
      <c r="N1114" s="152" t="str">
        <f t="shared" si="729"/>
        <v>Questionnaire</v>
      </c>
      <c r="O1114" s="48" t="s">
        <v>21346</v>
      </c>
      <c r="P1114" s="60" t="s">
        <v>3719</v>
      </c>
      <c r="Q1114" s="48" t="s">
        <v>11072</v>
      </c>
      <c r="R1114" s="48" t="s">
        <v>62</v>
      </c>
      <c r="S1114" s="49" t="s">
        <v>74</v>
      </c>
      <c r="T1114" s="48" t="s">
        <v>75</v>
      </c>
      <c r="U1114" s="49" t="s">
        <v>3678</v>
      </c>
      <c r="V1114" s="7" t="s">
        <v>214</v>
      </c>
      <c r="W1114" s="49" t="s">
        <v>214</v>
      </c>
      <c r="X1114" s="49" t="s">
        <v>214</v>
      </c>
      <c r="Y1114" s="49" t="s">
        <v>214</v>
      </c>
      <c r="Z1114" s="55" t="s">
        <v>214</v>
      </c>
      <c r="AA1114" s="48" t="s">
        <v>21347</v>
      </c>
      <c r="AB1114" s="84" t="s">
        <v>21346</v>
      </c>
      <c r="AC1114" s="67" t="str">
        <f t="shared" si="730"/>
        <v>Link</v>
      </c>
      <c r="AD1114" s="42">
        <v>29901</v>
      </c>
      <c r="AE1114" s="55"/>
      <c r="AF1114" s="55"/>
      <c r="AG1114" s="56">
        <v>230746</v>
      </c>
      <c r="AH1114" s="56"/>
      <c r="AI1114" s="56"/>
      <c r="AJ1114" s="56"/>
      <c r="AK1114" s="56"/>
    </row>
    <row r="1115" spans="1:37" ht="15" x14ac:dyDescent="0.2">
      <c r="A1115" s="64" t="s">
        <v>11071</v>
      </c>
      <c r="B1115" s="33" t="s">
        <v>12632</v>
      </c>
      <c r="C1115" s="7" t="s">
        <v>21365</v>
      </c>
      <c r="D1115" s="112">
        <v>5</v>
      </c>
      <c r="E1115" s="7"/>
      <c r="F1115" s="7"/>
      <c r="G1115" s="2" t="s">
        <v>21366</v>
      </c>
      <c r="H1115" s="2" t="s">
        <v>6091</v>
      </c>
      <c r="I1115" s="2" t="s">
        <v>21367</v>
      </c>
      <c r="J1115" s="2" t="s">
        <v>48</v>
      </c>
      <c r="K1115" s="2" t="s">
        <v>21368</v>
      </c>
      <c r="L1115" s="2" t="s">
        <v>21369</v>
      </c>
      <c r="M1115" s="48"/>
      <c r="N1115" s="152" t="str">
        <f t="shared" ref="N1115:N1116" si="731">HYPERLINK("https://snowbadgers.com/sb_output.aspx?form=3","Questionnaire")</f>
        <v>Questionnaire</v>
      </c>
      <c r="O1115" s="48" t="s">
        <v>21370</v>
      </c>
      <c r="P1115" s="60" t="s">
        <v>3719</v>
      </c>
      <c r="Q1115" s="48" t="s">
        <v>21371</v>
      </c>
      <c r="R1115" s="60" t="s">
        <v>205</v>
      </c>
      <c r="S1115" s="49" t="s">
        <v>74</v>
      </c>
      <c r="T1115" s="48" t="s">
        <v>75</v>
      </c>
      <c r="U1115" s="49" t="s">
        <v>3678</v>
      </c>
      <c r="V1115" s="7" t="s">
        <v>214</v>
      </c>
      <c r="W1115" s="49" t="s">
        <v>214</v>
      </c>
      <c r="X1115" s="49" t="s">
        <v>214</v>
      </c>
      <c r="Y1115" s="49" t="s">
        <v>214</v>
      </c>
      <c r="Z1115" s="55" t="s">
        <v>214</v>
      </c>
      <c r="AA1115" s="48" t="s">
        <v>21372</v>
      </c>
      <c r="AB1115" s="84" t="s">
        <v>21370</v>
      </c>
      <c r="AC1115" s="67" t="str">
        <f t="shared" ref="AC1115:AC1116" si="732">HYPERLINK("https://www.snow.edu/academics/degrees.html","Link")</f>
        <v>Link</v>
      </c>
      <c r="AD1115" s="42">
        <v>5350</v>
      </c>
      <c r="AE1115" s="55"/>
      <c r="AF1115" s="55"/>
      <c r="AG1115" s="56">
        <v>230597</v>
      </c>
      <c r="AH1115" s="56"/>
      <c r="AI1115" s="56"/>
      <c r="AJ1115" s="56"/>
      <c r="AK1115" s="56"/>
    </row>
    <row r="1116" spans="1:37" ht="15" x14ac:dyDescent="0.2">
      <c r="A1116" s="64" t="s">
        <v>11071</v>
      </c>
      <c r="B1116" s="33" t="s">
        <v>12632</v>
      </c>
      <c r="C1116" s="7" t="s">
        <v>21373</v>
      </c>
      <c r="D1116" s="112">
        <v>5</v>
      </c>
      <c r="E1116" s="7"/>
      <c r="F1116" s="7"/>
      <c r="G1116" s="2" t="s">
        <v>21366</v>
      </c>
      <c r="H1116" s="2" t="s">
        <v>21374</v>
      </c>
      <c r="I1116" s="2" t="s">
        <v>21375</v>
      </c>
      <c r="J1116" s="2" t="s">
        <v>55</v>
      </c>
      <c r="K1116" s="2" t="s">
        <v>21376</v>
      </c>
      <c r="L1116" s="2" t="s">
        <v>21377</v>
      </c>
      <c r="M1116" s="48"/>
      <c r="N1116" s="152" t="str">
        <f t="shared" si="731"/>
        <v>Questionnaire</v>
      </c>
      <c r="O1116" s="48" t="s">
        <v>21370</v>
      </c>
      <c r="P1116" s="60" t="s">
        <v>3719</v>
      </c>
      <c r="Q1116" s="48" t="s">
        <v>21371</v>
      </c>
      <c r="R1116" s="60" t="s">
        <v>205</v>
      </c>
      <c r="S1116" s="49" t="s">
        <v>74</v>
      </c>
      <c r="T1116" s="48" t="s">
        <v>75</v>
      </c>
      <c r="U1116" s="49" t="s">
        <v>3678</v>
      </c>
      <c r="V1116" s="7" t="s">
        <v>214</v>
      </c>
      <c r="W1116" s="49" t="s">
        <v>214</v>
      </c>
      <c r="X1116" s="49" t="s">
        <v>214</v>
      </c>
      <c r="Y1116" s="49" t="s">
        <v>214</v>
      </c>
      <c r="Z1116" s="55" t="s">
        <v>214</v>
      </c>
      <c r="AA1116" s="48" t="s">
        <v>21372</v>
      </c>
      <c r="AB1116" s="84" t="s">
        <v>21370</v>
      </c>
      <c r="AC1116" s="67" t="str">
        <f t="shared" si="732"/>
        <v>Link</v>
      </c>
      <c r="AD1116" s="42">
        <v>5350</v>
      </c>
      <c r="AE1116" s="55"/>
      <c r="AF1116" s="55"/>
      <c r="AG1116" s="56">
        <v>230597</v>
      </c>
      <c r="AH1116" s="56"/>
      <c r="AI1116" s="56"/>
      <c r="AJ1116" s="56"/>
      <c r="AK1116" s="56"/>
    </row>
    <row r="1117" spans="1:37" ht="15" x14ac:dyDescent="0.2">
      <c r="A1117" s="64" t="s">
        <v>11071</v>
      </c>
      <c r="B1117" s="33" t="s">
        <v>12632</v>
      </c>
      <c r="C1117" s="7" t="s">
        <v>21378</v>
      </c>
      <c r="D1117" s="112">
        <v>5</v>
      </c>
      <c r="E1117" s="7"/>
      <c r="F1117" s="7"/>
      <c r="G1117" s="2" t="s">
        <v>21379</v>
      </c>
      <c r="H1117" s="2" t="s">
        <v>3983</v>
      </c>
      <c r="I1117" s="2" t="s">
        <v>21380</v>
      </c>
      <c r="J1117" s="2" t="s">
        <v>48</v>
      </c>
      <c r="K1117" s="2" t="s">
        <v>21381</v>
      </c>
      <c r="L1117" s="2"/>
      <c r="M1117" s="48"/>
      <c r="N1117" s="152" t="str">
        <f t="shared" ref="N1117:N1118" si="733">HYPERLINK("https://usueasternathletics.com/sb_output.aspx?form=3","Questionnaire")</f>
        <v>Questionnaire</v>
      </c>
      <c r="O1117" s="48" t="s">
        <v>21382</v>
      </c>
      <c r="P1117" s="60" t="s">
        <v>3719</v>
      </c>
      <c r="Q1117" s="48" t="s">
        <v>3363</v>
      </c>
      <c r="R1117" s="60" t="s">
        <v>205</v>
      </c>
      <c r="S1117" s="5" t="s">
        <v>74</v>
      </c>
      <c r="T1117" s="48" t="s">
        <v>75</v>
      </c>
      <c r="U1117" s="49" t="s">
        <v>3678</v>
      </c>
      <c r="V1117" s="7" t="s">
        <v>214</v>
      </c>
      <c r="W1117" s="49" t="s">
        <v>2853</v>
      </c>
      <c r="X1117" s="49" t="s">
        <v>2853</v>
      </c>
      <c r="Y1117" s="49" t="s">
        <v>2190</v>
      </c>
      <c r="Z1117" s="65">
        <v>0.9</v>
      </c>
      <c r="AA1117" s="48" t="s">
        <v>9859</v>
      </c>
      <c r="AB1117" s="84" t="s">
        <v>21382</v>
      </c>
      <c r="AC1117" s="67" t="str">
        <f t="shared" ref="AC1117:AC1118" si="734">HYPERLINK("https://usueastern.edu/areas-of-study/index","Link")</f>
        <v>Link</v>
      </c>
      <c r="AD1117" s="42">
        <v>24838</v>
      </c>
      <c r="AE1117" s="55"/>
      <c r="AF1117" s="55"/>
      <c r="AG1117" s="56">
        <v>230092</v>
      </c>
      <c r="AH1117" s="56"/>
      <c r="AI1117" s="56"/>
      <c r="AJ1117" s="56"/>
      <c r="AK1117" s="56"/>
    </row>
    <row r="1118" spans="1:37" ht="15" x14ac:dyDescent="0.2">
      <c r="A1118" s="64" t="s">
        <v>11071</v>
      </c>
      <c r="B1118" s="33" t="s">
        <v>12632</v>
      </c>
      <c r="C1118" s="7" t="s">
        <v>21383</v>
      </c>
      <c r="D1118" s="112">
        <v>5</v>
      </c>
      <c r="E1118" s="7"/>
      <c r="F1118" s="7"/>
      <c r="G1118" s="2" t="s">
        <v>21379</v>
      </c>
      <c r="H1118" s="2" t="s">
        <v>6091</v>
      </c>
      <c r="I1118" s="2" t="s">
        <v>21384</v>
      </c>
      <c r="J1118" s="2" t="s">
        <v>55</v>
      </c>
      <c r="K1118" s="2"/>
      <c r="L1118" s="2"/>
      <c r="M1118" s="48"/>
      <c r="N1118" s="152" t="str">
        <f t="shared" si="733"/>
        <v>Questionnaire</v>
      </c>
      <c r="O1118" s="48" t="s">
        <v>21382</v>
      </c>
      <c r="P1118" s="60" t="s">
        <v>3719</v>
      </c>
      <c r="Q1118" s="48" t="s">
        <v>3363</v>
      </c>
      <c r="R1118" s="60" t="s">
        <v>205</v>
      </c>
      <c r="S1118" s="5" t="s">
        <v>74</v>
      </c>
      <c r="T1118" s="48" t="s">
        <v>75</v>
      </c>
      <c r="U1118" s="49" t="s">
        <v>3678</v>
      </c>
      <c r="V1118" s="7" t="s">
        <v>214</v>
      </c>
      <c r="W1118" s="49" t="s">
        <v>2853</v>
      </c>
      <c r="X1118" s="49" t="s">
        <v>2853</v>
      </c>
      <c r="Y1118" s="49" t="s">
        <v>2190</v>
      </c>
      <c r="Z1118" s="65">
        <v>0.9</v>
      </c>
      <c r="AA1118" s="48" t="s">
        <v>9859</v>
      </c>
      <c r="AB1118" s="84" t="s">
        <v>21382</v>
      </c>
      <c r="AC1118" s="67" t="str">
        <f t="shared" si="734"/>
        <v>Link</v>
      </c>
      <c r="AD1118" s="42">
        <v>24838</v>
      </c>
      <c r="AE1118" s="55"/>
      <c r="AF1118" s="55"/>
      <c r="AG1118" s="56">
        <v>230092</v>
      </c>
      <c r="AH1118" s="56"/>
      <c r="AI1118" s="56"/>
      <c r="AJ1118" s="56"/>
      <c r="AK1118" s="56"/>
    </row>
    <row r="1119" spans="1:37" ht="15" x14ac:dyDescent="0.2">
      <c r="A1119" s="64" t="s">
        <v>1374</v>
      </c>
      <c r="B1119" s="33" t="s">
        <v>12632</v>
      </c>
      <c r="C1119" s="7" t="s">
        <v>21385</v>
      </c>
      <c r="D1119" s="112">
        <v>5</v>
      </c>
      <c r="E1119" s="7"/>
      <c r="F1119" s="7"/>
      <c r="G1119" s="2" t="s">
        <v>21386</v>
      </c>
      <c r="H1119" s="2" t="s">
        <v>21387</v>
      </c>
      <c r="I1119" s="2" t="s">
        <v>207</v>
      </c>
      <c r="J1119" s="2" t="s">
        <v>48</v>
      </c>
      <c r="K1119" s="2" t="s">
        <v>21388</v>
      </c>
      <c r="L1119" s="2" t="s">
        <v>21389</v>
      </c>
      <c r="M1119" s="48"/>
      <c r="N1119" s="48" t="s">
        <v>22</v>
      </c>
      <c r="O1119" s="48" t="s">
        <v>21390</v>
      </c>
      <c r="P1119" s="60" t="s">
        <v>1361</v>
      </c>
      <c r="Q1119" s="48" t="s">
        <v>21391</v>
      </c>
      <c r="R1119" s="48" t="s">
        <v>62</v>
      </c>
      <c r="S1119" s="49" t="s">
        <v>974</v>
      </c>
      <c r="T1119" s="48" t="s">
        <v>75</v>
      </c>
      <c r="U1119" s="49" t="s">
        <v>3678</v>
      </c>
      <c r="V1119" s="7" t="s">
        <v>214</v>
      </c>
      <c r="W1119" s="49" t="s">
        <v>214</v>
      </c>
      <c r="X1119" s="49" t="s">
        <v>214</v>
      </c>
      <c r="Y1119" s="49" t="s">
        <v>214</v>
      </c>
      <c r="Z1119" s="55" t="s">
        <v>214</v>
      </c>
      <c r="AA1119" s="39">
        <v>23695</v>
      </c>
      <c r="AB1119" s="52" t="s">
        <v>21390</v>
      </c>
      <c r="AC1119" s="67" t="str">
        <f t="shared" ref="AC1119:AC1122" si="735">HYPERLINK("https://www.bryantstratton.edu/degrees","Link")</f>
        <v>Link</v>
      </c>
      <c r="AD1119" s="42">
        <v>340</v>
      </c>
      <c r="AE1119" s="55"/>
      <c r="AF1119" s="55"/>
      <c r="AG1119" s="56">
        <v>231785</v>
      </c>
      <c r="AH1119" s="56"/>
      <c r="AI1119" s="56"/>
      <c r="AJ1119" s="56"/>
      <c r="AK1119" s="56"/>
    </row>
    <row r="1120" spans="1:37" ht="15" x14ac:dyDescent="0.2">
      <c r="A1120" s="64" t="s">
        <v>1374</v>
      </c>
      <c r="B1120" s="33" t="s">
        <v>12632</v>
      </c>
      <c r="C1120" s="7" t="s">
        <v>21392</v>
      </c>
      <c r="D1120" s="112">
        <v>5</v>
      </c>
      <c r="E1120" s="7"/>
      <c r="F1120" s="7"/>
      <c r="G1120" s="2" t="s">
        <v>21386</v>
      </c>
      <c r="H1120" s="2" t="s">
        <v>21393</v>
      </c>
      <c r="I1120" s="2" t="s">
        <v>21394</v>
      </c>
      <c r="J1120" s="2" t="s">
        <v>55</v>
      </c>
      <c r="K1120" s="2" t="s">
        <v>21395</v>
      </c>
      <c r="L1120" s="2" t="s">
        <v>21396</v>
      </c>
      <c r="M1120" s="48"/>
      <c r="N1120" s="48" t="s">
        <v>22</v>
      </c>
      <c r="O1120" s="48" t="s">
        <v>21390</v>
      </c>
      <c r="P1120" s="60" t="s">
        <v>1361</v>
      </c>
      <c r="Q1120" s="48" t="s">
        <v>21391</v>
      </c>
      <c r="R1120" s="48" t="s">
        <v>62</v>
      </c>
      <c r="S1120" s="49" t="s">
        <v>974</v>
      </c>
      <c r="T1120" s="48" t="s">
        <v>75</v>
      </c>
      <c r="U1120" s="49" t="s">
        <v>3678</v>
      </c>
      <c r="V1120" s="7" t="s">
        <v>214</v>
      </c>
      <c r="W1120" s="49" t="s">
        <v>214</v>
      </c>
      <c r="X1120" s="49" t="s">
        <v>214</v>
      </c>
      <c r="Y1120" s="49" t="s">
        <v>214</v>
      </c>
      <c r="Z1120" s="55" t="s">
        <v>214</v>
      </c>
      <c r="AA1120" s="39">
        <v>23695</v>
      </c>
      <c r="AB1120" s="52" t="s">
        <v>21390</v>
      </c>
      <c r="AC1120" s="67" t="str">
        <f t="shared" si="735"/>
        <v>Link</v>
      </c>
      <c r="AD1120" s="42">
        <v>340</v>
      </c>
      <c r="AE1120" s="55"/>
      <c r="AF1120" s="55"/>
      <c r="AG1120" s="56">
        <v>231785</v>
      </c>
      <c r="AH1120" s="56"/>
      <c r="AI1120" s="56"/>
      <c r="AJ1120" s="56"/>
      <c r="AK1120" s="56"/>
    </row>
    <row r="1121" spans="1:37" ht="15" x14ac:dyDescent="0.2">
      <c r="A1121" s="64" t="s">
        <v>1374</v>
      </c>
      <c r="B1121" s="33" t="s">
        <v>12632</v>
      </c>
      <c r="C1121" s="7" t="s">
        <v>21397</v>
      </c>
      <c r="D1121" s="112">
        <v>5</v>
      </c>
      <c r="E1121" s="7"/>
      <c r="F1121" s="7"/>
      <c r="G1121" s="2" t="s">
        <v>21386</v>
      </c>
      <c r="H1121" s="2" t="s">
        <v>5963</v>
      </c>
      <c r="I1121" s="2" t="s">
        <v>4019</v>
      </c>
      <c r="J1121" s="2" t="s">
        <v>919</v>
      </c>
      <c r="K1121" s="2" t="s">
        <v>21398</v>
      </c>
      <c r="L1121" s="2" t="s">
        <v>21396</v>
      </c>
      <c r="M1121" s="48"/>
      <c r="N1121" s="48" t="s">
        <v>22</v>
      </c>
      <c r="O1121" s="48" t="s">
        <v>21390</v>
      </c>
      <c r="P1121" s="60" t="s">
        <v>1361</v>
      </c>
      <c r="Q1121" s="48" t="s">
        <v>21391</v>
      </c>
      <c r="R1121" s="48" t="s">
        <v>62</v>
      </c>
      <c r="S1121" s="49" t="s">
        <v>974</v>
      </c>
      <c r="T1121" s="48" t="s">
        <v>75</v>
      </c>
      <c r="U1121" s="49" t="s">
        <v>3678</v>
      </c>
      <c r="V1121" s="7" t="s">
        <v>214</v>
      </c>
      <c r="W1121" s="49" t="s">
        <v>214</v>
      </c>
      <c r="X1121" s="49" t="s">
        <v>214</v>
      </c>
      <c r="Y1121" s="49" t="s">
        <v>214</v>
      </c>
      <c r="Z1121" s="55" t="s">
        <v>214</v>
      </c>
      <c r="AA1121" s="39">
        <v>23695</v>
      </c>
      <c r="AB1121" s="52" t="s">
        <v>21390</v>
      </c>
      <c r="AC1121" s="67" t="str">
        <f t="shared" si="735"/>
        <v>Link</v>
      </c>
      <c r="AD1121" s="42">
        <v>340</v>
      </c>
      <c r="AE1121" s="55"/>
      <c r="AF1121" s="55"/>
      <c r="AG1121" s="56">
        <v>231785</v>
      </c>
      <c r="AH1121" s="56"/>
      <c r="AI1121" s="56"/>
      <c r="AJ1121" s="56"/>
      <c r="AK1121" s="56"/>
    </row>
    <row r="1122" spans="1:37" ht="15" x14ac:dyDescent="0.2">
      <c r="A1122" s="64" t="s">
        <v>1374</v>
      </c>
      <c r="B1122" s="33" t="s">
        <v>12632</v>
      </c>
      <c r="C1122" s="7" t="s">
        <v>21399</v>
      </c>
      <c r="D1122" s="112">
        <v>5</v>
      </c>
      <c r="E1122" s="7"/>
      <c r="F1122" s="7"/>
      <c r="G1122" s="2" t="s">
        <v>21386</v>
      </c>
      <c r="H1122" s="2" t="s">
        <v>562</v>
      </c>
      <c r="I1122" s="2" t="s">
        <v>21400</v>
      </c>
      <c r="J1122" s="2" t="s">
        <v>4008</v>
      </c>
      <c r="K1122" s="2" t="s">
        <v>21401</v>
      </c>
      <c r="L1122" s="2"/>
      <c r="M1122" s="48"/>
      <c r="N1122" s="48" t="s">
        <v>22</v>
      </c>
      <c r="O1122" s="48" t="s">
        <v>21390</v>
      </c>
      <c r="P1122" s="60" t="s">
        <v>1361</v>
      </c>
      <c r="Q1122" s="48" t="s">
        <v>21391</v>
      </c>
      <c r="R1122" s="48" t="s">
        <v>62</v>
      </c>
      <c r="S1122" s="49" t="s">
        <v>974</v>
      </c>
      <c r="T1122" s="48" t="s">
        <v>75</v>
      </c>
      <c r="U1122" s="49" t="s">
        <v>3678</v>
      </c>
      <c r="V1122" s="7" t="s">
        <v>214</v>
      </c>
      <c r="W1122" s="49" t="s">
        <v>214</v>
      </c>
      <c r="X1122" s="49" t="s">
        <v>214</v>
      </c>
      <c r="Y1122" s="49" t="s">
        <v>214</v>
      </c>
      <c r="Z1122" s="55" t="s">
        <v>214</v>
      </c>
      <c r="AA1122" s="39">
        <v>23695</v>
      </c>
      <c r="AB1122" s="52" t="s">
        <v>21390</v>
      </c>
      <c r="AC1122" s="67" t="str">
        <f t="shared" si="735"/>
        <v>Link</v>
      </c>
      <c r="AD1122" s="42">
        <v>340</v>
      </c>
      <c r="AE1122" s="55"/>
      <c r="AF1122" s="55"/>
      <c r="AG1122" s="56">
        <v>231785</v>
      </c>
      <c r="AH1122" s="56"/>
      <c r="AI1122" s="56"/>
      <c r="AJ1122" s="56"/>
      <c r="AK1122" s="56"/>
    </row>
    <row r="1123" spans="1:37" ht="15" x14ac:dyDescent="0.2">
      <c r="A1123" s="64" t="s">
        <v>1374</v>
      </c>
      <c r="B1123" s="33" t="s">
        <v>12632</v>
      </c>
      <c r="C1123" s="7" t="s">
        <v>21402</v>
      </c>
      <c r="D1123" s="112">
        <v>5</v>
      </c>
      <c r="E1123" s="7"/>
      <c r="F1123" s="7"/>
      <c r="G1123" s="2" t="s">
        <v>21403</v>
      </c>
      <c r="H1123" s="2" t="s">
        <v>21404</v>
      </c>
      <c r="I1123" s="2" t="s">
        <v>1448</v>
      </c>
      <c r="J1123" s="2" t="s">
        <v>48</v>
      </c>
      <c r="K1123" s="2" t="s">
        <v>21405</v>
      </c>
      <c r="L1123" s="2" t="s">
        <v>21406</v>
      </c>
      <c r="M1123" s="48"/>
      <c r="N1123" s="152" t="str">
        <f t="shared" ref="N1123:N1125" si="736">HYPERLINK("https://www.phccsports.com/recruiting/","Questionnaire")</f>
        <v>Questionnaire</v>
      </c>
      <c r="O1123" s="48" t="s">
        <v>21407</v>
      </c>
      <c r="P1123" s="60" t="s">
        <v>1361</v>
      </c>
      <c r="Q1123" s="48" t="s">
        <v>21408</v>
      </c>
      <c r="R1123" s="48" t="s">
        <v>172</v>
      </c>
      <c r="S1123" s="49" t="s">
        <v>74</v>
      </c>
      <c r="T1123" s="48" t="s">
        <v>75</v>
      </c>
      <c r="U1123" s="49" t="s">
        <v>3678</v>
      </c>
      <c r="V1123" s="7" t="s">
        <v>214</v>
      </c>
      <c r="W1123" s="49" t="s">
        <v>214</v>
      </c>
      <c r="X1123" s="49" t="s">
        <v>214</v>
      </c>
      <c r="Y1123" s="49" t="s">
        <v>214</v>
      </c>
      <c r="Z1123" s="55" t="s">
        <v>214</v>
      </c>
      <c r="AA1123" s="48" t="s">
        <v>21409</v>
      </c>
      <c r="AB1123" s="84" t="s">
        <v>21407</v>
      </c>
      <c r="AC1123" s="67" t="str">
        <f t="shared" ref="AC1123:AC1125" si="737">HYPERLINK("http://courses.vccs.edu/colleges/phcc/programs","Link")</f>
        <v>Link</v>
      </c>
      <c r="AD1123" s="42">
        <v>2405</v>
      </c>
      <c r="AE1123" s="55"/>
      <c r="AF1123" s="55"/>
      <c r="AG1123" s="56">
        <v>233019</v>
      </c>
      <c r="AH1123" s="56"/>
      <c r="AI1123" s="56"/>
      <c r="AJ1123" s="56"/>
      <c r="AK1123" s="56"/>
    </row>
    <row r="1124" spans="1:37" ht="15" x14ac:dyDescent="0.2">
      <c r="A1124" s="64" t="s">
        <v>1374</v>
      </c>
      <c r="B1124" s="33" t="s">
        <v>12632</v>
      </c>
      <c r="C1124" s="7" t="s">
        <v>21410</v>
      </c>
      <c r="D1124" s="112">
        <v>5</v>
      </c>
      <c r="E1124" s="7" t="s">
        <v>116</v>
      </c>
      <c r="F1124" s="7"/>
      <c r="G1124" s="2" t="s">
        <v>21403</v>
      </c>
      <c r="H1124" s="7" t="s">
        <v>20135</v>
      </c>
      <c r="I1124" s="7" t="s">
        <v>13442</v>
      </c>
      <c r="J1124" s="7" t="s">
        <v>55</v>
      </c>
      <c r="K1124" s="7" t="s">
        <v>21411</v>
      </c>
      <c r="L1124" s="7" t="s">
        <v>21412</v>
      </c>
      <c r="M1124" s="48"/>
      <c r="N1124" s="152" t="str">
        <f t="shared" si="736"/>
        <v>Questionnaire</v>
      </c>
      <c r="O1124" s="48" t="s">
        <v>21407</v>
      </c>
      <c r="P1124" s="60" t="s">
        <v>1361</v>
      </c>
      <c r="Q1124" s="48" t="s">
        <v>21408</v>
      </c>
      <c r="R1124" s="48" t="s">
        <v>172</v>
      </c>
      <c r="S1124" s="49" t="s">
        <v>74</v>
      </c>
      <c r="T1124" s="48" t="s">
        <v>75</v>
      </c>
      <c r="U1124" s="49" t="s">
        <v>3678</v>
      </c>
      <c r="V1124" s="7" t="s">
        <v>214</v>
      </c>
      <c r="W1124" s="49" t="s">
        <v>214</v>
      </c>
      <c r="X1124" s="49" t="s">
        <v>214</v>
      </c>
      <c r="Y1124" s="49" t="s">
        <v>214</v>
      </c>
      <c r="Z1124" s="55" t="s">
        <v>214</v>
      </c>
      <c r="AA1124" s="48" t="s">
        <v>21409</v>
      </c>
      <c r="AB1124" s="84" t="s">
        <v>21407</v>
      </c>
      <c r="AC1124" s="67" t="str">
        <f t="shared" si="737"/>
        <v>Link</v>
      </c>
      <c r="AD1124" s="42">
        <v>2405</v>
      </c>
      <c r="AE1124" s="55"/>
      <c r="AF1124" s="55"/>
      <c r="AG1124" s="56">
        <v>233019</v>
      </c>
      <c r="AH1124" s="56"/>
      <c r="AI1124" s="56"/>
      <c r="AJ1124" s="56"/>
      <c r="AK1124" s="56"/>
    </row>
    <row r="1125" spans="1:37" ht="15" x14ac:dyDescent="0.2">
      <c r="A1125" s="64" t="s">
        <v>1374</v>
      </c>
      <c r="B1125" s="33" t="s">
        <v>12632</v>
      </c>
      <c r="C1125" s="7" t="s">
        <v>21413</v>
      </c>
      <c r="D1125" s="112">
        <v>5</v>
      </c>
      <c r="E1125" s="7" t="s">
        <v>116</v>
      </c>
      <c r="F1125" s="7"/>
      <c r="G1125" s="2" t="s">
        <v>21403</v>
      </c>
      <c r="H1125" s="7" t="s">
        <v>1124</v>
      </c>
      <c r="I1125" s="7" t="s">
        <v>21414</v>
      </c>
      <c r="J1125" s="7" t="s">
        <v>55</v>
      </c>
      <c r="K1125" s="7" t="s">
        <v>21415</v>
      </c>
      <c r="L1125" s="7" t="s">
        <v>21406</v>
      </c>
      <c r="M1125" s="48"/>
      <c r="N1125" s="152" t="str">
        <f t="shared" si="736"/>
        <v>Questionnaire</v>
      </c>
      <c r="O1125" s="48" t="s">
        <v>21407</v>
      </c>
      <c r="P1125" s="60" t="s">
        <v>1361</v>
      </c>
      <c r="Q1125" s="48" t="s">
        <v>21408</v>
      </c>
      <c r="R1125" s="48" t="s">
        <v>172</v>
      </c>
      <c r="S1125" s="49" t="s">
        <v>74</v>
      </c>
      <c r="T1125" s="48" t="s">
        <v>75</v>
      </c>
      <c r="U1125" s="49" t="s">
        <v>3678</v>
      </c>
      <c r="V1125" s="7" t="s">
        <v>214</v>
      </c>
      <c r="W1125" s="49" t="s">
        <v>214</v>
      </c>
      <c r="X1125" s="49" t="s">
        <v>214</v>
      </c>
      <c r="Y1125" s="49" t="s">
        <v>214</v>
      </c>
      <c r="Z1125" s="55" t="s">
        <v>214</v>
      </c>
      <c r="AA1125" s="48" t="s">
        <v>21409</v>
      </c>
      <c r="AB1125" s="84" t="s">
        <v>21407</v>
      </c>
      <c r="AC1125" s="67" t="str">
        <f t="shared" si="737"/>
        <v>Link</v>
      </c>
      <c r="AD1125" s="42">
        <v>2405</v>
      </c>
      <c r="AE1125" s="55"/>
      <c r="AF1125" s="55"/>
      <c r="AG1125" s="56">
        <v>233019</v>
      </c>
      <c r="AH1125" s="56"/>
      <c r="AI1125" s="56"/>
      <c r="AJ1125" s="56"/>
      <c r="AK1125" s="56"/>
    </row>
    <row r="1126" spans="1:37" ht="15" x14ac:dyDescent="0.2">
      <c r="A1126" s="64" t="s">
        <v>1434</v>
      </c>
      <c r="B1126" s="33" t="s">
        <v>12632</v>
      </c>
      <c r="C1126" s="7" t="s">
        <v>21416</v>
      </c>
      <c r="D1126" s="112">
        <v>5</v>
      </c>
      <c r="E1126" s="7"/>
      <c r="F1126" s="7"/>
      <c r="G1126" s="2" t="s">
        <v>21417</v>
      </c>
      <c r="H1126" s="2" t="s">
        <v>21418</v>
      </c>
      <c r="I1126" s="2" t="s">
        <v>21419</v>
      </c>
      <c r="J1126" s="2" t="s">
        <v>48</v>
      </c>
      <c r="K1126" s="2" t="s">
        <v>21420</v>
      </c>
      <c r="L1126" s="2" t="s">
        <v>21421</v>
      </c>
      <c r="M1126" s="150" t="str">
        <f t="shared" ref="M1126:M1127" si="738">HYPERLINK("twitter.com/yeahdawgs","@yeahdawgs")</f>
        <v>@yeahdawgs</v>
      </c>
      <c r="N1126" s="48" t="s">
        <v>22</v>
      </c>
      <c r="O1126" s="48" t="s">
        <v>21422</v>
      </c>
      <c r="P1126" s="60" t="s">
        <v>11124</v>
      </c>
      <c r="Q1126" s="48" t="s">
        <v>18754</v>
      </c>
      <c r="R1126" s="48" t="s">
        <v>238</v>
      </c>
      <c r="S1126" s="49" t="s">
        <v>74</v>
      </c>
      <c r="T1126" s="48" t="s">
        <v>75</v>
      </c>
      <c r="U1126" s="49"/>
      <c r="V1126" s="7" t="s">
        <v>214</v>
      </c>
      <c r="W1126" s="49" t="s">
        <v>214</v>
      </c>
      <c r="X1126" s="49" t="s">
        <v>214</v>
      </c>
      <c r="Y1126" s="49" t="s">
        <v>214</v>
      </c>
      <c r="Z1126" s="55" t="s">
        <v>214</v>
      </c>
      <c r="AA1126" s="48" t="s">
        <v>21423</v>
      </c>
      <c r="AB1126" s="90" t="s">
        <v>21422</v>
      </c>
      <c r="AC1126" s="67" t="str">
        <f t="shared" ref="AC1126:AC1127" si="739">HYPERLINK("https://www.bellevuecollege.edu/programs/az/","Link")</f>
        <v>Link</v>
      </c>
      <c r="AD1126" s="42">
        <v>13506</v>
      </c>
      <c r="AE1126" s="55"/>
      <c r="AF1126" s="55"/>
      <c r="AG1126" s="56">
        <v>234669</v>
      </c>
      <c r="AH1126" s="56"/>
      <c r="AI1126" s="56"/>
      <c r="AJ1126" s="56"/>
      <c r="AK1126" s="56"/>
    </row>
    <row r="1127" spans="1:37" ht="15" x14ac:dyDescent="0.2">
      <c r="A1127" s="64" t="s">
        <v>1434</v>
      </c>
      <c r="B1127" s="33" t="s">
        <v>12632</v>
      </c>
      <c r="C1127" s="7" t="s">
        <v>21424</v>
      </c>
      <c r="D1127" s="112">
        <v>5</v>
      </c>
      <c r="E1127" s="7"/>
      <c r="F1127" s="7"/>
      <c r="G1127" s="2" t="s">
        <v>21417</v>
      </c>
      <c r="H1127" s="2" t="s">
        <v>1280</v>
      </c>
      <c r="I1127" s="2" t="s">
        <v>21425</v>
      </c>
      <c r="J1127" s="2" t="s">
        <v>55</v>
      </c>
      <c r="K1127" s="2"/>
      <c r="L1127" s="2"/>
      <c r="M1127" s="150" t="str">
        <f t="shared" si="738"/>
        <v>@yeahdawgs</v>
      </c>
      <c r="N1127" s="48" t="s">
        <v>22</v>
      </c>
      <c r="O1127" s="48" t="s">
        <v>21422</v>
      </c>
      <c r="P1127" s="60" t="s">
        <v>11124</v>
      </c>
      <c r="Q1127" s="48" t="s">
        <v>18754</v>
      </c>
      <c r="R1127" s="48" t="s">
        <v>238</v>
      </c>
      <c r="S1127" s="49" t="s">
        <v>74</v>
      </c>
      <c r="T1127" s="48" t="s">
        <v>75</v>
      </c>
      <c r="U1127" s="49"/>
      <c r="V1127" s="7" t="s">
        <v>214</v>
      </c>
      <c r="W1127" s="49" t="s">
        <v>214</v>
      </c>
      <c r="X1127" s="49" t="s">
        <v>214</v>
      </c>
      <c r="Y1127" s="49" t="s">
        <v>214</v>
      </c>
      <c r="Z1127" s="55" t="s">
        <v>214</v>
      </c>
      <c r="AA1127" s="48" t="s">
        <v>21423</v>
      </c>
      <c r="AB1127" s="90" t="s">
        <v>21422</v>
      </c>
      <c r="AC1127" s="67" t="str">
        <f t="shared" si="739"/>
        <v>Link</v>
      </c>
      <c r="AD1127" s="42">
        <v>13506</v>
      </c>
      <c r="AE1127" s="55"/>
      <c r="AF1127" s="55"/>
      <c r="AG1127" s="56">
        <v>234669</v>
      </c>
      <c r="AH1127" s="56"/>
      <c r="AI1127" s="56"/>
      <c r="AJ1127" s="56"/>
      <c r="AK1127" s="56"/>
    </row>
    <row r="1128" spans="1:37" ht="15" x14ac:dyDescent="0.2">
      <c r="A1128" s="64" t="s">
        <v>1434</v>
      </c>
      <c r="B1128" s="33" t="s">
        <v>12632</v>
      </c>
      <c r="C1128" s="7" t="s">
        <v>21426</v>
      </c>
      <c r="D1128" s="112">
        <v>5</v>
      </c>
      <c r="E1128" s="7"/>
      <c r="F1128" s="7"/>
      <c r="G1128" s="2" t="s">
        <v>21427</v>
      </c>
      <c r="H1128" s="2" t="s">
        <v>1351</v>
      </c>
      <c r="I1128" s="2" t="s">
        <v>21428</v>
      </c>
      <c r="J1128" s="2" t="s">
        <v>48</v>
      </c>
      <c r="K1128" s="2" t="s">
        <v>21429</v>
      </c>
      <c r="L1128" s="2" t="s">
        <v>21430</v>
      </c>
      <c r="M1128" s="48"/>
      <c r="N1128" s="152" t="str">
        <f t="shared" ref="N1128:N1129" si="740">HYPERLINK("https://bigbend.prestosports.com/recruits/Recruiting","Questionnaire")</f>
        <v>Questionnaire</v>
      </c>
      <c r="O1128" s="48" t="s">
        <v>21431</v>
      </c>
      <c r="P1128" s="60" t="s">
        <v>11124</v>
      </c>
      <c r="Q1128" s="48" t="s">
        <v>21432</v>
      </c>
      <c r="R1128" s="48" t="s">
        <v>172</v>
      </c>
      <c r="S1128" s="49" t="s">
        <v>74</v>
      </c>
      <c r="T1128" s="48" t="s">
        <v>75</v>
      </c>
      <c r="U1128" s="49"/>
      <c r="V1128" s="7" t="s">
        <v>214</v>
      </c>
      <c r="W1128" s="49" t="s">
        <v>214</v>
      </c>
      <c r="X1128" s="49" t="s">
        <v>214</v>
      </c>
      <c r="Y1128" s="49" t="s">
        <v>214</v>
      </c>
      <c r="Z1128" s="55" t="s">
        <v>214</v>
      </c>
      <c r="AA1128" s="39">
        <v>15488</v>
      </c>
      <c r="AB1128" s="52" t="s">
        <v>21431</v>
      </c>
      <c r="AC1128" s="67" t="str">
        <f t="shared" ref="AC1128:AC1129" si="741">HYPERLINK("http://www.bigbend.edu/academics/programs/","Link")</f>
        <v>Link</v>
      </c>
      <c r="AD1128" s="42">
        <v>2193</v>
      </c>
      <c r="AE1128" s="55"/>
      <c r="AF1128" s="55"/>
      <c r="AG1128" s="56">
        <v>234711</v>
      </c>
      <c r="AH1128" s="56"/>
      <c r="AI1128" s="56"/>
      <c r="AJ1128" s="56"/>
      <c r="AK1128" s="56"/>
    </row>
    <row r="1129" spans="1:37" ht="15" x14ac:dyDescent="0.2">
      <c r="A1129" s="64" t="s">
        <v>1434</v>
      </c>
      <c r="B1129" s="33" t="s">
        <v>12632</v>
      </c>
      <c r="C1129" s="7" t="s">
        <v>21433</v>
      </c>
      <c r="D1129" s="112">
        <v>5</v>
      </c>
      <c r="E1129" s="7"/>
      <c r="F1129" s="7"/>
      <c r="G1129" s="2" t="s">
        <v>21427</v>
      </c>
      <c r="H1129" s="2" t="s">
        <v>2705</v>
      </c>
      <c r="I1129" s="2" t="s">
        <v>21434</v>
      </c>
      <c r="J1129" s="2" t="s">
        <v>55</v>
      </c>
      <c r="K1129" s="2"/>
      <c r="L1129" s="2"/>
      <c r="M1129" s="48"/>
      <c r="N1129" s="152" t="str">
        <f t="shared" si="740"/>
        <v>Questionnaire</v>
      </c>
      <c r="O1129" s="48" t="s">
        <v>21431</v>
      </c>
      <c r="P1129" s="60" t="s">
        <v>11124</v>
      </c>
      <c r="Q1129" s="48" t="s">
        <v>21432</v>
      </c>
      <c r="R1129" s="48" t="s">
        <v>172</v>
      </c>
      <c r="S1129" s="49" t="s">
        <v>74</v>
      </c>
      <c r="T1129" s="48" t="s">
        <v>75</v>
      </c>
      <c r="U1129" s="49"/>
      <c r="V1129" s="7" t="s">
        <v>214</v>
      </c>
      <c r="W1129" s="49" t="s">
        <v>214</v>
      </c>
      <c r="X1129" s="49" t="s">
        <v>214</v>
      </c>
      <c r="Y1129" s="49" t="s">
        <v>214</v>
      </c>
      <c r="Z1129" s="55" t="s">
        <v>214</v>
      </c>
      <c r="AA1129" s="39">
        <v>15488</v>
      </c>
      <c r="AB1129" s="52" t="s">
        <v>21431</v>
      </c>
      <c r="AC1129" s="67" t="str">
        <f t="shared" si="741"/>
        <v>Link</v>
      </c>
      <c r="AD1129" s="42">
        <v>2193</v>
      </c>
      <c r="AE1129" s="55"/>
      <c r="AF1129" s="55"/>
      <c r="AG1129" s="56">
        <v>234711</v>
      </c>
      <c r="AH1129" s="56"/>
      <c r="AI1129" s="56"/>
      <c r="AJ1129" s="56"/>
      <c r="AK1129" s="56"/>
    </row>
    <row r="1130" spans="1:37" ht="15" x14ac:dyDescent="0.2">
      <c r="A1130" s="64" t="s">
        <v>1434</v>
      </c>
      <c r="B1130" s="33" t="s">
        <v>12632</v>
      </c>
      <c r="C1130" s="7" t="s">
        <v>21435</v>
      </c>
      <c r="D1130" s="112">
        <v>5</v>
      </c>
      <c r="E1130" s="7"/>
      <c r="F1130" s="7"/>
      <c r="G1130" s="2" t="s">
        <v>21436</v>
      </c>
      <c r="H1130" s="2" t="s">
        <v>234</v>
      </c>
      <c r="I1130" s="2" t="s">
        <v>21437</v>
      </c>
      <c r="J1130" s="2" t="s">
        <v>48</v>
      </c>
      <c r="K1130" s="2" t="s">
        <v>21438</v>
      </c>
      <c r="L1130" s="2" t="s">
        <v>21439</v>
      </c>
      <c r="M1130" s="150" t="str">
        <f>HYPERLINK("twitter.com/centraliasb","@centraliasb")</f>
        <v>@centraliasb</v>
      </c>
      <c r="N1130" s="152" t="str">
        <f>HYPERLINK("http://www.centralia.edu/athletics/recruitment.aspx","Questionnaire")</f>
        <v>Questionnaire</v>
      </c>
      <c r="O1130" s="48" t="s">
        <v>17600</v>
      </c>
      <c r="P1130" s="60" t="s">
        <v>11124</v>
      </c>
      <c r="Q1130" s="48" t="s">
        <v>17600</v>
      </c>
      <c r="R1130" s="48" t="s">
        <v>172</v>
      </c>
      <c r="S1130" s="49" t="s">
        <v>74</v>
      </c>
      <c r="T1130" s="48" t="s">
        <v>75</v>
      </c>
      <c r="U1130" s="49"/>
      <c r="V1130" s="7" t="s">
        <v>214</v>
      </c>
      <c r="W1130" s="49" t="s">
        <v>214</v>
      </c>
      <c r="X1130" s="49" t="s">
        <v>214</v>
      </c>
      <c r="Y1130" s="49" t="s">
        <v>214</v>
      </c>
      <c r="Z1130" s="49" t="s">
        <v>214</v>
      </c>
      <c r="AA1130" s="48" t="s">
        <v>21440</v>
      </c>
      <c r="AB1130" s="52" t="s">
        <v>17600</v>
      </c>
      <c r="AC1130" s="67" t="str">
        <f>HYPERLINK("http://www.centralia.edu/academics/degrees.html","Link")</f>
        <v>Link</v>
      </c>
      <c r="AD1130" s="42">
        <v>3265</v>
      </c>
      <c r="AE1130" s="55"/>
      <c r="AF1130" s="55"/>
      <c r="AG1130" s="56">
        <v>234845</v>
      </c>
      <c r="AH1130" s="56"/>
      <c r="AI1130" s="56"/>
      <c r="AJ1130" s="56"/>
      <c r="AK1130" s="56"/>
    </row>
    <row r="1131" spans="1:37" ht="15" x14ac:dyDescent="0.2">
      <c r="A1131" s="64" t="s">
        <v>1434</v>
      </c>
      <c r="B1131" s="33" t="s">
        <v>12632</v>
      </c>
      <c r="C1131" s="7" t="s">
        <v>21441</v>
      </c>
      <c r="D1131" s="112">
        <v>5</v>
      </c>
      <c r="E1131" s="7"/>
      <c r="F1131" s="7"/>
      <c r="G1131" s="2" t="s">
        <v>21442</v>
      </c>
      <c r="H1131" s="2" t="s">
        <v>1342</v>
      </c>
      <c r="I1131" s="2" t="s">
        <v>21443</v>
      </c>
      <c r="J1131" s="2" t="s">
        <v>48</v>
      </c>
      <c r="K1131" s="2" t="s">
        <v>21444</v>
      </c>
      <c r="L1131" s="2" t="s">
        <v>21445</v>
      </c>
      <c r="M1131" s="48"/>
      <c r="N1131" s="152" t="str">
        <f t="shared" ref="N1131:N1133" si="742">HYPERLINK("https://www.clarkpenguins.com/sb_output.aspx?form=3","Questionnaire")</f>
        <v>Questionnaire</v>
      </c>
      <c r="O1131" s="48" t="s">
        <v>21446</v>
      </c>
      <c r="P1131" s="60" t="s">
        <v>11124</v>
      </c>
      <c r="Q1131" s="48" t="s">
        <v>15671</v>
      </c>
      <c r="R1131" s="48" t="s">
        <v>62</v>
      </c>
      <c r="S1131" s="49" t="s">
        <v>74</v>
      </c>
      <c r="T1131" s="48" t="s">
        <v>75</v>
      </c>
      <c r="U1131" s="49" t="s">
        <v>3678</v>
      </c>
      <c r="V1131" s="7" t="s">
        <v>214</v>
      </c>
      <c r="W1131" s="49" t="s">
        <v>214</v>
      </c>
      <c r="X1131" s="49" t="s">
        <v>214</v>
      </c>
      <c r="Y1131" s="49" t="s">
        <v>214</v>
      </c>
      <c r="Z1131" s="49" t="s">
        <v>214</v>
      </c>
      <c r="AA1131" s="48" t="s">
        <v>21447</v>
      </c>
      <c r="AB1131" s="90" t="s">
        <v>21446</v>
      </c>
      <c r="AC1131" s="67" t="str">
        <f t="shared" ref="AC1131:AC1133" si="743">HYPERLINK("http://www.clark.edu/academics/programs/index.php","Link")</f>
        <v>Link</v>
      </c>
      <c r="AD1131" s="42">
        <v>10318</v>
      </c>
      <c r="AE1131" s="55"/>
      <c r="AF1131" s="55"/>
      <c r="AG1131" s="56">
        <v>234933</v>
      </c>
      <c r="AH1131" s="56"/>
      <c r="AI1131" s="56"/>
      <c r="AJ1131" s="56"/>
      <c r="AK1131" s="56"/>
    </row>
    <row r="1132" spans="1:37" ht="15" x14ac:dyDescent="0.2">
      <c r="A1132" s="64" t="s">
        <v>1434</v>
      </c>
      <c r="B1132" s="33" t="s">
        <v>12632</v>
      </c>
      <c r="C1132" s="7" t="s">
        <v>21448</v>
      </c>
      <c r="D1132" s="112">
        <v>5</v>
      </c>
      <c r="E1132" s="7"/>
      <c r="F1132" s="7"/>
      <c r="G1132" s="2" t="s">
        <v>21442</v>
      </c>
      <c r="H1132" s="2" t="s">
        <v>17638</v>
      </c>
      <c r="I1132" s="2" t="s">
        <v>21449</v>
      </c>
      <c r="J1132" s="2" t="s">
        <v>55</v>
      </c>
      <c r="K1132" s="130" t="s">
        <v>21450</v>
      </c>
      <c r="L1132" s="2" t="s">
        <v>21451</v>
      </c>
      <c r="M1132" s="48"/>
      <c r="N1132" s="152" t="str">
        <f t="shared" si="742"/>
        <v>Questionnaire</v>
      </c>
      <c r="O1132" s="48" t="s">
        <v>21446</v>
      </c>
      <c r="P1132" s="60" t="s">
        <v>11124</v>
      </c>
      <c r="Q1132" s="48" t="s">
        <v>15671</v>
      </c>
      <c r="R1132" s="48" t="s">
        <v>62</v>
      </c>
      <c r="S1132" s="49" t="s">
        <v>74</v>
      </c>
      <c r="T1132" s="48" t="s">
        <v>75</v>
      </c>
      <c r="U1132" s="49" t="s">
        <v>3678</v>
      </c>
      <c r="V1132" s="7" t="s">
        <v>214</v>
      </c>
      <c r="W1132" s="49" t="s">
        <v>214</v>
      </c>
      <c r="X1132" s="49" t="s">
        <v>214</v>
      </c>
      <c r="Y1132" s="49" t="s">
        <v>214</v>
      </c>
      <c r="Z1132" s="49" t="s">
        <v>214</v>
      </c>
      <c r="AA1132" s="48" t="s">
        <v>21447</v>
      </c>
      <c r="AB1132" s="90" t="s">
        <v>21446</v>
      </c>
      <c r="AC1132" s="67" t="str">
        <f t="shared" si="743"/>
        <v>Link</v>
      </c>
      <c r="AD1132" s="42">
        <v>10318</v>
      </c>
      <c r="AE1132" s="55"/>
      <c r="AF1132" s="55"/>
      <c r="AG1132" s="56">
        <v>234933</v>
      </c>
      <c r="AH1132" s="56"/>
      <c r="AI1132" s="56"/>
      <c r="AJ1132" s="56"/>
      <c r="AK1132" s="56"/>
    </row>
    <row r="1133" spans="1:37" ht="15" x14ac:dyDescent="0.2">
      <c r="A1133" s="64" t="s">
        <v>1434</v>
      </c>
      <c r="B1133" s="33" t="s">
        <v>12632</v>
      </c>
      <c r="C1133" s="7" t="s">
        <v>21452</v>
      </c>
      <c r="D1133" s="112">
        <v>5</v>
      </c>
      <c r="E1133" s="7"/>
      <c r="F1133" s="7"/>
      <c r="G1133" s="2" t="s">
        <v>21442</v>
      </c>
      <c r="H1133" s="2" t="s">
        <v>4402</v>
      </c>
      <c r="I1133" s="2" t="s">
        <v>21453</v>
      </c>
      <c r="J1133" s="2" t="s">
        <v>55</v>
      </c>
      <c r="K1133" s="2"/>
      <c r="L1133" s="2" t="s">
        <v>21454</v>
      </c>
      <c r="M1133" s="48"/>
      <c r="N1133" s="152" t="str">
        <f t="shared" si="742"/>
        <v>Questionnaire</v>
      </c>
      <c r="O1133" s="48" t="s">
        <v>21446</v>
      </c>
      <c r="P1133" s="60" t="s">
        <v>11124</v>
      </c>
      <c r="Q1133" s="48" t="s">
        <v>15671</v>
      </c>
      <c r="R1133" s="48" t="s">
        <v>62</v>
      </c>
      <c r="S1133" s="49" t="s">
        <v>74</v>
      </c>
      <c r="T1133" s="48" t="s">
        <v>75</v>
      </c>
      <c r="U1133" s="49" t="s">
        <v>3678</v>
      </c>
      <c r="V1133" s="7" t="s">
        <v>214</v>
      </c>
      <c r="W1133" s="49" t="s">
        <v>214</v>
      </c>
      <c r="X1133" s="49" t="s">
        <v>214</v>
      </c>
      <c r="Y1133" s="49" t="s">
        <v>214</v>
      </c>
      <c r="Z1133" s="49" t="s">
        <v>214</v>
      </c>
      <c r="AA1133" s="48" t="s">
        <v>21447</v>
      </c>
      <c r="AB1133" s="90" t="s">
        <v>21446</v>
      </c>
      <c r="AC1133" s="67" t="str">
        <f t="shared" si="743"/>
        <v>Link</v>
      </c>
      <c r="AD1133" s="42">
        <v>10318</v>
      </c>
      <c r="AE1133" s="55"/>
      <c r="AF1133" s="55"/>
      <c r="AG1133" s="56">
        <v>234933</v>
      </c>
      <c r="AH1133" s="56"/>
      <c r="AI1133" s="56"/>
      <c r="AJ1133" s="56"/>
      <c r="AK1133" s="56"/>
    </row>
    <row r="1134" spans="1:37" ht="15" x14ac:dyDescent="0.2">
      <c r="A1134" s="64" t="s">
        <v>1434</v>
      </c>
      <c r="B1134" s="33" t="s">
        <v>12632</v>
      </c>
      <c r="C1134" s="7" t="s">
        <v>21455</v>
      </c>
      <c r="D1134" s="112">
        <v>5</v>
      </c>
      <c r="E1134" s="7"/>
      <c r="F1134" s="7"/>
      <c r="G1134" s="2" t="s">
        <v>21456</v>
      </c>
      <c r="H1134" s="2" t="s">
        <v>21457</v>
      </c>
      <c r="I1134" s="2" t="s">
        <v>21458</v>
      </c>
      <c r="J1134" s="2" t="s">
        <v>48</v>
      </c>
      <c r="K1134" s="2" t="s">
        <v>21459</v>
      </c>
      <c r="L1134" s="2" t="s">
        <v>21460</v>
      </c>
      <c r="M1134" s="150" t="str">
        <f t="shared" ref="M1134:M1135" si="744">HYPERLINK("twitter.com/cbcsoftball_","@cbcsoftball_")</f>
        <v>@cbcsoftball_</v>
      </c>
      <c r="N1134" s="152" t="str">
        <f t="shared" ref="N1134:N1135" si="745">HYPERLINK("https://cbchawks.com/sports/2016/2/24/recruit%20forms.aspx","Questionnaire")</f>
        <v>Questionnaire</v>
      </c>
      <c r="O1134" s="48" t="s">
        <v>21461</v>
      </c>
      <c r="P1134" s="60" t="s">
        <v>11124</v>
      </c>
      <c r="Q1134" s="48" t="s">
        <v>21462</v>
      </c>
      <c r="R1134" s="48" t="s">
        <v>186</v>
      </c>
      <c r="S1134" s="49" t="s">
        <v>74</v>
      </c>
      <c r="T1134" s="48" t="s">
        <v>75</v>
      </c>
      <c r="U1134" s="49" t="s">
        <v>3678</v>
      </c>
      <c r="V1134" s="7" t="s">
        <v>214</v>
      </c>
      <c r="W1134" s="49" t="s">
        <v>214</v>
      </c>
      <c r="X1134" s="49" t="s">
        <v>214</v>
      </c>
      <c r="Y1134" s="49" t="s">
        <v>214</v>
      </c>
      <c r="Z1134" s="55" t="s">
        <v>214</v>
      </c>
      <c r="AA1134" s="48" t="s">
        <v>21463</v>
      </c>
      <c r="AB1134" s="84" t="s">
        <v>21461</v>
      </c>
      <c r="AC1134" s="67" t="str">
        <f t="shared" ref="AC1134:AC1135" si="746">HYPERLINK("http://www.columbiabasin.edu/apps/oca/cat/","Link")</f>
        <v>Link</v>
      </c>
      <c r="AD1134" s="42">
        <v>6489</v>
      </c>
      <c r="AE1134" s="55"/>
      <c r="AF1134" s="55"/>
      <c r="AG1134" s="56">
        <v>234979</v>
      </c>
      <c r="AH1134" s="56"/>
      <c r="AI1134" s="56"/>
      <c r="AJ1134" s="56"/>
      <c r="AK1134" s="56"/>
    </row>
    <row r="1135" spans="1:37" ht="15" x14ac:dyDescent="0.2">
      <c r="A1135" s="64" t="s">
        <v>1434</v>
      </c>
      <c r="B1135" s="33" t="s">
        <v>12632</v>
      </c>
      <c r="C1135" s="7" t="s">
        <v>21464</v>
      </c>
      <c r="D1135" s="112">
        <v>5</v>
      </c>
      <c r="E1135" s="7"/>
      <c r="F1135" s="7"/>
      <c r="G1135" s="2" t="s">
        <v>21456</v>
      </c>
      <c r="H1135" s="2" t="s">
        <v>1875</v>
      </c>
      <c r="I1135" s="2" t="s">
        <v>1267</v>
      </c>
      <c r="J1135" s="2" t="s">
        <v>55</v>
      </c>
      <c r="K1135" s="2" t="s">
        <v>21465</v>
      </c>
      <c r="L1135" s="2"/>
      <c r="M1135" s="150" t="str">
        <f t="shared" si="744"/>
        <v>@cbcsoftball_</v>
      </c>
      <c r="N1135" s="152" t="str">
        <f t="shared" si="745"/>
        <v>Questionnaire</v>
      </c>
      <c r="O1135" s="48" t="s">
        <v>21461</v>
      </c>
      <c r="P1135" s="60" t="s">
        <v>11124</v>
      </c>
      <c r="Q1135" s="48" t="s">
        <v>21462</v>
      </c>
      <c r="R1135" s="48" t="s">
        <v>186</v>
      </c>
      <c r="S1135" s="49" t="s">
        <v>74</v>
      </c>
      <c r="T1135" s="48" t="s">
        <v>75</v>
      </c>
      <c r="U1135" s="49" t="s">
        <v>3678</v>
      </c>
      <c r="V1135" s="7" t="s">
        <v>214</v>
      </c>
      <c r="W1135" s="49" t="s">
        <v>214</v>
      </c>
      <c r="X1135" s="49" t="s">
        <v>214</v>
      </c>
      <c r="Y1135" s="49" t="s">
        <v>214</v>
      </c>
      <c r="Z1135" s="55" t="s">
        <v>214</v>
      </c>
      <c r="AA1135" s="48" t="s">
        <v>21463</v>
      </c>
      <c r="AB1135" s="84" t="s">
        <v>21461</v>
      </c>
      <c r="AC1135" s="67" t="str">
        <f t="shared" si="746"/>
        <v>Link</v>
      </c>
      <c r="AD1135" s="42">
        <v>6489</v>
      </c>
      <c r="AE1135" s="55"/>
      <c r="AF1135" s="55"/>
      <c r="AG1135" s="56">
        <v>234979</v>
      </c>
      <c r="AH1135" s="56"/>
      <c r="AI1135" s="56"/>
      <c r="AJ1135" s="56"/>
      <c r="AK1135" s="56"/>
    </row>
    <row r="1136" spans="1:37" ht="15" x14ac:dyDescent="0.2">
      <c r="A1136" s="64" t="s">
        <v>1434</v>
      </c>
      <c r="B1136" s="33" t="s">
        <v>12632</v>
      </c>
      <c r="C1136" s="7" t="s">
        <v>21466</v>
      </c>
      <c r="D1136" s="112">
        <v>5</v>
      </c>
      <c r="E1136" s="7"/>
      <c r="F1136" s="7"/>
      <c r="G1136" s="2" t="s">
        <v>21467</v>
      </c>
      <c r="H1136" s="2" t="s">
        <v>981</v>
      </c>
      <c r="I1136" s="2" t="s">
        <v>10004</v>
      </c>
      <c r="J1136" s="2" t="s">
        <v>48</v>
      </c>
      <c r="K1136" s="2" t="s">
        <v>21468</v>
      </c>
      <c r="L1136" s="2" t="s">
        <v>21469</v>
      </c>
      <c r="M1136" s="150" t="str">
        <f t="shared" ref="M1136:M1140" si="747">HYPERLINK("twitter.com/edcc_softball","@edcc_softball")</f>
        <v>@edcc_softball</v>
      </c>
      <c r="N1136" s="152" t="str">
        <f t="shared" ref="N1136:N1140" si="748">HYPERLINK("https://www.edcc.edu/athletics/prosp-athlete-form.html","Questionnaire")</f>
        <v>Questionnaire</v>
      </c>
      <c r="O1136" s="48" t="s">
        <v>21470</v>
      </c>
      <c r="P1136" s="60" t="s">
        <v>11124</v>
      </c>
      <c r="Q1136" s="48" t="s">
        <v>21471</v>
      </c>
      <c r="R1136" s="48" t="s">
        <v>468</v>
      </c>
      <c r="S1136" s="49" t="s">
        <v>74</v>
      </c>
      <c r="T1136" s="48" t="s">
        <v>75</v>
      </c>
      <c r="U1136" s="49" t="s">
        <v>3678</v>
      </c>
      <c r="V1136" s="7" t="s">
        <v>214</v>
      </c>
      <c r="W1136" s="49" t="s">
        <v>214</v>
      </c>
      <c r="X1136" s="49" t="s">
        <v>214</v>
      </c>
      <c r="Y1136" s="49" t="s">
        <v>214</v>
      </c>
      <c r="Z1136" s="49" t="s">
        <v>214</v>
      </c>
      <c r="AA1136" s="48" t="s">
        <v>21472</v>
      </c>
      <c r="AB1136" s="90" t="s">
        <v>21470</v>
      </c>
      <c r="AC1136" s="67" t="str">
        <f t="shared" ref="AC1136:AC1140" si="749">HYPERLINK("http://catalog.edisonohio.edu/content.php?catoid=19&amp;navoid=1284","Link")</f>
        <v>Link</v>
      </c>
      <c r="AD1136" s="42">
        <v>8348</v>
      </c>
      <c r="AE1136" s="55"/>
      <c r="AF1136" s="55"/>
      <c r="AG1136" s="56">
        <v>235103</v>
      </c>
      <c r="AH1136" s="56"/>
      <c r="AI1136" s="56"/>
      <c r="AJ1136" s="56"/>
      <c r="AK1136" s="56"/>
    </row>
    <row r="1137" spans="1:37" ht="15" x14ac:dyDescent="0.2">
      <c r="A1137" s="64" t="s">
        <v>1434</v>
      </c>
      <c r="B1137" s="33" t="s">
        <v>12632</v>
      </c>
      <c r="C1137" s="7" t="s">
        <v>21473</v>
      </c>
      <c r="D1137" s="112">
        <v>5</v>
      </c>
      <c r="E1137" s="7"/>
      <c r="F1137" s="7"/>
      <c r="G1137" s="2" t="s">
        <v>21467</v>
      </c>
      <c r="H1137" s="2" t="s">
        <v>19297</v>
      </c>
      <c r="I1137" s="2" t="s">
        <v>21474</v>
      </c>
      <c r="J1137" s="2" t="s">
        <v>55</v>
      </c>
      <c r="K1137" s="2"/>
      <c r="L1137" s="2"/>
      <c r="M1137" s="150" t="str">
        <f t="shared" si="747"/>
        <v>@edcc_softball</v>
      </c>
      <c r="N1137" s="152" t="str">
        <f t="shared" si="748"/>
        <v>Questionnaire</v>
      </c>
      <c r="O1137" s="48" t="s">
        <v>21470</v>
      </c>
      <c r="P1137" s="60" t="s">
        <v>11124</v>
      </c>
      <c r="Q1137" s="48" t="s">
        <v>21471</v>
      </c>
      <c r="R1137" s="48" t="s">
        <v>468</v>
      </c>
      <c r="S1137" s="49" t="s">
        <v>74</v>
      </c>
      <c r="T1137" s="48" t="s">
        <v>75</v>
      </c>
      <c r="U1137" s="49" t="s">
        <v>3678</v>
      </c>
      <c r="V1137" s="7" t="s">
        <v>214</v>
      </c>
      <c r="W1137" s="49" t="s">
        <v>214</v>
      </c>
      <c r="X1137" s="49" t="s">
        <v>214</v>
      </c>
      <c r="Y1137" s="49" t="s">
        <v>214</v>
      </c>
      <c r="Z1137" s="49" t="s">
        <v>214</v>
      </c>
      <c r="AA1137" s="48" t="s">
        <v>21472</v>
      </c>
      <c r="AB1137" s="90" t="s">
        <v>21470</v>
      </c>
      <c r="AC1137" s="67" t="str">
        <f t="shared" si="749"/>
        <v>Link</v>
      </c>
      <c r="AD1137" s="42">
        <v>8348</v>
      </c>
      <c r="AE1137" s="55"/>
      <c r="AF1137" s="55"/>
      <c r="AG1137" s="56">
        <v>235103</v>
      </c>
      <c r="AH1137" s="56"/>
      <c r="AI1137" s="56"/>
      <c r="AJ1137" s="56"/>
      <c r="AK1137" s="56"/>
    </row>
    <row r="1138" spans="1:37" ht="15" x14ac:dyDescent="0.2">
      <c r="A1138" s="64" t="s">
        <v>1434</v>
      </c>
      <c r="B1138" s="33" t="s">
        <v>12632</v>
      </c>
      <c r="C1138" s="7" t="s">
        <v>21475</v>
      </c>
      <c r="D1138" s="112">
        <v>5</v>
      </c>
      <c r="E1138" s="7"/>
      <c r="F1138" s="7" t="s">
        <v>126</v>
      </c>
      <c r="G1138" s="2" t="s">
        <v>21467</v>
      </c>
      <c r="H1138" s="2" t="s">
        <v>21476</v>
      </c>
      <c r="I1138" s="2"/>
      <c r="J1138" s="2"/>
      <c r="K1138" s="2"/>
      <c r="L1138" s="2"/>
      <c r="M1138" s="150" t="str">
        <f t="shared" si="747"/>
        <v>@edcc_softball</v>
      </c>
      <c r="N1138" s="152" t="str">
        <f t="shared" si="748"/>
        <v>Questionnaire</v>
      </c>
      <c r="O1138" s="48" t="s">
        <v>21470</v>
      </c>
      <c r="P1138" s="60" t="s">
        <v>11124</v>
      </c>
      <c r="Q1138" s="48" t="s">
        <v>21471</v>
      </c>
      <c r="R1138" s="48" t="s">
        <v>468</v>
      </c>
      <c r="S1138" s="49" t="s">
        <v>74</v>
      </c>
      <c r="T1138" s="48" t="s">
        <v>75</v>
      </c>
      <c r="U1138" s="49" t="s">
        <v>3678</v>
      </c>
      <c r="V1138" s="7" t="s">
        <v>214</v>
      </c>
      <c r="W1138" s="49" t="s">
        <v>214</v>
      </c>
      <c r="X1138" s="49" t="s">
        <v>214</v>
      </c>
      <c r="Y1138" s="49" t="s">
        <v>214</v>
      </c>
      <c r="Z1138" s="49" t="s">
        <v>214</v>
      </c>
      <c r="AA1138" s="48" t="s">
        <v>21472</v>
      </c>
      <c r="AB1138" s="90" t="s">
        <v>21470</v>
      </c>
      <c r="AC1138" s="67" t="str">
        <f t="shared" si="749"/>
        <v>Link</v>
      </c>
      <c r="AD1138" s="42">
        <v>8348</v>
      </c>
      <c r="AE1138" s="55"/>
      <c r="AF1138" s="55"/>
      <c r="AG1138" s="56">
        <v>235103</v>
      </c>
      <c r="AH1138" s="56"/>
      <c r="AI1138" s="56"/>
      <c r="AJ1138" s="56"/>
      <c r="AK1138" s="56"/>
    </row>
    <row r="1139" spans="1:37" ht="15" x14ac:dyDescent="0.2">
      <c r="A1139" s="64" t="s">
        <v>1434</v>
      </c>
      <c r="B1139" s="33" t="s">
        <v>12632</v>
      </c>
      <c r="C1139" s="7" t="s">
        <v>21477</v>
      </c>
      <c r="D1139" s="112">
        <v>5</v>
      </c>
      <c r="E1139" s="7"/>
      <c r="F1139" s="7"/>
      <c r="G1139" s="2" t="s">
        <v>21467</v>
      </c>
      <c r="H1139" s="2" t="s">
        <v>21478</v>
      </c>
      <c r="I1139" s="2" t="s">
        <v>9043</v>
      </c>
      <c r="J1139" s="2" t="s">
        <v>55</v>
      </c>
      <c r="K1139" s="2"/>
      <c r="L1139" s="2"/>
      <c r="M1139" s="150" t="str">
        <f t="shared" si="747"/>
        <v>@edcc_softball</v>
      </c>
      <c r="N1139" s="152" t="str">
        <f t="shared" si="748"/>
        <v>Questionnaire</v>
      </c>
      <c r="O1139" s="48" t="s">
        <v>21470</v>
      </c>
      <c r="P1139" s="60" t="s">
        <v>11124</v>
      </c>
      <c r="Q1139" s="48" t="s">
        <v>21471</v>
      </c>
      <c r="R1139" s="48" t="s">
        <v>468</v>
      </c>
      <c r="S1139" s="49" t="s">
        <v>74</v>
      </c>
      <c r="T1139" s="48" t="s">
        <v>75</v>
      </c>
      <c r="U1139" s="49" t="s">
        <v>3678</v>
      </c>
      <c r="V1139" s="7" t="s">
        <v>214</v>
      </c>
      <c r="W1139" s="49" t="s">
        <v>214</v>
      </c>
      <c r="X1139" s="49" t="s">
        <v>214</v>
      </c>
      <c r="Y1139" s="49" t="s">
        <v>214</v>
      </c>
      <c r="Z1139" s="49" t="s">
        <v>214</v>
      </c>
      <c r="AA1139" s="48" t="s">
        <v>21472</v>
      </c>
      <c r="AB1139" s="90" t="s">
        <v>21470</v>
      </c>
      <c r="AC1139" s="67" t="str">
        <f t="shared" si="749"/>
        <v>Link</v>
      </c>
      <c r="AD1139" s="42">
        <v>8348</v>
      </c>
      <c r="AE1139" s="55"/>
      <c r="AF1139" s="55"/>
      <c r="AG1139" s="56">
        <v>235103</v>
      </c>
      <c r="AH1139" s="56"/>
      <c r="AI1139" s="56"/>
      <c r="AJ1139" s="56"/>
      <c r="AK1139" s="56"/>
    </row>
    <row r="1140" spans="1:37" ht="15" x14ac:dyDescent="0.2">
      <c r="A1140" s="64" t="s">
        <v>1434</v>
      </c>
      <c r="B1140" s="33" t="s">
        <v>12632</v>
      </c>
      <c r="C1140" s="7" t="s">
        <v>21479</v>
      </c>
      <c r="D1140" s="44">
        <v>5</v>
      </c>
      <c r="E1140" s="7" t="s">
        <v>116</v>
      </c>
      <c r="F1140" s="7"/>
      <c r="G1140" s="2" t="s">
        <v>21467</v>
      </c>
      <c r="H1140" s="7" t="s">
        <v>1052</v>
      </c>
      <c r="I1140" s="7" t="s">
        <v>21480</v>
      </c>
      <c r="J1140" s="7" t="s">
        <v>55</v>
      </c>
      <c r="K1140" s="7"/>
      <c r="L1140" s="7"/>
      <c r="M1140" s="150" t="str">
        <f t="shared" si="747"/>
        <v>@edcc_softball</v>
      </c>
      <c r="N1140" s="152" t="str">
        <f t="shared" si="748"/>
        <v>Questionnaire</v>
      </c>
      <c r="O1140" s="48" t="s">
        <v>21470</v>
      </c>
      <c r="P1140" s="60" t="s">
        <v>11124</v>
      </c>
      <c r="Q1140" s="48" t="s">
        <v>21471</v>
      </c>
      <c r="R1140" s="48" t="s">
        <v>468</v>
      </c>
      <c r="S1140" s="49" t="s">
        <v>74</v>
      </c>
      <c r="T1140" s="48" t="s">
        <v>75</v>
      </c>
      <c r="U1140" s="49" t="s">
        <v>3678</v>
      </c>
      <c r="V1140" s="7" t="s">
        <v>214</v>
      </c>
      <c r="W1140" s="49" t="s">
        <v>214</v>
      </c>
      <c r="X1140" s="49" t="s">
        <v>214</v>
      </c>
      <c r="Y1140" s="49" t="s">
        <v>214</v>
      </c>
      <c r="Z1140" s="49" t="s">
        <v>214</v>
      </c>
      <c r="AA1140" s="48" t="s">
        <v>21472</v>
      </c>
      <c r="AB1140" s="90" t="s">
        <v>21470</v>
      </c>
      <c r="AC1140" s="67" t="str">
        <f t="shared" si="749"/>
        <v>Link</v>
      </c>
      <c r="AD1140" s="42">
        <v>8348</v>
      </c>
      <c r="AE1140" s="55"/>
      <c r="AF1140" s="55"/>
      <c r="AG1140" s="56">
        <v>235103</v>
      </c>
      <c r="AH1140" s="85"/>
      <c r="AI1140" s="85"/>
      <c r="AJ1140" s="56"/>
      <c r="AK1140" s="56"/>
    </row>
    <row r="1141" spans="1:37" ht="15" x14ac:dyDescent="0.2">
      <c r="A1141" s="64" t="s">
        <v>1434</v>
      </c>
      <c r="B1141" s="33" t="s">
        <v>12632</v>
      </c>
      <c r="C1141" s="7" t="s">
        <v>21481</v>
      </c>
      <c r="D1141" s="112">
        <v>5</v>
      </c>
      <c r="E1141" s="7"/>
      <c r="F1141" s="7"/>
      <c r="G1141" s="2" t="s">
        <v>21482</v>
      </c>
      <c r="H1141" s="2" t="s">
        <v>3497</v>
      </c>
      <c r="I1141" s="2" t="s">
        <v>2919</v>
      </c>
      <c r="J1141" s="2" t="s">
        <v>48</v>
      </c>
      <c r="K1141" s="2" t="s">
        <v>21483</v>
      </c>
      <c r="L1141" s="2" t="s">
        <v>21484</v>
      </c>
      <c r="M1141" s="48"/>
      <c r="N1141" s="152" t="str">
        <f t="shared" ref="N1141:N1142" si="750">HYPERLINK("http://athletics.everettcc.edu/Recruits/Become_A_Trojan_-_Recruiting_Questionnaire","Questionnaire")</f>
        <v>Questionnaire</v>
      </c>
      <c r="O1141" s="48" t="s">
        <v>21485</v>
      </c>
      <c r="P1141" s="60" t="s">
        <v>11124</v>
      </c>
      <c r="Q1141" s="48" t="s">
        <v>21486</v>
      </c>
      <c r="R1141" s="48" t="s">
        <v>238</v>
      </c>
      <c r="S1141" s="49" t="s">
        <v>74</v>
      </c>
      <c r="T1141" s="48" t="s">
        <v>75</v>
      </c>
      <c r="U1141" s="49" t="s">
        <v>3678</v>
      </c>
      <c r="V1141" s="7" t="s">
        <v>214</v>
      </c>
      <c r="W1141" s="49" t="s">
        <v>214</v>
      </c>
      <c r="X1141" s="49" t="s">
        <v>214</v>
      </c>
      <c r="Y1141" s="49" t="s">
        <v>214</v>
      </c>
      <c r="Z1141" s="49" t="s">
        <v>214</v>
      </c>
      <c r="AA1141" s="48" t="s">
        <v>21487</v>
      </c>
      <c r="AB1141" s="52" t="s">
        <v>21485</v>
      </c>
      <c r="AC1141" s="67" t="str">
        <f t="shared" ref="AC1141:AC1142" si="751">HYPERLINK("http://www.everettcc.edu/programs","Link")</f>
        <v>Link</v>
      </c>
      <c r="AD1141" s="42">
        <v>7619</v>
      </c>
      <c r="AE1141" s="55"/>
      <c r="AF1141" s="55"/>
      <c r="AG1141" s="56">
        <v>235149</v>
      </c>
      <c r="AH1141" s="56"/>
      <c r="AI1141" s="56"/>
      <c r="AJ1141" s="56"/>
      <c r="AK1141" s="56"/>
    </row>
    <row r="1142" spans="1:37" ht="15" x14ac:dyDescent="0.2">
      <c r="A1142" s="64" t="s">
        <v>1434</v>
      </c>
      <c r="B1142" s="33" t="s">
        <v>12632</v>
      </c>
      <c r="C1142" s="7" t="s">
        <v>21488</v>
      </c>
      <c r="D1142" s="112">
        <v>5</v>
      </c>
      <c r="E1142" s="7"/>
      <c r="F1142" s="7"/>
      <c r="G1142" s="2" t="s">
        <v>21482</v>
      </c>
      <c r="H1142" s="2" t="s">
        <v>3899</v>
      </c>
      <c r="I1142" s="2" t="s">
        <v>2919</v>
      </c>
      <c r="J1142" s="2" t="s">
        <v>55</v>
      </c>
      <c r="K1142" s="2" t="s">
        <v>21489</v>
      </c>
      <c r="L1142" s="2" t="s">
        <v>21490</v>
      </c>
      <c r="M1142" s="48"/>
      <c r="N1142" s="152" t="str">
        <f t="shared" si="750"/>
        <v>Questionnaire</v>
      </c>
      <c r="O1142" s="48" t="s">
        <v>21485</v>
      </c>
      <c r="P1142" s="60" t="s">
        <v>11124</v>
      </c>
      <c r="Q1142" s="48" t="s">
        <v>21486</v>
      </c>
      <c r="R1142" s="48" t="s">
        <v>238</v>
      </c>
      <c r="S1142" s="49" t="s">
        <v>74</v>
      </c>
      <c r="T1142" s="48" t="s">
        <v>75</v>
      </c>
      <c r="U1142" s="49" t="s">
        <v>3678</v>
      </c>
      <c r="V1142" s="7" t="s">
        <v>214</v>
      </c>
      <c r="W1142" s="49" t="s">
        <v>214</v>
      </c>
      <c r="X1142" s="49" t="s">
        <v>214</v>
      </c>
      <c r="Y1142" s="49" t="s">
        <v>214</v>
      </c>
      <c r="Z1142" s="49" t="s">
        <v>214</v>
      </c>
      <c r="AA1142" s="48" t="s">
        <v>21487</v>
      </c>
      <c r="AB1142" s="52" t="s">
        <v>21485</v>
      </c>
      <c r="AC1142" s="67" t="str">
        <f t="shared" si="751"/>
        <v>Link</v>
      </c>
      <c r="AD1142" s="42">
        <v>7619</v>
      </c>
      <c r="AE1142" s="55"/>
      <c r="AF1142" s="55"/>
      <c r="AG1142" s="56">
        <v>235149</v>
      </c>
      <c r="AH1142" s="56"/>
      <c r="AI1142" s="56"/>
      <c r="AJ1142" s="56"/>
      <c r="AK1142" s="56"/>
    </row>
    <row r="1143" spans="1:37" ht="15" x14ac:dyDescent="0.2">
      <c r="A1143" s="64" t="s">
        <v>1434</v>
      </c>
      <c r="B1143" s="33" t="s">
        <v>12632</v>
      </c>
      <c r="C1143" s="7" t="s">
        <v>21491</v>
      </c>
      <c r="D1143" s="112">
        <v>5</v>
      </c>
      <c r="E1143" s="7"/>
      <c r="F1143" s="7"/>
      <c r="G1143" s="2" t="s">
        <v>21492</v>
      </c>
      <c r="H1143" s="2" t="s">
        <v>754</v>
      </c>
      <c r="I1143" s="2" t="s">
        <v>21493</v>
      </c>
      <c r="J1143" s="2" t="s">
        <v>48</v>
      </c>
      <c r="K1143" s="2" t="s">
        <v>21494</v>
      </c>
      <c r="L1143" s="2"/>
      <c r="M1143" s="48"/>
      <c r="N1143" s="152" t="str">
        <f>HYPERLINK("http://ghca.sidearmsports.com/admin/adminlogin.aspx?ReturnUrl=%2fadmin%2fadmin.aspx","Questionnaire")</f>
        <v>Questionnaire</v>
      </c>
      <c r="O1143" s="48" t="s">
        <v>21495</v>
      </c>
      <c r="P1143" s="60" t="s">
        <v>11124</v>
      </c>
      <c r="Q1143" s="48" t="s">
        <v>10574</v>
      </c>
      <c r="R1143" s="48" t="s">
        <v>172</v>
      </c>
      <c r="S1143" s="49" t="s">
        <v>74</v>
      </c>
      <c r="T1143" s="48" t="s">
        <v>75</v>
      </c>
      <c r="U1143" s="49" t="s">
        <v>3678</v>
      </c>
      <c r="V1143" s="7" t="s">
        <v>214</v>
      </c>
      <c r="W1143" s="49" t="s">
        <v>214</v>
      </c>
      <c r="X1143" s="49" t="s">
        <v>214</v>
      </c>
      <c r="Y1143" s="49" t="s">
        <v>214</v>
      </c>
      <c r="Z1143" s="55" t="s">
        <v>214</v>
      </c>
      <c r="AA1143" s="48" t="s">
        <v>21496</v>
      </c>
      <c r="AB1143" s="84" t="s">
        <v>21495</v>
      </c>
      <c r="AC1143" s="67" t="str">
        <f>HYPERLINK("https://www.ghc.edu/academics/programs","Link")</f>
        <v>Link</v>
      </c>
      <c r="AD1143" s="42">
        <v>1973</v>
      </c>
      <c r="AE1143" s="55"/>
      <c r="AF1143" s="55"/>
      <c r="AG1143" s="56">
        <v>235334</v>
      </c>
      <c r="AH1143" s="56"/>
      <c r="AI1143" s="56"/>
      <c r="AJ1143" s="56"/>
      <c r="AK1143" s="56"/>
    </row>
    <row r="1144" spans="1:37" ht="15" x14ac:dyDescent="0.2">
      <c r="A1144" s="64" t="s">
        <v>1434</v>
      </c>
      <c r="B1144" s="33" t="s">
        <v>12632</v>
      </c>
      <c r="C1144" s="7" t="s">
        <v>21497</v>
      </c>
      <c r="D1144" s="112">
        <v>5</v>
      </c>
      <c r="E1144" s="7"/>
      <c r="F1144" s="7"/>
      <c r="G1144" s="2" t="s">
        <v>21498</v>
      </c>
      <c r="H1144" s="2" t="s">
        <v>361</v>
      </c>
      <c r="I1144" s="2" t="s">
        <v>8951</v>
      </c>
      <c r="J1144" s="2" t="s">
        <v>48</v>
      </c>
      <c r="K1144" s="2" t="s">
        <v>21499</v>
      </c>
      <c r="L1144" s="2"/>
      <c r="M1144" s="150" t="str">
        <f t="shared" ref="M1144:M1147" si="752">HYPERLINK("twitter.com/tbirdsoftball18","@tbirdsoftball18")</f>
        <v>@tbirdsoftball18</v>
      </c>
      <c r="N1144" s="152" t="str">
        <f t="shared" ref="N1144:N1147" si="753">HYPERLINK("https://athletics.highline.edu/womens-sports/softball/recruiting/","Questionnaire")</f>
        <v>Questionnaire</v>
      </c>
      <c r="O1144" s="48" t="s">
        <v>21500</v>
      </c>
      <c r="P1144" s="60" t="s">
        <v>11124</v>
      </c>
      <c r="Q1144" s="48" t="s">
        <v>9045</v>
      </c>
      <c r="R1144" s="48" t="s">
        <v>468</v>
      </c>
      <c r="S1144" s="49" t="s">
        <v>74</v>
      </c>
      <c r="T1144" s="48" t="s">
        <v>75</v>
      </c>
      <c r="U1144" s="49" t="s">
        <v>3678</v>
      </c>
      <c r="V1144" s="7" t="s">
        <v>214</v>
      </c>
      <c r="W1144" s="49" t="s">
        <v>214</v>
      </c>
      <c r="X1144" s="49" t="s">
        <v>214</v>
      </c>
      <c r="Y1144" s="49" t="s">
        <v>214</v>
      </c>
      <c r="Z1144" s="55" t="s">
        <v>214</v>
      </c>
      <c r="AA1144" s="39">
        <v>18227</v>
      </c>
      <c r="AB1144" s="52" t="s">
        <v>21500</v>
      </c>
      <c r="AC1144" s="67" t="str">
        <f t="shared" ref="AC1144:AC1147" si="754">HYPERLINK("https://www.highline.edu/what-we-offer/programs-a-z/","Link")</f>
        <v>Link</v>
      </c>
      <c r="AD1144" s="42">
        <v>6750</v>
      </c>
      <c r="AE1144" s="55"/>
      <c r="AF1144" s="55"/>
      <c r="AG1144" s="56">
        <v>235431</v>
      </c>
      <c r="AH1144" s="56"/>
      <c r="AI1144" s="56"/>
      <c r="AJ1144" s="56"/>
      <c r="AK1144" s="56"/>
    </row>
    <row r="1145" spans="1:37" ht="15" x14ac:dyDescent="0.2">
      <c r="A1145" s="64" t="s">
        <v>1434</v>
      </c>
      <c r="B1145" s="33" t="s">
        <v>12632</v>
      </c>
      <c r="C1145" s="7" t="s">
        <v>21501</v>
      </c>
      <c r="D1145" s="112">
        <v>5</v>
      </c>
      <c r="E1145" s="7"/>
      <c r="F1145" s="7"/>
      <c r="G1145" s="2" t="s">
        <v>21498</v>
      </c>
      <c r="H1145" s="2" t="s">
        <v>878</v>
      </c>
      <c r="I1145" s="2" t="s">
        <v>11848</v>
      </c>
      <c r="J1145" s="2" t="s">
        <v>55</v>
      </c>
      <c r="K1145" s="2"/>
      <c r="L1145" s="2"/>
      <c r="M1145" s="150" t="str">
        <f t="shared" si="752"/>
        <v>@tbirdsoftball18</v>
      </c>
      <c r="N1145" s="152" t="str">
        <f t="shared" si="753"/>
        <v>Questionnaire</v>
      </c>
      <c r="O1145" s="48" t="s">
        <v>21500</v>
      </c>
      <c r="P1145" s="60" t="s">
        <v>11124</v>
      </c>
      <c r="Q1145" s="48" t="s">
        <v>9045</v>
      </c>
      <c r="R1145" s="48" t="s">
        <v>468</v>
      </c>
      <c r="S1145" s="49" t="s">
        <v>74</v>
      </c>
      <c r="T1145" s="48" t="s">
        <v>75</v>
      </c>
      <c r="U1145" s="49" t="s">
        <v>3678</v>
      </c>
      <c r="V1145" s="7" t="s">
        <v>214</v>
      </c>
      <c r="W1145" s="49" t="s">
        <v>214</v>
      </c>
      <c r="X1145" s="49" t="s">
        <v>214</v>
      </c>
      <c r="Y1145" s="49" t="s">
        <v>214</v>
      </c>
      <c r="Z1145" s="55" t="s">
        <v>214</v>
      </c>
      <c r="AA1145" s="39">
        <v>18227</v>
      </c>
      <c r="AB1145" s="52" t="s">
        <v>21500</v>
      </c>
      <c r="AC1145" s="67" t="str">
        <f t="shared" si="754"/>
        <v>Link</v>
      </c>
      <c r="AD1145" s="42">
        <v>6750</v>
      </c>
      <c r="AE1145" s="55"/>
      <c r="AF1145" s="55"/>
      <c r="AG1145" s="56">
        <v>235431</v>
      </c>
      <c r="AH1145" s="56"/>
      <c r="AI1145" s="56"/>
      <c r="AJ1145" s="56"/>
      <c r="AK1145" s="56"/>
    </row>
    <row r="1146" spans="1:37" ht="15" x14ac:dyDescent="0.2">
      <c r="A1146" s="64" t="s">
        <v>1434</v>
      </c>
      <c r="B1146" s="33" t="s">
        <v>12632</v>
      </c>
      <c r="C1146" s="7" t="s">
        <v>21502</v>
      </c>
      <c r="D1146" s="112">
        <v>5</v>
      </c>
      <c r="E1146" s="7"/>
      <c r="F1146" s="7"/>
      <c r="G1146" s="2" t="s">
        <v>21498</v>
      </c>
      <c r="H1146" s="2" t="s">
        <v>644</v>
      </c>
      <c r="I1146" s="2" t="s">
        <v>21503</v>
      </c>
      <c r="J1146" s="2" t="s">
        <v>55</v>
      </c>
      <c r="K1146" s="2"/>
      <c r="L1146" s="2"/>
      <c r="M1146" s="150" t="str">
        <f t="shared" si="752"/>
        <v>@tbirdsoftball18</v>
      </c>
      <c r="N1146" s="152" t="str">
        <f t="shared" si="753"/>
        <v>Questionnaire</v>
      </c>
      <c r="O1146" s="48" t="s">
        <v>21500</v>
      </c>
      <c r="P1146" s="60" t="s">
        <v>11124</v>
      </c>
      <c r="Q1146" s="48" t="s">
        <v>9045</v>
      </c>
      <c r="R1146" s="48" t="s">
        <v>468</v>
      </c>
      <c r="S1146" s="49" t="s">
        <v>74</v>
      </c>
      <c r="T1146" s="48" t="s">
        <v>75</v>
      </c>
      <c r="U1146" s="49" t="s">
        <v>3678</v>
      </c>
      <c r="V1146" s="7" t="s">
        <v>214</v>
      </c>
      <c r="W1146" s="49" t="s">
        <v>214</v>
      </c>
      <c r="X1146" s="49" t="s">
        <v>214</v>
      </c>
      <c r="Y1146" s="49" t="s">
        <v>214</v>
      </c>
      <c r="Z1146" s="55" t="s">
        <v>214</v>
      </c>
      <c r="AA1146" s="39">
        <v>18227</v>
      </c>
      <c r="AB1146" s="52" t="s">
        <v>21500</v>
      </c>
      <c r="AC1146" s="67" t="str">
        <f t="shared" si="754"/>
        <v>Link</v>
      </c>
      <c r="AD1146" s="42">
        <v>6750</v>
      </c>
      <c r="AE1146" s="55"/>
      <c r="AF1146" s="55"/>
      <c r="AG1146" s="56">
        <v>235431</v>
      </c>
      <c r="AH1146" s="56"/>
      <c r="AI1146" s="56"/>
      <c r="AJ1146" s="56"/>
      <c r="AK1146" s="56"/>
    </row>
    <row r="1147" spans="1:37" ht="15" x14ac:dyDescent="0.2">
      <c r="A1147" s="64" t="s">
        <v>1434</v>
      </c>
      <c r="B1147" s="33" t="s">
        <v>12632</v>
      </c>
      <c r="C1147" s="7" t="s">
        <v>21504</v>
      </c>
      <c r="D1147" s="112">
        <v>5</v>
      </c>
      <c r="E1147" s="7"/>
      <c r="F1147" s="7"/>
      <c r="G1147" s="2" t="s">
        <v>21498</v>
      </c>
      <c r="H1147" s="2" t="s">
        <v>306</v>
      </c>
      <c r="I1147" s="2" t="s">
        <v>6026</v>
      </c>
      <c r="J1147" s="2" t="s">
        <v>55</v>
      </c>
      <c r="K1147" s="2"/>
      <c r="L1147" s="2"/>
      <c r="M1147" s="150" t="str">
        <f t="shared" si="752"/>
        <v>@tbirdsoftball18</v>
      </c>
      <c r="N1147" s="152" t="str">
        <f t="shared" si="753"/>
        <v>Questionnaire</v>
      </c>
      <c r="O1147" s="48" t="s">
        <v>21500</v>
      </c>
      <c r="P1147" s="60" t="s">
        <v>11124</v>
      </c>
      <c r="Q1147" s="48" t="s">
        <v>9045</v>
      </c>
      <c r="R1147" s="48" t="s">
        <v>468</v>
      </c>
      <c r="S1147" s="49" t="s">
        <v>74</v>
      </c>
      <c r="T1147" s="48" t="s">
        <v>75</v>
      </c>
      <c r="U1147" s="49" t="s">
        <v>3678</v>
      </c>
      <c r="V1147" s="7" t="s">
        <v>214</v>
      </c>
      <c r="W1147" s="49" t="s">
        <v>214</v>
      </c>
      <c r="X1147" s="49" t="s">
        <v>214</v>
      </c>
      <c r="Y1147" s="49" t="s">
        <v>214</v>
      </c>
      <c r="Z1147" s="55" t="s">
        <v>214</v>
      </c>
      <c r="AA1147" s="39">
        <v>18227</v>
      </c>
      <c r="AB1147" s="52" t="s">
        <v>21500</v>
      </c>
      <c r="AC1147" s="67" t="str">
        <f t="shared" si="754"/>
        <v>Link</v>
      </c>
      <c r="AD1147" s="42">
        <v>6750</v>
      </c>
      <c r="AE1147" s="55"/>
      <c r="AF1147" s="55"/>
      <c r="AG1147" s="56">
        <v>235431</v>
      </c>
      <c r="AH1147" s="56"/>
      <c r="AI1147" s="56"/>
      <c r="AJ1147" s="56"/>
      <c r="AK1147" s="56"/>
    </row>
    <row r="1148" spans="1:37" ht="15" x14ac:dyDescent="0.2">
      <c r="A1148" s="64" t="s">
        <v>1434</v>
      </c>
      <c r="B1148" s="33" t="s">
        <v>12632</v>
      </c>
      <c r="C1148" s="7" t="s">
        <v>21505</v>
      </c>
      <c r="D1148" s="112">
        <v>5</v>
      </c>
      <c r="E1148" s="7"/>
      <c r="F1148" s="7"/>
      <c r="G1148" s="2" t="s">
        <v>21506</v>
      </c>
      <c r="H1148" s="2" t="s">
        <v>11766</v>
      </c>
      <c r="I1148" s="2" t="s">
        <v>3213</v>
      </c>
      <c r="J1148" s="2" t="s">
        <v>48</v>
      </c>
      <c r="K1148" s="2" t="s">
        <v>21507</v>
      </c>
      <c r="L1148" s="2" t="s">
        <v>21508</v>
      </c>
      <c r="M1148" s="48"/>
      <c r="N1148" s="152" t="str">
        <f t="shared" ref="N1148:N1151" si="755">HYPERLINK("https://lccreddevils.com/sb_output.aspx?form=3","Questionnaire")</f>
        <v>Questionnaire</v>
      </c>
      <c r="O1148" s="48" t="s">
        <v>21509</v>
      </c>
      <c r="P1148" s="60" t="s">
        <v>11124</v>
      </c>
      <c r="Q1148" s="48" t="s">
        <v>14963</v>
      </c>
      <c r="R1148" s="48" t="s">
        <v>468</v>
      </c>
      <c r="S1148" s="49" t="s">
        <v>74</v>
      </c>
      <c r="T1148" s="48" t="s">
        <v>75</v>
      </c>
      <c r="U1148" s="49" t="s">
        <v>3678</v>
      </c>
      <c r="V1148" s="7" t="s">
        <v>214</v>
      </c>
      <c r="W1148" s="49" t="s">
        <v>214</v>
      </c>
      <c r="X1148" s="49" t="s">
        <v>214</v>
      </c>
      <c r="Y1148" s="49" t="s">
        <v>214</v>
      </c>
      <c r="Z1148" s="55" t="s">
        <v>214</v>
      </c>
      <c r="AA1148" s="48" t="s">
        <v>21510</v>
      </c>
      <c r="AB1148" s="84" t="s">
        <v>21509</v>
      </c>
      <c r="AC1148" s="67" t="str">
        <f t="shared" ref="AC1148:AC1151" si="756">HYPERLINK("https://lowercolumbia.edu/programs/index.php","Link")</f>
        <v>Link</v>
      </c>
      <c r="AD1148" s="42">
        <v>2787</v>
      </c>
      <c r="AE1148" s="55"/>
      <c r="AF1148" s="55"/>
      <c r="AG1148" s="56">
        <v>235750</v>
      </c>
      <c r="AH1148" s="56"/>
      <c r="AI1148" s="56"/>
      <c r="AJ1148" s="56"/>
      <c r="AK1148" s="56"/>
    </row>
    <row r="1149" spans="1:37" ht="15" x14ac:dyDescent="0.2">
      <c r="A1149" s="64" t="s">
        <v>1434</v>
      </c>
      <c r="B1149" s="33" t="s">
        <v>12632</v>
      </c>
      <c r="C1149" s="7" t="s">
        <v>21511</v>
      </c>
      <c r="D1149" s="112">
        <v>5</v>
      </c>
      <c r="E1149" s="7"/>
      <c r="F1149" s="7"/>
      <c r="G1149" s="2" t="s">
        <v>21506</v>
      </c>
      <c r="H1149" s="2" t="s">
        <v>329</v>
      </c>
      <c r="I1149" s="2" t="s">
        <v>1471</v>
      </c>
      <c r="J1149" s="2" t="s">
        <v>1558</v>
      </c>
      <c r="K1149" s="2" t="s">
        <v>21512</v>
      </c>
      <c r="L1149" s="2" t="s">
        <v>21513</v>
      </c>
      <c r="M1149" s="48"/>
      <c r="N1149" s="152" t="str">
        <f t="shared" si="755"/>
        <v>Questionnaire</v>
      </c>
      <c r="O1149" s="48" t="s">
        <v>21509</v>
      </c>
      <c r="P1149" s="60" t="s">
        <v>11124</v>
      </c>
      <c r="Q1149" s="48" t="s">
        <v>14963</v>
      </c>
      <c r="R1149" s="48" t="s">
        <v>468</v>
      </c>
      <c r="S1149" s="49" t="s">
        <v>74</v>
      </c>
      <c r="T1149" s="48" t="s">
        <v>75</v>
      </c>
      <c r="U1149" s="49" t="s">
        <v>3678</v>
      </c>
      <c r="V1149" s="7" t="s">
        <v>214</v>
      </c>
      <c r="W1149" s="49" t="s">
        <v>214</v>
      </c>
      <c r="X1149" s="49" t="s">
        <v>214</v>
      </c>
      <c r="Y1149" s="49" t="s">
        <v>214</v>
      </c>
      <c r="Z1149" s="55" t="s">
        <v>214</v>
      </c>
      <c r="AA1149" s="48" t="s">
        <v>21510</v>
      </c>
      <c r="AB1149" s="84" t="s">
        <v>21509</v>
      </c>
      <c r="AC1149" s="67" t="str">
        <f t="shared" si="756"/>
        <v>Link</v>
      </c>
      <c r="AD1149" s="42">
        <v>2787</v>
      </c>
      <c r="AE1149" s="55"/>
      <c r="AF1149" s="55"/>
      <c r="AG1149" s="56">
        <v>235750</v>
      </c>
      <c r="AH1149" s="56"/>
      <c r="AI1149" s="56"/>
      <c r="AJ1149" s="56"/>
      <c r="AK1149" s="56"/>
    </row>
    <row r="1150" spans="1:37" ht="15" x14ac:dyDescent="0.2">
      <c r="A1150" s="64" t="s">
        <v>1434</v>
      </c>
      <c r="B1150" s="33" t="s">
        <v>12632</v>
      </c>
      <c r="C1150" s="7" t="s">
        <v>21514</v>
      </c>
      <c r="D1150" s="112">
        <v>5</v>
      </c>
      <c r="E1150" s="7"/>
      <c r="F1150" s="7"/>
      <c r="G1150" s="2" t="s">
        <v>21506</v>
      </c>
      <c r="H1150" s="2" t="s">
        <v>658</v>
      </c>
      <c r="I1150" s="2" t="s">
        <v>21515</v>
      </c>
      <c r="J1150" s="2" t="s">
        <v>55</v>
      </c>
      <c r="K1150" s="2"/>
      <c r="L1150" s="2"/>
      <c r="M1150" s="48"/>
      <c r="N1150" s="152" t="str">
        <f t="shared" si="755"/>
        <v>Questionnaire</v>
      </c>
      <c r="O1150" s="48" t="s">
        <v>21509</v>
      </c>
      <c r="P1150" s="60" t="s">
        <v>11124</v>
      </c>
      <c r="Q1150" s="48" t="s">
        <v>14963</v>
      </c>
      <c r="R1150" s="48" t="s">
        <v>468</v>
      </c>
      <c r="S1150" s="49" t="s">
        <v>74</v>
      </c>
      <c r="T1150" s="48" t="s">
        <v>75</v>
      </c>
      <c r="U1150" s="49" t="s">
        <v>3678</v>
      </c>
      <c r="V1150" s="7" t="s">
        <v>214</v>
      </c>
      <c r="W1150" s="49" t="s">
        <v>214</v>
      </c>
      <c r="X1150" s="49" t="s">
        <v>214</v>
      </c>
      <c r="Y1150" s="49" t="s">
        <v>214</v>
      </c>
      <c r="Z1150" s="55" t="s">
        <v>214</v>
      </c>
      <c r="AA1150" s="48" t="s">
        <v>21510</v>
      </c>
      <c r="AB1150" s="84" t="s">
        <v>21509</v>
      </c>
      <c r="AC1150" s="67" t="str">
        <f t="shared" si="756"/>
        <v>Link</v>
      </c>
      <c r="AD1150" s="42">
        <v>2787</v>
      </c>
      <c r="AE1150" s="55"/>
      <c r="AF1150" s="55"/>
      <c r="AG1150" s="56">
        <v>235750</v>
      </c>
      <c r="AH1150" s="56"/>
      <c r="AI1150" s="56"/>
      <c r="AJ1150" s="56"/>
      <c r="AK1150" s="56"/>
    </row>
    <row r="1151" spans="1:37" ht="15" x14ac:dyDescent="0.2">
      <c r="A1151" s="64" t="s">
        <v>1434</v>
      </c>
      <c r="B1151" s="33" t="s">
        <v>12632</v>
      </c>
      <c r="C1151" s="7" t="s">
        <v>21516</v>
      </c>
      <c r="D1151" s="112">
        <v>5</v>
      </c>
      <c r="E1151" s="7"/>
      <c r="F1151" s="7"/>
      <c r="G1151" s="2" t="s">
        <v>21506</v>
      </c>
      <c r="H1151" s="2" t="s">
        <v>2080</v>
      </c>
      <c r="I1151" s="2" t="s">
        <v>13348</v>
      </c>
      <c r="J1151" s="2" t="s">
        <v>55</v>
      </c>
      <c r="K1151" s="2"/>
      <c r="L1151" s="2"/>
      <c r="M1151" s="48"/>
      <c r="N1151" s="152" t="str">
        <f t="shared" si="755"/>
        <v>Questionnaire</v>
      </c>
      <c r="O1151" s="48" t="s">
        <v>21509</v>
      </c>
      <c r="P1151" s="60" t="s">
        <v>11124</v>
      </c>
      <c r="Q1151" s="48" t="s">
        <v>14963</v>
      </c>
      <c r="R1151" s="48" t="s">
        <v>468</v>
      </c>
      <c r="S1151" s="49" t="s">
        <v>74</v>
      </c>
      <c r="T1151" s="48" t="s">
        <v>75</v>
      </c>
      <c r="U1151" s="49" t="s">
        <v>3678</v>
      </c>
      <c r="V1151" s="7" t="s">
        <v>214</v>
      </c>
      <c r="W1151" s="49" t="s">
        <v>214</v>
      </c>
      <c r="X1151" s="49" t="s">
        <v>214</v>
      </c>
      <c r="Y1151" s="49" t="s">
        <v>214</v>
      </c>
      <c r="Z1151" s="55" t="s">
        <v>214</v>
      </c>
      <c r="AA1151" s="48" t="s">
        <v>21510</v>
      </c>
      <c r="AB1151" s="84" t="s">
        <v>21509</v>
      </c>
      <c r="AC1151" s="67" t="str">
        <f t="shared" si="756"/>
        <v>Link</v>
      </c>
      <c r="AD1151" s="42">
        <v>2787</v>
      </c>
      <c r="AE1151" s="55"/>
      <c r="AF1151" s="55"/>
      <c r="AG1151" s="56">
        <v>235750</v>
      </c>
      <c r="AH1151" s="56"/>
      <c r="AI1151" s="56"/>
      <c r="AJ1151" s="56"/>
      <c r="AK1151" s="56"/>
    </row>
    <row r="1152" spans="1:37" ht="13" x14ac:dyDescent="0.15">
      <c r="A1152" s="110" t="s">
        <v>1434</v>
      </c>
      <c r="B1152" s="2" t="s">
        <v>12632</v>
      </c>
      <c r="C1152" s="7"/>
      <c r="D1152" s="37">
        <v>4</v>
      </c>
      <c r="E1152" s="7"/>
      <c r="F1152" s="37"/>
      <c r="G1152" s="2" t="s">
        <v>21517</v>
      </c>
      <c r="H1152" s="2" t="s">
        <v>329</v>
      </c>
      <c r="I1152" s="2" t="s">
        <v>267</v>
      </c>
      <c r="J1152" s="2" t="s">
        <v>48</v>
      </c>
      <c r="K1152" s="95" t="str">
        <f>HYPERLINK("mailto:dhawkins@olympic.edu","dhawkins@olympic.edu")</f>
        <v>dhawkins@olympic.edu</v>
      </c>
      <c r="L1152" s="2" t="s">
        <v>21518</v>
      </c>
      <c r="M1152" s="48"/>
      <c r="N1152" s="48" t="s">
        <v>22</v>
      </c>
      <c r="O1152" s="48" t="s">
        <v>21519</v>
      </c>
      <c r="P1152" s="60" t="s">
        <v>11124</v>
      </c>
      <c r="Q1152" s="6" t="s">
        <v>21520</v>
      </c>
      <c r="R1152" s="6" t="s">
        <v>468</v>
      </c>
      <c r="S1152" s="4" t="s">
        <v>74</v>
      </c>
      <c r="T1152" s="7" t="s">
        <v>75</v>
      </c>
      <c r="U1152" s="7" t="s">
        <v>3678</v>
      </c>
      <c r="V1152" s="7" t="s">
        <v>214</v>
      </c>
      <c r="W1152" s="4" t="s">
        <v>214</v>
      </c>
      <c r="X1152" s="4" t="s">
        <v>214</v>
      </c>
      <c r="Y1152" s="4" t="s">
        <v>214</v>
      </c>
      <c r="Z1152" s="4" t="s">
        <v>214</v>
      </c>
      <c r="AA1152" s="6" t="s">
        <v>21521</v>
      </c>
      <c r="AB1152" s="84" t="s">
        <v>21519</v>
      </c>
      <c r="AC1152" s="67" t="str">
        <f t="shared" ref="AC1152:AC1155" si="757">HYPERLINK("https://www.olympic.edu/programs-classes/degrees-and-certificates","Link")</f>
        <v>Link</v>
      </c>
      <c r="AD1152" s="42">
        <v>6527</v>
      </c>
      <c r="AE1152" s="55"/>
      <c r="AF1152" s="7"/>
      <c r="AG1152" s="56">
        <v>236188</v>
      </c>
      <c r="AH1152" s="7" t="s">
        <v>2459</v>
      </c>
      <c r="AI1152" s="7"/>
      <c r="AJ1152" s="7"/>
      <c r="AK1152" s="7"/>
    </row>
    <row r="1153" spans="1:37" ht="15" x14ac:dyDescent="0.2">
      <c r="A1153" s="31" t="s">
        <v>1434</v>
      </c>
      <c r="B1153" s="33" t="s">
        <v>12632</v>
      </c>
      <c r="C1153" s="7"/>
      <c r="D1153" s="112">
        <v>5</v>
      </c>
      <c r="E1153" s="7"/>
      <c r="F1153" s="112"/>
      <c r="G1153" s="2" t="s">
        <v>21517</v>
      </c>
      <c r="H1153" s="2" t="s">
        <v>173</v>
      </c>
      <c r="I1153" s="2" t="s">
        <v>21522</v>
      </c>
      <c r="J1153" s="2" t="s">
        <v>48</v>
      </c>
      <c r="K1153" s="2" t="s">
        <v>21523</v>
      </c>
      <c r="L1153" s="2" t="s">
        <v>21524</v>
      </c>
      <c r="M1153" s="48"/>
      <c r="N1153" s="48" t="s">
        <v>22</v>
      </c>
      <c r="O1153" s="48" t="s">
        <v>21519</v>
      </c>
      <c r="P1153" s="60" t="s">
        <v>11124</v>
      </c>
      <c r="Q1153" s="48" t="s">
        <v>21520</v>
      </c>
      <c r="R1153" s="48" t="s">
        <v>468</v>
      </c>
      <c r="S1153" s="49" t="s">
        <v>74</v>
      </c>
      <c r="T1153" s="48" t="s">
        <v>75</v>
      </c>
      <c r="U1153" s="49" t="s">
        <v>3678</v>
      </c>
      <c r="V1153" s="7" t="s">
        <v>214</v>
      </c>
      <c r="W1153" s="49" t="s">
        <v>214</v>
      </c>
      <c r="X1153" s="49" t="s">
        <v>214</v>
      </c>
      <c r="Y1153" s="49" t="s">
        <v>214</v>
      </c>
      <c r="Z1153" s="49" t="s">
        <v>214</v>
      </c>
      <c r="AA1153" s="48" t="s">
        <v>21521</v>
      </c>
      <c r="AB1153" s="84" t="s">
        <v>21519</v>
      </c>
      <c r="AC1153" s="53" t="str">
        <f t="shared" si="757"/>
        <v>Link</v>
      </c>
      <c r="AD1153" s="42">
        <v>6527</v>
      </c>
      <c r="AE1153" s="55"/>
      <c r="AF1153" s="55"/>
      <c r="AG1153" s="56">
        <v>236188</v>
      </c>
      <c r="AH1153" s="7" t="s">
        <v>2459</v>
      </c>
      <c r="AI1153" s="7"/>
      <c r="AJ1153" s="7"/>
      <c r="AK1153" s="7"/>
    </row>
    <row r="1154" spans="1:37" ht="15" x14ac:dyDescent="0.2">
      <c r="A1154" s="31" t="s">
        <v>1434</v>
      </c>
      <c r="B1154" s="33" t="s">
        <v>12632</v>
      </c>
      <c r="C1154" s="7"/>
      <c r="D1154" s="112">
        <v>5</v>
      </c>
      <c r="E1154" s="7" t="s">
        <v>116</v>
      </c>
      <c r="F1154" s="112"/>
      <c r="G1154" s="2" t="s">
        <v>21517</v>
      </c>
      <c r="H1154" s="2" t="s">
        <v>21525</v>
      </c>
      <c r="I1154" s="2" t="s">
        <v>21526</v>
      </c>
      <c r="J1154" s="2" t="s">
        <v>55</v>
      </c>
      <c r="K1154" s="2"/>
      <c r="L1154" s="2"/>
      <c r="M1154" s="48"/>
      <c r="N1154" s="48" t="s">
        <v>22</v>
      </c>
      <c r="O1154" s="48" t="s">
        <v>21519</v>
      </c>
      <c r="P1154" s="60" t="s">
        <v>11124</v>
      </c>
      <c r="Q1154" s="48" t="s">
        <v>21520</v>
      </c>
      <c r="R1154" s="48" t="s">
        <v>468</v>
      </c>
      <c r="S1154" s="49" t="s">
        <v>74</v>
      </c>
      <c r="T1154" s="48" t="s">
        <v>75</v>
      </c>
      <c r="U1154" s="49" t="s">
        <v>3678</v>
      </c>
      <c r="V1154" s="7" t="s">
        <v>214</v>
      </c>
      <c r="W1154" s="49" t="s">
        <v>214</v>
      </c>
      <c r="X1154" s="49" t="s">
        <v>214</v>
      </c>
      <c r="Y1154" s="49" t="s">
        <v>214</v>
      </c>
      <c r="Z1154" s="49" t="s">
        <v>214</v>
      </c>
      <c r="AA1154" s="48" t="s">
        <v>21521</v>
      </c>
      <c r="AB1154" s="84" t="s">
        <v>21519</v>
      </c>
      <c r="AC1154" s="53" t="str">
        <f t="shared" si="757"/>
        <v>Link</v>
      </c>
      <c r="AD1154" s="42">
        <v>6527</v>
      </c>
      <c r="AE1154" s="55"/>
      <c r="AF1154" s="55"/>
      <c r="AG1154" s="56">
        <v>236188</v>
      </c>
      <c r="AH1154" s="7" t="s">
        <v>2459</v>
      </c>
      <c r="AI1154" s="7"/>
      <c r="AJ1154" s="7"/>
      <c r="AK1154" s="7"/>
    </row>
    <row r="1155" spans="1:37" ht="15" x14ac:dyDescent="0.2">
      <c r="A1155" s="31" t="s">
        <v>1434</v>
      </c>
      <c r="B1155" s="33" t="s">
        <v>12632</v>
      </c>
      <c r="C1155" s="7"/>
      <c r="D1155" s="112">
        <v>5</v>
      </c>
      <c r="E1155" s="7"/>
      <c r="F1155" s="112" t="s">
        <v>126</v>
      </c>
      <c r="G1155" s="2" t="s">
        <v>21517</v>
      </c>
      <c r="H1155" s="2" t="s">
        <v>21527</v>
      </c>
      <c r="I1155" s="2"/>
      <c r="J1155" s="2"/>
      <c r="K1155" s="2"/>
      <c r="L1155" s="2"/>
      <c r="M1155" s="48"/>
      <c r="N1155" s="48" t="s">
        <v>22</v>
      </c>
      <c r="O1155" s="48" t="s">
        <v>21519</v>
      </c>
      <c r="P1155" s="60" t="s">
        <v>11124</v>
      </c>
      <c r="Q1155" s="48" t="s">
        <v>21520</v>
      </c>
      <c r="R1155" s="48" t="s">
        <v>468</v>
      </c>
      <c r="S1155" s="49" t="s">
        <v>74</v>
      </c>
      <c r="T1155" s="48" t="s">
        <v>75</v>
      </c>
      <c r="U1155" s="49" t="s">
        <v>3678</v>
      </c>
      <c r="V1155" s="7" t="s">
        <v>214</v>
      </c>
      <c r="W1155" s="49" t="s">
        <v>214</v>
      </c>
      <c r="X1155" s="49" t="s">
        <v>214</v>
      </c>
      <c r="Y1155" s="49" t="s">
        <v>214</v>
      </c>
      <c r="Z1155" s="49" t="s">
        <v>214</v>
      </c>
      <c r="AA1155" s="48" t="s">
        <v>21521</v>
      </c>
      <c r="AB1155" s="84" t="s">
        <v>21519</v>
      </c>
      <c r="AC1155" s="53" t="str">
        <f t="shared" si="757"/>
        <v>Link</v>
      </c>
      <c r="AD1155" s="42">
        <v>6527</v>
      </c>
      <c r="AE1155" s="55"/>
      <c r="AF1155" s="55"/>
      <c r="AG1155" s="56">
        <v>236188</v>
      </c>
      <c r="AH1155" s="7" t="s">
        <v>2459</v>
      </c>
      <c r="AI1155" s="7"/>
      <c r="AJ1155" s="7"/>
      <c r="AK1155" s="7"/>
    </row>
    <row r="1156" spans="1:37" ht="13" x14ac:dyDescent="0.15">
      <c r="A1156" s="110" t="s">
        <v>1434</v>
      </c>
      <c r="B1156" s="2" t="s">
        <v>12632</v>
      </c>
      <c r="C1156" s="7"/>
      <c r="D1156" s="37">
        <v>4</v>
      </c>
      <c r="E1156" s="7"/>
      <c r="F1156" s="37"/>
      <c r="G1156" s="2" t="s">
        <v>21528</v>
      </c>
      <c r="H1156" s="2" t="s">
        <v>588</v>
      </c>
      <c r="I1156" s="2" t="s">
        <v>21529</v>
      </c>
      <c r="J1156" s="2" t="s">
        <v>48</v>
      </c>
      <c r="K1156" s="2" t="s">
        <v>21530</v>
      </c>
      <c r="L1156" s="2" t="s">
        <v>21531</v>
      </c>
      <c r="M1156" s="48"/>
      <c r="N1156" s="48" t="s">
        <v>22</v>
      </c>
      <c r="O1156" s="48" t="s">
        <v>21532</v>
      </c>
      <c r="P1156" s="60" t="s">
        <v>11124</v>
      </c>
      <c r="Q1156" s="6" t="s">
        <v>21533</v>
      </c>
      <c r="R1156" s="6" t="s">
        <v>172</v>
      </c>
      <c r="S1156" s="4" t="s">
        <v>74</v>
      </c>
      <c r="T1156" s="7" t="s">
        <v>75</v>
      </c>
      <c r="U1156" s="7" t="s">
        <v>3678</v>
      </c>
      <c r="V1156" s="7" t="s">
        <v>214</v>
      </c>
      <c r="W1156" s="4" t="s">
        <v>214</v>
      </c>
      <c r="X1156" s="4" t="s">
        <v>214</v>
      </c>
      <c r="Y1156" s="4" t="s">
        <v>214</v>
      </c>
      <c r="Z1156" s="55" t="s">
        <v>214</v>
      </c>
      <c r="AA1156" s="6" t="s">
        <v>21534</v>
      </c>
      <c r="AB1156" s="84" t="s">
        <v>21532</v>
      </c>
      <c r="AC1156" s="67" t="str">
        <f t="shared" ref="AC1156:AC1157" si="758">HYPERLINK("https://www.pencol.edu/degrees","Link")</f>
        <v>Link</v>
      </c>
      <c r="AD1156" s="42">
        <v>2173</v>
      </c>
      <c r="AE1156" s="55"/>
      <c r="AF1156" s="7"/>
      <c r="AG1156" s="56">
        <v>236258</v>
      </c>
      <c r="AH1156" s="7" t="s">
        <v>2459</v>
      </c>
      <c r="AI1156" s="7"/>
      <c r="AJ1156" s="7"/>
      <c r="AK1156" s="7"/>
    </row>
    <row r="1157" spans="1:37" ht="13" x14ac:dyDescent="0.15">
      <c r="A1157" s="110" t="s">
        <v>1434</v>
      </c>
      <c r="B1157" s="2" t="s">
        <v>12632</v>
      </c>
      <c r="C1157" s="7"/>
      <c r="D1157" s="37">
        <v>4</v>
      </c>
      <c r="E1157" s="7"/>
      <c r="F1157" s="37"/>
      <c r="G1157" s="2" t="s">
        <v>21528</v>
      </c>
      <c r="H1157" s="2" t="s">
        <v>21535</v>
      </c>
      <c r="I1157" s="2" t="s">
        <v>21536</v>
      </c>
      <c r="J1157" s="2" t="s">
        <v>55</v>
      </c>
      <c r="K1157" s="2" t="s">
        <v>21537</v>
      </c>
      <c r="L1157" s="2" t="s">
        <v>21538</v>
      </c>
      <c r="M1157" s="48"/>
      <c r="N1157" s="48" t="s">
        <v>22</v>
      </c>
      <c r="O1157" s="48" t="s">
        <v>21532</v>
      </c>
      <c r="P1157" s="60" t="s">
        <v>11124</v>
      </c>
      <c r="Q1157" s="6" t="s">
        <v>21533</v>
      </c>
      <c r="R1157" s="6" t="s">
        <v>172</v>
      </c>
      <c r="S1157" s="4" t="s">
        <v>74</v>
      </c>
      <c r="T1157" s="7" t="s">
        <v>75</v>
      </c>
      <c r="U1157" s="7" t="s">
        <v>3678</v>
      </c>
      <c r="V1157" s="7" t="s">
        <v>214</v>
      </c>
      <c r="W1157" s="4" t="s">
        <v>214</v>
      </c>
      <c r="X1157" s="4" t="s">
        <v>214</v>
      </c>
      <c r="Y1157" s="4" t="s">
        <v>214</v>
      </c>
      <c r="Z1157" s="55" t="s">
        <v>214</v>
      </c>
      <c r="AA1157" s="6" t="s">
        <v>21534</v>
      </c>
      <c r="AB1157" s="84" t="s">
        <v>21532</v>
      </c>
      <c r="AC1157" s="67" t="str">
        <f t="shared" si="758"/>
        <v>Link</v>
      </c>
      <c r="AD1157" s="42">
        <v>2173</v>
      </c>
      <c r="AE1157" s="55"/>
      <c r="AF1157" s="7"/>
      <c r="AG1157" s="56">
        <v>236258</v>
      </c>
      <c r="AH1157" s="7" t="s">
        <v>2459</v>
      </c>
      <c r="AI1157" s="7"/>
      <c r="AJ1157" s="7"/>
      <c r="AK1157" s="7"/>
    </row>
    <row r="1158" spans="1:37" ht="15" x14ac:dyDescent="0.2">
      <c r="A1158" s="64" t="s">
        <v>1434</v>
      </c>
      <c r="B1158" s="33" t="s">
        <v>12632</v>
      </c>
      <c r="C1158" s="7" t="s">
        <v>21539</v>
      </c>
      <c r="D1158" s="112">
        <v>5</v>
      </c>
      <c r="E1158" s="7"/>
      <c r="F1158" s="7"/>
      <c r="G1158" s="2" t="s">
        <v>21540</v>
      </c>
      <c r="H1158" s="2" t="s">
        <v>754</v>
      </c>
      <c r="I1158" s="2" t="s">
        <v>17643</v>
      </c>
      <c r="J1158" s="2" t="s">
        <v>48</v>
      </c>
      <c r="K1158" s="2" t="s">
        <v>21541</v>
      </c>
      <c r="L1158" s="2" t="s">
        <v>21542</v>
      </c>
      <c r="M1158" s="48"/>
      <c r="N1158" s="152" t="str">
        <f t="shared" ref="N1158:N1161" si="759">HYPERLINK("https://pierceraiders.com/sb_output.aspx?form=3","Questionnaire")</f>
        <v>Questionnaire</v>
      </c>
      <c r="O1158" s="48" t="s">
        <v>21543</v>
      </c>
      <c r="P1158" s="60" t="s">
        <v>11124</v>
      </c>
      <c r="Q1158" s="48" t="s">
        <v>2133</v>
      </c>
      <c r="R1158" s="48" t="s">
        <v>186</v>
      </c>
      <c r="S1158" s="49" t="s">
        <v>74</v>
      </c>
      <c r="T1158" s="48" t="s">
        <v>75</v>
      </c>
      <c r="U1158" s="49" t="s">
        <v>3678</v>
      </c>
      <c r="V1158" s="7" t="s">
        <v>214</v>
      </c>
      <c r="W1158" s="49" t="s">
        <v>214</v>
      </c>
      <c r="X1158" s="49" t="s">
        <v>214</v>
      </c>
      <c r="Y1158" s="49" t="s">
        <v>214</v>
      </c>
      <c r="Z1158" s="55" t="s">
        <v>214</v>
      </c>
      <c r="AA1158" s="48" t="s">
        <v>21544</v>
      </c>
      <c r="AB1158" s="84" t="s">
        <v>21543</v>
      </c>
      <c r="AC1158" s="67" t="str">
        <f t="shared" ref="AC1158:AC1161" si="760">HYPERLINK("https://www.pierce.ctc.edu/programs-a-z","Link")</f>
        <v>Link</v>
      </c>
      <c r="AD1158" s="42">
        <v>6068</v>
      </c>
      <c r="AE1158" s="55"/>
      <c r="AF1158" s="55"/>
      <c r="AG1158" s="56">
        <v>235237</v>
      </c>
      <c r="AH1158" s="56"/>
      <c r="AI1158" s="56"/>
      <c r="AJ1158" s="56"/>
      <c r="AK1158" s="56"/>
    </row>
    <row r="1159" spans="1:37" ht="15" x14ac:dyDescent="0.2">
      <c r="A1159" s="64" t="s">
        <v>1434</v>
      </c>
      <c r="B1159" s="33" t="s">
        <v>12632</v>
      </c>
      <c r="C1159" s="7" t="s">
        <v>21545</v>
      </c>
      <c r="D1159" s="112">
        <v>5</v>
      </c>
      <c r="E1159" s="7"/>
      <c r="F1159" s="7"/>
      <c r="G1159" s="2" t="s">
        <v>21540</v>
      </c>
      <c r="H1159" s="2" t="s">
        <v>3130</v>
      </c>
      <c r="I1159" s="2" t="s">
        <v>21546</v>
      </c>
      <c r="J1159" s="2" t="s">
        <v>55</v>
      </c>
      <c r="K1159" s="2" t="s">
        <v>21547</v>
      </c>
      <c r="L1159" s="2"/>
      <c r="M1159" s="48"/>
      <c r="N1159" s="152" t="str">
        <f t="shared" si="759"/>
        <v>Questionnaire</v>
      </c>
      <c r="O1159" s="48" t="s">
        <v>21543</v>
      </c>
      <c r="P1159" s="60" t="s">
        <v>11124</v>
      </c>
      <c r="Q1159" s="48" t="s">
        <v>2133</v>
      </c>
      <c r="R1159" s="48" t="s">
        <v>186</v>
      </c>
      <c r="S1159" s="49" t="s">
        <v>74</v>
      </c>
      <c r="T1159" s="48" t="s">
        <v>75</v>
      </c>
      <c r="U1159" s="49" t="s">
        <v>3678</v>
      </c>
      <c r="V1159" s="7" t="s">
        <v>214</v>
      </c>
      <c r="W1159" s="49" t="s">
        <v>214</v>
      </c>
      <c r="X1159" s="49" t="s">
        <v>214</v>
      </c>
      <c r="Y1159" s="49" t="s">
        <v>214</v>
      </c>
      <c r="Z1159" s="55" t="s">
        <v>214</v>
      </c>
      <c r="AA1159" s="48" t="s">
        <v>21544</v>
      </c>
      <c r="AB1159" s="84" t="s">
        <v>21543</v>
      </c>
      <c r="AC1159" s="67" t="str">
        <f t="shared" si="760"/>
        <v>Link</v>
      </c>
      <c r="AD1159" s="42">
        <v>6068</v>
      </c>
      <c r="AE1159" s="55"/>
      <c r="AF1159" s="55"/>
      <c r="AG1159" s="56">
        <v>235237</v>
      </c>
      <c r="AH1159" s="56"/>
      <c r="AI1159" s="56"/>
      <c r="AJ1159" s="56"/>
      <c r="AK1159" s="56"/>
    </row>
    <row r="1160" spans="1:37" ht="15" x14ac:dyDescent="0.2">
      <c r="A1160" s="64" t="s">
        <v>1434</v>
      </c>
      <c r="B1160" s="33" t="s">
        <v>12632</v>
      </c>
      <c r="C1160" s="7" t="s">
        <v>21548</v>
      </c>
      <c r="D1160" s="112">
        <v>5</v>
      </c>
      <c r="E1160" s="7"/>
      <c r="F1160" s="7"/>
      <c r="G1160" s="2" t="s">
        <v>21540</v>
      </c>
      <c r="H1160" s="2" t="s">
        <v>904</v>
      </c>
      <c r="I1160" s="2" t="s">
        <v>21549</v>
      </c>
      <c r="J1160" s="2" t="s">
        <v>55</v>
      </c>
      <c r="K1160" s="2" t="s">
        <v>21550</v>
      </c>
      <c r="L1160" s="2" t="s">
        <v>21551</v>
      </c>
      <c r="M1160" s="48"/>
      <c r="N1160" s="152" t="str">
        <f t="shared" si="759"/>
        <v>Questionnaire</v>
      </c>
      <c r="O1160" s="48" t="s">
        <v>21543</v>
      </c>
      <c r="P1160" s="60" t="s">
        <v>11124</v>
      </c>
      <c r="Q1160" s="48" t="s">
        <v>2133</v>
      </c>
      <c r="R1160" s="48" t="s">
        <v>186</v>
      </c>
      <c r="S1160" s="49" t="s">
        <v>74</v>
      </c>
      <c r="T1160" s="48" t="s">
        <v>75</v>
      </c>
      <c r="U1160" s="49" t="s">
        <v>3678</v>
      </c>
      <c r="V1160" s="7" t="s">
        <v>214</v>
      </c>
      <c r="W1160" s="49" t="s">
        <v>214</v>
      </c>
      <c r="X1160" s="49" t="s">
        <v>214</v>
      </c>
      <c r="Y1160" s="49" t="s">
        <v>214</v>
      </c>
      <c r="Z1160" s="55" t="s">
        <v>214</v>
      </c>
      <c r="AA1160" s="48" t="s">
        <v>21544</v>
      </c>
      <c r="AB1160" s="84" t="s">
        <v>21543</v>
      </c>
      <c r="AC1160" s="67" t="str">
        <f t="shared" si="760"/>
        <v>Link</v>
      </c>
      <c r="AD1160" s="42">
        <v>6068</v>
      </c>
      <c r="AE1160" s="55"/>
      <c r="AF1160" s="55"/>
      <c r="AG1160" s="56">
        <v>235237</v>
      </c>
      <c r="AH1160" s="56"/>
      <c r="AI1160" s="56"/>
      <c r="AJ1160" s="56"/>
      <c r="AK1160" s="56"/>
    </row>
    <row r="1161" spans="1:37" ht="15" x14ac:dyDescent="0.2">
      <c r="A1161" s="64" t="s">
        <v>1434</v>
      </c>
      <c r="B1161" s="33" t="s">
        <v>12632</v>
      </c>
      <c r="C1161" s="7" t="s">
        <v>21552</v>
      </c>
      <c r="D1161" s="112">
        <v>5</v>
      </c>
      <c r="E1161" s="7"/>
      <c r="F1161" s="7"/>
      <c r="G1161" s="2" t="s">
        <v>21540</v>
      </c>
      <c r="H1161" s="2" t="s">
        <v>21553</v>
      </c>
      <c r="I1161" s="2" t="s">
        <v>21554</v>
      </c>
      <c r="J1161" s="2" t="s">
        <v>55</v>
      </c>
      <c r="K1161" s="2" t="s">
        <v>21555</v>
      </c>
      <c r="L1161" s="2"/>
      <c r="M1161" s="48"/>
      <c r="N1161" s="152" t="str">
        <f t="shared" si="759"/>
        <v>Questionnaire</v>
      </c>
      <c r="O1161" s="48" t="s">
        <v>21543</v>
      </c>
      <c r="P1161" s="60" t="s">
        <v>11124</v>
      </c>
      <c r="Q1161" s="48" t="s">
        <v>2133</v>
      </c>
      <c r="R1161" s="48" t="s">
        <v>186</v>
      </c>
      <c r="S1161" s="49" t="s">
        <v>74</v>
      </c>
      <c r="T1161" s="48" t="s">
        <v>75</v>
      </c>
      <c r="U1161" s="49" t="s">
        <v>3678</v>
      </c>
      <c r="V1161" s="7" t="s">
        <v>214</v>
      </c>
      <c r="W1161" s="49" t="s">
        <v>214</v>
      </c>
      <c r="X1161" s="49" t="s">
        <v>214</v>
      </c>
      <c r="Y1161" s="49" t="s">
        <v>214</v>
      </c>
      <c r="Z1161" s="55" t="s">
        <v>214</v>
      </c>
      <c r="AA1161" s="48" t="s">
        <v>21544</v>
      </c>
      <c r="AB1161" s="84" t="s">
        <v>21543</v>
      </c>
      <c r="AC1161" s="67" t="str">
        <f t="shared" si="760"/>
        <v>Link</v>
      </c>
      <c r="AD1161" s="42">
        <v>6068</v>
      </c>
      <c r="AE1161" s="55"/>
      <c r="AF1161" s="55"/>
      <c r="AG1161" s="56">
        <v>235237</v>
      </c>
      <c r="AH1161" s="56"/>
      <c r="AI1161" s="56"/>
      <c r="AJ1161" s="56"/>
      <c r="AK1161" s="56"/>
    </row>
    <row r="1162" spans="1:37" ht="15" x14ac:dyDescent="0.2">
      <c r="A1162" s="64" t="s">
        <v>1434</v>
      </c>
      <c r="B1162" s="33" t="s">
        <v>12632</v>
      </c>
      <c r="C1162" s="7" t="s">
        <v>21556</v>
      </c>
      <c r="D1162" s="112">
        <v>5</v>
      </c>
      <c r="E1162" s="7"/>
      <c r="F1162" s="7"/>
      <c r="G1162" s="2" t="s">
        <v>21557</v>
      </c>
      <c r="H1162" s="2" t="s">
        <v>3197</v>
      </c>
      <c r="I1162" s="2" t="s">
        <v>21558</v>
      </c>
      <c r="J1162" s="2" t="s">
        <v>48</v>
      </c>
      <c r="K1162" s="2" t="s">
        <v>21559</v>
      </c>
      <c r="L1162" s="2" t="s">
        <v>21560</v>
      </c>
      <c r="M1162" s="150" t="str">
        <f t="shared" ref="M1162:M1163" si="761">HYPERLINK("twitter.com/phinsoftball","@phinsoftball")</f>
        <v>@phinsoftball</v>
      </c>
      <c r="N1162" s="48" t="s">
        <v>22</v>
      </c>
      <c r="O1162" s="48" t="s">
        <v>21561</v>
      </c>
      <c r="P1162" s="60" t="s">
        <v>11124</v>
      </c>
      <c r="Q1162" s="48" t="s">
        <v>21562</v>
      </c>
      <c r="R1162" s="48" t="s">
        <v>186</v>
      </c>
      <c r="S1162" s="49" t="s">
        <v>74</v>
      </c>
      <c r="T1162" s="48" t="s">
        <v>75</v>
      </c>
      <c r="U1162" s="49" t="s">
        <v>3678</v>
      </c>
      <c r="V1162" s="7" t="s">
        <v>214</v>
      </c>
      <c r="W1162" s="49" t="s">
        <v>214</v>
      </c>
      <c r="X1162" s="49" t="s">
        <v>214</v>
      </c>
      <c r="Y1162" s="49" t="s">
        <v>214</v>
      </c>
      <c r="Z1162" s="55" t="s">
        <v>214</v>
      </c>
      <c r="AA1162" s="48" t="s">
        <v>21563</v>
      </c>
      <c r="AB1162" s="84" t="s">
        <v>21561</v>
      </c>
      <c r="AC1162" s="67" t="str">
        <f t="shared" ref="AC1162:AC1163" si="762">HYPERLINK("https://www.shoreline.edu/areas-of-study/programs.aspx","Link")</f>
        <v>Link</v>
      </c>
      <c r="AD1162" s="42">
        <v>5805</v>
      </c>
      <c r="AE1162" s="55"/>
      <c r="AF1162" s="55"/>
      <c r="AG1162" s="56">
        <v>236610</v>
      </c>
      <c r="AH1162" s="56"/>
      <c r="AI1162" s="56"/>
      <c r="AJ1162" s="56"/>
      <c r="AK1162" s="56"/>
    </row>
    <row r="1163" spans="1:37" ht="15" x14ac:dyDescent="0.2">
      <c r="A1163" s="64" t="s">
        <v>1434</v>
      </c>
      <c r="B1163" s="33" t="s">
        <v>12632</v>
      </c>
      <c r="C1163" s="7" t="s">
        <v>21564</v>
      </c>
      <c r="D1163" s="112">
        <v>5</v>
      </c>
      <c r="E1163" s="7"/>
      <c r="F1163" s="7"/>
      <c r="G1163" s="2" t="s">
        <v>21557</v>
      </c>
      <c r="H1163" s="2" t="s">
        <v>754</v>
      </c>
      <c r="I1163" s="2" t="s">
        <v>21565</v>
      </c>
      <c r="J1163" s="2" t="s">
        <v>55</v>
      </c>
      <c r="K1163" s="2" t="s">
        <v>21566</v>
      </c>
      <c r="L1163" s="36" t="s">
        <v>21567</v>
      </c>
      <c r="M1163" s="150" t="str">
        <f t="shared" si="761"/>
        <v>@phinsoftball</v>
      </c>
      <c r="N1163" s="48" t="s">
        <v>22</v>
      </c>
      <c r="O1163" s="48" t="s">
        <v>21561</v>
      </c>
      <c r="P1163" s="60" t="s">
        <v>11124</v>
      </c>
      <c r="Q1163" s="48" t="s">
        <v>21562</v>
      </c>
      <c r="R1163" s="48" t="s">
        <v>186</v>
      </c>
      <c r="S1163" s="49" t="s">
        <v>74</v>
      </c>
      <c r="T1163" s="48" t="s">
        <v>75</v>
      </c>
      <c r="U1163" s="49" t="s">
        <v>3678</v>
      </c>
      <c r="V1163" s="7" t="s">
        <v>214</v>
      </c>
      <c r="W1163" s="49" t="s">
        <v>214</v>
      </c>
      <c r="X1163" s="49" t="s">
        <v>214</v>
      </c>
      <c r="Y1163" s="49" t="s">
        <v>214</v>
      </c>
      <c r="Z1163" s="55" t="s">
        <v>214</v>
      </c>
      <c r="AA1163" s="48" t="s">
        <v>21563</v>
      </c>
      <c r="AB1163" s="84" t="s">
        <v>21561</v>
      </c>
      <c r="AC1163" s="67" t="str">
        <f t="shared" si="762"/>
        <v>Link</v>
      </c>
      <c r="AD1163" s="42">
        <v>5805</v>
      </c>
      <c r="AE1163" s="55"/>
      <c r="AF1163" s="55"/>
      <c r="AG1163" s="56">
        <v>236610</v>
      </c>
      <c r="AH1163" s="56"/>
      <c r="AI1163" s="56"/>
      <c r="AJ1163" s="56"/>
      <c r="AK1163" s="56"/>
    </row>
    <row r="1164" spans="1:37" ht="15" x14ac:dyDescent="0.2">
      <c r="A1164" s="64" t="s">
        <v>1434</v>
      </c>
      <c r="B1164" s="33" t="s">
        <v>12632</v>
      </c>
      <c r="C1164" s="7" t="s">
        <v>21568</v>
      </c>
      <c r="D1164" s="112">
        <v>5</v>
      </c>
      <c r="E1164" s="7"/>
      <c r="F1164" s="7"/>
      <c r="G1164" s="2" t="s">
        <v>21569</v>
      </c>
      <c r="H1164" s="2" t="s">
        <v>1822</v>
      </c>
      <c r="I1164" s="2" t="s">
        <v>8090</v>
      </c>
      <c r="J1164" s="2" t="s">
        <v>48</v>
      </c>
      <c r="K1164" s="2" t="s">
        <v>21570</v>
      </c>
      <c r="L1164" s="2" t="s">
        <v>21571</v>
      </c>
      <c r="M1164" s="48"/>
      <c r="N1164" s="152" t="str">
        <f>HYPERLINK("https://www.mysvc.skagit.edu/sports_recruitment_form.asp","Questionnaire")</f>
        <v>Questionnaire</v>
      </c>
      <c r="O1164" s="48" t="s">
        <v>21572</v>
      </c>
      <c r="P1164" s="60" t="s">
        <v>11124</v>
      </c>
      <c r="Q1164" s="48" t="s">
        <v>3115</v>
      </c>
      <c r="R1164" s="48" t="s">
        <v>468</v>
      </c>
      <c r="S1164" s="5" t="s">
        <v>74</v>
      </c>
      <c r="T1164" s="48" t="s">
        <v>75</v>
      </c>
      <c r="U1164" s="49" t="s">
        <v>3678</v>
      </c>
      <c r="V1164" s="7" t="s">
        <v>214</v>
      </c>
      <c r="W1164" s="49" t="s">
        <v>214</v>
      </c>
      <c r="X1164" s="49" t="s">
        <v>214</v>
      </c>
      <c r="Y1164" s="49" t="s">
        <v>214</v>
      </c>
      <c r="Z1164" s="55" t="s">
        <v>214</v>
      </c>
      <c r="AA1164" s="48" t="s">
        <v>21573</v>
      </c>
      <c r="AB1164" s="52" t="s">
        <v>21572</v>
      </c>
      <c r="AC1164" s="67" t="str">
        <f>HYPERLINK("http://www.skagit.edu/a2zpnc.asp","Link")</f>
        <v>Link</v>
      </c>
      <c r="AD1164" s="42">
        <v>5086</v>
      </c>
      <c r="AE1164" s="55"/>
      <c r="AF1164" s="55"/>
      <c r="AG1164" s="56">
        <v>236638</v>
      </c>
      <c r="AH1164" s="56"/>
      <c r="AI1164" s="56"/>
      <c r="AJ1164" s="56"/>
      <c r="AK1164" s="56"/>
    </row>
    <row r="1165" spans="1:37" ht="13" x14ac:dyDescent="0.15">
      <c r="A1165" s="110" t="s">
        <v>1434</v>
      </c>
      <c r="B1165" s="2" t="s">
        <v>12632</v>
      </c>
      <c r="C1165" s="7"/>
      <c r="D1165" s="37">
        <v>4</v>
      </c>
      <c r="E1165" s="7"/>
      <c r="F1165" s="37"/>
      <c r="G1165" s="2" t="s">
        <v>21574</v>
      </c>
      <c r="H1165" s="2" t="s">
        <v>1212</v>
      </c>
      <c r="I1165" s="2" t="s">
        <v>263</v>
      </c>
      <c r="J1165" s="2" t="s">
        <v>48</v>
      </c>
      <c r="K1165" s="95" t="str">
        <f>HYPERLINK("mailto:Bruce.Johnson@ccs.spokane.edu","Bruce.Johnson@ccs.spokane.edu")</f>
        <v>Bruce.Johnson@ccs.spokane.edu</v>
      </c>
      <c r="L1165" s="2" t="s">
        <v>21575</v>
      </c>
      <c r="M1165" s="48"/>
      <c r="N1165" s="114" t="str">
        <f t="shared" ref="N1165:N1170" si="763">HYPERLINK("https://scc.spokane.edu/Athletics/Inside-Athletics/Recruits","Questionnaire")</f>
        <v>Questionnaire</v>
      </c>
      <c r="O1165" s="48" t="s">
        <v>21576</v>
      </c>
      <c r="P1165" s="60" t="s">
        <v>11124</v>
      </c>
      <c r="Q1165" s="6" t="s">
        <v>16098</v>
      </c>
      <c r="R1165" s="6" t="s">
        <v>62</v>
      </c>
      <c r="S1165" s="4" t="s">
        <v>74</v>
      </c>
      <c r="T1165" s="7" t="s">
        <v>75</v>
      </c>
      <c r="U1165" s="7" t="s">
        <v>3678</v>
      </c>
      <c r="V1165" s="7" t="s">
        <v>214</v>
      </c>
      <c r="W1165" s="4" t="s">
        <v>214</v>
      </c>
      <c r="X1165" s="4" t="s">
        <v>214</v>
      </c>
      <c r="Y1165" s="4" t="s">
        <v>214</v>
      </c>
      <c r="Z1165" s="55" t="s">
        <v>214</v>
      </c>
      <c r="AA1165" s="6" t="s">
        <v>21577</v>
      </c>
      <c r="AB1165" s="84" t="s">
        <v>21576</v>
      </c>
      <c r="AC1165" s="67" t="str">
        <f t="shared" ref="AC1165:AC1170" si="764">HYPERLINK("http://www.scc.spokane.edu/Programs/Programs.aspx","Link")</f>
        <v>Link</v>
      </c>
      <c r="AD1165" s="42">
        <v>10100</v>
      </c>
      <c r="AE1165" s="55"/>
      <c r="AF1165" s="7"/>
      <c r="AG1165" s="56">
        <v>236708</v>
      </c>
      <c r="AH1165" s="7" t="s">
        <v>2459</v>
      </c>
      <c r="AI1165" s="7"/>
      <c r="AJ1165" s="7"/>
      <c r="AK1165" s="7"/>
    </row>
    <row r="1166" spans="1:37" ht="13" x14ac:dyDescent="0.15">
      <c r="A1166" s="110" t="s">
        <v>1434</v>
      </c>
      <c r="B1166" s="2" t="s">
        <v>12632</v>
      </c>
      <c r="C1166" s="7"/>
      <c r="D1166" s="37">
        <v>4</v>
      </c>
      <c r="E1166" s="7"/>
      <c r="F1166" s="37"/>
      <c r="G1166" s="2" t="s">
        <v>21574</v>
      </c>
      <c r="H1166" s="2" t="s">
        <v>2316</v>
      </c>
      <c r="I1166" s="2" t="s">
        <v>21578</v>
      </c>
      <c r="J1166" s="2" t="s">
        <v>55</v>
      </c>
      <c r="K1166" s="95" t="str">
        <f>HYPERLINK("mailto:Ryan.Bodecker@ccs.spokane.edu","Ryan.Bodecker@ccs.spokane.edu")</f>
        <v>Ryan.Bodecker@ccs.spokane.edu</v>
      </c>
      <c r="L1166" s="2" t="s">
        <v>21579</v>
      </c>
      <c r="M1166" s="48"/>
      <c r="N1166" s="114" t="str">
        <f t="shared" si="763"/>
        <v>Questionnaire</v>
      </c>
      <c r="O1166" s="48" t="s">
        <v>21576</v>
      </c>
      <c r="P1166" s="60" t="s">
        <v>11124</v>
      </c>
      <c r="Q1166" s="6" t="s">
        <v>16098</v>
      </c>
      <c r="R1166" s="6" t="s">
        <v>62</v>
      </c>
      <c r="S1166" s="4" t="s">
        <v>74</v>
      </c>
      <c r="T1166" s="7" t="s">
        <v>75</v>
      </c>
      <c r="U1166" s="7" t="s">
        <v>3678</v>
      </c>
      <c r="V1166" s="7" t="s">
        <v>214</v>
      </c>
      <c r="W1166" s="4" t="s">
        <v>214</v>
      </c>
      <c r="X1166" s="4" t="s">
        <v>214</v>
      </c>
      <c r="Y1166" s="4" t="s">
        <v>214</v>
      </c>
      <c r="Z1166" s="55" t="s">
        <v>214</v>
      </c>
      <c r="AA1166" s="6" t="s">
        <v>21577</v>
      </c>
      <c r="AB1166" s="84" t="s">
        <v>21576</v>
      </c>
      <c r="AC1166" s="67" t="str">
        <f t="shared" si="764"/>
        <v>Link</v>
      </c>
      <c r="AD1166" s="42">
        <v>10100</v>
      </c>
      <c r="AE1166" s="55"/>
      <c r="AF1166" s="7"/>
      <c r="AG1166" s="56">
        <v>236708</v>
      </c>
      <c r="AH1166" s="7" t="s">
        <v>2459</v>
      </c>
      <c r="AI1166" s="7"/>
      <c r="AJ1166" s="7"/>
      <c r="AK1166" s="7"/>
    </row>
    <row r="1167" spans="1:37" ht="13" x14ac:dyDescent="0.15">
      <c r="A1167" s="110" t="s">
        <v>1434</v>
      </c>
      <c r="B1167" s="2" t="s">
        <v>12632</v>
      </c>
      <c r="C1167" s="7"/>
      <c r="D1167" s="37">
        <v>4</v>
      </c>
      <c r="E1167" s="7"/>
      <c r="F1167" s="37"/>
      <c r="G1167" s="2" t="s">
        <v>21574</v>
      </c>
      <c r="H1167" s="2" t="s">
        <v>4010</v>
      </c>
      <c r="I1167" s="2" t="s">
        <v>263</v>
      </c>
      <c r="J1167" s="2" t="s">
        <v>55</v>
      </c>
      <c r="K1167" s="95" t="s">
        <v>21580</v>
      </c>
      <c r="L1167" s="2" t="s">
        <v>21581</v>
      </c>
      <c r="M1167" s="48"/>
      <c r="N1167" s="114" t="str">
        <f t="shared" si="763"/>
        <v>Questionnaire</v>
      </c>
      <c r="O1167" s="48" t="s">
        <v>21576</v>
      </c>
      <c r="P1167" s="60" t="s">
        <v>11124</v>
      </c>
      <c r="Q1167" s="6" t="s">
        <v>16098</v>
      </c>
      <c r="R1167" s="6" t="s">
        <v>62</v>
      </c>
      <c r="S1167" s="4" t="s">
        <v>74</v>
      </c>
      <c r="T1167" s="7" t="s">
        <v>75</v>
      </c>
      <c r="U1167" s="7" t="s">
        <v>3678</v>
      </c>
      <c r="V1167" s="7" t="s">
        <v>214</v>
      </c>
      <c r="W1167" s="4" t="s">
        <v>214</v>
      </c>
      <c r="X1167" s="4" t="s">
        <v>214</v>
      </c>
      <c r="Y1167" s="4" t="s">
        <v>214</v>
      </c>
      <c r="Z1167" s="55" t="s">
        <v>214</v>
      </c>
      <c r="AA1167" s="6" t="s">
        <v>21577</v>
      </c>
      <c r="AB1167" s="84" t="s">
        <v>21576</v>
      </c>
      <c r="AC1167" s="67" t="str">
        <f t="shared" si="764"/>
        <v>Link</v>
      </c>
      <c r="AD1167" s="42">
        <v>10100</v>
      </c>
      <c r="AE1167" s="55"/>
      <c r="AF1167" s="7"/>
      <c r="AG1167" s="56">
        <v>236708</v>
      </c>
      <c r="AH1167" s="7" t="s">
        <v>2459</v>
      </c>
      <c r="AI1167" s="7"/>
      <c r="AJ1167" s="7"/>
      <c r="AK1167" s="7"/>
    </row>
    <row r="1168" spans="1:37" ht="15" x14ac:dyDescent="0.2">
      <c r="A1168" s="31" t="s">
        <v>1434</v>
      </c>
      <c r="B1168" s="33" t="s">
        <v>12632</v>
      </c>
      <c r="C1168" s="7"/>
      <c r="D1168" s="112">
        <v>5</v>
      </c>
      <c r="E1168" s="7"/>
      <c r="F1168" s="112"/>
      <c r="G1168" s="2" t="s">
        <v>21574</v>
      </c>
      <c r="H1168" s="2" t="s">
        <v>21582</v>
      </c>
      <c r="I1168" s="2" t="s">
        <v>21583</v>
      </c>
      <c r="J1168" s="2" t="s">
        <v>48</v>
      </c>
      <c r="K1168" s="2" t="s">
        <v>21584</v>
      </c>
      <c r="L1168" s="2" t="s">
        <v>21585</v>
      </c>
      <c r="M1168" s="48"/>
      <c r="N1168" s="114" t="str">
        <f t="shared" si="763"/>
        <v>Questionnaire</v>
      </c>
      <c r="O1168" s="48" t="s">
        <v>21576</v>
      </c>
      <c r="P1168" s="60" t="s">
        <v>11124</v>
      </c>
      <c r="Q1168" s="48" t="s">
        <v>16098</v>
      </c>
      <c r="R1168" s="48" t="s">
        <v>62</v>
      </c>
      <c r="S1168" s="49" t="s">
        <v>74</v>
      </c>
      <c r="T1168" s="48" t="s">
        <v>75</v>
      </c>
      <c r="U1168" s="49" t="s">
        <v>3678</v>
      </c>
      <c r="V1168" s="7" t="s">
        <v>214</v>
      </c>
      <c r="W1168" s="49" t="s">
        <v>214</v>
      </c>
      <c r="X1168" s="49" t="s">
        <v>214</v>
      </c>
      <c r="Y1168" s="49" t="s">
        <v>214</v>
      </c>
      <c r="Z1168" s="55" t="s">
        <v>214</v>
      </c>
      <c r="AA1168" s="48" t="s">
        <v>21577</v>
      </c>
      <c r="AB1168" s="84" t="s">
        <v>21576</v>
      </c>
      <c r="AC1168" s="53" t="str">
        <f t="shared" si="764"/>
        <v>Link</v>
      </c>
      <c r="AD1168" s="42">
        <v>10100</v>
      </c>
      <c r="AE1168" s="55"/>
      <c r="AF1168" s="55"/>
      <c r="AG1168" s="56">
        <v>236708</v>
      </c>
      <c r="AH1168" s="7" t="s">
        <v>2459</v>
      </c>
      <c r="AI1168" s="7"/>
      <c r="AJ1168" s="7"/>
      <c r="AK1168" s="7"/>
    </row>
    <row r="1169" spans="1:37" ht="15" x14ac:dyDescent="0.2">
      <c r="A1169" s="31" t="s">
        <v>1434</v>
      </c>
      <c r="B1169" s="33" t="s">
        <v>12632</v>
      </c>
      <c r="C1169" s="7"/>
      <c r="D1169" s="112">
        <v>5</v>
      </c>
      <c r="E1169" s="7"/>
      <c r="F1169" s="112"/>
      <c r="G1169" s="2" t="s">
        <v>21574</v>
      </c>
      <c r="H1169" s="2" t="s">
        <v>390</v>
      </c>
      <c r="I1169" s="2" t="s">
        <v>21586</v>
      </c>
      <c r="J1169" s="2" t="s">
        <v>55</v>
      </c>
      <c r="K1169" s="2" t="s">
        <v>21587</v>
      </c>
      <c r="L1169" s="2" t="s">
        <v>21588</v>
      </c>
      <c r="M1169" s="48"/>
      <c r="N1169" s="114" t="str">
        <f t="shared" si="763"/>
        <v>Questionnaire</v>
      </c>
      <c r="O1169" s="48" t="s">
        <v>21576</v>
      </c>
      <c r="P1169" s="60" t="s">
        <v>11124</v>
      </c>
      <c r="Q1169" s="48" t="s">
        <v>16098</v>
      </c>
      <c r="R1169" s="48" t="s">
        <v>62</v>
      </c>
      <c r="S1169" s="49" t="s">
        <v>74</v>
      </c>
      <c r="T1169" s="48" t="s">
        <v>75</v>
      </c>
      <c r="U1169" s="49" t="s">
        <v>3678</v>
      </c>
      <c r="V1169" s="7" t="s">
        <v>214</v>
      </c>
      <c r="W1169" s="49" t="s">
        <v>214</v>
      </c>
      <c r="X1169" s="49" t="s">
        <v>214</v>
      </c>
      <c r="Y1169" s="49" t="s">
        <v>214</v>
      </c>
      <c r="Z1169" s="55" t="s">
        <v>214</v>
      </c>
      <c r="AA1169" s="48" t="s">
        <v>21577</v>
      </c>
      <c r="AB1169" s="84" t="s">
        <v>21576</v>
      </c>
      <c r="AC1169" s="53" t="str">
        <f t="shared" si="764"/>
        <v>Link</v>
      </c>
      <c r="AD1169" s="42">
        <v>10100</v>
      </c>
      <c r="AE1169" s="55"/>
      <c r="AF1169" s="55"/>
      <c r="AG1169" s="56">
        <v>236708</v>
      </c>
      <c r="AH1169" s="7" t="s">
        <v>2459</v>
      </c>
      <c r="AI1169" s="7"/>
      <c r="AJ1169" s="7"/>
      <c r="AK1169" s="7"/>
    </row>
    <row r="1170" spans="1:37" ht="15" x14ac:dyDescent="0.2">
      <c r="A1170" s="31" t="s">
        <v>1434</v>
      </c>
      <c r="B1170" s="33" t="s">
        <v>12632</v>
      </c>
      <c r="C1170" s="7"/>
      <c r="D1170" s="112">
        <v>5</v>
      </c>
      <c r="E1170" s="7"/>
      <c r="F1170" s="112"/>
      <c r="G1170" s="2" t="s">
        <v>21574</v>
      </c>
      <c r="H1170" s="2" t="s">
        <v>21589</v>
      </c>
      <c r="I1170" s="2" t="s">
        <v>7256</v>
      </c>
      <c r="J1170" s="2" t="s">
        <v>55</v>
      </c>
      <c r="K1170" s="2" t="s">
        <v>21590</v>
      </c>
      <c r="L1170" s="2" t="s">
        <v>21591</v>
      </c>
      <c r="M1170" s="48"/>
      <c r="N1170" s="114" t="str">
        <f t="shared" si="763"/>
        <v>Questionnaire</v>
      </c>
      <c r="O1170" s="48" t="s">
        <v>21576</v>
      </c>
      <c r="P1170" s="60" t="s">
        <v>11124</v>
      </c>
      <c r="Q1170" s="48" t="s">
        <v>16098</v>
      </c>
      <c r="R1170" s="48" t="s">
        <v>62</v>
      </c>
      <c r="S1170" s="49" t="s">
        <v>74</v>
      </c>
      <c r="T1170" s="48" t="s">
        <v>75</v>
      </c>
      <c r="U1170" s="49" t="s">
        <v>3678</v>
      </c>
      <c r="V1170" s="7" t="s">
        <v>214</v>
      </c>
      <c r="W1170" s="49" t="s">
        <v>214</v>
      </c>
      <c r="X1170" s="49" t="s">
        <v>214</v>
      </c>
      <c r="Y1170" s="49" t="s">
        <v>214</v>
      </c>
      <c r="Z1170" s="55" t="s">
        <v>214</v>
      </c>
      <c r="AA1170" s="48" t="s">
        <v>21577</v>
      </c>
      <c r="AB1170" s="84" t="s">
        <v>21576</v>
      </c>
      <c r="AC1170" s="53" t="str">
        <f t="shared" si="764"/>
        <v>Link</v>
      </c>
      <c r="AD1170" s="42">
        <v>10100</v>
      </c>
      <c r="AE1170" s="55"/>
      <c r="AF1170" s="55"/>
      <c r="AG1170" s="56">
        <v>236708</v>
      </c>
      <c r="AH1170" s="7" t="s">
        <v>2459</v>
      </c>
      <c r="AI1170" s="7"/>
      <c r="AJ1170" s="7"/>
      <c r="AK1170" s="7"/>
    </row>
    <row r="1171" spans="1:37" ht="15" x14ac:dyDescent="0.2">
      <c r="A1171" s="64" t="s">
        <v>1434</v>
      </c>
      <c r="B1171" s="33" t="s">
        <v>12632</v>
      </c>
      <c r="C1171" s="7" t="s">
        <v>21592</v>
      </c>
      <c r="D1171" s="112">
        <v>5</v>
      </c>
      <c r="E1171" s="7"/>
      <c r="F1171" s="7"/>
      <c r="G1171" s="2" t="s">
        <v>21593</v>
      </c>
      <c r="H1171" s="2" t="s">
        <v>6801</v>
      </c>
      <c r="I1171" s="2" t="s">
        <v>7113</v>
      </c>
      <c r="J1171" s="2" t="s">
        <v>48</v>
      </c>
      <c r="K1171" s="2" t="s">
        <v>21594</v>
      </c>
      <c r="L1171" s="2" t="s">
        <v>21595</v>
      </c>
      <c r="M1171" s="48"/>
      <c r="N1171" s="48" t="s">
        <v>22</v>
      </c>
      <c r="O1171" s="48" t="s">
        <v>21596</v>
      </c>
      <c r="P1171" s="60" t="s">
        <v>11124</v>
      </c>
      <c r="Q1171" s="48" t="s">
        <v>21597</v>
      </c>
      <c r="R1171" s="48" t="s">
        <v>468</v>
      </c>
      <c r="S1171" s="49" t="s">
        <v>74</v>
      </c>
      <c r="T1171" s="48" t="s">
        <v>75</v>
      </c>
      <c r="U1171" s="49" t="s">
        <v>3678</v>
      </c>
      <c r="V1171" s="7" t="s">
        <v>214</v>
      </c>
      <c r="W1171" s="49" t="s">
        <v>214</v>
      </c>
      <c r="X1171" s="49" t="s">
        <v>214</v>
      </c>
      <c r="Y1171" s="49" t="s">
        <v>214</v>
      </c>
      <c r="Z1171" s="49" t="s">
        <v>214</v>
      </c>
      <c r="AA1171" s="48" t="s">
        <v>21598</v>
      </c>
      <c r="AB1171" s="84" t="s">
        <v>21596</v>
      </c>
      <c r="AC1171" s="67" t="str">
        <f>HYPERLINK("https://www.wwcc.edu/CMSX/main.php?module=departmentlist","Link")</f>
        <v>Link</v>
      </c>
      <c r="AD1171" s="42">
        <v>4327</v>
      </c>
      <c r="AE1171" s="55"/>
      <c r="AF1171" s="55"/>
      <c r="AG1171" s="56">
        <v>236887</v>
      </c>
      <c r="AH1171" s="56"/>
      <c r="AI1171" s="56"/>
      <c r="AJ1171" s="56"/>
      <c r="AK1171" s="56"/>
    </row>
    <row r="1172" spans="1:37" ht="15" x14ac:dyDescent="0.2">
      <c r="A1172" s="64" t="s">
        <v>1434</v>
      </c>
      <c r="B1172" s="33" t="s">
        <v>12632</v>
      </c>
      <c r="C1172" s="7" t="s">
        <v>21599</v>
      </c>
      <c r="D1172" s="112">
        <v>5</v>
      </c>
      <c r="E1172" s="7"/>
      <c r="F1172" s="7"/>
      <c r="G1172" s="2" t="s">
        <v>21600</v>
      </c>
      <c r="H1172" s="2" t="s">
        <v>7645</v>
      </c>
      <c r="I1172" s="2" t="s">
        <v>21601</v>
      </c>
      <c r="J1172" s="2" t="s">
        <v>48</v>
      </c>
      <c r="K1172" s="2" t="s">
        <v>21602</v>
      </c>
      <c r="L1172" s="2" t="s">
        <v>21603</v>
      </c>
      <c r="M1172" s="150" t="str">
        <f t="shared" ref="M1172:M1176" si="765">HYPERLINK("twitter.com/wvcsoftball","@wvcsoftball")</f>
        <v>@wvcsoftball</v>
      </c>
      <c r="N1172" s="48" t="s">
        <v>22</v>
      </c>
      <c r="O1172" s="48" t="s">
        <v>21604</v>
      </c>
      <c r="P1172" s="60" t="s">
        <v>11124</v>
      </c>
      <c r="Q1172" s="48" t="s">
        <v>21605</v>
      </c>
      <c r="R1172" s="48" t="s">
        <v>468</v>
      </c>
      <c r="S1172" s="49" t="s">
        <v>74</v>
      </c>
      <c r="T1172" s="48" t="s">
        <v>75</v>
      </c>
      <c r="U1172" s="49" t="s">
        <v>3678</v>
      </c>
      <c r="V1172" s="7" t="s">
        <v>214</v>
      </c>
      <c r="W1172" s="49" t="s">
        <v>214</v>
      </c>
      <c r="X1172" s="49" t="s">
        <v>214</v>
      </c>
      <c r="Y1172" s="49" t="s">
        <v>214</v>
      </c>
      <c r="Z1172" s="55" t="s">
        <v>214</v>
      </c>
      <c r="AA1172" s="48" t="s">
        <v>21606</v>
      </c>
      <c r="AB1172" s="84" t="s">
        <v>21604</v>
      </c>
      <c r="AC1172" s="67" t="str">
        <f t="shared" ref="AC1172:AC1176" si="766">HYPERLINK("https://www.wvc.edu/academics/","Link")</f>
        <v>Link</v>
      </c>
      <c r="AD1172" s="42">
        <v>3440</v>
      </c>
      <c r="AE1172" s="55"/>
      <c r="AF1172" s="55"/>
      <c r="AG1172" s="56">
        <v>236975</v>
      </c>
      <c r="AH1172" s="56"/>
      <c r="AI1172" s="56"/>
      <c r="AJ1172" s="56"/>
      <c r="AK1172" s="56"/>
    </row>
    <row r="1173" spans="1:37" ht="15" x14ac:dyDescent="0.2">
      <c r="A1173" s="64" t="s">
        <v>1434</v>
      </c>
      <c r="B1173" s="33" t="s">
        <v>12632</v>
      </c>
      <c r="C1173" s="7" t="s">
        <v>21607</v>
      </c>
      <c r="D1173" s="112">
        <v>5</v>
      </c>
      <c r="E1173" s="7"/>
      <c r="F1173" s="7"/>
      <c r="G1173" s="2" t="s">
        <v>21600</v>
      </c>
      <c r="H1173" s="2" t="s">
        <v>2491</v>
      </c>
      <c r="I1173" s="2" t="s">
        <v>21608</v>
      </c>
      <c r="J1173" s="2" t="s">
        <v>55</v>
      </c>
      <c r="K1173" s="2"/>
      <c r="L1173" s="2"/>
      <c r="M1173" s="150" t="str">
        <f t="shared" si="765"/>
        <v>@wvcsoftball</v>
      </c>
      <c r="N1173" s="48" t="s">
        <v>22</v>
      </c>
      <c r="O1173" s="48" t="s">
        <v>21604</v>
      </c>
      <c r="P1173" s="60" t="s">
        <v>11124</v>
      </c>
      <c r="Q1173" s="48" t="s">
        <v>21605</v>
      </c>
      <c r="R1173" s="48" t="s">
        <v>468</v>
      </c>
      <c r="S1173" s="49" t="s">
        <v>74</v>
      </c>
      <c r="T1173" s="48" t="s">
        <v>75</v>
      </c>
      <c r="U1173" s="49" t="s">
        <v>3678</v>
      </c>
      <c r="V1173" s="7" t="s">
        <v>214</v>
      </c>
      <c r="W1173" s="49" t="s">
        <v>214</v>
      </c>
      <c r="X1173" s="49" t="s">
        <v>214</v>
      </c>
      <c r="Y1173" s="49" t="s">
        <v>214</v>
      </c>
      <c r="Z1173" s="55" t="s">
        <v>214</v>
      </c>
      <c r="AA1173" s="48" t="s">
        <v>21606</v>
      </c>
      <c r="AB1173" s="84" t="s">
        <v>21604</v>
      </c>
      <c r="AC1173" s="67" t="str">
        <f t="shared" si="766"/>
        <v>Link</v>
      </c>
      <c r="AD1173" s="42">
        <v>3440</v>
      </c>
      <c r="AE1173" s="55"/>
      <c r="AF1173" s="55"/>
      <c r="AG1173" s="56">
        <v>236975</v>
      </c>
      <c r="AH1173" s="56"/>
      <c r="AI1173" s="56"/>
      <c r="AJ1173" s="56"/>
      <c r="AK1173" s="56"/>
    </row>
    <row r="1174" spans="1:37" ht="15" x14ac:dyDescent="0.2">
      <c r="A1174" s="64" t="s">
        <v>1434</v>
      </c>
      <c r="B1174" s="33" t="s">
        <v>12632</v>
      </c>
      <c r="C1174" s="7" t="s">
        <v>21609</v>
      </c>
      <c r="D1174" s="112">
        <v>5</v>
      </c>
      <c r="E1174" s="7"/>
      <c r="F1174" s="7"/>
      <c r="G1174" s="2" t="s">
        <v>21600</v>
      </c>
      <c r="H1174" s="2" t="s">
        <v>21610</v>
      </c>
      <c r="I1174" s="2" t="s">
        <v>13678</v>
      </c>
      <c r="J1174" s="2" t="s">
        <v>55</v>
      </c>
      <c r="K1174" s="2"/>
      <c r="L1174" s="2"/>
      <c r="M1174" s="150" t="str">
        <f t="shared" si="765"/>
        <v>@wvcsoftball</v>
      </c>
      <c r="N1174" s="48" t="s">
        <v>22</v>
      </c>
      <c r="O1174" s="48" t="s">
        <v>21604</v>
      </c>
      <c r="P1174" s="60" t="s">
        <v>11124</v>
      </c>
      <c r="Q1174" s="48" t="s">
        <v>21605</v>
      </c>
      <c r="R1174" s="48" t="s">
        <v>468</v>
      </c>
      <c r="S1174" s="49" t="s">
        <v>74</v>
      </c>
      <c r="T1174" s="48" t="s">
        <v>75</v>
      </c>
      <c r="U1174" s="49" t="s">
        <v>3678</v>
      </c>
      <c r="V1174" s="7" t="s">
        <v>214</v>
      </c>
      <c r="W1174" s="49" t="s">
        <v>214</v>
      </c>
      <c r="X1174" s="49" t="s">
        <v>214</v>
      </c>
      <c r="Y1174" s="49" t="s">
        <v>214</v>
      </c>
      <c r="Z1174" s="55" t="s">
        <v>214</v>
      </c>
      <c r="AA1174" s="48" t="s">
        <v>21606</v>
      </c>
      <c r="AB1174" s="84" t="s">
        <v>21604</v>
      </c>
      <c r="AC1174" s="67" t="str">
        <f t="shared" si="766"/>
        <v>Link</v>
      </c>
      <c r="AD1174" s="42">
        <v>3440</v>
      </c>
      <c r="AE1174" s="55"/>
      <c r="AF1174" s="55"/>
      <c r="AG1174" s="56">
        <v>236975</v>
      </c>
      <c r="AH1174" s="56"/>
      <c r="AI1174" s="56"/>
      <c r="AJ1174" s="56"/>
      <c r="AK1174" s="56"/>
    </row>
    <row r="1175" spans="1:37" ht="15" x14ac:dyDescent="0.2">
      <c r="A1175" s="64" t="s">
        <v>1434</v>
      </c>
      <c r="B1175" s="33" t="s">
        <v>12632</v>
      </c>
      <c r="C1175" s="7" t="s">
        <v>21611</v>
      </c>
      <c r="D1175" s="112">
        <v>5</v>
      </c>
      <c r="E1175" s="7"/>
      <c r="F1175" s="7"/>
      <c r="G1175" s="2" t="s">
        <v>21600</v>
      </c>
      <c r="H1175" s="2" t="s">
        <v>21612</v>
      </c>
      <c r="I1175" s="2" t="s">
        <v>21613</v>
      </c>
      <c r="J1175" s="2" t="s">
        <v>55</v>
      </c>
      <c r="K1175" s="2"/>
      <c r="L1175" s="2"/>
      <c r="M1175" s="150" t="str">
        <f t="shared" si="765"/>
        <v>@wvcsoftball</v>
      </c>
      <c r="N1175" s="48" t="s">
        <v>22</v>
      </c>
      <c r="O1175" s="48" t="s">
        <v>21604</v>
      </c>
      <c r="P1175" s="60" t="s">
        <v>11124</v>
      </c>
      <c r="Q1175" s="48" t="s">
        <v>21605</v>
      </c>
      <c r="R1175" s="48" t="s">
        <v>468</v>
      </c>
      <c r="S1175" s="49" t="s">
        <v>74</v>
      </c>
      <c r="T1175" s="48" t="s">
        <v>75</v>
      </c>
      <c r="U1175" s="49" t="s">
        <v>3678</v>
      </c>
      <c r="V1175" s="7" t="s">
        <v>214</v>
      </c>
      <c r="W1175" s="49" t="s">
        <v>214</v>
      </c>
      <c r="X1175" s="49" t="s">
        <v>214</v>
      </c>
      <c r="Y1175" s="49" t="s">
        <v>214</v>
      </c>
      <c r="Z1175" s="55" t="s">
        <v>214</v>
      </c>
      <c r="AA1175" s="48" t="s">
        <v>21606</v>
      </c>
      <c r="AB1175" s="84" t="s">
        <v>21604</v>
      </c>
      <c r="AC1175" s="67" t="str">
        <f t="shared" si="766"/>
        <v>Link</v>
      </c>
      <c r="AD1175" s="42">
        <v>3440</v>
      </c>
      <c r="AE1175" s="55"/>
      <c r="AF1175" s="55"/>
      <c r="AG1175" s="56">
        <v>236975</v>
      </c>
      <c r="AH1175" s="56"/>
      <c r="AI1175" s="56"/>
      <c r="AJ1175" s="56"/>
      <c r="AK1175" s="56"/>
    </row>
    <row r="1176" spans="1:37" ht="15" x14ac:dyDescent="0.2">
      <c r="A1176" s="64" t="s">
        <v>1434</v>
      </c>
      <c r="B1176" s="33" t="s">
        <v>12632</v>
      </c>
      <c r="C1176" s="7" t="s">
        <v>21614</v>
      </c>
      <c r="D1176" s="112">
        <v>5</v>
      </c>
      <c r="E1176" s="7"/>
      <c r="F1176" s="7"/>
      <c r="G1176" s="2" t="s">
        <v>21600</v>
      </c>
      <c r="H1176" s="2" t="s">
        <v>10979</v>
      </c>
      <c r="I1176" s="2" t="s">
        <v>21615</v>
      </c>
      <c r="J1176" s="2" t="s">
        <v>55</v>
      </c>
      <c r="K1176" s="2"/>
      <c r="L1176" s="2"/>
      <c r="M1176" s="150" t="str">
        <f t="shared" si="765"/>
        <v>@wvcsoftball</v>
      </c>
      <c r="N1176" s="48" t="s">
        <v>22</v>
      </c>
      <c r="O1176" s="48" t="s">
        <v>21604</v>
      </c>
      <c r="P1176" s="60" t="s">
        <v>11124</v>
      </c>
      <c r="Q1176" s="48" t="s">
        <v>21605</v>
      </c>
      <c r="R1176" s="48" t="s">
        <v>468</v>
      </c>
      <c r="S1176" s="49" t="s">
        <v>74</v>
      </c>
      <c r="T1176" s="48" t="s">
        <v>75</v>
      </c>
      <c r="U1176" s="49" t="s">
        <v>3678</v>
      </c>
      <c r="V1176" s="7" t="s">
        <v>214</v>
      </c>
      <c r="W1176" s="49" t="s">
        <v>214</v>
      </c>
      <c r="X1176" s="49" t="s">
        <v>214</v>
      </c>
      <c r="Y1176" s="49" t="s">
        <v>214</v>
      </c>
      <c r="Z1176" s="55" t="s">
        <v>214</v>
      </c>
      <c r="AA1176" s="48" t="s">
        <v>21606</v>
      </c>
      <c r="AB1176" s="84" t="s">
        <v>21604</v>
      </c>
      <c r="AC1176" s="67" t="str">
        <f t="shared" si="766"/>
        <v>Link</v>
      </c>
      <c r="AD1176" s="42">
        <v>3440</v>
      </c>
      <c r="AE1176" s="55"/>
      <c r="AF1176" s="55"/>
      <c r="AG1176" s="56">
        <v>236975</v>
      </c>
      <c r="AH1176" s="56"/>
      <c r="AI1176" s="56"/>
      <c r="AJ1176" s="56"/>
      <c r="AK1176" s="56"/>
    </row>
    <row r="1177" spans="1:37" ht="13" x14ac:dyDescent="0.15">
      <c r="A1177" s="110" t="s">
        <v>1434</v>
      </c>
      <c r="B1177" s="2" t="s">
        <v>12632</v>
      </c>
      <c r="C1177" s="7"/>
      <c r="D1177" s="37">
        <v>4</v>
      </c>
      <c r="E1177" s="7"/>
      <c r="F1177" s="37"/>
      <c r="G1177" s="2" t="s">
        <v>21616</v>
      </c>
      <c r="H1177" s="2" t="s">
        <v>5933</v>
      </c>
      <c r="I1177" s="2" t="s">
        <v>18775</v>
      </c>
      <c r="J1177" s="2" t="s">
        <v>48</v>
      </c>
      <c r="K1177" s="2" t="s">
        <v>21617</v>
      </c>
      <c r="L1177" s="2" t="s">
        <v>21618</v>
      </c>
      <c r="M1177" s="48"/>
      <c r="N1177" s="114" t="str">
        <f>HYPERLINK("http://whatcom.edu/campus-life/orca-athletics/prospective-student-athletes","Questionnaire")</f>
        <v>Questionnaire</v>
      </c>
      <c r="O1177" s="48" t="s">
        <v>21619</v>
      </c>
      <c r="P1177" s="60" t="s">
        <v>11124</v>
      </c>
      <c r="Q1177" s="6" t="s">
        <v>21620</v>
      </c>
      <c r="R1177" s="55" t="s">
        <v>238</v>
      </c>
      <c r="S1177" s="5" t="s">
        <v>74</v>
      </c>
      <c r="T1177" s="7" t="s">
        <v>75</v>
      </c>
      <c r="U1177" s="7" t="s">
        <v>3678</v>
      </c>
      <c r="V1177" s="7" t="s">
        <v>214</v>
      </c>
      <c r="W1177" s="4" t="s">
        <v>214</v>
      </c>
      <c r="X1177" s="4" t="s">
        <v>214</v>
      </c>
      <c r="Y1177" s="4" t="s">
        <v>214</v>
      </c>
      <c r="Z1177" s="55" t="s">
        <v>214</v>
      </c>
      <c r="AA1177" s="6" t="s">
        <v>21621</v>
      </c>
      <c r="AB1177" s="84" t="s">
        <v>21619</v>
      </c>
      <c r="AC1177" s="67" t="str">
        <f>HYPERLINK("http://whatcom.edu/academics/degrees-certificates","Link")</f>
        <v>Link</v>
      </c>
      <c r="AD1177" s="42">
        <v>4507</v>
      </c>
      <c r="AE1177" s="55"/>
      <c r="AF1177" s="7"/>
      <c r="AG1177" s="56">
        <v>237039</v>
      </c>
      <c r="AH1177" s="7" t="s">
        <v>2459</v>
      </c>
      <c r="AI1177" s="7"/>
      <c r="AJ1177" s="7"/>
      <c r="AK1177" s="7"/>
    </row>
    <row r="1178" spans="1:37" ht="15" x14ac:dyDescent="0.2">
      <c r="A1178" s="64" t="s">
        <v>1434</v>
      </c>
      <c r="B1178" s="33" t="s">
        <v>12632</v>
      </c>
      <c r="C1178" s="7" t="s">
        <v>21622</v>
      </c>
      <c r="D1178" s="112">
        <v>5</v>
      </c>
      <c r="E1178" s="7"/>
      <c r="F1178" s="7"/>
      <c r="G1178" s="2" t="s">
        <v>21623</v>
      </c>
      <c r="H1178" s="2" t="s">
        <v>2780</v>
      </c>
      <c r="I1178" s="2" t="s">
        <v>21624</v>
      </c>
      <c r="J1178" s="2" t="s">
        <v>48</v>
      </c>
      <c r="K1178" s="2" t="s">
        <v>21625</v>
      </c>
      <c r="L1178" s="2" t="s">
        <v>21626</v>
      </c>
      <c r="M1178" s="48"/>
      <c r="N1178" s="152" t="str">
        <f t="shared" ref="N1178:N1179" si="767">HYPERLINK("https://goyaks.com/sb_output.aspx?form=3","Questionnaire")</f>
        <v>Questionnaire</v>
      </c>
      <c r="O1178" s="48" t="s">
        <v>21627</v>
      </c>
      <c r="P1178" s="60" t="s">
        <v>11124</v>
      </c>
      <c r="Q1178" s="48" t="s">
        <v>21628</v>
      </c>
      <c r="R1178" s="48" t="s">
        <v>238</v>
      </c>
      <c r="S1178" s="5" t="s">
        <v>74</v>
      </c>
      <c r="T1178" s="48" t="s">
        <v>75</v>
      </c>
      <c r="U1178" s="49" t="s">
        <v>3678</v>
      </c>
      <c r="V1178" s="7" t="s">
        <v>214</v>
      </c>
      <c r="W1178" s="49" t="s">
        <v>214</v>
      </c>
      <c r="X1178" s="49" t="s">
        <v>214</v>
      </c>
      <c r="Y1178" s="49" t="s">
        <v>214</v>
      </c>
      <c r="Z1178" s="55" t="s">
        <v>214</v>
      </c>
      <c r="AA1178" s="48" t="s">
        <v>21629</v>
      </c>
      <c r="AB1178" s="52" t="s">
        <v>21627</v>
      </c>
      <c r="AC1178" s="67" t="str">
        <f t="shared" ref="AC1178:AC1179" si="768">HYPERLINK("https://www.yvcc.edu/academics/programs-a-z/","Link")</f>
        <v>Link</v>
      </c>
      <c r="AD1178" s="42">
        <v>4101</v>
      </c>
      <c r="AE1178" s="55"/>
      <c r="AF1178" s="55"/>
      <c r="AG1178" s="56">
        <v>237109</v>
      </c>
      <c r="AH1178" s="56"/>
      <c r="AI1178" s="56"/>
      <c r="AJ1178" s="56"/>
      <c r="AK1178" s="56"/>
    </row>
    <row r="1179" spans="1:37" ht="15" x14ac:dyDescent="0.2">
      <c r="A1179" s="64" t="s">
        <v>1434</v>
      </c>
      <c r="B1179" s="33" t="s">
        <v>12632</v>
      </c>
      <c r="C1179" s="7" t="s">
        <v>21630</v>
      </c>
      <c r="D1179" s="112">
        <v>5</v>
      </c>
      <c r="E1179" s="7"/>
      <c r="F1179" s="7"/>
      <c r="G1179" s="2" t="s">
        <v>21623</v>
      </c>
      <c r="H1179" s="2" t="s">
        <v>2943</v>
      </c>
      <c r="I1179" s="2" t="s">
        <v>21631</v>
      </c>
      <c r="J1179" s="2" t="s">
        <v>55</v>
      </c>
      <c r="K1179" s="2"/>
      <c r="L1179" s="2" t="s">
        <v>21626</v>
      </c>
      <c r="M1179" s="48"/>
      <c r="N1179" s="152" t="str">
        <f t="shared" si="767"/>
        <v>Questionnaire</v>
      </c>
      <c r="O1179" s="48" t="s">
        <v>21627</v>
      </c>
      <c r="P1179" s="60" t="s">
        <v>11124</v>
      </c>
      <c r="Q1179" s="48" t="s">
        <v>21628</v>
      </c>
      <c r="R1179" s="48" t="s">
        <v>238</v>
      </c>
      <c r="S1179" s="5" t="s">
        <v>74</v>
      </c>
      <c r="T1179" s="48" t="s">
        <v>75</v>
      </c>
      <c r="U1179" s="49" t="s">
        <v>3678</v>
      </c>
      <c r="V1179" s="7" t="s">
        <v>214</v>
      </c>
      <c r="W1179" s="49" t="s">
        <v>214</v>
      </c>
      <c r="X1179" s="49" t="s">
        <v>214</v>
      </c>
      <c r="Y1179" s="49" t="s">
        <v>214</v>
      </c>
      <c r="Z1179" s="55" t="s">
        <v>214</v>
      </c>
      <c r="AA1179" s="48" t="s">
        <v>21629</v>
      </c>
      <c r="AB1179" s="52" t="s">
        <v>21627</v>
      </c>
      <c r="AC1179" s="67" t="str">
        <f t="shared" si="768"/>
        <v>Link</v>
      </c>
      <c r="AD1179" s="42">
        <v>4101</v>
      </c>
      <c r="AE1179" s="55"/>
      <c r="AF1179" s="55"/>
      <c r="AG1179" s="56">
        <v>237109</v>
      </c>
      <c r="AH1179" s="56"/>
      <c r="AI1179" s="56"/>
      <c r="AJ1179" s="56"/>
      <c r="AK1179" s="56"/>
    </row>
    <row r="1180" spans="1:37" ht="15" x14ac:dyDescent="0.2">
      <c r="A1180" s="64" t="s">
        <v>11856</v>
      </c>
      <c r="B1180" s="33" t="s">
        <v>12632</v>
      </c>
      <c r="C1180" s="7" t="s">
        <v>21632</v>
      </c>
      <c r="D1180" s="112">
        <v>5</v>
      </c>
      <c r="E1180" s="7"/>
      <c r="F1180" s="7"/>
      <c r="G1180" s="2" t="s">
        <v>21633</v>
      </c>
      <c r="H1180" s="2" t="s">
        <v>6721</v>
      </c>
      <c r="I1180" s="2" t="s">
        <v>21634</v>
      </c>
      <c r="J1180" s="2" t="s">
        <v>48</v>
      </c>
      <c r="K1180" s="6" t="s">
        <v>21635</v>
      </c>
      <c r="L1180" s="2" t="s">
        <v>21636</v>
      </c>
      <c r="M1180" s="48"/>
      <c r="N1180" s="48" t="s">
        <v>22</v>
      </c>
      <c r="O1180" s="48" t="s">
        <v>21637</v>
      </c>
      <c r="P1180" s="60" t="s">
        <v>6197</v>
      </c>
      <c r="Q1180" s="48" t="s">
        <v>21638</v>
      </c>
      <c r="R1180" s="60" t="s">
        <v>205</v>
      </c>
      <c r="S1180" s="49" t="s">
        <v>74</v>
      </c>
      <c r="T1180" s="48" t="s">
        <v>75</v>
      </c>
      <c r="U1180" s="49" t="s">
        <v>3678</v>
      </c>
      <c r="V1180" s="7" t="s">
        <v>214</v>
      </c>
      <c r="W1180" s="49" t="s">
        <v>214</v>
      </c>
      <c r="X1180" s="49" t="s">
        <v>214</v>
      </c>
      <c r="Y1180" s="49" t="s">
        <v>214</v>
      </c>
      <c r="Z1180" s="49" t="s">
        <v>214</v>
      </c>
      <c r="AA1180" s="48" t="s">
        <v>21639</v>
      </c>
      <c r="AB1180" s="84" t="s">
        <v>21637</v>
      </c>
      <c r="AC1180" s="67" t="str">
        <f t="shared" ref="AC1180:AC1183" si="769">HYPERLINK("http://www.potomacstatecollege.edu/academics/majors/","Link")</f>
        <v>Link</v>
      </c>
      <c r="AD1180" s="42">
        <v>1452</v>
      </c>
      <c r="AE1180" s="55"/>
      <c r="AF1180" s="55"/>
      <c r="AG1180" s="56">
        <v>237701</v>
      </c>
      <c r="AH1180" s="56"/>
      <c r="AI1180" s="56"/>
      <c r="AJ1180" s="56"/>
      <c r="AK1180" s="56"/>
    </row>
    <row r="1181" spans="1:37" ht="13" x14ac:dyDescent="0.15">
      <c r="A1181" s="88" t="s">
        <v>11856</v>
      </c>
      <c r="B1181" s="7" t="s">
        <v>12632</v>
      </c>
      <c r="C1181" s="7" t="s">
        <v>21640</v>
      </c>
      <c r="D1181" s="44">
        <v>5</v>
      </c>
      <c r="E1181" s="7"/>
      <c r="F1181" s="7"/>
      <c r="G1181" s="7" t="s">
        <v>21633</v>
      </c>
      <c r="H1181" s="7" t="s">
        <v>17825</v>
      </c>
      <c r="I1181" s="7" t="s">
        <v>894</v>
      </c>
      <c r="J1181" s="7" t="s">
        <v>55</v>
      </c>
      <c r="K1181" s="7"/>
      <c r="L1181" s="7" t="s">
        <v>21641</v>
      </c>
      <c r="M1181" s="7"/>
      <c r="N1181" s="7"/>
      <c r="O1181" s="48" t="s">
        <v>21637</v>
      </c>
      <c r="P1181" s="60" t="s">
        <v>6197</v>
      </c>
      <c r="Q1181" s="6" t="s">
        <v>21638</v>
      </c>
      <c r="R1181" s="60" t="s">
        <v>205</v>
      </c>
      <c r="S1181" s="4" t="s">
        <v>74</v>
      </c>
      <c r="T1181" s="48" t="s">
        <v>75</v>
      </c>
      <c r="U1181" s="49" t="s">
        <v>3678</v>
      </c>
      <c r="V1181" s="48" t="s">
        <v>214</v>
      </c>
      <c r="W1181" s="4" t="s">
        <v>214</v>
      </c>
      <c r="X1181" s="4" t="s">
        <v>214</v>
      </c>
      <c r="Y1181" s="4" t="s">
        <v>214</v>
      </c>
      <c r="Z1181" s="4" t="s">
        <v>214</v>
      </c>
      <c r="AA1181" s="6" t="s">
        <v>21639</v>
      </c>
      <c r="AB1181" s="84" t="s">
        <v>21637</v>
      </c>
      <c r="AC1181" s="67" t="str">
        <f t="shared" si="769"/>
        <v>Link</v>
      </c>
      <c r="AD1181" s="42">
        <v>1452</v>
      </c>
      <c r="AE1181" s="55"/>
      <c r="AF1181" s="55"/>
      <c r="AG1181" s="56">
        <v>237701</v>
      </c>
      <c r="AH1181" s="42"/>
      <c r="AI1181" s="55"/>
      <c r="AJ1181" s="55"/>
      <c r="AK1181" s="85"/>
    </row>
    <row r="1182" spans="1:37" ht="13" x14ac:dyDescent="0.15">
      <c r="A1182" s="88" t="s">
        <v>11856</v>
      </c>
      <c r="B1182" s="7" t="s">
        <v>12632</v>
      </c>
      <c r="C1182" s="7" t="s">
        <v>21642</v>
      </c>
      <c r="D1182" s="44">
        <v>5</v>
      </c>
      <c r="E1182" s="7"/>
      <c r="F1182" s="7"/>
      <c r="G1182" s="7" t="s">
        <v>21633</v>
      </c>
      <c r="H1182" s="7" t="s">
        <v>658</v>
      </c>
      <c r="I1182" s="7" t="s">
        <v>21643</v>
      </c>
      <c r="J1182" s="7" t="s">
        <v>55</v>
      </c>
      <c r="K1182" s="7"/>
      <c r="L1182" s="7" t="s">
        <v>21644</v>
      </c>
      <c r="M1182" s="7"/>
      <c r="N1182" s="7"/>
      <c r="O1182" s="48" t="s">
        <v>21637</v>
      </c>
      <c r="P1182" s="60" t="s">
        <v>6197</v>
      </c>
      <c r="Q1182" s="6" t="s">
        <v>21638</v>
      </c>
      <c r="R1182" s="60" t="s">
        <v>205</v>
      </c>
      <c r="S1182" s="4" t="s">
        <v>74</v>
      </c>
      <c r="T1182" s="48" t="s">
        <v>75</v>
      </c>
      <c r="U1182" s="49" t="s">
        <v>3678</v>
      </c>
      <c r="V1182" s="48" t="s">
        <v>214</v>
      </c>
      <c r="W1182" s="4" t="s">
        <v>214</v>
      </c>
      <c r="X1182" s="4" t="s">
        <v>214</v>
      </c>
      <c r="Y1182" s="4" t="s">
        <v>214</v>
      </c>
      <c r="Z1182" s="4" t="s">
        <v>214</v>
      </c>
      <c r="AA1182" s="6" t="s">
        <v>21639</v>
      </c>
      <c r="AB1182" s="84" t="s">
        <v>21637</v>
      </c>
      <c r="AC1182" s="67" t="str">
        <f t="shared" si="769"/>
        <v>Link</v>
      </c>
      <c r="AD1182" s="42">
        <v>1452</v>
      </c>
      <c r="AE1182" s="55"/>
      <c r="AF1182" s="55"/>
      <c r="AG1182" s="56">
        <v>237701</v>
      </c>
      <c r="AH1182" s="42"/>
      <c r="AI1182" s="55"/>
      <c r="AJ1182" s="55"/>
      <c r="AK1182" s="85"/>
    </row>
    <row r="1183" spans="1:37" ht="13" x14ac:dyDescent="0.15">
      <c r="A1183" s="88" t="s">
        <v>11856</v>
      </c>
      <c r="B1183" s="7" t="s">
        <v>12632</v>
      </c>
      <c r="C1183" s="7" t="s">
        <v>21645</v>
      </c>
      <c r="D1183" s="44">
        <v>5</v>
      </c>
      <c r="E1183" s="7"/>
      <c r="F1183" s="7"/>
      <c r="G1183" s="7" t="s">
        <v>21633</v>
      </c>
      <c r="H1183" s="7" t="s">
        <v>2739</v>
      </c>
      <c r="I1183" s="7" t="s">
        <v>2482</v>
      </c>
      <c r="J1183" s="7" t="s">
        <v>55</v>
      </c>
      <c r="K1183" s="7"/>
      <c r="L1183" s="7" t="s">
        <v>21646</v>
      </c>
      <c r="M1183" s="7"/>
      <c r="N1183" s="7"/>
      <c r="O1183" s="48" t="s">
        <v>21637</v>
      </c>
      <c r="P1183" s="60" t="s">
        <v>6197</v>
      </c>
      <c r="Q1183" s="6" t="s">
        <v>21638</v>
      </c>
      <c r="R1183" s="60" t="s">
        <v>205</v>
      </c>
      <c r="S1183" s="4" t="s">
        <v>74</v>
      </c>
      <c r="T1183" s="48" t="s">
        <v>75</v>
      </c>
      <c r="U1183" s="49" t="s">
        <v>3678</v>
      </c>
      <c r="V1183" s="48" t="s">
        <v>214</v>
      </c>
      <c r="W1183" s="4" t="s">
        <v>214</v>
      </c>
      <c r="X1183" s="4" t="s">
        <v>214</v>
      </c>
      <c r="Y1183" s="4" t="s">
        <v>214</v>
      </c>
      <c r="Z1183" s="4" t="s">
        <v>214</v>
      </c>
      <c r="AA1183" s="6" t="s">
        <v>21639</v>
      </c>
      <c r="AB1183" s="84" t="s">
        <v>21637</v>
      </c>
      <c r="AC1183" s="67" t="str">
        <f t="shared" si="769"/>
        <v>Link</v>
      </c>
      <c r="AD1183" s="42">
        <v>1452</v>
      </c>
      <c r="AE1183" s="55"/>
      <c r="AF1183" s="55"/>
      <c r="AG1183" s="56">
        <v>237701</v>
      </c>
      <c r="AH1183" s="42"/>
      <c r="AI1183" s="55"/>
      <c r="AJ1183" s="55"/>
      <c r="AK1183" s="85"/>
    </row>
    <row r="1184" spans="1:37" ht="15" x14ac:dyDescent="0.2">
      <c r="A1184" s="64" t="s">
        <v>5109</v>
      </c>
      <c r="B1184" s="33" t="s">
        <v>12632</v>
      </c>
      <c r="C1184" s="7" t="s">
        <v>21647</v>
      </c>
      <c r="D1184" s="112">
        <v>5</v>
      </c>
      <c r="E1184" s="7"/>
      <c r="F1184" s="7"/>
      <c r="G1184" s="2" t="s">
        <v>21648</v>
      </c>
      <c r="H1184" s="2" t="s">
        <v>790</v>
      </c>
      <c r="I1184" s="2" t="s">
        <v>6068</v>
      </c>
      <c r="J1184" s="2" t="s">
        <v>48</v>
      </c>
      <c r="K1184" s="2" t="s">
        <v>21649</v>
      </c>
      <c r="L1184" s="2" t="s">
        <v>21650</v>
      </c>
      <c r="M1184" s="48"/>
      <c r="N1184" s="152" t="str">
        <f t="shared" ref="N1184:N1187" si="770">HYPERLINK("https://wisconsin.bscbobcats.com/Recruitment/Softball_Recruiting_Form","Questionnaire")</f>
        <v>Questionnaire</v>
      </c>
      <c r="O1184" s="48" t="s">
        <v>21651</v>
      </c>
      <c r="P1184" s="60" t="s">
        <v>5094</v>
      </c>
      <c r="Q1184" s="48" t="s">
        <v>21652</v>
      </c>
      <c r="R1184" s="48" t="s">
        <v>468</v>
      </c>
      <c r="S1184" s="49" t="s">
        <v>974</v>
      </c>
      <c r="T1184" s="48" t="s">
        <v>75</v>
      </c>
      <c r="U1184" s="49" t="s">
        <v>3678</v>
      </c>
      <c r="V1184" s="7" t="s">
        <v>214</v>
      </c>
      <c r="W1184" s="49" t="s">
        <v>214</v>
      </c>
      <c r="X1184" s="49" t="s">
        <v>214</v>
      </c>
      <c r="Y1184" s="49" t="s">
        <v>214</v>
      </c>
      <c r="Z1184" s="49" t="s">
        <v>214</v>
      </c>
      <c r="AA1184" s="39">
        <v>20696</v>
      </c>
      <c r="AB1184" s="52" t="s">
        <v>21651</v>
      </c>
      <c r="AC1184" s="67" t="str">
        <f t="shared" ref="AC1184:AC1187" si="771">HYPERLINK("https://www.bryantstratton.edu/degrees","Link")</f>
        <v>Link</v>
      </c>
      <c r="AD1184" s="42">
        <v>700</v>
      </c>
      <c r="AE1184" s="55"/>
      <c r="AF1184" s="55"/>
      <c r="AG1184" s="56">
        <v>239929</v>
      </c>
      <c r="AH1184" s="56"/>
      <c r="AI1184" s="56"/>
      <c r="AJ1184" s="56"/>
      <c r="AK1184" s="56"/>
    </row>
    <row r="1185" spans="1:37" ht="15" x14ac:dyDescent="0.2">
      <c r="A1185" s="64" t="s">
        <v>5109</v>
      </c>
      <c r="B1185" s="33" t="s">
        <v>12632</v>
      </c>
      <c r="C1185" s="7" t="s">
        <v>21653</v>
      </c>
      <c r="D1185" s="112">
        <v>5</v>
      </c>
      <c r="E1185" s="7"/>
      <c r="F1185" s="7"/>
      <c r="G1185" s="2" t="s">
        <v>21648</v>
      </c>
      <c r="H1185" s="2" t="s">
        <v>2465</v>
      </c>
      <c r="I1185" s="2" t="s">
        <v>1906</v>
      </c>
      <c r="J1185" s="2" t="s">
        <v>55</v>
      </c>
      <c r="K1185" s="2" t="s">
        <v>21654</v>
      </c>
      <c r="L1185" s="2" t="s">
        <v>21655</v>
      </c>
      <c r="M1185" s="48"/>
      <c r="N1185" s="152" t="str">
        <f t="shared" si="770"/>
        <v>Questionnaire</v>
      </c>
      <c r="O1185" s="48" t="s">
        <v>21651</v>
      </c>
      <c r="P1185" s="60" t="s">
        <v>5094</v>
      </c>
      <c r="Q1185" s="48" t="s">
        <v>21652</v>
      </c>
      <c r="R1185" s="48" t="s">
        <v>468</v>
      </c>
      <c r="S1185" s="49" t="s">
        <v>974</v>
      </c>
      <c r="T1185" s="48" t="s">
        <v>75</v>
      </c>
      <c r="U1185" s="49" t="s">
        <v>3678</v>
      </c>
      <c r="V1185" s="7" t="s">
        <v>214</v>
      </c>
      <c r="W1185" s="49" t="s">
        <v>214</v>
      </c>
      <c r="X1185" s="49" t="s">
        <v>214</v>
      </c>
      <c r="Y1185" s="49" t="s">
        <v>214</v>
      </c>
      <c r="Z1185" s="49" t="s">
        <v>214</v>
      </c>
      <c r="AA1185" s="39">
        <v>20696</v>
      </c>
      <c r="AB1185" s="52" t="s">
        <v>21651</v>
      </c>
      <c r="AC1185" s="67" t="str">
        <f t="shared" si="771"/>
        <v>Link</v>
      </c>
      <c r="AD1185" s="42">
        <v>700</v>
      </c>
      <c r="AE1185" s="55"/>
      <c r="AF1185" s="55"/>
      <c r="AG1185" s="56">
        <v>239929</v>
      </c>
      <c r="AH1185" s="56"/>
      <c r="AI1185" s="56"/>
      <c r="AJ1185" s="56"/>
      <c r="AK1185" s="56"/>
    </row>
    <row r="1186" spans="1:37" ht="15" x14ac:dyDescent="0.2">
      <c r="A1186" s="64" t="s">
        <v>5109</v>
      </c>
      <c r="B1186" s="33" t="s">
        <v>12632</v>
      </c>
      <c r="C1186" s="7" t="s">
        <v>21656</v>
      </c>
      <c r="D1186" s="112">
        <v>5</v>
      </c>
      <c r="E1186" s="7"/>
      <c r="F1186" s="7"/>
      <c r="G1186" s="2" t="s">
        <v>21648</v>
      </c>
      <c r="H1186" s="2" t="s">
        <v>3642</v>
      </c>
      <c r="I1186" s="2" t="s">
        <v>21657</v>
      </c>
      <c r="J1186" s="2" t="s">
        <v>55</v>
      </c>
      <c r="K1186" s="2" t="s">
        <v>21658</v>
      </c>
      <c r="L1186" s="2" t="s">
        <v>21659</v>
      </c>
      <c r="M1186" s="48"/>
      <c r="N1186" s="152" t="str">
        <f t="shared" si="770"/>
        <v>Questionnaire</v>
      </c>
      <c r="O1186" s="48" t="s">
        <v>21651</v>
      </c>
      <c r="P1186" s="60" t="s">
        <v>5094</v>
      </c>
      <c r="Q1186" s="48" t="s">
        <v>21652</v>
      </c>
      <c r="R1186" s="48" t="s">
        <v>468</v>
      </c>
      <c r="S1186" s="49" t="s">
        <v>974</v>
      </c>
      <c r="T1186" s="48" t="s">
        <v>75</v>
      </c>
      <c r="U1186" s="49" t="s">
        <v>3678</v>
      </c>
      <c r="V1186" s="7" t="s">
        <v>214</v>
      </c>
      <c r="W1186" s="49" t="s">
        <v>214</v>
      </c>
      <c r="X1186" s="49" t="s">
        <v>214</v>
      </c>
      <c r="Y1186" s="49" t="s">
        <v>214</v>
      </c>
      <c r="Z1186" s="49" t="s">
        <v>214</v>
      </c>
      <c r="AA1186" s="39">
        <v>20696</v>
      </c>
      <c r="AB1186" s="52" t="s">
        <v>21651</v>
      </c>
      <c r="AC1186" s="67" t="str">
        <f t="shared" si="771"/>
        <v>Link</v>
      </c>
      <c r="AD1186" s="42">
        <v>700</v>
      </c>
      <c r="AE1186" s="55"/>
      <c r="AF1186" s="55"/>
      <c r="AG1186" s="56">
        <v>239929</v>
      </c>
      <c r="AH1186" s="56"/>
      <c r="AI1186" s="56"/>
      <c r="AJ1186" s="56"/>
      <c r="AK1186" s="56"/>
    </row>
    <row r="1187" spans="1:37" ht="15" x14ac:dyDescent="0.2">
      <c r="A1187" s="64" t="s">
        <v>5109</v>
      </c>
      <c r="B1187" s="33" t="s">
        <v>12632</v>
      </c>
      <c r="C1187" s="7" t="s">
        <v>21660</v>
      </c>
      <c r="D1187" s="112">
        <v>5</v>
      </c>
      <c r="E1187" s="7"/>
      <c r="F1187" s="7"/>
      <c r="G1187" s="2" t="s">
        <v>21648</v>
      </c>
      <c r="H1187" s="2" t="s">
        <v>21661</v>
      </c>
      <c r="I1187" s="2" t="s">
        <v>21662</v>
      </c>
      <c r="J1187" s="2" t="s">
        <v>919</v>
      </c>
      <c r="K1187" s="6" t="s">
        <v>21663</v>
      </c>
      <c r="L1187" s="2" t="s">
        <v>21664</v>
      </c>
      <c r="M1187" s="48"/>
      <c r="N1187" s="152" t="str">
        <f t="shared" si="770"/>
        <v>Questionnaire</v>
      </c>
      <c r="O1187" s="48" t="s">
        <v>21651</v>
      </c>
      <c r="P1187" s="60" t="s">
        <v>5094</v>
      </c>
      <c r="Q1187" s="48" t="s">
        <v>21652</v>
      </c>
      <c r="R1187" s="48" t="s">
        <v>468</v>
      </c>
      <c r="S1187" s="49" t="s">
        <v>974</v>
      </c>
      <c r="T1187" s="48" t="s">
        <v>75</v>
      </c>
      <c r="U1187" s="49" t="s">
        <v>3678</v>
      </c>
      <c r="V1187" s="7" t="s">
        <v>214</v>
      </c>
      <c r="W1187" s="49" t="s">
        <v>214</v>
      </c>
      <c r="X1187" s="49" t="s">
        <v>214</v>
      </c>
      <c r="Y1187" s="49" t="s">
        <v>214</v>
      </c>
      <c r="Z1187" s="49" t="s">
        <v>214</v>
      </c>
      <c r="AA1187" s="39">
        <v>20696</v>
      </c>
      <c r="AB1187" s="52" t="s">
        <v>21651</v>
      </c>
      <c r="AC1187" s="67" t="str">
        <f t="shared" si="771"/>
        <v>Link</v>
      </c>
      <c r="AD1187" s="42">
        <v>700</v>
      </c>
      <c r="AE1187" s="55"/>
      <c r="AF1187" s="55"/>
      <c r="AG1187" s="56">
        <v>239929</v>
      </c>
      <c r="AH1187" s="56"/>
      <c r="AI1187" s="56"/>
      <c r="AJ1187" s="56"/>
      <c r="AK1187" s="56"/>
    </row>
    <row r="1188" spans="1:37" ht="15" x14ac:dyDescent="0.2">
      <c r="A1188" s="64" t="s">
        <v>5109</v>
      </c>
      <c r="B1188" s="33" t="s">
        <v>12632</v>
      </c>
      <c r="C1188" s="7" t="s">
        <v>21665</v>
      </c>
      <c r="D1188" s="112">
        <v>5</v>
      </c>
      <c r="E1188" s="7"/>
      <c r="F1188" s="7"/>
      <c r="G1188" s="2" t="s">
        <v>21666</v>
      </c>
      <c r="H1188" s="2" t="s">
        <v>12953</v>
      </c>
      <c r="I1188" s="2" t="s">
        <v>21667</v>
      </c>
      <c r="J1188" s="2" t="s">
        <v>48</v>
      </c>
      <c r="K1188" s="2" t="s">
        <v>21668</v>
      </c>
      <c r="L1188" s="2" t="s">
        <v>21669</v>
      </c>
      <c r="M1188" s="150" t="str">
        <f t="shared" ref="M1188:M1192" si="772">HYPERLINK("twitter.com/packwsoftball","@packwsoftball")</f>
        <v>@packwsoftball</v>
      </c>
      <c r="N1188" s="48" t="s">
        <v>22</v>
      </c>
      <c r="O1188" s="48" t="s">
        <v>21666</v>
      </c>
      <c r="P1188" s="60" t="s">
        <v>5094</v>
      </c>
      <c r="Q1188" s="48" t="s">
        <v>1905</v>
      </c>
      <c r="R1188" s="48" t="s">
        <v>62</v>
      </c>
      <c r="S1188" s="5" t="s">
        <v>74</v>
      </c>
      <c r="T1188" s="48" t="s">
        <v>75</v>
      </c>
      <c r="U1188" s="49" t="s">
        <v>3678</v>
      </c>
      <c r="V1188" s="7" t="s">
        <v>214</v>
      </c>
      <c r="W1188" s="49" t="s">
        <v>214</v>
      </c>
      <c r="X1188" s="49" t="s">
        <v>214</v>
      </c>
      <c r="Y1188" s="49" t="s">
        <v>214</v>
      </c>
      <c r="Z1188" s="55" t="s">
        <v>214</v>
      </c>
      <c r="AA1188" s="48" t="s">
        <v>21670</v>
      </c>
      <c r="AB1188" s="84" t="s">
        <v>21666</v>
      </c>
      <c r="AC1188" s="67" t="str">
        <f t="shared" ref="AC1188:AC1192" si="773">HYPERLINK("https://madisoncollege.edu/careers-programs-classes","Link")</f>
        <v>Link</v>
      </c>
      <c r="AD1188" s="42">
        <v>15616</v>
      </c>
      <c r="AE1188" s="55"/>
      <c r="AF1188" s="55"/>
      <c r="AG1188" s="56">
        <v>238263</v>
      </c>
      <c r="AH1188" s="56"/>
      <c r="AI1188" s="56"/>
      <c r="AJ1188" s="56"/>
      <c r="AK1188" s="56"/>
    </row>
    <row r="1189" spans="1:37" ht="15" x14ac:dyDescent="0.2">
      <c r="A1189" s="64" t="s">
        <v>5109</v>
      </c>
      <c r="B1189" s="33" t="s">
        <v>12632</v>
      </c>
      <c r="C1189" s="7" t="s">
        <v>21671</v>
      </c>
      <c r="D1189" s="112">
        <v>5</v>
      </c>
      <c r="E1189" s="7"/>
      <c r="F1189" s="7"/>
      <c r="G1189" s="2" t="s">
        <v>21666</v>
      </c>
      <c r="H1189" s="2" t="s">
        <v>754</v>
      </c>
      <c r="I1189" s="2" t="s">
        <v>21672</v>
      </c>
      <c r="J1189" s="2" t="s">
        <v>55</v>
      </c>
      <c r="K1189" s="2" t="s">
        <v>21673</v>
      </c>
      <c r="L1189" s="2" t="s">
        <v>21674</v>
      </c>
      <c r="M1189" s="150" t="str">
        <f t="shared" si="772"/>
        <v>@packwsoftball</v>
      </c>
      <c r="N1189" s="48" t="s">
        <v>22</v>
      </c>
      <c r="O1189" s="48" t="s">
        <v>21666</v>
      </c>
      <c r="P1189" s="60" t="s">
        <v>5094</v>
      </c>
      <c r="Q1189" s="48" t="s">
        <v>1905</v>
      </c>
      <c r="R1189" s="48" t="s">
        <v>62</v>
      </c>
      <c r="S1189" s="5" t="s">
        <v>74</v>
      </c>
      <c r="T1189" s="48" t="s">
        <v>75</v>
      </c>
      <c r="U1189" s="49" t="s">
        <v>3678</v>
      </c>
      <c r="V1189" s="7" t="s">
        <v>214</v>
      </c>
      <c r="W1189" s="49" t="s">
        <v>214</v>
      </c>
      <c r="X1189" s="49" t="s">
        <v>214</v>
      </c>
      <c r="Y1189" s="49" t="s">
        <v>214</v>
      </c>
      <c r="Z1189" s="55" t="s">
        <v>214</v>
      </c>
      <c r="AA1189" s="48" t="s">
        <v>21670</v>
      </c>
      <c r="AB1189" s="84" t="s">
        <v>21666</v>
      </c>
      <c r="AC1189" s="67" t="str">
        <f t="shared" si="773"/>
        <v>Link</v>
      </c>
      <c r="AD1189" s="42">
        <v>15616</v>
      </c>
      <c r="AE1189" s="55"/>
      <c r="AF1189" s="55"/>
      <c r="AG1189" s="56">
        <v>238263</v>
      </c>
      <c r="AH1189" s="56"/>
      <c r="AI1189" s="56"/>
      <c r="AJ1189" s="56"/>
      <c r="AK1189" s="56"/>
    </row>
    <row r="1190" spans="1:37" ht="15" x14ac:dyDescent="0.2">
      <c r="A1190" s="64" t="s">
        <v>5109</v>
      </c>
      <c r="B1190" s="33" t="s">
        <v>12632</v>
      </c>
      <c r="C1190" s="7" t="s">
        <v>21675</v>
      </c>
      <c r="D1190" s="112">
        <v>5</v>
      </c>
      <c r="E1190" s="7"/>
      <c r="F1190" s="7"/>
      <c r="G1190" s="2" t="s">
        <v>21666</v>
      </c>
      <c r="H1190" s="2" t="s">
        <v>1610</v>
      </c>
      <c r="I1190" s="2" t="s">
        <v>21676</v>
      </c>
      <c r="J1190" s="2" t="s">
        <v>55</v>
      </c>
      <c r="K1190" s="2" t="s">
        <v>21677</v>
      </c>
      <c r="L1190" s="2" t="s">
        <v>21678</v>
      </c>
      <c r="M1190" s="150" t="str">
        <f t="shared" si="772"/>
        <v>@packwsoftball</v>
      </c>
      <c r="N1190" s="48" t="s">
        <v>22</v>
      </c>
      <c r="O1190" s="48" t="s">
        <v>21666</v>
      </c>
      <c r="P1190" s="60" t="s">
        <v>5094</v>
      </c>
      <c r="Q1190" s="48" t="s">
        <v>1905</v>
      </c>
      <c r="R1190" s="48" t="s">
        <v>62</v>
      </c>
      <c r="S1190" s="5" t="s">
        <v>74</v>
      </c>
      <c r="T1190" s="48" t="s">
        <v>75</v>
      </c>
      <c r="U1190" s="49" t="s">
        <v>3678</v>
      </c>
      <c r="V1190" s="7" t="s">
        <v>214</v>
      </c>
      <c r="W1190" s="49" t="s">
        <v>214</v>
      </c>
      <c r="X1190" s="49" t="s">
        <v>214</v>
      </c>
      <c r="Y1190" s="49" t="s">
        <v>214</v>
      </c>
      <c r="Z1190" s="55" t="s">
        <v>214</v>
      </c>
      <c r="AA1190" s="48" t="s">
        <v>21670</v>
      </c>
      <c r="AB1190" s="84" t="s">
        <v>21666</v>
      </c>
      <c r="AC1190" s="67" t="str">
        <f t="shared" si="773"/>
        <v>Link</v>
      </c>
      <c r="AD1190" s="42">
        <v>15616</v>
      </c>
      <c r="AE1190" s="55"/>
      <c r="AF1190" s="55"/>
      <c r="AG1190" s="56">
        <v>238263</v>
      </c>
      <c r="AH1190" s="56"/>
      <c r="AI1190" s="56"/>
      <c r="AJ1190" s="56"/>
      <c r="AK1190" s="56"/>
    </row>
    <row r="1191" spans="1:37" ht="15" x14ac:dyDescent="0.2">
      <c r="A1191" s="64" t="s">
        <v>5109</v>
      </c>
      <c r="B1191" s="33" t="s">
        <v>12632</v>
      </c>
      <c r="C1191" s="7" t="s">
        <v>21679</v>
      </c>
      <c r="D1191" s="112">
        <v>5</v>
      </c>
      <c r="E1191" s="7"/>
      <c r="F1191" s="7"/>
      <c r="G1191" s="2" t="s">
        <v>21666</v>
      </c>
      <c r="H1191" s="2" t="s">
        <v>991</v>
      </c>
      <c r="I1191" s="2" t="s">
        <v>21680</v>
      </c>
      <c r="J1191" s="2" t="s">
        <v>55</v>
      </c>
      <c r="K1191" s="2" t="s">
        <v>21681</v>
      </c>
      <c r="L1191" s="2" t="s">
        <v>21682</v>
      </c>
      <c r="M1191" s="150" t="str">
        <f t="shared" si="772"/>
        <v>@packwsoftball</v>
      </c>
      <c r="N1191" s="48" t="s">
        <v>22</v>
      </c>
      <c r="O1191" s="48" t="s">
        <v>21666</v>
      </c>
      <c r="P1191" s="60" t="s">
        <v>5094</v>
      </c>
      <c r="Q1191" s="48" t="s">
        <v>1905</v>
      </c>
      <c r="R1191" s="48" t="s">
        <v>62</v>
      </c>
      <c r="S1191" s="5" t="s">
        <v>74</v>
      </c>
      <c r="T1191" s="48" t="s">
        <v>75</v>
      </c>
      <c r="U1191" s="49" t="s">
        <v>3678</v>
      </c>
      <c r="V1191" s="7" t="s">
        <v>214</v>
      </c>
      <c r="W1191" s="49" t="s">
        <v>214</v>
      </c>
      <c r="X1191" s="49" t="s">
        <v>214</v>
      </c>
      <c r="Y1191" s="49" t="s">
        <v>214</v>
      </c>
      <c r="Z1191" s="55" t="s">
        <v>214</v>
      </c>
      <c r="AA1191" s="48" t="s">
        <v>21670</v>
      </c>
      <c r="AB1191" s="84" t="s">
        <v>21666</v>
      </c>
      <c r="AC1191" s="67" t="str">
        <f t="shared" si="773"/>
        <v>Link</v>
      </c>
      <c r="AD1191" s="42">
        <v>15616</v>
      </c>
      <c r="AE1191" s="55"/>
      <c r="AF1191" s="55"/>
      <c r="AG1191" s="56">
        <v>238263</v>
      </c>
      <c r="AH1191" s="56"/>
      <c r="AI1191" s="56"/>
      <c r="AJ1191" s="56"/>
      <c r="AK1191" s="56"/>
    </row>
    <row r="1192" spans="1:37" ht="15" x14ac:dyDescent="0.2">
      <c r="A1192" s="64" t="s">
        <v>5109</v>
      </c>
      <c r="B1192" s="33" t="s">
        <v>12632</v>
      </c>
      <c r="C1192" s="7" t="s">
        <v>21683</v>
      </c>
      <c r="D1192" s="112">
        <v>5</v>
      </c>
      <c r="E1192" s="7"/>
      <c r="F1192" s="7"/>
      <c r="G1192" s="2" t="s">
        <v>21666</v>
      </c>
      <c r="H1192" s="2" t="s">
        <v>2127</v>
      </c>
      <c r="I1192" s="2" t="s">
        <v>21684</v>
      </c>
      <c r="J1192" s="2" t="s">
        <v>55</v>
      </c>
      <c r="K1192" s="95" t="s">
        <v>21685</v>
      </c>
      <c r="L1192" s="2" t="s">
        <v>21686</v>
      </c>
      <c r="M1192" s="150" t="str">
        <f t="shared" si="772"/>
        <v>@packwsoftball</v>
      </c>
      <c r="N1192" s="48" t="s">
        <v>22</v>
      </c>
      <c r="O1192" s="48" t="s">
        <v>21666</v>
      </c>
      <c r="P1192" s="60" t="s">
        <v>5094</v>
      </c>
      <c r="Q1192" s="48" t="s">
        <v>1905</v>
      </c>
      <c r="R1192" s="48" t="s">
        <v>62</v>
      </c>
      <c r="S1192" s="5" t="s">
        <v>74</v>
      </c>
      <c r="T1192" s="48" t="s">
        <v>75</v>
      </c>
      <c r="U1192" s="49" t="s">
        <v>3678</v>
      </c>
      <c r="V1192" s="7" t="s">
        <v>214</v>
      </c>
      <c r="W1192" s="49" t="s">
        <v>214</v>
      </c>
      <c r="X1192" s="49" t="s">
        <v>214</v>
      </c>
      <c r="Y1192" s="49" t="s">
        <v>214</v>
      </c>
      <c r="Z1192" s="55" t="s">
        <v>214</v>
      </c>
      <c r="AA1192" s="48" t="s">
        <v>21670</v>
      </c>
      <c r="AB1192" s="84" t="s">
        <v>21666</v>
      </c>
      <c r="AC1192" s="67" t="str">
        <f t="shared" si="773"/>
        <v>Link</v>
      </c>
      <c r="AD1192" s="42">
        <v>15616</v>
      </c>
      <c r="AE1192" s="55"/>
      <c r="AF1192" s="55"/>
      <c r="AG1192" s="56">
        <v>238263</v>
      </c>
      <c r="AH1192" s="56"/>
      <c r="AI1192" s="56"/>
      <c r="AJ1192" s="56"/>
      <c r="AK1192" s="56"/>
    </row>
    <row r="1193" spans="1:37" ht="15" x14ac:dyDescent="0.2">
      <c r="A1193" s="64" t="s">
        <v>5109</v>
      </c>
      <c r="B1193" s="33" t="s">
        <v>12632</v>
      </c>
      <c r="C1193" s="7" t="s">
        <v>21687</v>
      </c>
      <c r="D1193" s="112">
        <v>5</v>
      </c>
      <c r="E1193" s="7"/>
      <c r="F1193" s="7"/>
      <c r="G1193" s="2" t="s">
        <v>21688</v>
      </c>
      <c r="H1193" s="2" t="s">
        <v>1610</v>
      </c>
      <c r="I1193" s="2" t="s">
        <v>3303</v>
      </c>
      <c r="J1193" s="2" t="s">
        <v>48</v>
      </c>
      <c r="K1193" s="2" t="s">
        <v>21689</v>
      </c>
      <c r="L1193" s="2" t="s">
        <v>21690</v>
      </c>
      <c r="M1193" s="48"/>
      <c r="N1193" s="48" t="s">
        <v>22</v>
      </c>
      <c r="O1193" s="48" t="s">
        <v>21691</v>
      </c>
      <c r="P1193" s="60" t="s">
        <v>5094</v>
      </c>
      <c r="Q1193" s="48" t="s">
        <v>16172</v>
      </c>
      <c r="R1193" s="48" t="s">
        <v>354</v>
      </c>
      <c r="S1193" s="49" t="s">
        <v>74</v>
      </c>
      <c r="T1193" s="48" t="s">
        <v>75</v>
      </c>
      <c r="U1193" s="49" t="s">
        <v>3678</v>
      </c>
      <c r="V1193" s="7" t="s">
        <v>214</v>
      </c>
      <c r="W1193" s="49" t="s">
        <v>214</v>
      </c>
      <c r="X1193" s="49" t="s">
        <v>214</v>
      </c>
      <c r="Y1193" s="49" t="s">
        <v>214</v>
      </c>
      <c r="Z1193" s="55" t="s">
        <v>214</v>
      </c>
      <c r="AA1193" s="48" t="s">
        <v>21692</v>
      </c>
      <c r="AB1193" s="84" t="s">
        <v>21691</v>
      </c>
      <c r="AC1193" s="67" t="str">
        <f>HYPERLINK("https://www.matc.edu/student/offerings/Degrees.cfm","Link")</f>
        <v>Link</v>
      </c>
      <c r="AD1193" s="42">
        <v>15057</v>
      </c>
      <c r="AE1193" s="55"/>
      <c r="AF1193" s="55"/>
      <c r="AG1193" s="56">
        <v>239248</v>
      </c>
      <c r="AH1193" s="56"/>
      <c r="AI1193" s="56"/>
      <c r="AJ1193" s="56"/>
      <c r="AK1193" s="56"/>
    </row>
    <row r="1194" spans="1:37" ht="13" x14ac:dyDescent="0.15">
      <c r="A1194" s="110" t="s">
        <v>5109</v>
      </c>
      <c r="B1194" s="2" t="s">
        <v>12632</v>
      </c>
      <c r="C1194" s="7"/>
      <c r="D1194" s="37">
        <v>4</v>
      </c>
      <c r="E1194" s="7"/>
      <c r="F1194" s="37"/>
      <c r="G1194" s="2" t="s">
        <v>21693</v>
      </c>
      <c r="H1194" s="2" t="s">
        <v>3108</v>
      </c>
      <c r="I1194" s="2" t="s">
        <v>21694</v>
      </c>
      <c r="J1194" s="2" t="s">
        <v>48</v>
      </c>
      <c r="K1194" s="2" t="s">
        <v>21695</v>
      </c>
      <c r="L1194" s="2"/>
      <c r="M1194" s="48"/>
      <c r="N1194" s="48" t="s">
        <v>22</v>
      </c>
      <c r="O1194" s="48" t="s">
        <v>21696</v>
      </c>
      <c r="P1194" s="60" t="s">
        <v>5094</v>
      </c>
      <c r="Q1194" s="6" t="s">
        <v>16921</v>
      </c>
      <c r="R1194" s="6" t="s">
        <v>186</v>
      </c>
      <c r="S1194" s="4" t="s">
        <v>74</v>
      </c>
      <c r="T1194" s="7" t="s">
        <v>75</v>
      </c>
      <c r="U1194" s="7" t="s">
        <v>3678</v>
      </c>
      <c r="V1194" s="7" t="s">
        <v>214</v>
      </c>
      <c r="W1194" s="4" t="s">
        <v>214</v>
      </c>
      <c r="X1194" s="4" t="s">
        <v>214</v>
      </c>
      <c r="Y1194" s="4" t="s">
        <v>214</v>
      </c>
      <c r="Z1194" s="55" t="s">
        <v>214</v>
      </c>
      <c r="AA1194" s="6" t="s">
        <v>21697</v>
      </c>
      <c r="AB1194" s="90" t="s">
        <v>21696</v>
      </c>
      <c r="AC1194" s="67" t="str">
        <f t="shared" ref="AC1194:AC1195" si="774">HYPERLINK("https://www.westerntech.edu/areas-of-study/","Link")</f>
        <v>Link</v>
      </c>
      <c r="AD1194" s="42">
        <v>4272</v>
      </c>
      <c r="AE1194" s="55"/>
      <c r="AF1194" s="7"/>
      <c r="AG1194" s="56">
        <v>240170</v>
      </c>
      <c r="AH1194" s="7" t="s">
        <v>2459</v>
      </c>
      <c r="AI1194" s="7"/>
      <c r="AJ1194" s="7"/>
      <c r="AK1194" s="7"/>
    </row>
    <row r="1195" spans="1:37" ht="13" x14ac:dyDescent="0.15">
      <c r="A1195" s="110" t="s">
        <v>5109</v>
      </c>
      <c r="B1195" s="2" t="s">
        <v>12632</v>
      </c>
      <c r="C1195" s="7"/>
      <c r="D1195" s="37">
        <v>4</v>
      </c>
      <c r="E1195" s="7"/>
      <c r="F1195" s="37"/>
      <c r="G1195" s="2" t="s">
        <v>21693</v>
      </c>
      <c r="H1195" s="2" t="s">
        <v>150</v>
      </c>
      <c r="I1195" s="2" t="s">
        <v>21698</v>
      </c>
      <c r="J1195" s="2" t="s">
        <v>55</v>
      </c>
      <c r="K1195" s="2"/>
      <c r="L1195" s="2"/>
      <c r="M1195" s="48"/>
      <c r="N1195" s="48" t="s">
        <v>22</v>
      </c>
      <c r="O1195" s="48" t="s">
        <v>21696</v>
      </c>
      <c r="P1195" s="60" t="s">
        <v>5094</v>
      </c>
      <c r="Q1195" s="6" t="s">
        <v>16921</v>
      </c>
      <c r="R1195" s="6" t="s">
        <v>186</v>
      </c>
      <c r="S1195" s="4" t="s">
        <v>74</v>
      </c>
      <c r="T1195" s="7" t="s">
        <v>75</v>
      </c>
      <c r="U1195" s="7" t="s">
        <v>3678</v>
      </c>
      <c r="V1195" s="7" t="s">
        <v>214</v>
      </c>
      <c r="W1195" s="4" t="s">
        <v>214</v>
      </c>
      <c r="X1195" s="4" t="s">
        <v>214</v>
      </c>
      <c r="Y1195" s="4" t="s">
        <v>214</v>
      </c>
      <c r="Z1195" s="55" t="s">
        <v>214</v>
      </c>
      <c r="AA1195" s="6" t="s">
        <v>21697</v>
      </c>
      <c r="AB1195" s="90" t="s">
        <v>21696</v>
      </c>
      <c r="AC1195" s="67" t="str">
        <f t="shared" si="774"/>
        <v>Link</v>
      </c>
      <c r="AD1195" s="42">
        <v>4272</v>
      </c>
      <c r="AE1195" s="55"/>
      <c r="AF1195" s="7"/>
      <c r="AG1195" s="56">
        <v>240170</v>
      </c>
      <c r="AH1195" s="7" t="s">
        <v>2459</v>
      </c>
      <c r="AI1195" s="7"/>
      <c r="AJ1195" s="7"/>
      <c r="AK1195" s="7"/>
    </row>
    <row r="1196" spans="1:37" ht="13" x14ac:dyDescent="0.15">
      <c r="A1196" s="110" t="s">
        <v>21699</v>
      </c>
      <c r="B1196" s="2" t="s">
        <v>12632</v>
      </c>
      <c r="C1196" s="7"/>
      <c r="D1196" s="37">
        <v>4</v>
      </c>
      <c r="E1196" s="7"/>
      <c r="F1196" s="7"/>
      <c r="G1196" s="2" t="s">
        <v>21700</v>
      </c>
      <c r="H1196" s="2" t="s">
        <v>754</v>
      </c>
      <c r="I1196" s="2" t="s">
        <v>21701</v>
      </c>
      <c r="J1196" s="2" t="s">
        <v>48</v>
      </c>
      <c r="K1196" s="2" t="s">
        <v>21702</v>
      </c>
      <c r="L1196" s="2" t="s">
        <v>21703</v>
      </c>
      <c r="M1196" s="48"/>
      <c r="N1196" s="114" t="str">
        <f t="shared" ref="N1196:N1198" si="775">HYPERLINK("https://docs.google.com/forms/d/e/1FAIpQLSdySOQW66ak9ZWGfQCIgs4RUsCpREyv5KWxE6Nv2q8DsvMrnA/viewform","Questionnaire")</f>
        <v>Questionnaire</v>
      </c>
      <c r="O1196" s="48" t="s">
        <v>21704</v>
      </c>
      <c r="P1196" s="60" t="s">
        <v>21705</v>
      </c>
      <c r="Q1196" s="6" t="s">
        <v>21706</v>
      </c>
      <c r="R1196" s="6" t="s">
        <v>172</v>
      </c>
      <c r="S1196" s="4" t="s">
        <v>74</v>
      </c>
      <c r="T1196" s="48" t="s">
        <v>75</v>
      </c>
      <c r="U1196" s="49" t="s">
        <v>3678</v>
      </c>
      <c r="V1196" s="7" t="s">
        <v>214</v>
      </c>
      <c r="W1196" s="4" t="s">
        <v>214</v>
      </c>
      <c r="X1196" s="4" t="s">
        <v>214</v>
      </c>
      <c r="Y1196" s="4" t="s">
        <v>214</v>
      </c>
      <c r="Z1196" s="4" t="s">
        <v>214</v>
      </c>
      <c r="AA1196" s="6" t="s">
        <v>21707</v>
      </c>
      <c r="AB1196" s="90" t="s">
        <v>21704</v>
      </c>
      <c r="AC1196" s="67" t="str">
        <f t="shared" ref="AC1196:AC1198" si="776">HYPERLINK("https://www.westernwyoming.edu/academics/","Link")</f>
        <v>Link</v>
      </c>
      <c r="AD1196" s="42">
        <v>3462</v>
      </c>
      <c r="AE1196" s="55"/>
      <c r="AF1196" s="55"/>
      <c r="AG1196" s="56">
        <v>240693</v>
      </c>
      <c r="AH1196" s="7" t="s">
        <v>2459</v>
      </c>
      <c r="AI1196" s="7"/>
      <c r="AJ1196" s="7"/>
      <c r="AK1196" s="7"/>
    </row>
    <row r="1197" spans="1:37" ht="13" x14ac:dyDescent="0.15">
      <c r="A1197" s="110" t="s">
        <v>21699</v>
      </c>
      <c r="B1197" s="2" t="s">
        <v>12632</v>
      </c>
      <c r="C1197" s="7"/>
      <c r="D1197" s="37">
        <v>4</v>
      </c>
      <c r="E1197" s="7"/>
      <c r="F1197" s="7"/>
      <c r="G1197" s="2" t="s">
        <v>21700</v>
      </c>
      <c r="H1197" s="2" t="s">
        <v>93</v>
      </c>
      <c r="I1197" s="2" t="s">
        <v>21708</v>
      </c>
      <c r="J1197" s="2" t="s">
        <v>55</v>
      </c>
      <c r="K1197" s="2"/>
      <c r="L1197" s="2"/>
      <c r="M1197" s="48"/>
      <c r="N1197" s="114" t="str">
        <f t="shared" si="775"/>
        <v>Questionnaire</v>
      </c>
      <c r="O1197" s="48" t="s">
        <v>21704</v>
      </c>
      <c r="P1197" s="60" t="s">
        <v>21705</v>
      </c>
      <c r="Q1197" s="6" t="s">
        <v>21706</v>
      </c>
      <c r="R1197" s="6" t="s">
        <v>172</v>
      </c>
      <c r="S1197" s="4" t="s">
        <v>74</v>
      </c>
      <c r="T1197" s="48" t="s">
        <v>75</v>
      </c>
      <c r="U1197" s="49" t="s">
        <v>3678</v>
      </c>
      <c r="V1197" s="7" t="s">
        <v>214</v>
      </c>
      <c r="W1197" s="4" t="s">
        <v>214</v>
      </c>
      <c r="X1197" s="4" t="s">
        <v>214</v>
      </c>
      <c r="Y1197" s="4" t="s">
        <v>214</v>
      </c>
      <c r="Z1197" s="4" t="s">
        <v>214</v>
      </c>
      <c r="AA1197" s="6" t="s">
        <v>21707</v>
      </c>
      <c r="AB1197" s="90" t="s">
        <v>21704</v>
      </c>
      <c r="AC1197" s="67" t="str">
        <f t="shared" si="776"/>
        <v>Link</v>
      </c>
      <c r="AD1197" s="42">
        <v>3462</v>
      </c>
      <c r="AE1197" s="55"/>
      <c r="AF1197" s="55"/>
      <c r="AG1197" s="56">
        <v>240693</v>
      </c>
      <c r="AH1197" s="7" t="s">
        <v>2459</v>
      </c>
      <c r="AI1197" s="7"/>
      <c r="AJ1197" s="7"/>
      <c r="AK1197" s="7"/>
    </row>
    <row r="1198" spans="1:37" ht="13" x14ac:dyDescent="0.15">
      <c r="A1198" s="110" t="s">
        <v>21699</v>
      </c>
      <c r="B1198" s="2" t="s">
        <v>12632</v>
      </c>
      <c r="C1198" s="7"/>
      <c r="D1198" s="37">
        <v>4</v>
      </c>
      <c r="E1198" s="7"/>
      <c r="F1198" s="7"/>
      <c r="G1198" s="2" t="s">
        <v>21700</v>
      </c>
      <c r="H1198" s="2" t="s">
        <v>222</v>
      </c>
      <c r="I1198" s="2" t="s">
        <v>3632</v>
      </c>
      <c r="J1198" s="2" t="s">
        <v>55</v>
      </c>
      <c r="K1198" s="2"/>
      <c r="L1198" s="2"/>
      <c r="M1198" s="48"/>
      <c r="N1198" s="114" t="str">
        <f t="shared" si="775"/>
        <v>Questionnaire</v>
      </c>
      <c r="O1198" s="48" t="s">
        <v>21704</v>
      </c>
      <c r="P1198" s="60" t="s">
        <v>21705</v>
      </c>
      <c r="Q1198" s="6" t="s">
        <v>21706</v>
      </c>
      <c r="R1198" s="6" t="s">
        <v>172</v>
      </c>
      <c r="S1198" s="4" t="s">
        <v>74</v>
      </c>
      <c r="T1198" s="48" t="s">
        <v>75</v>
      </c>
      <c r="U1198" s="49" t="s">
        <v>3678</v>
      </c>
      <c r="V1198" s="7" t="s">
        <v>214</v>
      </c>
      <c r="W1198" s="4" t="s">
        <v>214</v>
      </c>
      <c r="X1198" s="4" t="s">
        <v>214</v>
      </c>
      <c r="Y1198" s="4" t="s">
        <v>214</v>
      </c>
      <c r="Z1198" s="4" t="s">
        <v>214</v>
      </c>
      <c r="AA1198" s="6" t="s">
        <v>21707</v>
      </c>
      <c r="AB1198" s="90" t="s">
        <v>21704</v>
      </c>
      <c r="AC1198" s="67" t="str">
        <f t="shared" si="776"/>
        <v>Link</v>
      </c>
      <c r="AD1198" s="42">
        <v>3462</v>
      </c>
      <c r="AE1198" s="55"/>
      <c r="AF1198" s="55"/>
      <c r="AG1198" s="56">
        <v>240693</v>
      </c>
      <c r="AH1198" s="7" t="s">
        <v>2459</v>
      </c>
      <c r="AI1198" s="7"/>
      <c r="AJ1198" s="7"/>
      <c r="AK1198" s="7"/>
    </row>
  </sheetData>
  <mergeCells count="1">
    <mergeCell ref="A1:I1"/>
  </mergeCells>
  <hyperlinks>
    <hyperlink ref="K632" r:id="rId1" xr:uid="{00000000-0004-0000-0300-000000000000}"/>
    <hyperlink ref="K633" r:id="rId2" xr:uid="{00000000-0004-0000-0300-000001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O1198"/>
  <sheetViews>
    <sheetView tabSelected="1" workbookViewId="0">
      <selection sqref="A1:J1"/>
    </sheetView>
  </sheetViews>
  <sheetFormatPr baseColWidth="10" defaultColWidth="14.5" defaultRowHeight="15.75" customHeight="1" x14ac:dyDescent="0.15"/>
  <cols>
    <col min="1" max="1" width="17" style="3" customWidth="1"/>
    <col min="2" max="2" width="14.6640625" style="3" customWidth="1"/>
    <col min="3" max="3" width="8.5" style="3" customWidth="1"/>
    <col min="4" max="4" width="9.83203125" style="3" customWidth="1"/>
    <col min="5" max="6" width="10.83203125" style="3" customWidth="1"/>
    <col min="7" max="7" width="13.5" style="3" customWidth="1"/>
    <col min="8" max="8" width="53.5" style="3" customWidth="1"/>
    <col min="9" max="9" width="35.6640625" style="3" customWidth="1"/>
    <col min="10" max="10" width="17.5" style="3" customWidth="1"/>
    <col min="11" max="11" width="25.5" style="3" customWidth="1"/>
    <col min="12" max="12" width="36.1640625" style="3" customWidth="1"/>
    <col min="13" max="13" width="30" style="3" customWidth="1"/>
    <col min="14" max="14" width="17.5" style="3" customWidth="1"/>
    <col min="15" max="15" width="13.5" style="3" customWidth="1"/>
    <col min="16" max="16" width="21.83203125" style="3" customWidth="1"/>
    <col min="17" max="17" width="8.5" style="3" customWidth="1"/>
    <col min="18" max="18" width="19" style="3" customWidth="1"/>
    <col min="19" max="19" width="16.6640625" style="3" customWidth="1"/>
    <col min="20" max="20" width="20.1640625" style="3" customWidth="1"/>
    <col min="21" max="21" width="44.5" style="3" customWidth="1"/>
    <col min="22" max="22" width="19.6640625" style="3" customWidth="1"/>
    <col min="23" max="23" width="14.33203125" style="3" customWidth="1"/>
    <col min="24" max="25" width="27.1640625" style="3" customWidth="1"/>
    <col min="26" max="26" width="19.83203125" style="3" customWidth="1"/>
    <col min="27" max="27" width="16" style="3" customWidth="1"/>
    <col min="28" max="28" width="43.5" style="3" customWidth="1"/>
    <col min="29" max="29" width="35.5" style="3" customWidth="1"/>
    <col min="30" max="30" width="14" style="3" customWidth="1"/>
    <col min="31" max="31" width="17.1640625" style="3" customWidth="1"/>
    <col min="32" max="32" width="17.33203125" style="3" customWidth="1"/>
    <col min="33" max="33" width="24.5" style="3" customWidth="1"/>
    <col min="34" max="34" width="14.6640625" style="3" customWidth="1"/>
    <col min="35" max="35" width="4.1640625" style="3" customWidth="1"/>
    <col min="36" max="41" width="3" style="3" customWidth="1"/>
    <col min="42" max="16384" width="14.5" style="3"/>
  </cols>
  <sheetData>
    <row r="1" spans="1:41" ht="30" customHeight="1" x14ac:dyDescent="0.35">
      <c r="A1" s="1" t="s">
        <v>15218</v>
      </c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2"/>
      <c r="N1" s="2"/>
      <c r="O1" s="2"/>
      <c r="P1" s="2"/>
      <c r="Q1" s="2"/>
      <c r="R1" s="2"/>
      <c r="S1" s="6"/>
      <c r="T1" s="4"/>
      <c r="U1" s="2"/>
      <c r="V1" s="2"/>
      <c r="W1" s="2"/>
      <c r="X1" s="2"/>
      <c r="Y1" s="2"/>
      <c r="Z1" s="2"/>
      <c r="AA1" s="8"/>
      <c r="AB1" s="6"/>
      <c r="AC1" s="2"/>
      <c r="AD1" s="7"/>
      <c r="AE1" s="8"/>
      <c r="AF1" s="8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6"/>
      <c r="T2" s="4"/>
      <c r="U2" s="2"/>
      <c r="V2" s="2"/>
      <c r="W2" s="2"/>
      <c r="X2" s="2"/>
      <c r="Y2" s="2"/>
      <c r="Z2" s="2"/>
      <c r="AA2" s="8"/>
      <c r="AB2" s="6"/>
      <c r="AC2" s="2"/>
      <c r="AD2" s="7"/>
      <c r="AE2" s="8"/>
      <c r="AF2" s="8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1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99" t="s">
        <v>3</v>
      </c>
      <c r="R3" s="2"/>
      <c r="S3" s="6"/>
      <c r="T3" s="100" t="s">
        <v>4</v>
      </c>
      <c r="U3" s="2"/>
      <c r="V3" s="2"/>
      <c r="W3" s="31" t="s">
        <v>5</v>
      </c>
      <c r="X3" s="2"/>
      <c r="Y3" s="2"/>
      <c r="Z3" s="2"/>
      <c r="AA3" s="76" t="s">
        <v>6</v>
      </c>
      <c r="AB3" s="6"/>
      <c r="AC3" s="2"/>
      <c r="AD3" s="55"/>
      <c r="AE3" s="8"/>
      <c r="AF3" s="31" t="s">
        <v>7</v>
      </c>
      <c r="AG3" s="2"/>
      <c r="AH3" s="2"/>
      <c r="AI3" s="2"/>
      <c r="AJ3" s="2"/>
      <c r="AK3" s="2"/>
      <c r="AL3" s="2"/>
      <c r="AM3" s="2"/>
      <c r="AN3" s="2"/>
      <c r="AO3" s="2"/>
    </row>
    <row r="4" spans="1:41" ht="15.75" customHeight="1" x14ac:dyDescent="0.15">
      <c r="A4" s="154" t="s">
        <v>8</v>
      </c>
      <c r="B4" s="31" t="s">
        <v>9</v>
      </c>
      <c r="C4" s="20" t="s">
        <v>10</v>
      </c>
      <c r="D4" s="20" t="s">
        <v>12</v>
      </c>
      <c r="E4" s="20" t="s">
        <v>11</v>
      </c>
      <c r="F4" s="20" t="s">
        <v>13</v>
      </c>
      <c r="G4" s="20" t="s">
        <v>14</v>
      </c>
      <c r="H4" s="31" t="s">
        <v>15</v>
      </c>
      <c r="I4" s="31" t="s">
        <v>16</v>
      </c>
      <c r="J4" s="31" t="s">
        <v>17</v>
      </c>
      <c r="K4" s="31" t="s">
        <v>18</v>
      </c>
      <c r="L4" s="31" t="s">
        <v>19</v>
      </c>
      <c r="M4" s="31" t="s">
        <v>20</v>
      </c>
      <c r="N4" s="155" t="s">
        <v>21</v>
      </c>
      <c r="O4" s="155" t="s">
        <v>22</v>
      </c>
      <c r="P4" s="64" t="s">
        <v>15</v>
      </c>
      <c r="Q4" s="64" t="s">
        <v>9</v>
      </c>
      <c r="R4" s="31" t="s">
        <v>23</v>
      </c>
      <c r="S4" s="105" t="s">
        <v>24</v>
      </c>
      <c r="T4" s="100" t="s">
        <v>25</v>
      </c>
      <c r="U4" s="106" t="s">
        <v>26</v>
      </c>
      <c r="V4" s="31" t="s">
        <v>27</v>
      </c>
      <c r="W4" s="31" t="s">
        <v>28</v>
      </c>
      <c r="X4" s="31" t="s">
        <v>29</v>
      </c>
      <c r="Y4" s="31" t="s">
        <v>30</v>
      </c>
      <c r="Z4" s="31" t="s">
        <v>31</v>
      </c>
      <c r="AA4" s="76" t="s">
        <v>32</v>
      </c>
      <c r="AB4" s="107" t="s">
        <v>33</v>
      </c>
      <c r="AC4" s="64" t="s">
        <v>15</v>
      </c>
      <c r="AD4" s="76" t="s">
        <v>34</v>
      </c>
      <c r="AE4" s="76" t="s">
        <v>35</v>
      </c>
      <c r="AF4" s="31" t="s">
        <v>36</v>
      </c>
      <c r="AG4" s="31" t="s">
        <v>37</v>
      </c>
      <c r="AH4" s="144" t="s">
        <v>38</v>
      </c>
      <c r="AI4" s="144"/>
      <c r="AJ4" s="144"/>
      <c r="AK4" s="144"/>
      <c r="AL4" s="144"/>
      <c r="AM4" s="144"/>
      <c r="AN4" s="144"/>
      <c r="AO4" s="144"/>
    </row>
    <row r="5" spans="1:41" ht="15.75" customHeight="1" x14ac:dyDescent="0.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6"/>
      <c r="T5" s="4"/>
      <c r="U5" s="2"/>
      <c r="V5" s="2"/>
      <c r="W5" s="2"/>
      <c r="X5" s="2"/>
      <c r="Y5" s="2"/>
      <c r="Z5" s="2"/>
      <c r="AA5" s="8"/>
      <c r="AB5" s="6"/>
      <c r="AC5" s="2"/>
      <c r="AD5" s="7"/>
      <c r="AE5" s="8"/>
      <c r="AF5" s="8"/>
      <c r="AG5" s="2"/>
      <c r="AH5" s="2"/>
      <c r="AI5" s="2"/>
      <c r="AJ5" s="2"/>
      <c r="AK5" s="2"/>
      <c r="AL5" s="2"/>
      <c r="AM5" s="2"/>
      <c r="AN5" s="2"/>
      <c r="AO5" s="2"/>
    </row>
    <row r="6" spans="1:41" ht="15.75" customHeight="1" x14ac:dyDescent="0.15">
      <c r="A6" s="7"/>
      <c r="B6" s="31" t="s">
        <v>40</v>
      </c>
      <c r="C6" s="2" t="s">
        <v>15218</v>
      </c>
      <c r="D6" s="7" t="s">
        <v>15279</v>
      </c>
      <c r="E6" s="37">
        <v>5</v>
      </c>
      <c r="F6" s="48"/>
      <c r="G6" s="48"/>
      <c r="H6" s="2" t="s">
        <v>15283</v>
      </c>
      <c r="I6" s="2" t="s">
        <v>15284</v>
      </c>
      <c r="J6" s="2" t="s">
        <v>10752</v>
      </c>
      <c r="K6" s="2" t="s">
        <v>48</v>
      </c>
      <c r="L6" s="2" t="s">
        <v>15285</v>
      </c>
      <c r="M6" s="6" t="s">
        <v>15286</v>
      </c>
      <c r="N6" s="48"/>
      <c r="O6" s="114" t="str">
        <f>HYPERLINK("http://www.faulknereagles.com/recruiting/20/3.php","Questionnaire")</f>
        <v>Questionnaire</v>
      </c>
      <c r="P6" s="48" t="s">
        <v>15292</v>
      </c>
      <c r="Q6" s="60" t="s">
        <v>59</v>
      </c>
      <c r="R6" s="48" t="s">
        <v>121</v>
      </c>
      <c r="S6" s="48" t="s">
        <v>62</v>
      </c>
      <c r="T6" s="5" t="s">
        <v>63</v>
      </c>
      <c r="U6" s="6" t="s">
        <v>686</v>
      </c>
      <c r="V6" s="49"/>
      <c r="W6" s="65">
        <v>3.23</v>
      </c>
      <c r="X6" s="49" t="s">
        <v>10385</v>
      </c>
      <c r="Y6" s="49" t="s">
        <v>397</v>
      </c>
      <c r="Z6" s="49" t="s">
        <v>449</v>
      </c>
      <c r="AA6" s="65">
        <v>0.45</v>
      </c>
      <c r="AB6" s="39">
        <v>33360</v>
      </c>
      <c r="AC6" s="84" t="s">
        <v>15292</v>
      </c>
      <c r="AD6" s="53" t="str">
        <f>HYPERLINK("https://www.faulkner.edu/undergrad/academics/","Link")</f>
        <v>Link</v>
      </c>
      <c r="AE6" s="42">
        <v>2583</v>
      </c>
      <c r="AF6" s="55"/>
      <c r="AG6" s="85"/>
      <c r="AH6" s="56">
        <v>101189</v>
      </c>
      <c r="AI6" s="85"/>
      <c r="AJ6" s="137"/>
      <c r="AK6" s="137"/>
    </row>
    <row r="7" spans="1:41" ht="15.75" customHeight="1" x14ac:dyDescent="0.15">
      <c r="A7" s="7"/>
      <c r="B7" s="31" t="s">
        <v>40</v>
      </c>
      <c r="C7" s="2" t="s">
        <v>15218</v>
      </c>
      <c r="D7" s="7"/>
      <c r="E7" s="37">
        <v>5</v>
      </c>
      <c r="F7" s="7"/>
      <c r="G7" s="7"/>
      <c r="H7" s="2" t="s">
        <v>15301</v>
      </c>
      <c r="I7" s="2" t="s">
        <v>588</v>
      </c>
      <c r="J7" s="2" t="s">
        <v>5667</v>
      </c>
      <c r="K7" s="2" t="s">
        <v>48</v>
      </c>
      <c r="L7" s="2" t="s">
        <v>15305</v>
      </c>
      <c r="M7" s="6" t="s">
        <v>15306</v>
      </c>
      <c r="N7" s="48"/>
      <c r="O7" s="114" t="str">
        <f t="shared" ref="O7:O8" si="0">HYPERLINK("http://www.umobilerams.com/recruiting","Questionnaire")</f>
        <v>Questionnaire</v>
      </c>
      <c r="P7" s="48" t="s">
        <v>342</v>
      </c>
      <c r="Q7" s="60" t="s">
        <v>59</v>
      </c>
      <c r="R7" s="48" t="s">
        <v>15310</v>
      </c>
      <c r="S7" s="48" t="s">
        <v>172</v>
      </c>
      <c r="T7" s="49" t="s">
        <v>63</v>
      </c>
      <c r="U7" s="6" t="s">
        <v>800</v>
      </c>
      <c r="V7" s="49"/>
      <c r="W7" s="65">
        <v>3.54</v>
      </c>
      <c r="X7" s="49" t="s">
        <v>1453</v>
      </c>
      <c r="Y7" s="49" t="s">
        <v>15313</v>
      </c>
      <c r="Z7" s="49" t="s">
        <v>746</v>
      </c>
      <c r="AA7" s="65">
        <v>0.62</v>
      </c>
      <c r="AB7" s="39">
        <v>37348</v>
      </c>
      <c r="AC7" s="84" t="s">
        <v>342</v>
      </c>
      <c r="AD7" s="53" t="str">
        <f t="shared" ref="AD7:AD8" si="1">HYPERLINK("https://umobile.edu/academics/areas-study/","Link")</f>
        <v>Link</v>
      </c>
      <c r="AE7" s="42">
        <v>1376</v>
      </c>
      <c r="AF7" s="55"/>
      <c r="AG7" s="85"/>
      <c r="AH7" s="56">
        <v>101693</v>
      </c>
      <c r="AI7" s="85" t="s">
        <v>2459</v>
      </c>
      <c r="AJ7" s="7"/>
      <c r="AK7" s="7"/>
      <c r="AL7" s="7"/>
      <c r="AM7" s="7"/>
      <c r="AN7" s="7"/>
      <c r="AO7" s="7"/>
    </row>
    <row r="8" spans="1:41" ht="15.75" customHeight="1" x14ac:dyDescent="0.15">
      <c r="A8" s="7"/>
      <c r="B8" s="31" t="s">
        <v>40</v>
      </c>
      <c r="C8" s="2" t="s">
        <v>15218</v>
      </c>
      <c r="D8" s="7"/>
      <c r="E8" s="37">
        <v>5</v>
      </c>
      <c r="F8" s="7"/>
      <c r="G8" s="7"/>
      <c r="H8" s="2" t="s">
        <v>15301</v>
      </c>
      <c r="I8" s="2" t="s">
        <v>4010</v>
      </c>
      <c r="J8" s="2" t="s">
        <v>15323</v>
      </c>
      <c r="K8" s="2" t="s">
        <v>55</v>
      </c>
      <c r="L8" s="2" t="s">
        <v>15324</v>
      </c>
      <c r="M8" s="6"/>
      <c r="N8" s="48"/>
      <c r="O8" s="114" t="str">
        <f t="shared" si="0"/>
        <v>Questionnaire</v>
      </c>
      <c r="P8" s="48" t="s">
        <v>342</v>
      </c>
      <c r="Q8" s="60" t="s">
        <v>59</v>
      </c>
      <c r="R8" s="48" t="s">
        <v>15310</v>
      </c>
      <c r="S8" s="48" t="s">
        <v>172</v>
      </c>
      <c r="T8" s="49" t="s">
        <v>63</v>
      </c>
      <c r="U8" s="6" t="s">
        <v>800</v>
      </c>
      <c r="V8" s="49"/>
      <c r="W8" s="65">
        <v>3.54</v>
      </c>
      <c r="X8" s="49" t="s">
        <v>1453</v>
      </c>
      <c r="Y8" s="49" t="s">
        <v>15313</v>
      </c>
      <c r="Z8" s="49" t="s">
        <v>746</v>
      </c>
      <c r="AA8" s="65">
        <v>0.62</v>
      </c>
      <c r="AB8" s="39">
        <v>37348</v>
      </c>
      <c r="AC8" s="84" t="s">
        <v>342</v>
      </c>
      <c r="AD8" s="53" t="str">
        <f t="shared" si="1"/>
        <v>Link</v>
      </c>
      <c r="AE8" s="42">
        <v>1376</v>
      </c>
      <c r="AF8" s="55"/>
      <c r="AG8" s="85"/>
      <c r="AH8" s="56">
        <v>101693</v>
      </c>
      <c r="AI8" s="85" t="s">
        <v>2459</v>
      </c>
      <c r="AJ8" s="7"/>
      <c r="AK8" s="7"/>
      <c r="AL8" s="7"/>
      <c r="AM8" s="7"/>
      <c r="AN8" s="7"/>
      <c r="AO8" s="7"/>
    </row>
    <row r="9" spans="1:41" ht="15.75" customHeight="1" x14ac:dyDescent="0.15">
      <c r="A9" s="7"/>
      <c r="B9" s="31" t="s">
        <v>40</v>
      </c>
      <c r="C9" s="2" t="s">
        <v>15218</v>
      </c>
      <c r="D9" s="7" t="s">
        <v>15332</v>
      </c>
      <c r="E9" s="37">
        <v>5</v>
      </c>
      <c r="F9" s="48"/>
      <c r="G9" s="48"/>
      <c r="H9" s="2" t="s">
        <v>15333</v>
      </c>
      <c r="I9" s="2" t="s">
        <v>8221</v>
      </c>
      <c r="J9" s="2" t="s">
        <v>15334</v>
      </c>
      <c r="K9" s="2" t="s">
        <v>48</v>
      </c>
      <c r="L9" s="95" t="s">
        <v>15335</v>
      </c>
      <c r="M9" s="6" t="s">
        <v>15336</v>
      </c>
      <c r="N9" s="48"/>
      <c r="O9" s="114" t="str">
        <f t="shared" ref="O9:O10" si="2">HYPERLINK("http://www.gostillman.com/recruiting/0/3.php","Questionnaire")</f>
        <v>Questionnaire</v>
      </c>
      <c r="P9" s="48" t="s">
        <v>15342</v>
      </c>
      <c r="Q9" s="60" t="s">
        <v>59</v>
      </c>
      <c r="R9" s="48" t="s">
        <v>11483</v>
      </c>
      <c r="S9" s="48" t="s">
        <v>238</v>
      </c>
      <c r="T9" s="49" t="s">
        <v>63</v>
      </c>
      <c r="U9" s="48" t="s">
        <v>248</v>
      </c>
      <c r="V9" s="49" t="s">
        <v>212</v>
      </c>
      <c r="W9" s="65">
        <v>2.9</v>
      </c>
      <c r="X9" s="49" t="s">
        <v>15343</v>
      </c>
      <c r="Y9" s="49" t="s">
        <v>15344</v>
      </c>
      <c r="Z9" s="49" t="s">
        <v>3929</v>
      </c>
      <c r="AA9" s="65">
        <v>0.42</v>
      </c>
      <c r="AB9" s="39">
        <v>22232</v>
      </c>
      <c r="AC9" s="84" t="s">
        <v>15342</v>
      </c>
      <c r="AD9" s="53" t="str">
        <f t="shared" ref="AD9:AD10" si="3">HYPERLINK("http://stillman.edu/academics/","Link")</f>
        <v>Link</v>
      </c>
      <c r="AE9" s="42">
        <v>628</v>
      </c>
      <c r="AF9" s="55"/>
      <c r="AG9" s="85"/>
      <c r="AH9" s="56">
        <v>102270</v>
      </c>
      <c r="AI9" s="85"/>
      <c r="AJ9" s="137"/>
      <c r="AK9" s="137"/>
    </row>
    <row r="10" spans="1:41" ht="15.75" customHeight="1" x14ac:dyDescent="0.15">
      <c r="A10" s="7"/>
      <c r="B10" s="31" t="s">
        <v>40</v>
      </c>
      <c r="C10" s="2" t="s">
        <v>15218</v>
      </c>
      <c r="D10" s="7" t="s">
        <v>15350</v>
      </c>
      <c r="E10" s="37">
        <v>5</v>
      </c>
      <c r="F10" s="48"/>
      <c r="G10" s="48"/>
      <c r="H10" s="2" t="s">
        <v>15333</v>
      </c>
      <c r="I10" s="2" t="s">
        <v>12184</v>
      </c>
      <c r="J10" s="2" t="s">
        <v>15351</v>
      </c>
      <c r="K10" s="2" t="s">
        <v>55</v>
      </c>
      <c r="L10" s="2"/>
      <c r="M10" s="6"/>
      <c r="N10" s="48"/>
      <c r="O10" s="114" t="str">
        <f t="shared" si="2"/>
        <v>Questionnaire</v>
      </c>
      <c r="P10" s="48" t="s">
        <v>15342</v>
      </c>
      <c r="Q10" s="60" t="s">
        <v>59</v>
      </c>
      <c r="R10" s="48" t="s">
        <v>11483</v>
      </c>
      <c r="S10" s="48" t="s">
        <v>238</v>
      </c>
      <c r="T10" s="49" t="s">
        <v>63</v>
      </c>
      <c r="U10" s="48" t="s">
        <v>248</v>
      </c>
      <c r="V10" s="49" t="s">
        <v>212</v>
      </c>
      <c r="W10" s="65">
        <v>2.9</v>
      </c>
      <c r="X10" s="49" t="s">
        <v>15343</v>
      </c>
      <c r="Y10" s="49" t="s">
        <v>15344</v>
      </c>
      <c r="Z10" s="49" t="s">
        <v>3929</v>
      </c>
      <c r="AA10" s="65">
        <v>0.42</v>
      </c>
      <c r="AB10" s="39">
        <v>22232</v>
      </c>
      <c r="AC10" s="84" t="s">
        <v>15342</v>
      </c>
      <c r="AD10" s="53" t="str">
        <f t="shared" si="3"/>
        <v>Link</v>
      </c>
      <c r="AE10" s="42">
        <v>628</v>
      </c>
      <c r="AF10" s="55"/>
      <c r="AG10" s="85"/>
      <c r="AH10" s="56">
        <v>102270</v>
      </c>
      <c r="AI10" s="85"/>
    </row>
    <row r="11" spans="1:41" ht="15.75" customHeight="1" x14ac:dyDescent="0.15">
      <c r="A11" s="7"/>
      <c r="B11" s="31" t="s">
        <v>40</v>
      </c>
      <c r="C11" s="2" t="s">
        <v>15218</v>
      </c>
      <c r="D11" s="7"/>
      <c r="E11" s="37">
        <v>5</v>
      </c>
      <c r="F11" s="7"/>
      <c r="G11" s="7"/>
      <c r="H11" s="2" t="s">
        <v>15360</v>
      </c>
      <c r="I11" s="2" t="s">
        <v>15361</v>
      </c>
      <c r="J11" s="2" t="s">
        <v>3026</v>
      </c>
      <c r="K11" s="2" t="s">
        <v>48</v>
      </c>
      <c r="L11" s="2" t="s">
        <v>15362</v>
      </c>
      <c r="M11" s="6" t="s">
        <v>15363</v>
      </c>
      <c r="N11" s="48"/>
      <c r="O11" s="114" t="str">
        <f>HYPERLINK("http://www.talladegatornadoes.com/recruiting-landing-page","Questionnaire")</f>
        <v>Questionnaire</v>
      </c>
      <c r="P11" s="48" t="s">
        <v>15368</v>
      </c>
      <c r="Q11" s="60" t="s">
        <v>59</v>
      </c>
      <c r="R11" s="48" t="s">
        <v>15368</v>
      </c>
      <c r="S11" s="48" t="s">
        <v>172</v>
      </c>
      <c r="T11" s="5" t="s">
        <v>63</v>
      </c>
      <c r="U11" s="48" t="s">
        <v>1625</v>
      </c>
      <c r="V11" s="49" t="s">
        <v>212</v>
      </c>
      <c r="W11" s="65">
        <v>2.8</v>
      </c>
      <c r="X11" s="49" t="s">
        <v>214</v>
      </c>
      <c r="Y11" s="49" t="s">
        <v>214</v>
      </c>
      <c r="Z11" s="49" t="s">
        <v>214</v>
      </c>
      <c r="AA11" s="55" t="s">
        <v>214</v>
      </c>
      <c r="AB11" s="39">
        <v>22314</v>
      </c>
      <c r="AC11" s="84" t="s">
        <v>15368</v>
      </c>
      <c r="AD11" s="53" t="str">
        <f>HYPERLINK("http://www.talladega.edu/academics/academicprograms.asp","Link")</f>
        <v>Link</v>
      </c>
      <c r="AE11" s="42">
        <v>675</v>
      </c>
      <c r="AF11" s="55"/>
      <c r="AG11" s="85"/>
      <c r="AH11" s="56">
        <v>102298</v>
      </c>
      <c r="AI11" s="85" t="s">
        <v>2459</v>
      </c>
      <c r="AJ11" s="7"/>
      <c r="AK11" s="7"/>
      <c r="AL11" s="7"/>
      <c r="AM11" s="7"/>
      <c r="AN11" s="7"/>
      <c r="AO11" s="7"/>
    </row>
    <row r="12" spans="1:41" ht="15" x14ac:dyDescent="0.2">
      <c r="A12" s="7"/>
      <c r="B12" s="31" t="s">
        <v>10684</v>
      </c>
      <c r="C12" s="2" t="s">
        <v>15218</v>
      </c>
      <c r="D12" s="7"/>
      <c r="E12" s="37">
        <v>5</v>
      </c>
      <c r="F12" s="7"/>
      <c r="G12" s="7"/>
      <c r="H12" s="2" t="s">
        <v>15374</v>
      </c>
      <c r="I12" s="2" t="s">
        <v>8707</v>
      </c>
      <c r="J12" s="2" t="s">
        <v>15375</v>
      </c>
      <c r="K12" s="2" t="s">
        <v>48</v>
      </c>
      <c r="L12" s="2" t="s">
        <v>15376</v>
      </c>
      <c r="M12" s="6" t="s">
        <v>15377</v>
      </c>
      <c r="N12" s="45" t="str">
        <f t="shared" ref="N12:N17" si="4">HYPERLINK("twitter.com/ACUSoftball","@ACUSoftball")</f>
        <v>@ACUSoftball</v>
      </c>
      <c r="O12" s="114" t="str">
        <f t="shared" ref="O12:O17" si="5">HYPERLINK("http://www.acufirestorm.com/recruiting.php","Questionnaire")</f>
        <v>Questionnaire</v>
      </c>
      <c r="P12" s="108" t="s">
        <v>15384</v>
      </c>
      <c r="Q12" s="60" t="s">
        <v>10678</v>
      </c>
      <c r="R12" s="48" t="s">
        <v>13273</v>
      </c>
      <c r="S12" s="48" t="s">
        <v>288</v>
      </c>
      <c r="T12" s="49" t="s">
        <v>63</v>
      </c>
      <c r="U12" s="6" t="s">
        <v>1028</v>
      </c>
      <c r="V12" s="49"/>
      <c r="W12" s="65">
        <v>3.15</v>
      </c>
      <c r="X12" s="49" t="s">
        <v>15389</v>
      </c>
      <c r="Y12" s="49" t="s">
        <v>397</v>
      </c>
      <c r="Z12" s="49" t="s">
        <v>2307</v>
      </c>
      <c r="AA12" s="38">
        <v>0.59160000000000001</v>
      </c>
      <c r="AB12" s="39">
        <v>38644</v>
      </c>
      <c r="AC12" s="52" t="s">
        <v>15384</v>
      </c>
      <c r="AD12" s="53" t="str">
        <f t="shared" ref="AD12:AD17" si="6">HYPERLINK("https://arizonachristian.edu/academics/programs/","Link")</f>
        <v>Link</v>
      </c>
      <c r="AE12" s="42">
        <v>820</v>
      </c>
      <c r="AF12" s="55"/>
      <c r="AG12" s="85"/>
      <c r="AH12" s="85"/>
      <c r="AI12" s="85" t="s">
        <v>2459</v>
      </c>
      <c r="AJ12" s="7"/>
      <c r="AK12" s="7"/>
      <c r="AL12" s="7"/>
      <c r="AM12" s="7"/>
      <c r="AN12" s="7"/>
      <c r="AO12" s="7"/>
    </row>
    <row r="13" spans="1:41" ht="15" x14ac:dyDescent="0.2">
      <c r="A13" s="7"/>
      <c r="B13" s="31" t="s">
        <v>10684</v>
      </c>
      <c r="C13" s="2" t="s">
        <v>15218</v>
      </c>
      <c r="D13" s="7"/>
      <c r="E13" s="37">
        <v>5</v>
      </c>
      <c r="F13" s="7"/>
      <c r="G13" s="7"/>
      <c r="H13" s="2" t="s">
        <v>15374</v>
      </c>
      <c r="I13" s="2" t="s">
        <v>6337</v>
      </c>
      <c r="J13" s="2" t="s">
        <v>15395</v>
      </c>
      <c r="K13" s="2" t="s">
        <v>55</v>
      </c>
      <c r="L13" s="89" t="s">
        <v>15396</v>
      </c>
      <c r="M13" s="6"/>
      <c r="N13" s="45" t="str">
        <f t="shared" si="4"/>
        <v>@ACUSoftball</v>
      </c>
      <c r="O13" s="114" t="str">
        <f t="shared" si="5"/>
        <v>Questionnaire</v>
      </c>
      <c r="P13" s="108" t="s">
        <v>15384</v>
      </c>
      <c r="Q13" s="60" t="s">
        <v>10678</v>
      </c>
      <c r="R13" s="48" t="s">
        <v>13273</v>
      </c>
      <c r="S13" s="48" t="s">
        <v>288</v>
      </c>
      <c r="T13" s="49" t="s">
        <v>63</v>
      </c>
      <c r="U13" s="6" t="s">
        <v>1028</v>
      </c>
      <c r="V13" s="49"/>
      <c r="W13" s="65">
        <v>3.15</v>
      </c>
      <c r="X13" s="49" t="s">
        <v>15389</v>
      </c>
      <c r="Y13" s="49" t="s">
        <v>397</v>
      </c>
      <c r="Z13" s="49" t="s">
        <v>2307</v>
      </c>
      <c r="AA13" s="38">
        <v>0.59160000000000001</v>
      </c>
      <c r="AB13" s="39">
        <v>38644</v>
      </c>
      <c r="AC13" s="52" t="s">
        <v>15384</v>
      </c>
      <c r="AD13" s="53" t="str">
        <f t="shared" si="6"/>
        <v>Link</v>
      </c>
      <c r="AE13" s="42">
        <v>820</v>
      </c>
      <c r="AF13" s="55"/>
      <c r="AG13" s="85"/>
      <c r="AH13" s="85"/>
      <c r="AI13" s="85" t="s">
        <v>2459</v>
      </c>
      <c r="AJ13" s="7"/>
      <c r="AK13" s="7"/>
      <c r="AL13" s="7"/>
      <c r="AM13" s="7"/>
      <c r="AN13" s="7"/>
      <c r="AO13" s="7"/>
    </row>
    <row r="14" spans="1:41" ht="15" x14ac:dyDescent="0.2">
      <c r="A14" s="7"/>
      <c r="B14" s="31" t="s">
        <v>10684</v>
      </c>
      <c r="C14" s="2" t="s">
        <v>15218</v>
      </c>
      <c r="D14" s="7"/>
      <c r="E14" s="37">
        <v>5</v>
      </c>
      <c r="F14" s="7"/>
      <c r="G14" s="7"/>
      <c r="H14" s="2" t="s">
        <v>15374</v>
      </c>
      <c r="I14" s="2" t="s">
        <v>94</v>
      </c>
      <c r="J14" s="2" t="s">
        <v>15375</v>
      </c>
      <c r="K14" s="2" t="s">
        <v>55</v>
      </c>
      <c r="L14" s="89" t="s">
        <v>15401</v>
      </c>
      <c r="M14" s="6"/>
      <c r="N14" s="45" t="str">
        <f t="shared" si="4"/>
        <v>@ACUSoftball</v>
      </c>
      <c r="O14" s="114" t="str">
        <f t="shared" si="5"/>
        <v>Questionnaire</v>
      </c>
      <c r="P14" s="108" t="s">
        <v>15384</v>
      </c>
      <c r="Q14" s="60" t="s">
        <v>10678</v>
      </c>
      <c r="R14" s="48" t="s">
        <v>13273</v>
      </c>
      <c r="S14" s="48" t="s">
        <v>288</v>
      </c>
      <c r="T14" s="49" t="s">
        <v>63</v>
      </c>
      <c r="U14" s="6" t="s">
        <v>1028</v>
      </c>
      <c r="V14" s="49"/>
      <c r="W14" s="65">
        <v>3.15</v>
      </c>
      <c r="X14" s="49" t="s">
        <v>15389</v>
      </c>
      <c r="Y14" s="49" t="s">
        <v>397</v>
      </c>
      <c r="Z14" s="49" t="s">
        <v>2307</v>
      </c>
      <c r="AA14" s="38">
        <v>0.59160000000000001</v>
      </c>
      <c r="AB14" s="39">
        <v>38644</v>
      </c>
      <c r="AC14" s="52" t="s">
        <v>15384</v>
      </c>
      <c r="AD14" s="53" t="str">
        <f t="shared" si="6"/>
        <v>Link</v>
      </c>
      <c r="AE14" s="42">
        <v>820</v>
      </c>
      <c r="AF14" s="55"/>
      <c r="AG14" s="85"/>
      <c r="AH14" s="85"/>
      <c r="AI14" s="85" t="s">
        <v>2459</v>
      </c>
      <c r="AJ14" s="7"/>
      <c r="AK14" s="7"/>
      <c r="AL14" s="7"/>
      <c r="AM14" s="7"/>
      <c r="AN14" s="7"/>
      <c r="AO14" s="7"/>
    </row>
    <row r="15" spans="1:41" ht="15" x14ac:dyDescent="0.2">
      <c r="A15" s="7"/>
      <c r="B15" s="31" t="s">
        <v>10684</v>
      </c>
      <c r="C15" s="2" t="s">
        <v>15218</v>
      </c>
      <c r="D15" s="7"/>
      <c r="E15" s="37">
        <v>5</v>
      </c>
      <c r="F15" s="7"/>
      <c r="G15" s="7"/>
      <c r="H15" s="2" t="s">
        <v>15374</v>
      </c>
      <c r="I15" s="2" t="s">
        <v>15411</v>
      </c>
      <c r="J15" s="2" t="s">
        <v>3412</v>
      </c>
      <c r="K15" s="2" t="s">
        <v>55</v>
      </c>
      <c r="L15" s="2"/>
      <c r="M15" s="6"/>
      <c r="N15" s="45" t="str">
        <f t="shared" si="4"/>
        <v>@ACUSoftball</v>
      </c>
      <c r="O15" s="114" t="str">
        <f t="shared" si="5"/>
        <v>Questionnaire</v>
      </c>
      <c r="P15" s="108" t="s">
        <v>15384</v>
      </c>
      <c r="Q15" s="60" t="s">
        <v>10678</v>
      </c>
      <c r="R15" s="48" t="s">
        <v>13273</v>
      </c>
      <c r="S15" s="48" t="s">
        <v>288</v>
      </c>
      <c r="T15" s="49" t="s">
        <v>63</v>
      </c>
      <c r="U15" s="6" t="s">
        <v>1028</v>
      </c>
      <c r="V15" s="49"/>
      <c r="W15" s="65">
        <v>3.15</v>
      </c>
      <c r="X15" s="49" t="s">
        <v>15389</v>
      </c>
      <c r="Y15" s="49" t="s">
        <v>397</v>
      </c>
      <c r="Z15" s="49" t="s">
        <v>2307</v>
      </c>
      <c r="AA15" s="38">
        <v>0.59160000000000001</v>
      </c>
      <c r="AB15" s="39">
        <v>38644</v>
      </c>
      <c r="AC15" s="52" t="s">
        <v>15384</v>
      </c>
      <c r="AD15" s="53" t="str">
        <f t="shared" si="6"/>
        <v>Link</v>
      </c>
      <c r="AE15" s="42">
        <v>820</v>
      </c>
      <c r="AF15" s="55"/>
      <c r="AG15" s="85"/>
      <c r="AH15" s="85"/>
      <c r="AI15" s="85" t="s">
        <v>2459</v>
      </c>
      <c r="AJ15" s="7"/>
      <c r="AK15" s="7"/>
      <c r="AL15" s="7"/>
      <c r="AM15" s="7"/>
      <c r="AN15" s="7"/>
      <c r="AO15" s="7"/>
    </row>
    <row r="16" spans="1:41" ht="15" x14ac:dyDescent="0.2">
      <c r="A16" s="7"/>
      <c r="B16" s="31" t="s">
        <v>10684</v>
      </c>
      <c r="C16" s="2" t="s">
        <v>15218</v>
      </c>
      <c r="D16" s="7"/>
      <c r="E16" s="37">
        <v>5</v>
      </c>
      <c r="F16" s="7"/>
      <c r="G16" s="7"/>
      <c r="H16" s="2" t="s">
        <v>15374</v>
      </c>
      <c r="I16" s="2" t="s">
        <v>5947</v>
      </c>
      <c r="J16" s="2" t="s">
        <v>15329</v>
      </c>
      <c r="K16" s="2" t="s">
        <v>55</v>
      </c>
      <c r="L16" s="2" t="s">
        <v>15419</v>
      </c>
      <c r="M16" s="48"/>
      <c r="N16" s="45" t="str">
        <f t="shared" si="4"/>
        <v>@ACUSoftball</v>
      </c>
      <c r="O16" s="114" t="str">
        <f t="shared" si="5"/>
        <v>Questionnaire</v>
      </c>
      <c r="P16" s="108" t="s">
        <v>15384</v>
      </c>
      <c r="Q16" s="60" t="s">
        <v>10678</v>
      </c>
      <c r="R16" s="48" t="s">
        <v>13273</v>
      </c>
      <c r="S16" s="48" t="s">
        <v>288</v>
      </c>
      <c r="T16" s="49" t="s">
        <v>63</v>
      </c>
      <c r="U16" s="6" t="s">
        <v>1028</v>
      </c>
      <c r="V16" s="49"/>
      <c r="W16" s="65">
        <v>3.15</v>
      </c>
      <c r="X16" s="49" t="s">
        <v>15389</v>
      </c>
      <c r="Y16" s="49" t="s">
        <v>397</v>
      </c>
      <c r="Z16" s="49" t="s">
        <v>2307</v>
      </c>
      <c r="AA16" s="38">
        <v>0.59160000000000001</v>
      </c>
      <c r="AB16" s="39">
        <v>38644</v>
      </c>
      <c r="AC16" s="52" t="s">
        <v>15384</v>
      </c>
      <c r="AD16" s="53" t="str">
        <f t="shared" si="6"/>
        <v>Link</v>
      </c>
      <c r="AE16" s="42">
        <v>820</v>
      </c>
      <c r="AF16" s="55"/>
      <c r="AG16" s="85"/>
      <c r="AH16" s="85"/>
      <c r="AI16" s="85" t="s">
        <v>2459</v>
      </c>
      <c r="AJ16" s="7"/>
      <c r="AK16" s="7"/>
      <c r="AL16" s="7"/>
      <c r="AM16" s="7"/>
      <c r="AN16" s="7"/>
      <c r="AO16" s="7"/>
    </row>
    <row r="17" spans="1:41" ht="15" x14ac:dyDescent="0.2">
      <c r="A17" s="7"/>
      <c r="B17" s="31" t="s">
        <v>10684</v>
      </c>
      <c r="C17" s="2" t="s">
        <v>15218</v>
      </c>
      <c r="D17" s="7"/>
      <c r="E17" s="37">
        <v>5</v>
      </c>
      <c r="F17" s="7"/>
      <c r="G17" s="7"/>
      <c r="H17" s="2" t="s">
        <v>15374</v>
      </c>
      <c r="I17" s="2" t="s">
        <v>6856</v>
      </c>
      <c r="J17" s="2" t="s">
        <v>15428</v>
      </c>
      <c r="K17" s="2" t="s">
        <v>55</v>
      </c>
      <c r="L17" s="2"/>
      <c r="M17" s="6"/>
      <c r="N17" s="45" t="str">
        <f t="shared" si="4"/>
        <v>@ACUSoftball</v>
      </c>
      <c r="O17" s="114" t="str">
        <f t="shared" si="5"/>
        <v>Questionnaire</v>
      </c>
      <c r="P17" s="108" t="s">
        <v>15384</v>
      </c>
      <c r="Q17" s="60" t="s">
        <v>10678</v>
      </c>
      <c r="R17" s="48" t="s">
        <v>13273</v>
      </c>
      <c r="S17" s="48" t="s">
        <v>288</v>
      </c>
      <c r="T17" s="49" t="s">
        <v>63</v>
      </c>
      <c r="U17" s="6" t="s">
        <v>1028</v>
      </c>
      <c r="V17" s="49"/>
      <c r="W17" s="65">
        <v>3.15</v>
      </c>
      <c r="X17" s="49" t="s">
        <v>15389</v>
      </c>
      <c r="Y17" s="49" t="s">
        <v>397</v>
      </c>
      <c r="Z17" s="49" t="s">
        <v>2307</v>
      </c>
      <c r="AA17" s="38">
        <v>0.59160000000000001</v>
      </c>
      <c r="AB17" s="39">
        <v>38644</v>
      </c>
      <c r="AC17" s="52" t="s">
        <v>15384</v>
      </c>
      <c r="AD17" s="53" t="str">
        <f t="shared" si="6"/>
        <v>Link</v>
      </c>
      <c r="AE17" s="42">
        <v>820</v>
      </c>
      <c r="AF17" s="55"/>
      <c r="AG17" s="85"/>
      <c r="AH17" s="85"/>
      <c r="AI17" s="85" t="s">
        <v>2459</v>
      </c>
      <c r="AJ17" s="7"/>
      <c r="AK17" s="7"/>
      <c r="AL17" s="7"/>
      <c r="AM17" s="7"/>
      <c r="AN17" s="7"/>
      <c r="AO17" s="7"/>
    </row>
    <row r="18" spans="1:41" ht="15" x14ac:dyDescent="0.2">
      <c r="A18" s="7"/>
      <c r="B18" s="31" t="s">
        <v>10684</v>
      </c>
      <c r="C18" s="2" t="s">
        <v>15218</v>
      </c>
      <c r="D18" s="7" t="s">
        <v>15434</v>
      </c>
      <c r="E18" s="37">
        <v>5</v>
      </c>
      <c r="F18" s="48"/>
      <c r="G18" s="48"/>
      <c r="H18" s="2" t="s">
        <v>15435</v>
      </c>
      <c r="I18" s="2" t="s">
        <v>15436</v>
      </c>
      <c r="J18" s="2" t="s">
        <v>15437</v>
      </c>
      <c r="K18" s="2" t="s">
        <v>48</v>
      </c>
      <c r="L18" s="2" t="s">
        <v>15438</v>
      </c>
      <c r="M18" s="6" t="s">
        <v>15439</v>
      </c>
      <c r="N18" s="45" t="str">
        <f t="shared" ref="N18:N19" si="7">HYPERLINK("twitter.com/benu_softball","@benu_softball")</f>
        <v>@benu_softball</v>
      </c>
      <c r="O18" s="114" t="str">
        <f t="shared" ref="O18:O19" si="8">HYPERLINK("http://www.benuredhawks.com/recruiting.php","Questionnaire")</f>
        <v>Questionnaire</v>
      </c>
      <c r="P18" s="108" t="s">
        <v>15449</v>
      </c>
      <c r="Q18" s="60" t="s">
        <v>10678</v>
      </c>
      <c r="R18" s="48" t="s">
        <v>13238</v>
      </c>
      <c r="S18" s="48" t="s">
        <v>354</v>
      </c>
      <c r="T18" s="49" t="s">
        <v>63</v>
      </c>
      <c r="U18" s="6" t="s">
        <v>343</v>
      </c>
      <c r="V18" s="49"/>
      <c r="W18" s="49" t="s">
        <v>6405</v>
      </c>
      <c r="X18" s="49" t="s">
        <v>525</v>
      </c>
      <c r="Y18" s="49" t="s">
        <v>525</v>
      </c>
      <c r="Z18" s="49" t="s">
        <v>15450</v>
      </c>
      <c r="AA18" s="65">
        <v>0.77</v>
      </c>
      <c r="AB18" s="39">
        <v>28800</v>
      </c>
      <c r="AC18" s="52" t="s">
        <v>15449</v>
      </c>
      <c r="AD18" s="53" t="str">
        <f t="shared" ref="AD18:AD19" si="9">HYPERLINK("https://www.ben.edu/mesa/degrees-programs/undecided.cfm","Link")</f>
        <v>Link</v>
      </c>
      <c r="AE18" s="55" t="s">
        <v>214</v>
      </c>
      <c r="AF18" s="55"/>
      <c r="AG18" s="85"/>
      <c r="AH18" s="7"/>
      <c r="AI18" s="85"/>
      <c r="AJ18" s="137"/>
      <c r="AK18" s="137"/>
    </row>
    <row r="19" spans="1:41" ht="15" x14ac:dyDescent="0.2">
      <c r="A19" s="7"/>
      <c r="B19" s="31" t="s">
        <v>10684</v>
      </c>
      <c r="C19" s="2" t="s">
        <v>15218</v>
      </c>
      <c r="D19" s="7" t="s">
        <v>15455</v>
      </c>
      <c r="E19" s="37">
        <v>5</v>
      </c>
      <c r="F19" s="48"/>
      <c r="G19" s="48"/>
      <c r="H19" s="2" t="s">
        <v>15435</v>
      </c>
      <c r="I19" s="2" t="s">
        <v>15456</v>
      </c>
      <c r="J19" s="2" t="s">
        <v>15457</v>
      </c>
      <c r="K19" s="2" t="s">
        <v>55</v>
      </c>
      <c r="L19" s="2"/>
      <c r="M19" s="6"/>
      <c r="N19" s="45" t="str">
        <f t="shared" si="7"/>
        <v>@benu_softball</v>
      </c>
      <c r="O19" s="114" t="str">
        <f t="shared" si="8"/>
        <v>Questionnaire</v>
      </c>
      <c r="P19" s="108" t="s">
        <v>15449</v>
      </c>
      <c r="Q19" s="60" t="s">
        <v>10678</v>
      </c>
      <c r="R19" s="48" t="s">
        <v>13238</v>
      </c>
      <c r="S19" s="48" t="s">
        <v>354</v>
      </c>
      <c r="T19" s="49" t="s">
        <v>63</v>
      </c>
      <c r="U19" s="6" t="s">
        <v>343</v>
      </c>
      <c r="V19" s="49"/>
      <c r="W19" s="49" t="s">
        <v>6405</v>
      </c>
      <c r="X19" s="49" t="s">
        <v>525</v>
      </c>
      <c r="Y19" s="49" t="s">
        <v>525</v>
      </c>
      <c r="Z19" s="49" t="s">
        <v>15450</v>
      </c>
      <c r="AA19" s="65">
        <v>0.77</v>
      </c>
      <c r="AB19" s="39">
        <v>28800</v>
      </c>
      <c r="AC19" s="52" t="s">
        <v>15449</v>
      </c>
      <c r="AD19" s="53" t="str">
        <f t="shared" si="9"/>
        <v>Link</v>
      </c>
      <c r="AE19" s="55" t="s">
        <v>214</v>
      </c>
      <c r="AF19" s="55"/>
      <c r="AG19" s="85"/>
      <c r="AH19" s="7"/>
      <c r="AI19" s="85"/>
      <c r="AJ19" s="137"/>
      <c r="AK19" s="137"/>
    </row>
    <row r="20" spans="1:41" ht="13" x14ac:dyDescent="0.15">
      <c r="A20" s="7"/>
      <c r="B20" s="31" t="s">
        <v>10684</v>
      </c>
      <c r="C20" s="2" t="s">
        <v>15218</v>
      </c>
      <c r="D20" s="7"/>
      <c r="E20" s="37">
        <v>5</v>
      </c>
      <c r="F20" s="7"/>
      <c r="G20" s="7"/>
      <c r="H20" s="2" t="s">
        <v>15465</v>
      </c>
      <c r="I20" s="2" t="s">
        <v>193</v>
      </c>
      <c r="J20" s="2" t="s">
        <v>15466</v>
      </c>
      <c r="K20" s="2" t="s">
        <v>48</v>
      </c>
      <c r="L20" s="2" t="s">
        <v>15468</v>
      </c>
      <c r="M20" s="6" t="s">
        <v>15469</v>
      </c>
      <c r="N20" s="48"/>
      <c r="O20" s="114" t="str">
        <f>HYPERLINK("https://erauathletics.com/sports/2015/4/29/general_0429152853.aspx?id=1591","Questionnaire")</f>
        <v>Questionnaire</v>
      </c>
      <c r="P20" s="48" t="s">
        <v>15470</v>
      </c>
      <c r="Q20" s="60" t="s">
        <v>10678</v>
      </c>
      <c r="R20" s="48" t="s">
        <v>7850</v>
      </c>
      <c r="S20" s="48" t="s">
        <v>468</v>
      </c>
      <c r="T20" s="5" t="s">
        <v>63</v>
      </c>
      <c r="U20" s="48" t="s">
        <v>75</v>
      </c>
      <c r="V20" s="49"/>
      <c r="W20" s="65">
        <v>3.63</v>
      </c>
      <c r="X20" s="49" t="s">
        <v>2196</v>
      </c>
      <c r="Y20" s="49" t="s">
        <v>2260</v>
      </c>
      <c r="Z20" s="49" t="s">
        <v>1373</v>
      </c>
      <c r="AA20" s="65">
        <v>0.71</v>
      </c>
      <c r="AB20" s="39">
        <v>50570</v>
      </c>
      <c r="AC20" s="84" t="s">
        <v>15470</v>
      </c>
      <c r="AD20" s="53" t="str">
        <f>HYPERLINK("http://prescott.erau.edu/degrees/","Link")</f>
        <v>Link</v>
      </c>
      <c r="AE20" s="42">
        <v>5447</v>
      </c>
      <c r="AF20" s="55"/>
      <c r="AG20" s="85"/>
      <c r="AH20" s="56">
        <v>104586</v>
      </c>
      <c r="AI20" s="85" t="s">
        <v>2459</v>
      </c>
      <c r="AJ20" s="7"/>
      <c r="AK20" s="7"/>
      <c r="AL20" s="7"/>
      <c r="AM20" s="7"/>
      <c r="AN20" s="7"/>
      <c r="AO20" s="7"/>
    </row>
    <row r="21" spans="1:41" ht="13" x14ac:dyDescent="0.15">
      <c r="A21" s="7"/>
      <c r="B21" s="110" t="s">
        <v>10684</v>
      </c>
      <c r="C21" s="7" t="s">
        <v>15218</v>
      </c>
      <c r="D21" s="7" t="s">
        <v>15474</v>
      </c>
      <c r="E21" s="44">
        <v>5</v>
      </c>
      <c r="F21" s="48" t="s">
        <v>116</v>
      </c>
      <c r="G21" s="48"/>
      <c r="H21" s="7" t="s">
        <v>15479</v>
      </c>
      <c r="I21" s="7" t="s">
        <v>15480</v>
      </c>
      <c r="J21" s="7" t="s">
        <v>15481</v>
      </c>
      <c r="K21" s="7" t="s">
        <v>55</v>
      </c>
      <c r="L21" s="7" t="s">
        <v>15482</v>
      </c>
      <c r="M21" s="48" t="s">
        <v>15483</v>
      </c>
      <c r="N21" s="48"/>
      <c r="O21" s="114" t="str">
        <f t="shared" ref="O21:O23" si="10">HYPERLINK("https://ouazspirit.com/sports/2017/11/16/get-recruited.aspx","Questionnaire")</f>
        <v>Questionnaire</v>
      </c>
      <c r="P21" s="48" t="s">
        <v>15488</v>
      </c>
      <c r="Q21" s="47" t="s">
        <v>10678</v>
      </c>
      <c r="R21" s="48" t="s">
        <v>15489</v>
      </c>
      <c r="S21" s="48" t="s">
        <v>238</v>
      </c>
      <c r="T21" s="49" t="s">
        <v>63</v>
      </c>
      <c r="U21" s="49" t="s">
        <v>2715</v>
      </c>
      <c r="V21" s="49"/>
      <c r="W21" s="61">
        <v>3.28</v>
      </c>
      <c r="X21" s="49" t="s">
        <v>15491</v>
      </c>
      <c r="Y21" s="49" t="s">
        <v>15492</v>
      </c>
      <c r="Z21" s="49" t="s">
        <v>7983</v>
      </c>
      <c r="AA21" s="61">
        <v>0.5</v>
      </c>
      <c r="AB21" s="71">
        <v>44295</v>
      </c>
      <c r="AC21" s="156" t="s">
        <v>15488</v>
      </c>
      <c r="AD21" s="53" t="str">
        <f t="shared" ref="AD21:AD23" si="11">HYPERLINK("http://ottawa.smartcatalogiq.com/en/2017-2018/Catalog/Undergraduate-Offerings/Majors","Link")</f>
        <v>Link</v>
      </c>
      <c r="AE21" s="54">
        <v>561</v>
      </c>
      <c r="AF21" s="55"/>
      <c r="AG21" s="55"/>
      <c r="AH21" s="56">
        <v>155627</v>
      </c>
      <c r="AI21" s="55"/>
      <c r="AJ21" s="137"/>
      <c r="AK21" s="137"/>
    </row>
    <row r="22" spans="1:41" ht="13" x14ac:dyDescent="0.15">
      <c r="A22" s="7"/>
      <c r="B22" s="110" t="s">
        <v>10684</v>
      </c>
      <c r="C22" s="7" t="s">
        <v>15218</v>
      </c>
      <c r="D22" s="7" t="s">
        <v>15504</v>
      </c>
      <c r="E22" s="44">
        <v>5</v>
      </c>
      <c r="F22" s="48" t="s">
        <v>116</v>
      </c>
      <c r="G22" s="48"/>
      <c r="H22" s="7" t="s">
        <v>15479</v>
      </c>
      <c r="I22" s="7" t="s">
        <v>588</v>
      </c>
      <c r="J22" s="7" t="s">
        <v>15511</v>
      </c>
      <c r="K22" s="7" t="s">
        <v>55</v>
      </c>
      <c r="L22" s="7" t="s">
        <v>15514</v>
      </c>
      <c r="M22" s="48" t="s">
        <v>15483</v>
      </c>
      <c r="N22" s="48"/>
      <c r="O22" s="114" t="str">
        <f t="shared" si="10"/>
        <v>Questionnaire</v>
      </c>
      <c r="P22" s="48" t="s">
        <v>15488</v>
      </c>
      <c r="Q22" s="47" t="s">
        <v>10678</v>
      </c>
      <c r="R22" s="48" t="s">
        <v>15489</v>
      </c>
      <c r="S22" s="48" t="s">
        <v>238</v>
      </c>
      <c r="T22" s="49" t="s">
        <v>63</v>
      </c>
      <c r="U22" s="49" t="s">
        <v>2715</v>
      </c>
      <c r="V22" s="49"/>
      <c r="W22" s="61">
        <v>3.28</v>
      </c>
      <c r="X22" s="49" t="s">
        <v>15491</v>
      </c>
      <c r="Y22" s="49" t="s">
        <v>15492</v>
      </c>
      <c r="Z22" s="49" t="s">
        <v>7983</v>
      </c>
      <c r="AA22" s="61">
        <v>0.5</v>
      </c>
      <c r="AB22" s="71">
        <v>44295</v>
      </c>
      <c r="AC22" s="156" t="s">
        <v>15488</v>
      </c>
      <c r="AD22" s="53" t="str">
        <f t="shared" si="11"/>
        <v>Link</v>
      </c>
      <c r="AE22" s="54">
        <v>561</v>
      </c>
      <c r="AF22" s="55"/>
      <c r="AG22" s="55"/>
      <c r="AH22" s="56">
        <v>155627</v>
      </c>
      <c r="AI22" s="55"/>
    </row>
    <row r="23" spans="1:41" ht="13" x14ac:dyDescent="0.15">
      <c r="A23" s="7"/>
      <c r="B23" s="110" t="s">
        <v>10684</v>
      </c>
      <c r="C23" s="7" t="s">
        <v>15218</v>
      </c>
      <c r="D23" s="7" t="s">
        <v>15518</v>
      </c>
      <c r="E23" s="44">
        <v>5</v>
      </c>
      <c r="F23" s="48" t="s">
        <v>116</v>
      </c>
      <c r="G23" s="48"/>
      <c r="H23" s="7" t="s">
        <v>15479</v>
      </c>
      <c r="I23" s="7" t="s">
        <v>1100</v>
      </c>
      <c r="J23" s="7" t="s">
        <v>15521</v>
      </c>
      <c r="K23" s="7" t="s">
        <v>48</v>
      </c>
      <c r="L23" s="7" t="s">
        <v>15522</v>
      </c>
      <c r="M23" s="48" t="s">
        <v>15483</v>
      </c>
      <c r="N23" s="48"/>
      <c r="O23" s="114" t="str">
        <f t="shared" si="10"/>
        <v>Questionnaire</v>
      </c>
      <c r="P23" s="48" t="s">
        <v>15488</v>
      </c>
      <c r="Q23" s="47" t="s">
        <v>10678</v>
      </c>
      <c r="R23" s="48" t="s">
        <v>15489</v>
      </c>
      <c r="S23" s="48" t="s">
        <v>238</v>
      </c>
      <c r="T23" s="49" t="s">
        <v>63</v>
      </c>
      <c r="U23" s="49" t="s">
        <v>2715</v>
      </c>
      <c r="V23" s="49"/>
      <c r="W23" s="61">
        <v>3.28</v>
      </c>
      <c r="X23" s="49" t="s">
        <v>15491</v>
      </c>
      <c r="Y23" s="49" t="s">
        <v>15492</v>
      </c>
      <c r="Z23" s="49" t="s">
        <v>7983</v>
      </c>
      <c r="AA23" s="61">
        <v>0.5</v>
      </c>
      <c r="AB23" s="71">
        <v>44295</v>
      </c>
      <c r="AC23" s="156" t="s">
        <v>15488</v>
      </c>
      <c r="AD23" s="53" t="str">
        <f t="shared" si="11"/>
        <v>Link</v>
      </c>
      <c r="AE23" s="54">
        <v>561</v>
      </c>
      <c r="AF23" s="55"/>
      <c r="AG23" s="55"/>
      <c r="AH23" s="56">
        <v>155627</v>
      </c>
      <c r="AI23" s="55"/>
    </row>
    <row r="24" spans="1:41" ht="13" x14ac:dyDescent="0.15">
      <c r="A24" s="7"/>
      <c r="B24" s="110" t="s">
        <v>10684</v>
      </c>
      <c r="C24" s="2" t="s">
        <v>15218</v>
      </c>
      <c r="D24" s="7"/>
      <c r="E24" s="37">
        <v>5</v>
      </c>
      <c r="F24" s="7"/>
      <c r="G24" s="7"/>
      <c r="H24" s="2" t="s">
        <v>15530</v>
      </c>
      <c r="I24" s="2" t="s">
        <v>15531</v>
      </c>
      <c r="J24" s="2" t="s">
        <v>15532</v>
      </c>
      <c r="K24" s="2" t="s">
        <v>48</v>
      </c>
      <c r="L24" s="2" t="s">
        <v>15533</v>
      </c>
      <c r="M24" s="6" t="s">
        <v>15534</v>
      </c>
      <c r="N24" s="48"/>
      <c r="O24" s="45" t="str">
        <f t="shared" ref="O24:O26" si="12">HYPERLINK("http://www.gilbert.parkathletics.com/index?urlLink=1","Questionnaire")</f>
        <v>Questionnaire</v>
      </c>
      <c r="P24" s="48" t="s">
        <v>15538</v>
      </c>
      <c r="Q24" s="60" t="s">
        <v>10678</v>
      </c>
      <c r="R24" s="48" t="s">
        <v>11616</v>
      </c>
      <c r="S24" s="48" t="s">
        <v>62</v>
      </c>
      <c r="T24" s="49" t="s">
        <v>63</v>
      </c>
      <c r="U24" s="49" t="s">
        <v>75</v>
      </c>
      <c r="V24" s="49"/>
      <c r="W24" s="61">
        <v>3.2</v>
      </c>
      <c r="X24" s="49" t="s">
        <v>214</v>
      </c>
      <c r="Y24" s="49" t="s">
        <v>214</v>
      </c>
      <c r="Z24" s="49" t="s">
        <v>214</v>
      </c>
      <c r="AA24" s="61">
        <v>0.85</v>
      </c>
      <c r="AB24" s="71">
        <v>25450</v>
      </c>
      <c r="AC24" s="62" t="s">
        <v>15538</v>
      </c>
      <c r="AD24" s="53" t="str">
        <f t="shared" ref="AD24:AD26" si="13">HYPERLINK("https://www.park.edu/academics/au-abc/degrees/","Link")</f>
        <v>Link</v>
      </c>
      <c r="AE24" s="54">
        <v>300</v>
      </c>
      <c r="AF24" s="55"/>
      <c r="AG24" s="55"/>
      <c r="AH24" s="56"/>
      <c r="AI24" s="85" t="s">
        <v>2459</v>
      </c>
      <c r="AJ24" s="7"/>
      <c r="AK24" s="7"/>
      <c r="AL24" s="7"/>
      <c r="AM24" s="7"/>
      <c r="AN24" s="7"/>
      <c r="AO24" s="7"/>
    </row>
    <row r="25" spans="1:41" ht="13" x14ac:dyDescent="0.15">
      <c r="A25" s="7"/>
      <c r="B25" s="110" t="s">
        <v>10684</v>
      </c>
      <c r="C25" s="2" t="s">
        <v>15218</v>
      </c>
      <c r="D25" s="7"/>
      <c r="E25" s="37">
        <v>5</v>
      </c>
      <c r="F25" s="7"/>
      <c r="G25" s="7"/>
      <c r="H25" s="2" t="s">
        <v>15530</v>
      </c>
      <c r="I25" s="2" t="s">
        <v>15546</v>
      </c>
      <c r="J25" s="2" t="s">
        <v>15547</v>
      </c>
      <c r="K25" s="2" t="s">
        <v>55</v>
      </c>
      <c r="L25" s="2" t="s">
        <v>15548</v>
      </c>
      <c r="M25" s="6" t="s">
        <v>15534</v>
      </c>
      <c r="N25" s="48"/>
      <c r="O25" s="45" t="str">
        <f t="shared" si="12"/>
        <v>Questionnaire</v>
      </c>
      <c r="P25" s="48" t="s">
        <v>15538</v>
      </c>
      <c r="Q25" s="60" t="s">
        <v>10678</v>
      </c>
      <c r="R25" s="48" t="s">
        <v>11616</v>
      </c>
      <c r="S25" s="48" t="s">
        <v>62</v>
      </c>
      <c r="T25" s="49" t="s">
        <v>63</v>
      </c>
      <c r="U25" s="49" t="s">
        <v>75</v>
      </c>
      <c r="V25" s="49"/>
      <c r="W25" s="61">
        <v>3.2</v>
      </c>
      <c r="X25" s="49" t="s">
        <v>214</v>
      </c>
      <c r="Y25" s="49" t="s">
        <v>214</v>
      </c>
      <c r="Z25" s="49" t="s">
        <v>214</v>
      </c>
      <c r="AA25" s="61">
        <v>0.85</v>
      </c>
      <c r="AB25" s="71">
        <v>25450</v>
      </c>
      <c r="AC25" s="62" t="s">
        <v>15538</v>
      </c>
      <c r="AD25" s="53" t="str">
        <f t="shared" si="13"/>
        <v>Link</v>
      </c>
      <c r="AE25" s="54">
        <v>300</v>
      </c>
      <c r="AF25" s="55"/>
      <c r="AG25" s="55"/>
      <c r="AH25" s="56"/>
      <c r="AI25" s="85" t="s">
        <v>2459</v>
      </c>
      <c r="AJ25" s="7"/>
      <c r="AK25" s="7"/>
      <c r="AL25" s="7"/>
      <c r="AM25" s="7"/>
      <c r="AN25" s="7"/>
      <c r="AO25" s="7"/>
    </row>
    <row r="26" spans="1:41" ht="13" x14ac:dyDescent="0.15">
      <c r="A26" s="7"/>
      <c r="B26" s="110" t="s">
        <v>10684</v>
      </c>
      <c r="C26" s="2" t="s">
        <v>15218</v>
      </c>
      <c r="D26" s="7"/>
      <c r="E26" s="37">
        <v>5</v>
      </c>
      <c r="F26" s="7"/>
      <c r="G26" s="7"/>
      <c r="H26" s="2" t="s">
        <v>15530</v>
      </c>
      <c r="I26" s="2" t="s">
        <v>15546</v>
      </c>
      <c r="J26" s="2" t="s">
        <v>15554</v>
      </c>
      <c r="K26" s="2" t="s">
        <v>15555</v>
      </c>
      <c r="L26" s="2" t="s">
        <v>15548</v>
      </c>
      <c r="M26" s="6" t="s">
        <v>15534</v>
      </c>
      <c r="N26" s="48"/>
      <c r="O26" s="45" t="str">
        <f t="shared" si="12"/>
        <v>Questionnaire</v>
      </c>
      <c r="P26" s="48" t="s">
        <v>15538</v>
      </c>
      <c r="Q26" s="60" t="s">
        <v>10678</v>
      </c>
      <c r="R26" s="48" t="s">
        <v>11616</v>
      </c>
      <c r="S26" s="48" t="s">
        <v>62</v>
      </c>
      <c r="T26" s="49" t="s">
        <v>63</v>
      </c>
      <c r="U26" s="49" t="s">
        <v>75</v>
      </c>
      <c r="V26" s="49"/>
      <c r="W26" s="61">
        <v>3.2</v>
      </c>
      <c r="X26" s="49" t="s">
        <v>214</v>
      </c>
      <c r="Y26" s="49" t="s">
        <v>214</v>
      </c>
      <c r="Z26" s="49" t="s">
        <v>214</v>
      </c>
      <c r="AA26" s="61">
        <v>0.85</v>
      </c>
      <c r="AB26" s="71">
        <v>25450</v>
      </c>
      <c r="AC26" s="62" t="s">
        <v>15538</v>
      </c>
      <c r="AD26" s="53" t="str">
        <f t="shared" si="13"/>
        <v>Link</v>
      </c>
      <c r="AE26" s="54">
        <v>300</v>
      </c>
      <c r="AF26" s="55"/>
      <c r="AG26" s="55"/>
      <c r="AH26" s="56"/>
      <c r="AI26" s="85" t="s">
        <v>2459</v>
      </c>
      <c r="AJ26" s="7"/>
      <c r="AK26" s="7"/>
      <c r="AL26" s="7"/>
      <c r="AM26" s="7"/>
      <c r="AN26" s="7"/>
      <c r="AO26" s="7"/>
    </row>
    <row r="27" spans="1:41" ht="13" x14ac:dyDescent="0.15">
      <c r="A27" s="7"/>
      <c r="B27" s="31" t="s">
        <v>140</v>
      </c>
      <c r="C27" s="2" t="s">
        <v>15218</v>
      </c>
      <c r="D27" s="7" t="s">
        <v>15562</v>
      </c>
      <c r="E27" s="37">
        <v>5</v>
      </c>
      <c r="F27" s="48"/>
      <c r="G27" s="48"/>
      <c r="H27" s="2" t="s">
        <v>15563</v>
      </c>
      <c r="I27" s="2" t="s">
        <v>15564</v>
      </c>
      <c r="J27" s="2" t="s">
        <v>812</v>
      </c>
      <c r="K27" s="2" t="s">
        <v>48</v>
      </c>
      <c r="L27" s="2" t="s">
        <v>15565</v>
      </c>
      <c r="M27" s="6" t="s">
        <v>15566</v>
      </c>
      <c r="N27" s="48"/>
      <c r="O27" s="114" t="str">
        <f t="shared" ref="O27:O29" si="14">HYPERLINK("http://www.cbcmustangs.com/recruiting.php","Questionnaire")</f>
        <v>Questionnaire</v>
      </c>
      <c r="P27" s="60" t="s">
        <v>15568</v>
      </c>
      <c r="Q27" s="60" t="s">
        <v>184</v>
      </c>
      <c r="R27" s="48" t="s">
        <v>185</v>
      </c>
      <c r="S27" s="48" t="s">
        <v>186</v>
      </c>
      <c r="T27" s="49" t="s">
        <v>63</v>
      </c>
      <c r="U27" s="6" t="s">
        <v>2619</v>
      </c>
      <c r="V27" s="49"/>
      <c r="W27" s="65">
        <v>3.14</v>
      </c>
      <c r="X27" s="49" t="s">
        <v>15571</v>
      </c>
      <c r="Y27" s="49" t="s">
        <v>8553</v>
      </c>
      <c r="Z27" s="49" t="s">
        <v>746</v>
      </c>
      <c r="AA27" s="38">
        <v>0.61939999999999995</v>
      </c>
      <c r="AB27" s="39">
        <v>26104</v>
      </c>
      <c r="AC27" s="90" t="s">
        <v>15568</v>
      </c>
      <c r="AD27" s="53" t="str">
        <f t="shared" ref="AD27:AD29" si="15">HYPERLINK("http://www.cbc.edu/academics/degree_options.aspx","Link")</f>
        <v>Link</v>
      </c>
      <c r="AE27" s="42">
        <v>827</v>
      </c>
      <c r="AF27" s="55"/>
      <c r="AG27" s="85"/>
      <c r="AH27" s="56">
        <v>106713</v>
      </c>
      <c r="AI27" s="85"/>
    </row>
    <row r="28" spans="1:41" ht="13" x14ac:dyDescent="0.15">
      <c r="A28" s="7"/>
      <c r="B28" s="31" t="s">
        <v>140</v>
      </c>
      <c r="C28" s="2" t="s">
        <v>15218</v>
      </c>
      <c r="D28" s="7" t="s">
        <v>15579</v>
      </c>
      <c r="E28" s="37">
        <v>5</v>
      </c>
      <c r="F28" s="7"/>
      <c r="G28" s="7"/>
      <c r="H28" s="2" t="s">
        <v>15563</v>
      </c>
      <c r="I28" s="2" t="s">
        <v>4659</v>
      </c>
      <c r="J28" s="2" t="s">
        <v>15581</v>
      </c>
      <c r="K28" s="2" t="s">
        <v>55</v>
      </c>
      <c r="L28" s="2"/>
      <c r="M28" s="6"/>
      <c r="N28" s="48"/>
      <c r="O28" s="114" t="str">
        <f t="shared" si="14"/>
        <v>Questionnaire</v>
      </c>
      <c r="P28" s="60" t="s">
        <v>15568</v>
      </c>
      <c r="Q28" s="60" t="s">
        <v>184</v>
      </c>
      <c r="R28" s="48" t="s">
        <v>185</v>
      </c>
      <c r="S28" s="48" t="s">
        <v>186</v>
      </c>
      <c r="T28" s="49" t="s">
        <v>63</v>
      </c>
      <c r="U28" s="6" t="s">
        <v>2619</v>
      </c>
      <c r="V28" s="49"/>
      <c r="W28" s="65">
        <v>3.14</v>
      </c>
      <c r="X28" s="49" t="s">
        <v>15571</v>
      </c>
      <c r="Y28" s="49" t="s">
        <v>8553</v>
      </c>
      <c r="Z28" s="49" t="s">
        <v>746</v>
      </c>
      <c r="AA28" s="38">
        <v>0.61939999999999995</v>
      </c>
      <c r="AB28" s="39">
        <v>26104</v>
      </c>
      <c r="AC28" s="90" t="s">
        <v>15568</v>
      </c>
      <c r="AD28" s="53" t="str">
        <f t="shared" si="15"/>
        <v>Link</v>
      </c>
      <c r="AE28" s="42">
        <v>827</v>
      </c>
      <c r="AF28" s="55"/>
      <c r="AG28" s="85"/>
      <c r="AH28" s="56">
        <v>106713</v>
      </c>
      <c r="AI28" s="85"/>
    </row>
    <row r="29" spans="1:41" ht="13" x14ac:dyDescent="0.15">
      <c r="A29" s="7"/>
      <c r="B29" s="31" t="s">
        <v>140</v>
      </c>
      <c r="C29" s="2" t="s">
        <v>15218</v>
      </c>
      <c r="D29" s="7" t="s">
        <v>15585</v>
      </c>
      <c r="E29" s="37">
        <v>5</v>
      </c>
      <c r="F29" s="7"/>
      <c r="G29" s="7"/>
      <c r="H29" s="2" t="s">
        <v>15563</v>
      </c>
      <c r="I29" s="2" t="s">
        <v>5470</v>
      </c>
      <c r="J29" s="2" t="s">
        <v>15586</v>
      </c>
      <c r="K29" s="2" t="s">
        <v>55</v>
      </c>
      <c r="L29" s="95" t="s">
        <v>15587</v>
      </c>
      <c r="M29" s="6" t="s">
        <v>15588</v>
      </c>
      <c r="N29" s="48"/>
      <c r="O29" s="114" t="str">
        <f t="shared" si="14"/>
        <v>Questionnaire</v>
      </c>
      <c r="P29" s="60" t="s">
        <v>15568</v>
      </c>
      <c r="Q29" s="60" t="s">
        <v>184</v>
      </c>
      <c r="R29" s="48" t="s">
        <v>185</v>
      </c>
      <c r="S29" s="48" t="s">
        <v>186</v>
      </c>
      <c r="T29" s="49" t="s">
        <v>63</v>
      </c>
      <c r="U29" s="6" t="s">
        <v>2619</v>
      </c>
      <c r="V29" s="49"/>
      <c r="W29" s="65">
        <v>3.14</v>
      </c>
      <c r="X29" s="49" t="s">
        <v>15571</v>
      </c>
      <c r="Y29" s="49" t="s">
        <v>8553</v>
      </c>
      <c r="Z29" s="49" t="s">
        <v>746</v>
      </c>
      <c r="AA29" s="38">
        <v>0.61939999999999995</v>
      </c>
      <c r="AB29" s="39">
        <v>26104</v>
      </c>
      <c r="AC29" s="90" t="s">
        <v>15568</v>
      </c>
      <c r="AD29" s="53" t="str">
        <f t="shared" si="15"/>
        <v>Link</v>
      </c>
      <c r="AE29" s="42">
        <v>827</v>
      </c>
      <c r="AF29" s="55"/>
      <c r="AG29" s="85"/>
      <c r="AH29" s="56">
        <v>106713</v>
      </c>
      <c r="AI29" s="85"/>
    </row>
    <row r="30" spans="1:41" ht="13" x14ac:dyDescent="0.15">
      <c r="A30" s="7"/>
      <c r="B30" s="31" t="s">
        <v>140</v>
      </c>
      <c r="C30" s="2" t="s">
        <v>15218</v>
      </c>
      <c r="D30" s="7" t="s">
        <v>15591</v>
      </c>
      <c r="E30" s="37">
        <v>5</v>
      </c>
      <c r="F30" s="48"/>
      <c r="G30" s="48"/>
      <c r="H30" s="2" t="s">
        <v>15592</v>
      </c>
      <c r="I30" s="2" t="s">
        <v>93</v>
      </c>
      <c r="J30" s="2" t="s">
        <v>136</v>
      </c>
      <c r="K30" s="2" t="s">
        <v>48</v>
      </c>
      <c r="L30" s="2" t="s">
        <v>15593</v>
      </c>
      <c r="M30" s="6" t="s">
        <v>15594</v>
      </c>
      <c r="N30" s="45" t="str">
        <f>HYPERLINK("twitter.com/crcpioneersb","@crcpioneersb")</f>
        <v>@crcpioneersb</v>
      </c>
      <c r="O30" s="114" t="str">
        <f>HYPERLINK("http://www.crcpioneers.com/recruiting/0/3.php","Questionnaire")</f>
        <v>Questionnaire</v>
      </c>
      <c r="P30" s="48" t="s">
        <v>15601</v>
      </c>
      <c r="Q30" s="60" t="s">
        <v>184</v>
      </c>
      <c r="R30" s="48" t="s">
        <v>15604</v>
      </c>
      <c r="S30" s="48" t="s">
        <v>468</v>
      </c>
      <c r="T30" s="49" t="s">
        <v>63</v>
      </c>
      <c r="U30" s="6" t="s">
        <v>686</v>
      </c>
      <c r="V30" s="49"/>
      <c r="W30" s="49" t="s">
        <v>214</v>
      </c>
      <c r="X30" s="49" t="s">
        <v>214</v>
      </c>
      <c r="Y30" s="49" t="s">
        <v>214</v>
      </c>
      <c r="Z30" s="49" t="s">
        <v>214</v>
      </c>
      <c r="AA30" s="55" t="s">
        <v>214</v>
      </c>
      <c r="AB30" s="39">
        <v>21760</v>
      </c>
      <c r="AC30" s="84" t="s">
        <v>15601</v>
      </c>
      <c r="AD30" s="53" t="str">
        <f>HYPERLINK("https://www.crc.edu/","Link")</f>
        <v>Link</v>
      </c>
      <c r="AE30" s="42">
        <v>234</v>
      </c>
      <c r="AF30" s="55"/>
      <c r="AG30" s="85"/>
      <c r="AH30" s="56">
        <v>106810</v>
      </c>
      <c r="AI30" s="85"/>
    </row>
    <row r="31" spans="1:41" ht="13" x14ac:dyDescent="0.15">
      <c r="A31" s="7"/>
      <c r="B31" s="31" t="s">
        <v>140</v>
      </c>
      <c r="C31" s="2" t="s">
        <v>15218</v>
      </c>
      <c r="D31" s="7" t="s">
        <v>15611</v>
      </c>
      <c r="E31" s="37">
        <v>5</v>
      </c>
      <c r="F31" s="48"/>
      <c r="G31" s="48"/>
      <c r="H31" s="2" t="s">
        <v>15612</v>
      </c>
      <c r="I31" s="2" t="s">
        <v>201</v>
      </c>
      <c r="J31" s="2" t="s">
        <v>15613</v>
      </c>
      <c r="K31" s="2" t="s">
        <v>48</v>
      </c>
      <c r="L31" s="2" t="s">
        <v>15614</v>
      </c>
      <c r="M31" s="6" t="s">
        <v>15615</v>
      </c>
      <c r="N31" s="45" t="str">
        <f t="shared" ref="N31:N32" si="16">HYPERLINK("twitter.com/lyonscotssb","@lyonscotssb")</f>
        <v>@lyonscotssb</v>
      </c>
      <c r="O31" s="114" t="str">
        <f t="shared" ref="O31:O32" si="17">HYPERLINK("https://lyonscots.com/sb_output.aspx?form=3","Questionnaire")</f>
        <v>Questionnaire</v>
      </c>
      <c r="P31" s="48" t="s">
        <v>15618</v>
      </c>
      <c r="Q31" s="60" t="s">
        <v>184</v>
      </c>
      <c r="R31" s="48" t="s">
        <v>15619</v>
      </c>
      <c r="S31" s="48" t="s">
        <v>172</v>
      </c>
      <c r="T31" s="5" t="s">
        <v>63</v>
      </c>
      <c r="U31" s="6" t="s">
        <v>248</v>
      </c>
      <c r="V31" s="49"/>
      <c r="W31" s="65">
        <v>3.56</v>
      </c>
      <c r="X31" s="49" t="s">
        <v>15621</v>
      </c>
      <c r="Y31" s="49" t="s">
        <v>1509</v>
      </c>
      <c r="Z31" s="49" t="s">
        <v>1510</v>
      </c>
      <c r="AA31" s="65">
        <v>0.74</v>
      </c>
      <c r="AB31" s="39">
        <v>37730</v>
      </c>
      <c r="AC31" s="84" t="s">
        <v>15618</v>
      </c>
      <c r="AD31" s="53" t="str">
        <f t="shared" ref="AD31:AD32" si="18">HYPERLINK("https://www.lyon.edu/academic-programs","Link")</f>
        <v>Link</v>
      </c>
      <c r="AE31" s="42">
        <v>707</v>
      </c>
      <c r="AF31" s="55"/>
      <c r="AG31" s="85"/>
      <c r="AH31" s="56">
        <v>106342</v>
      </c>
      <c r="AI31" s="85"/>
      <c r="AJ31" s="137"/>
      <c r="AK31" s="137"/>
    </row>
    <row r="32" spans="1:41" ht="13" x14ac:dyDescent="0.15">
      <c r="A32" s="7"/>
      <c r="B32" s="31" t="s">
        <v>140</v>
      </c>
      <c r="C32" s="2" t="s">
        <v>15218</v>
      </c>
      <c r="D32" s="7" t="s">
        <v>15627</v>
      </c>
      <c r="E32" s="37">
        <v>5</v>
      </c>
      <c r="F32" s="48"/>
      <c r="G32" s="48"/>
      <c r="H32" s="2" t="s">
        <v>15612</v>
      </c>
      <c r="I32" s="2" t="s">
        <v>1124</v>
      </c>
      <c r="J32" s="2" t="s">
        <v>12710</v>
      </c>
      <c r="K32" s="2" t="s">
        <v>55</v>
      </c>
      <c r="L32" s="2" t="s">
        <v>15628</v>
      </c>
      <c r="M32" s="6" t="s">
        <v>15615</v>
      </c>
      <c r="N32" s="45" t="str">
        <f t="shared" si="16"/>
        <v>@lyonscotssb</v>
      </c>
      <c r="O32" s="114" t="str">
        <f t="shared" si="17"/>
        <v>Questionnaire</v>
      </c>
      <c r="P32" s="48" t="s">
        <v>15618</v>
      </c>
      <c r="Q32" s="60" t="s">
        <v>184</v>
      </c>
      <c r="R32" s="48" t="s">
        <v>15619</v>
      </c>
      <c r="S32" s="48" t="s">
        <v>172</v>
      </c>
      <c r="T32" s="5" t="s">
        <v>63</v>
      </c>
      <c r="U32" s="6" t="s">
        <v>248</v>
      </c>
      <c r="V32" s="49"/>
      <c r="W32" s="65">
        <v>3.56</v>
      </c>
      <c r="X32" s="49" t="s">
        <v>15621</v>
      </c>
      <c r="Y32" s="49" t="s">
        <v>1509</v>
      </c>
      <c r="Z32" s="49" t="s">
        <v>1510</v>
      </c>
      <c r="AA32" s="65">
        <v>0.74</v>
      </c>
      <c r="AB32" s="39">
        <v>37730</v>
      </c>
      <c r="AC32" s="84" t="s">
        <v>15618</v>
      </c>
      <c r="AD32" s="53" t="str">
        <f t="shared" si="18"/>
        <v>Link</v>
      </c>
      <c r="AE32" s="42">
        <v>707</v>
      </c>
      <c r="AF32" s="55"/>
      <c r="AG32" s="85"/>
      <c r="AH32" s="56">
        <v>106342</v>
      </c>
      <c r="AI32" s="85"/>
    </row>
    <row r="33" spans="1:41" ht="13" x14ac:dyDescent="0.15">
      <c r="A33" s="7"/>
      <c r="B33" s="31" t="s">
        <v>140</v>
      </c>
      <c r="C33" s="2" t="s">
        <v>15218</v>
      </c>
      <c r="D33" s="7" t="s">
        <v>15633</v>
      </c>
      <c r="E33" s="37">
        <v>5</v>
      </c>
      <c r="F33" s="48"/>
      <c r="G33" s="48"/>
      <c r="H33" s="2" t="s">
        <v>15635</v>
      </c>
      <c r="I33" s="2" t="s">
        <v>201</v>
      </c>
      <c r="J33" s="2" t="s">
        <v>15636</v>
      </c>
      <c r="K33" s="2" t="s">
        <v>48</v>
      </c>
      <c r="L33" s="2" t="s">
        <v>15638</v>
      </c>
      <c r="M33" s="6" t="s">
        <v>15640</v>
      </c>
      <c r="N33" s="45" t="str">
        <f t="shared" ref="N33:N34" si="19">HYPERLINK("twitter.com/WBUSoftball","@WBUSoftball")</f>
        <v>@WBUSoftball</v>
      </c>
      <c r="O33" s="114" t="str">
        <f t="shared" ref="O33:O34" si="20">HYPERLINK("http://www.wbueagles.com/recruiting.php","Questionnaire")</f>
        <v>Questionnaire</v>
      </c>
      <c r="P33" s="48" t="s">
        <v>15644</v>
      </c>
      <c r="Q33" s="60" t="s">
        <v>184</v>
      </c>
      <c r="R33" s="48" t="s">
        <v>15645</v>
      </c>
      <c r="S33" s="60" t="s">
        <v>205</v>
      </c>
      <c r="T33" s="49" t="s">
        <v>63</v>
      </c>
      <c r="U33" s="6" t="s">
        <v>800</v>
      </c>
      <c r="V33" s="49"/>
      <c r="W33" s="65">
        <v>3.2</v>
      </c>
      <c r="X33" s="49" t="s">
        <v>214</v>
      </c>
      <c r="Y33" s="49" t="s">
        <v>214</v>
      </c>
      <c r="Z33" s="49" t="s">
        <v>449</v>
      </c>
      <c r="AA33" s="65">
        <v>0.61</v>
      </c>
      <c r="AB33" s="39">
        <v>29120</v>
      </c>
      <c r="AC33" s="84" t="s">
        <v>15644</v>
      </c>
      <c r="AD33" s="53" t="str">
        <f t="shared" ref="AD33:AD34" si="21">HYPERLINK("http://www.wbcoll.edu/departments_majors/majors_and_programs.aspx","Link")</f>
        <v>Link</v>
      </c>
      <c r="AE33" s="42">
        <v>469</v>
      </c>
      <c r="AF33" s="55"/>
      <c r="AG33" s="85"/>
      <c r="AH33" s="56">
        <v>107877</v>
      </c>
      <c r="AI33" s="85"/>
    </row>
    <row r="34" spans="1:41" ht="13" x14ac:dyDescent="0.15">
      <c r="A34" s="7"/>
      <c r="B34" s="31" t="s">
        <v>140</v>
      </c>
      <c r="C34" s="2" t="s">
        <v>15218</v>
      </c>
      <c r="D34" s="7" t="s">
        <v>15651</v>
      </c>
      <c r="E34" s="37">
        <v>5</v>
      </c>
      <c r="F34" s="48"/>
      <c r="G34" s="48"/>
      <c r="H34" s="2" t="s">
        <v>15635</v>
      </c>
      <c r="I34" s="2" t="s">
        <v>15652</v>
      </c>
      <c r="J34" s="2" t="s">
        <v>15653</v>
      </c>
      <c r="K34" s="2" t="s">
        <v>55</v>
      </c>
      <c r="L34" s="2" t="s">
        <v>15654</v>
      </c>
      <c r="M34" s="6" t="s">
        <v>15655</v>
      </c>
      <c r="N34" s="45" t="str">
        <f t="shared" si="19"/>
        <v>@WBUSoftball</v>
      </c>
      <c r="O34" s="114" t="str">
        <f t="shared" si="20"/>
        <v>Questionnaire</v>
      </c>
      <c r="P34" s="48" t="s">
        <v>15644</v>
      </c>
      <c r="Q34" s="60" t="s">
        <v>184</v>
      </c>
      <c r="R34" s="48" t="s">
        <v>15645</v>
      </c>
      <c r="S34" s="60" t="s">
        <v>205</v>
      </c>
      <c r="T34" s="49" t="s">
        <v>63</v>
      </c>
      <c r="U34" s="6" t="s">
        <v>800</v>
      </c>
      <c r="V34" s="49"/>
      <c r="W34" s="65">
        <v>3.2</v>
      </c>
      <c r="X34" s="49" t="s">
        <v>214</v>
      </c>
      <c r="Y34" s="49" t="s">
        <v>214</v>
      </c>
      <c r="Z34" s="49" t="s">
        <v>449</v>
      </c>
      <c r="AA34" s="65">
        <v>0.61</v>
      </c>
      <c r="AB34" s="39">
        <v>29120</v>
      </c>
      <c r="AC34" s="84" t="s">
        <v>15644</v>
      </c>
      <c r="AD34" s="53" t="str">
        <f t="shared" si="21"/>
        <v>Link</v>
      </c>
      <c r="AE34" s="42">
        <v>469</v>
      </c>
      <c r="AF34" s="55"/>
      <c r="AG34" s="85"/>
      <c r="AH34" s="56">
        <v>107877</v>
      </c>
      <c r="AI34" s="85"/>
    </row>
    <row r="35" spans="1:41" ht="13" x14ac:dyDescent="0.15">
      <c r="A35" s="7"/>
      <c r="B35" s="31" t="s">
        <v>907</v>
      </c>
      <c r="C35" s="2" t="s">
        <v>15218</v>
      </c>
      <c r="D35" s="7" t="s">
        <v>15662</v>
      </c>
      <c r="E35" s="37">
        <v>5</v>
      </c>
      <c r="F35" s="48"/>
      <c r="G35" s="48"/>
      <c r="H35" s="2" t="s">
        <v>15663</v>
      </c>
      <c r="I35" s="2" t="s">
        <v>15664</v>
      </c>
      <c r="J35" s="2" t="s">
        <v>15665</v>
      </c>
      <c r="K35" s="2" t="s">
        <v>48</v>
      </c>
      <c r="L35" s="2" t="s">
        <v>15666</v>
      </c>
      <c r="M35" s="6" t="s">
        <v>15667</v>
      </c>
      <c r="N35" s="45" t="str">
        <f>HYPERLINK("twitter.com/ubcsoftball","@ubcsoftball")</f>
        <v>@ubcsoftball</v>
      </c>
      <c r="O35" s="114" t="str">
        <f>HYPERLINK("https://gothunderbirds.ca/sb_output.aspx?form=3","Questionnaire")</f>
        <v>Questionnaire</v>
      </c>
      <c r="P35" s="48" t="s">
        <v>907</v>
      </c>
      <c r="Q35" s="60" t="s">
        <v>914</v>
      </c>
      <c r="R35" s="48" t="s">
        <v>15671</v>
      </c>
      <c r="S35" s="48" t="s">
        <v>354</v>
      </c>
      <c r="T35" s="49" t="s">
        <v>916</v>
      </c>
      <c r="U35" s="48" t="s">
        <v>214</v>
      </c>
      <c r="V35" s="49" t="s">
        <v>916</v>
      </c>
      <c r="W35" s="49" t="s">
        <v>214</v>
      </c>
      <c r="X35" s="49" t="s">
        <v>214</v>
      </c>
      <c r="Y35" s="49" t="s">
        <v>214</v>
      </c>
      <c r="Z35" s="49" t="s">
        <v>214</v>
      </c>
      <c r="AA35" s="55" t="s">
        <v>214</v>
      </c>
      <c r="AB35" s="146" t="str">
        <f>HYPERLINK("https://students.ubc.ca/enrolment/finances/tuition-fees/undergraduate-tuition-fees","List")</f>
        <v>List</v>
      </c>
      <c r="AC35" s="84" t="s">
        <v>907</v>
      </c>
      <c r="AD35" s="53" t="str">
        <f>HYPERLINK("http://you.ubc.ca/programs/","Link")</f>
        <v>Link</v>
      </c>
      <c r="AE35" s="42">
        <v>50654</v>
      </c>
      <c r="AF35" s="55"/>
      <c r="AG35" s="85"/>
      <c r="AH35" s="85"/>
      <c r="AI35" s="85"/>
    </row>
    <row r="36" spans="1:41" ht="13" x14ac:dyDescent="0.15">
      <c r="A36" s="7"/>
      <c r="B36" s="31" t="s">
        <v>300</v>
      </c>
      <c r="C36" s="2" t="s">
        <v>15218</v>
      </c>
      <c r="D36" s="7"/>
      <c r="E36" s="37">
        <v>5</v>
      </c>
      <c r="F36" s="7"/>
      <c r="G36" s="7"/>
      <c r="H36" s="2" t="s">
        <v>15678</v>
      </c>
      <c r="I36" s="2" t="s">
        <v>939</v>
      </c>
      <c r="J36" s="2" t="s">
        <v>15679</v>
      </c>
      <c r="K36" s="2" t="s">
        <v>48</v>
      </c>
      <c r="L36" s="2" t="s">
        <v>15680</v>
      </c>
      <c r="M36" s="6" t="s">
        <v>15681</v>
      </c>
      <c r="N36" s="45" t="str">
        <f t="shared" ref="N36:N38" si="22">HYPERLINK("twitter.com/hiusoftball","@hiusoftball")</f>
        <v>@hiusoftball</v>
      </c>
      <c r="O36" s="114" t="str">
        <f t="shared" ref="O36:O38" si="23">HYPERLINK("http://www.hiuroyals.com/SIDHelp.php?action=form&amp;parameters=5","Questionnaire")</f>
        <v>Questionnaire</v>
      </c>
      <c r="P36" s="48" t="s">
        <v>15686</v>
      </c>
      <c r="Q36" s="60" t="s">
        <v>312</v>
      </c>
      <c r="R36" s="48" t="s">
        <v>5199</v>
      </c>
      <c r="S36" s="48" t="s">
        <v>238</v>
      </c>
      <c r="T36" s="49" t="s">
        <v>63</v>
      </c>
      <c r="U36" s="6" t="s">
        <v>686</v>
      </c>
      <c r="V36" s="49"/>
      <c r="W36" s="65">
        <v>3.19</v>
      </c>
      <c r="X36" s="49" t="s">
        <v>1785</v>
      </c>
      <c r="Y36" s="49" t="s">
        <v>5268</v>
      </c>
      <c r="Z36" s="49" t="s">
        <v>449</v>
      </c>
      <c r="AA36" s="65">
        <v>0.32</v>
      </c>
      <c r="AB36" s="39">
        <v>45146</v>
      </c>
      <c r="AC36" s="84" t="s">
        <v>15686</v>
      </c>
      <c r="AD36" s="53" t="str">
        <f t="shared" ref="AD36:AD38" si="24">HYPERLINK("https://www.hiu.edu/undergraduate-on-campus/academics/colleges/","Link")</f>
        <v>Link</v>
      </c>
      <c r="AE36" s="42">
        <v>961</v>
      </c>
      <c r="AF36" s="55"/>
      <c r="AG36" s="85"/>
      <c r="AH36" s="56">
        <v>120537</v>
      </c>
      <c r="AI36" s="85" t="s">
        <v>2459</v>
      </c>
      <c r="AJ36" s="7"/>
      <c r="AK36" s="7"/>
      <c r="AL36" s="7"/>
      <c r="AM36" s="7"/>
      <c r="AN36" s="7"/>
      <c r="AO36" s="7"/>
    </row>
    <row r="37" spans="1:41" ht="13" x14ac:dyDescent="0.15">
      <c r="A37" s="7"/>
      <c r="B37" s="31" t="s">
        <v>300</v>
      </c>
      <c r="C37" s="2" t="s">
        <v>15218</v>
      </c>
      <c r="D37" s="7"/>
      <c r="E37" s="37">
        <v>5</v>
      </c>
      <c r="F37" s="7"/>
      <c r="G37" s="7"/>
      <c r="H37" s="2" t="s">
        <v>15678</v>
      </c>
      <c r="I37" s="7" t="s">
        <v>15690</v>
      </c>
      <c r="J37" s="7" t="s">
        <v>15691</v>
      </c>
      <c r="K37" s="7" t="s">
        <v>120</v>
      </c>
      <c r="L37" s="7"/>
      <c r="M37" s="48"/>
      <c r="N37" s="45" t="str">
        <f t="shared" si="22"/>
        <v>@hiusoftball</v>
      </c>
      <c r="O37" s="114" t="str">
        <f t="shared" si="23"/>
        <v>Questionnaire</v>
      </c>
      <c r="P37" s="48" t="s">
        <v>15686</v>
      </c>
      <c r="Q37" s="60" t="s">
        <v>312</v>
      </c>
      <c r="R37" s="48" t="s">
        <v>5199</v>
      </c>
      <c r="S37" s="48" t="s">
        <v>238</v>
      </c>
      <c r="T37" s="49" t="s">
        <v>63</v>
      </c>
      <c r="U37" s="6" t="s">
        <v>686</v>
      </c>
      <c r="V37" s="49"/>
      <c r="W37" s="65">
        <v>3.19</v>
      </c>
      <c r="X37" s="49" t="s">
        <v>1785</v>
      </c>
      <c r="Y37" s="49" t="s">
        <v>5268</v>
      </c>
      <c r="Z37" s="49" t="s">
        <v>449</v>
      </c>
      <c r="AA37" s="65">
        <v>0.32</v>
      </c>
      <c r="AB37" s="39">
        <v>45146</v>
      </c>
      <c r="AC37" s="84" t="s">
        <v>15686</v>
      </c>
      <c r="AD37" s="53" t="str">
        <f t="shared" si="24"/>
        <v>Link</v>
      </c>
      <c r="AE37" s="42">
        <v>961</v>
      </c>
      <c r="AF37" s="55"/>
      <c r="AG37" s="85"/>
      <c r="AH37" s="56">
        <v>120537</v>
      </c>
      <c r="AI37" s="85" t="s">
        <v>2459</v>
      </c>
      <c r="AJ37" s="7"/>
      <c r="AK37" s="7"/>
      <c r="AL37" s="7"/>
      <c r="AM37" s="7"/>
      <c r="AN37" s="7"/>
      <c r="AO37" s="7"/>
    </row>
    <row r="38" spans="1:41" ht="13" x14ac:dyDescent="0.15">
      <c r="A38" s="7"/>
      <c r="B38" s="31" t="s">
        <v>300</v>
      </c>
      <c r="C38" s="2" t="s">
        <v>15218</v>
      </c>
      <c r="D38" s="7"/>
      <c r="E38" s="37">
        <v>5</v>
      </c>
      <c r="F38" s="7"/>
      <c r="G38" s="7"/>
      <c r="H38" s="2" t="s">
        <v>15678</v>
      </c>
      <c r="I38" s="7" t="s">
        <v>3279</v>
      </c>
      <c r="J38" s="7" t="s">
        <v>15679</v>
      </c>
      <c r="K38" s="7" t="s">
        <v>55</v>
      </c>
      <c r="L38" s="7" t="s">
        <v>15699</v>
      </c>
      <c r="M38" s="48"/>
      <c r="N38" s="45" t="str">
        <f t="shared" si="22"/>
        <v>@hiusoftball</v>
      </c>
      <c r="O38" s="114" t="str">
        <f t="shared" si="23"/>
        <v>Questionnaire</v>
      </c>
      <c r="P38" s="48" t="s">
        <v>15686</v>
      </c>
      <c r="Q38" s="60" t="s">
        <v>312</v>
      </c>
      <c r="R38" s="48" t="s">
        <v>5199</v>
      </c>
      <c r="S38" s="48" t="s">
        <v>238</v>
      </c>
      <c r="T38" s="49" t="s">
        <v>63</v>
      </c>
      <c r="U38" s="6" t="s">
        <v>686</v>
      </c>
      <c r="V38" s="49"/>
      <c r="W38" s="65">
        <v>3.19</v>
      </c>
      <c r="X38" s="49" t="s">
        <v>1785</v>
      </c>
      <c r="Y38" s="49" t="s">
        <v>5268</v>
      </c>
      <c r="Z38" s="49" t="s">
        <v>449</v>
      </c>
      <c r="AA38" s="65">
        <v>0.32</v>
      </c>
      <c r="AB38" s="39">
        <v>45146</v>
      </c>
      <c r="AC38" s="84" t="s">
        <v>15686</v>
      </c>
      <c r="AD38" s="53" t="str">
        <f t="shared" si="24"/>
        <v>Link</v>
      </c>
      <c r="AE38" s="42">
        <v>961</v>
      </c>
      <c r="AF38" s="55"/>
      <c r="AG38" s="85"/>
      <c r="AH38" s="56">
        <v>120537</v>
      </c>
      <c r="AI38" s="85" t="s">
        <v>2459</v>
      </c>
      <c r="AJ38" s="7"/>
      <c r="AK38" s="7"/>
      <c r="AL38" s="7"/>
      <c r="AM38" s="7"/>
      <c r="AN38" s="7"/>
      <c r="AO38" s="7"/>
    </row>
    <row r="39" spans="1:41" ht="13" x14ac:dyDescent="0.15">
      <c r="A39" s="7"/>
      <c r="B39" s="31" t="s">
        <v>300</v>
      </c>
      <c r="C39" s="2" t="s">
        <v>15218</v>
      </c>
      <c r="D39" s="7" t="s">
        <v>15710</v>
      </c>
      <c r="E39" s="37">
        <v>5</v>
      </c>
      <c r="F39" s="48"/>
      <c r="G39" s="48"/>
      <c r="H39" s="2" t="s">
        <v>15712</v>
      </c>
      <c r="I39" s="2" t="s">
        <v>930</v>
      </c>
      <c r="J39" s="2" t="s">
        <v>15714</v>
      </c>
      <c r="K39" s="2" t="s">
        <v>48</v>
      </c>
      <c r="L39" s="2" t="s">
        <v>15716</v>
      </c>
      <c r="M39" s="6" t="s">
        <v>15717</v>
      </c>
      <c r="N39" s="45" t="str">
        <f t="shared" ref="N39:N42" si="25">HYPERLINK("twitter.com/sbgoldeneagles","@sbgoldeneagles")</f>
        <v>@sbgoldeneagles</v>
      </c>
      <c r="O39" s="114" t="str">
        <f t="shared" ref="O39:O42" si="26">HYPERLINK("http://www.lsugoldeneagles.com/recruiting.php","Questionnaire")</f>
        <v>Questionnaire</v>
      </c>
      <c r="P39" s="48" t="s">
        <v>15723</v>
      </c>
      <c r="Q39" s="60" t="s">
        <v>312</v>
      </c>
      <c r="R39" s="48" t="s">
        <v>5374</v>
      </c>
      <c r="S39" s="48" t="s">
        <v>354</v>
      </c>
      <c r="T39" s="5" t="s">
        <v>63</v>
      </c>
      <c r="U39" s="6" t="s">
        <v>15724</v>
      </c>
      <c r="V39" s="49"/>
      <c r="W39" s="65">
        <v>3.39</v>
      </c>
      <c r="X39" s="49" t="s">
        <v>8238</v>
      </c>
      <c r="Y39" s="49" t="s">
        <v>3950</v>
      </c>
      <c r="Z39" s="49" t="s">
        <v>3952</v>
      </c>
      <c r="AA39" s="65">
        <v>0.46</v>
      </c>
      <c r="AB39" s="39">
        <v>44649</v>
      </c>
      <c r="AC39" s="84" t="s">
        <v>15723</v>
      </c>
      <c r="AD39" s="53" t="str">
        <f t="shared" ref="AD39:AD42" si="27">HYPERLINK("https://admissions.lasierra.edu/programs/","Link")</f>
        <v>Link</v>
      </c>
      <c r="AE39" s="42">
        <v>1963</v>
      </c>
      <c r="AF39" s="55"/>
      <c r="AG39" s="85"/>
      <c r="AH39" s="56">
        <v>117627</v>
      </c>
      <c r="AI39" s="85"/>
    </row>
    <row r="40" spans="1:41" ht="13" x14ac:dyDescent="0.15">
      <c r="A40" s="7"/>
      <c r="B40" s="31" t="s">
        <v>300</v>
      </c>
      <c r="C40" s="2" t="s">
        <v>15218</v>
      </c>
      <c r="D40" s="7" t="s">
        <v>15732</v>
      </c>
      <c r="E40" s="37">
        <v>5</v>
      </c>
      <c r="F40" s="48" t="s">
        <v>116</v>
      </c>
      <c r="G40" s="48"/>
      <c r="H40" s="2" t="s">
        <v>15712</v>
      </c>
      <c r="I40" s="7" t="s">
        <v>2806</v>
      </c>
      <c r="J40" s="7" t="s">
        <v>15734</v>
      </c>
      <c r="K40" s="7" t="s">
        <v>55</v>
      </c>
      <c r="L40" s="7" t="s">
        <v>15735</v>
      </c>
      <c r="M40" s="6"/>
      <c r="N40" s="45" t="str">
        <f t="shared" si="25"/>
        <v>@sbgoldeneagles</v>
      </c>
      <c r="O40" s="114" t="str">
        <f t="shared" si="26"/>
        <v>Questionnaire</v>
      </c>
      <c r="P40" s="48" t="s">
        <v>15723</v>
      </c>
      <c r="Q40" s="60" t="s">
        <v>312</v>
      </c>
      <c r="R40" s="48" t="s">
        <v>5374</v>
      </c>
      <c r="S40" s="48" t="s">
        <v>354</v>
      </c>
      <c r="T40" s="5" t="s">
        <v>63</v>
      </c>
      <c r="U40" s="6" t="s">
        <v>15724</v>
      </c>
      <c r="V40" s="49"/>
      <c r="W40" s="65">
        <v>3.39</v>
      </c>
      <c r="X40" s="49" t="s">
        <v>8238</v>
      </c>
      <c r="Y40" s="49" t="s">
        <v>3950</v>
      </c>
      <c r="Z40" s="49" t="s">
        <v>3952</v>
      </c>
      <c r="AA40" s="65">
        <v>0.46</v>
      </c>
      <c r="AB40" s="39">
        <v>44649</v>
      </c>
      <c r="AC40" s="84" t="s">
        <v>15723</v>
      </c>
      <c r="AD40" s="53" t="str">
        <f t="shared" si="27"/>
        <v>Link</v>
      </c>
      <c r="AE40" s="42">
        <v>1963</v>
      </c>
      <c r="AF40" s="55"/>
      <c r="AG40" s="85"/>
      <c r="AH40" s="56">
        <v>117627</v>
      </c>
      <c r="AI40" s="85"/>
    </row>
    <row r="41" spans="1:41" ht="13" x14ac:dyDescent="0.15">
      <c r="A41" s="7"/>
      <c r="B41" s="31" t="s">
        <v>300</v>
      </c>
      <c r="C41" s="2" t="s">
        <v>15218</v>
      </c>
      <c r="D41" s="7" t="s">
        <v>15740</v>
      </c>
      <c r="E41" s="37">
        <v>5</v>
      </c>
      <c r="F41" s="48"/>
      <c r="G41" s="48"/>
      <c r="H41" s="2" t="s">
        <v>15712</v>
      </c>
      <c r="I41" s="2" t="s">
        <v>439</v>
      </c>
      <c r="J41" s="2" t="s">
        <v>3498</v>
      </c>
      <c r="K41" s="2" t="s">
        <v>55</v>
      </c>
      <c r="L41" s="2"/>
      <c r="M41" s="6"/>
      <c r="N41" s="45" t="str">
        <f t="shared" si="25"/>
        <v>@sbgoldeneagles</v>
      </c>
      <c r="O41" s="114" t="str">
        <f t="shared" si="26"/>
        <v>Questionnaire</v>
      </c>
      <c r="P41" s="48" t="s">
        <v>15723</v>
      </c>
      <c r="Q41" s="60" t="s">
        <v>312</v>
      </c>
      <c r="R41" s="48" t="s">
        <v>5374</v>
      </c>
      <c r="S41" s="48" t="s">
        <v>354</v>
      </c>
      <c r="T41" s="5" t="s">
        <v>63</v>
      </c>
      <c r="U41" s="6" t="s">
        <v>15724</v>
      </c>
      <c r="V41" s="49"/>
      <c r="W41" s="65">
        <v>3.39</v>
      </c>
      <c r="X41" s="49" t="s">
        <v>8238</v>
      </c>
      <c r="Y41" s="49" t="s">
        <v>3950</v>
      </c>
      <c r="Z41" s="49" t="s">
        <v>3952</v>
      </c>
      <c r="AA41" s="65">
        <v>0.46</v>
      </c>
      <c r="AB41" s="39">
        <v>44649</v>
      </c>
      <c r="AC41" s="84" t="s">
        <v>15723</v>
      </c>
      <c r="AD41" s="53" t="str">
        <f t="shared" si="27"/>
        <v>Link</v>
      </c>
      <c r="AE41" s="42">
        <v>1963</v>
      </c>
      <c r="AF41" s="55"/>
      <c r="AG41" s="85"/>
      <c r="AH41" s="56">
        <v>117627</v>
      </c>
      <c r="AI41" s="85"/>
    </row>
    <row r="42" spans="1:41" ht="13" x14ac:dyDescent="0.15">
      <c r="A42" s="7"/>
      <c r="B42" s="31" t="s">
        <v>300</v>
      </c>
      <c r="C42" s="2" t="s">
        <v>15218</v>
      </c>
      <c r="D42" s="7" t="s">
        <v>15744</v>
      </c>
      <c r="E42" s="37">
        <v>5</v>
      </c>
      <c r="F42" s="48"/>
      <c r="G42" s="48"/>
      <c r="H42" s="2" t="s">
        <v>15712</v>
      </c>
      <c r="I42" s="2" t="s">
        <v>431</v>
      </c>
      <c r="J42" s="2" t="s">
        <v>15745</v>
      </c>
      <c r="K42" s="2" t="s">
        <v>55</v>
      </c>
      <c r="L42" s="2"/>
      <c r="M42" s="6"/>
      <c r="N42" s="45" t="str">
        <f t="shared" si="25"/>
        <v>@sbgoldeneagles</v>
      </c>
      <c r="O42" s="114" t="str">
        <f t="shared" si="26"/>
        <v>Questionnaire</v>
      </c>
      <c r="P42" s="48" t="s">
        <v>15723</v>
      </c>
      <c r="Q42" s="60" t="s">
        <v>312</v>
      </c>
      <c r="R42" s="48" t="s">
        <v>5374</v>
      </c>
      <c r="S42" s="48" t="s">
        <v>354</v>
      </c>
      <c r="T42" s="5" t="s">
        <v>63</v>
      </c>
      <c r="U42" s="6" t="s">
        <v>15724</v>
      </c>
      <c r="V42" s="49"/>
      <c r="W42" s="65">
        <v>3.39</v>
      </c>
      <c r="X42" s="49" t="s">
        <v>8238</v>
      </c>
      <c r="Y42" s="49" t="s">
        <v>3950</v>
      </c>
      <c r="Z42" s="49" t="s">
        <v>3952</v>
      </c>
      <c r="AA42" s="65">
        <v>0.46</v>
      </c>
      <c r="AB42" s="39">
        <v>44649</v>
      </c>
      <c r="AC42" s="84" t="s">
        <v>15723</v>
      </c>
      <c r="AD42" s="53" t="str">
        <f t="shared" si="27"/>
        <v>Link</v>
      </c>
      <c r="AE42" s="42">
        <v>1963</v>
      </c>
      <c r="AF42" s="55"/>
      <c r="AG42" s="85"/>
      <c r="AH42" s="56">
        <v>117627</v>
      </c>
      <c r="AI42" s="85"/>
    </row>
    <row r="43" spans="1:41" ht="13" x14ac:dyDescent="0.15">
      <c r="A43" s="7"/>
      <c r="B43" s="31" t="s">
        <v>300</v>
      </c>
      <c r="C43" s="2" t="s">
        <v>15218</v>
      </c>
      <c r="D43" s="7" t="s">
        <v>15749</v>
      </c>
      <c r="E43" s="37">
        <v>5</v>
      </c>
      <c r="F43" s="48"/>
      <c r="G43" s="48"/>
      <c r="H43" s="2" t="s">
        <v>15751</v>
      </c>
      <c r="I43" s="2" t="s">
        <v>1985</v>
      </c>
      <c r="J43" s="2" t="s">
        <v>15752</v>
      </c>
      <c r="K43" s="2" t="s">
        <v>48</v>
      </c>
      <c r="L43" s="2" t="s">
        <v>15756</v>
      </c>
      <c r="M43" s="6" t="s">
        <v>15757</v>
      </c>
      <c r="N43" s="45" t="str">
        <f t="shared" ref="N43:N45" si="28">HYPERLINK("twitter.com/mcusoftball","@mcusoftball")</f>
        <v>@mcusoftball</v>
      </c>
      <c r="O43" s="114" t="str">
        <f t="shared" ref="O43:O47" si="29">HYPERLINK("http://www.marinerathletics.com/recruiting.php","Questionnaire")</f>
        <v>Questionnaire</v>
      </c>
      <c r="P43" s="48" t="s">
        <v>15765</v>
      </c>
      <c r="Q43" s="60" t="s">
        <v>312</v>
      </c>
      <c r="R43" s="48" t="s">
        <v>15766</v>
      </c>
      <c r="S43" s="48" t="s">
        <v>468</v>
      </c>
      <c r="T43" s="49" t="s">
        <v>63</v>
      </c>
      <c r="U43" s="48" t="s">
        <v>343</v>
      </c>
      <c r="V43" s="49"/>
      <c r="W43" s="61">
        <v>3.01</v>
      </c>
      <c r="X43" s="49" t="s">
        <v>2709</v>
      </c>
      <c r="Y43" s="49" t="s">
        <v>2709</v>
      </c>
      <c r="Z43" s="49" t="s">
        <v>1948</v>
      </c>
      <c r="AA43" s="61">
        <v>0.76</v>
      </c>
      <c r="AB43" s="71">
        <v>54880</v>
      </c>
      <c r="AC43" s="62" t="s">
        <v>15765</v>
      </c>
      <c r="AD43" s="53" t="str">
        <f t="shared" ref="AD43:AD47" si="30">HYPERLINK("https://www.marymountcalifornia.edu/academics/","Link")</f>
        <v>Link</v>
      </c>
      <c r="AE43" s="54">
        <v>942</v>
      </c>
      <c r="AF43" s="55"/>
      <c r="AG43" s="85"/>
      <c r="AH43" s="56">
        <v>118541</v>
      </c>
      <c r="AI43" s="85"/>
      <c r="AJ43" s="137"/>
      <c r="AK43" s="137"/>
    </row>
    <row r="44" spans="1:41" ht="13" x14ac:dyDescent="0.15">
      <c r="A44" s="7"/>
      <c r="B44" s="31" t="s">
        <v>300</v>
      </c>
      <c r="C44" s="2" t="s">
        <v>15218</v>
      </c>
      <c r="D44" s="7" t="s">
        <v>15770</v>
      </c>
      <c r="E44" s="37">
        <v>5</v>
      </c>
      <c r="F44" s="48"/>
      <c r="G44" s="48"/>
      <c r="H44" s="2" t="s">
        <v>15751</v>
      </c>
      <c r="I44" s="2" t="s">
        <v>14295</v>
      </c>
      <c r="J44" s="2" t="s">
        <v>15771</v>
      </c>
      <c r="K44" s="2" t="s">
        <v>55</v>
      </c>
      <c r="L44" s="2" t="s">
        <v>15772</v>
      </c>
      <c r="M44" s="6"/>
      <c r="N44" s="45" t="str">
        <f t="shared" si="28"/>
        <v>@mcusoftball</v>
      </c>
      <c r="O44" s="114" t="str">
        <f t="shared" si="29"/>
        <v>Questionnaire</v>
      </c>
      <c r="P44" s="48" t="s">
        <v>15765</v>
      </c>
      <c r="Q44" s="60" t="s">
        <v>312</v>
      </c>
      <c r="R44" s="48" t="s">
        <v>15766</v>
      </c>
      <c r="S44" s="48" t="s">
        <v>468</v>
      </c>
      <c r="T44" s="49" t="s">
        <v>63</v>
      </c>
      <c r="U44" s="48" t="s">
        <v>343</v>
      </c>
      <c r="V44" s="49"/>
      <c r="W44" s="61">
        <v>3.01</v>
      </c>
      <c r="X44" s="49" t="s">
        <v>2709</v>
      </c>
      <c r="Y44" s="49" t="s">
        <v>2709</v>
      </c>
      <c r="Z44" s="49" t="s">
        <v>1948</v>
      </c>
      <c r="AA44" s="61">
        <v>0.76</v>
      </c>
      <c r="AB44" s="71">
        <v>54880</v>
      </c>
      <c r="AC44" s="62" t="s">
        <v>15765</v>
      </c>
      <c r="AD44" s="53" t="str">
        <f t="shared" si="30"/>
        <v>Link</v>
      </c>
      <c r="AE44" s="54">
        <v>942</v>
      </c>
      <c r="AF44" s="55"/>
      <c r="AG44" s="85"/>
      <c r="AH44" s="56">
        <v>118541</v>
      </c>
      <c r="AI44" s="85"/>
      <c r="AJ44" s="137"/>
      <c r="AK44" s="137"/>
    </row>
    <row r="45" spans="1:41" ht="13" x14ac:dyDescent="0.15">
      <c r="A45" s="7"/>
      <c r="B45" s="31" t="s">
        <v>300</v>
      </c>
      <c r="C45" s="2" t="s">
        <v>15218</v>
      </c>
      <c r="D45" s="7" t="s">
        <v>15780</v>
      </c>
      <c r="E45" s="37">
        <v>5</v>
      </c>
      <c r="F45" s="48"/>
      <c r="G45" s="48"/>
      <c r="H45" s="2" t="s">
        <v>15751</v>
      </c>
      <c r="I45" s="2" t="s">
        <v>15782</v>
      </c>
      <c r="J45" s="2" t="s">
        <v>8407</v>
      </c>
      <c r="K45" s="2" t="s">
        <v>55</v>
      </c>
      <c r="L45" s="2"/>
      <c r="M45" s="6"/>
      <c r="N45" s="45" t="str">
        <f t="shared" si="28"/>
        <v>@mcusoftball</v>
      </c>
      <c r="O45" s="114" t="str">
        <f t="shared" si="29"/>
        <v>Questionnaire</v>
      </c>
      <c r="P45" s="48" t="s">
        <v>15765</v>
      </c>
      <c r="Q45" s="60" t="s">
        <v>312</v>
      </c>
      <c r="R45" s="48" t="s">
        <v>15766</v>
      </c>
      <c r="S45" s="48" t="s">
        <v>468</v>
      </c>
      <c r="T45" s="49" t="s">
        <v>63</v>
      </c>
      <c r="U45" s="48" t="s">
        <v>343</v>
      </c>
      <c r="V45" s="49"/>
      <c r="W45" s="61">
        <v>3.01</v>
      </c>
      <c r="X45" s="49" t="s">
        <v>2709</v>
      </c>
      <c r="Y45" s="49" t="s">
        <v>2709</v>
      </c>
      <c r="Z45" s="49" t="s">
        <v>1948</v>
      </c>
      <c r="AA45" s="61">
        <v>0.76</v>
      </c>
      <c r="AB45" s="71">
        <v>54880</v>
      </c>
      <c r="AC45" s="62" t="s">
        <v>15765</v>
      </c>
      <c r="AD45" s="53" t="str">
        <f t="shared" si="30"/>
        <v>Link</v>
      </c>
      <c r="AE45" s="54">
        <v>942</v>
      </c>
      <c r="AF45" s="55"/>
      <c r="AG45" s="85"/>
      <c r="AH45" s="56">
        <v>118541</v>
      </c>
      <c r="AI45" s="85"/>
      <c r="AJ45" s="137"/>
      <c r="AK45" s="137"/>
    </row>
    <row r="46" spans="1:41" ht="13" x14ac:dyDescent="0.15">
      <c r="A46" s="7"/>
      <c r="B46" s="110" t="s">
        <v>300</v>
      </c>
      <c r="C46" s="2" t="s">
        <v>15218</v>
      </c>
      <c r="D46" s="7" t="s">
        <v>15785</v>
      </c>
      <c r="E46" s="44">
        <v>5</v>
      </c>
      <c r="F46" s="48" t="s">
        <v>116</v>
      </c>
      <c r="G46" s="48"/>
      <c r="H46" s="2" t="s">
        <v>15751</v>
      </c>
      <c r="I46" s="7" t="s">
        <v>15786</v>
      </c>
      <c r="J46" s="7" t="s">
        <v>15787</v>
      </c>
      <c r="K46" s="7" t="s">
        <v>55</v>
      </c>
      <c r="L46" s="7"/>
      <c r="M46" s="48"/>
      <c r="N46" s="48"/>
      <c r="O46" s="114" t="str">
        <f t="shared" si="29"/>
        <v>Questionnaire</v>
      </c>
      <c r="P46" s="48" t="s">
        <v>15765</v>
      </c>
      <c r="Q46" s="60" t="s">
        <v>312</v>
      </c>
      <c r="R46" s="48" t="s">
        <v>15766</v>
      </c>
      <c r="S46" s="48" t="s">
        <v>468</v>
      </c>
      <c r="T46" s="49" t="s">
        <v>63</v>
      </c>
      <c r="U46" s="49" t="s">
        <v>343</v>
      </c>
      <c r="V46" s="49"/>
      <c r="W46" s="61">
        <v>3.01</v>
      </c>
      <c r="X46" s="49" t="s">
        <v>2709</v>
      </c>
      <c r="Y46" s="49" t="s">
        <v>2709</v>
      </c>
      <c r="Z46" s="49" t="s">
        <v>1948</v>
      </c>
      <c r="AA46" s="61">
        <v>0.76</v>
      </c>
      <c r="AB46" s="71">
        <v>54880</v>
      </c>
      <c r="AC46" s="62" t="s">
        <v>15765</v>
      </c>
      <c r="AD46" s="53" t="str">
        <f t="shared" si="30"/>
        <v>Link</v>
      </c>
      <c r="AE46" s="54">
        <v>942</v>
      </c>
      <c r="AF46" s="55"/>
      <c r="AG46" s="55"/>
      <c r="AH46" s="56">
        <v>118541</v>
      </c>
      <c r="AI46" s="55"/>
      <c r="AJ46" s="137"/>
      <c r="AK46" s="137"/>
    </row>
    <row r="47" spans="1:41" ht="13" x14ac:dyDescent="0.15">
      <c r="A47" s="7"/>
      <c r="B47" s="110" t="s">
        <v>300</v>
      </c>
      <c r="C47" s="2" t="s">
        <v>15218</v>
      </c>
      <c r="D47" s="7" t="s">
        <v>15793</v>
      </c>
      <c r="E47" s="44">
        <v>5</v>
      </c>
      <c r="F47" s="48" t="s">
        <v>116</v>
      </c>
      <c r="G47" s="48"/>
      <c r="H47" s="2" t="s">
        <v>15751</v>
      </c>
      <c r="I47" s="7" t="s">
        <v>15794</v>
      </c>
      <c r="J47" s="7" t="s">
        <v>1038</v>
      </c>
      <c r="K47" s="7" t="s">
        <v>55</v>
      </c>
      <c r="L47" s="7"/>
      <c r="M47" s="48"/>
      <c r="N47" s="48"/>
      <c r="O47" s="114" t="str">
        <f t="shared" si="29"/>
        <v>Questionnaire</v>
      </c>
      <c r="P47" s="48" t="s">
        <v>15765</v>
      </c>
      <c r="Q47" s="60" t="s">
        <v>312</v>
      </c>
      <c r="R47" s="48" t="s">
        <v>15766</v>
      </c>
      <c r="S47" s="48" t="s">
        <v>468</v>
      </c>
      <c r="T47" s="49" t="s">
        <v>63</v>
      </c>
      <c r="U47" s="49" t="s">
        <v>343</v>
      </c>
      <c r="V47" s="49"/>
      <c r="W47" s="61">
        <v>3.01</v>
      </c>
      <c r="X47" s="49" t="s">
        <v>2709</v>
      </c>
      <c r="Y47" s="49" t="s">
        <v>2709</v>
      </c>
      <c r="Z47" s="49" t="s">
        <v>1948</v>
      </c>
      <c r="AA47" s="61">
        <v>0.76</v>
      </c>
      <c r="AB47" s="71">
        <v>54880</v>
      </c>
      <c r="AC47" s="62" t="s">
        <v>15765</v>
      </c>
      <c r="AD47" s="53" t="str">
        <f t="shared" si="30"/>
        <v>Link</v>
      </c>
      <c r="AE47" s="54">
        <v>942</v>
      </c>
      <c r="AF47" s="55"/>
      <c r="AG47" s="55"/>
      <c r="AH47" s="56">
        <v>118541</v>
      </c>
      <c r="AI47" s="55"/>
      <c r="AJ47" s="137"/>
      <c r="AK47" s="137"/>
    </row>
    <row r="48" spans="1:41" ht="13" x14ac:dyDescent="0.15">
      <c r="A48" s="7"/>
      <c r="B48" s="31" t="s">
        <v>300</v>
      </c>
      <c r="C48" s="2" t="s">
        <v>15218</v>
      </c>
      <c r="D48" s="7"/>
      <c r="E48" s="37">
        <v>5</v>
      </c>
      <c r="F48" s="7"/>
      <c r="G48" s="7"/>
      <c r="H48" s="2" t="s">
        <v>15802</v>
      </c>
      <c r="I48" s="2" t="s">
        <v>15803</v>
      </c>
      <c r="J48" s="2" t="s">
        <v>2482</v>
      </c>
      <c r="K48" s="2" t="s">
        <v>48</v>
      </c>
      <c r="L48" s="2" t="s">
        <v>15804</v>
      </c>
      <c r="M48" s="6" t="s">
        <v>15805</v>
      </c>
      <c r="N48" s="45" t="str">
        <f t="shared" ref="N48:N49" si="31">HYPERLINK("twitter.com/menlosoftball","@menlosoftball")</f>
        <v>@menlosoftball</v>
      </c>
      <c r="O48" s="114" t="str">
        <f t="shared" ref="O48:O49" si="32">HYPERLINK("https://menlo.secure.force.com/form?formid=217793","Questionnaire")</f>
        <v>Questionnaire</v>
      </c>
      <c r="P48" s="48" t="s">
        <v>15810</v>
      </c>
      <c r="Q48" s="60" t="s">
        <v>312</v>
      </c>
      <c r="R48" s="48" t="s">
        <v>15811</v>
      </c>
      <c r="S48" s="60" t="s">
        <v>205</v>
      </c>
      <c r="T48" s="49" t="s">
        <v>63</v>
      </c>
      <c r="U48" s="48" t="s">
        <v>75</v>
      </c>
      <c r="V48" s="49"/>
      <c r="W48" s="65">
        <v>3.2</v>
      </c>
      <c r="X48" s="49" t="s">
        <v>2375</v>
      </c>
      <c r="Y48" s="49" t="s">
        <v>15812</v>
      </c>
      <c r="Z48" s="49" t="s">
        <v>9990</v>
      </c>
      <c r="AA48" s="65">
        <v>0.41</v>
      </c>
      <c r="AB48" s="39">
        <v>58141</v>
      </c>
      <c r="AC48" s="84" t="s">
        <v>15810</v>
      </c>
      <c r="AD48" s="53" t="str">
        <f t="shared" ref="AD48:AD49" si="33">HYPERLINK("https://www.menlo.edu/academics/choosing-your-major/","Link")</f>
        <v>Link</v>
      </c>
      <c r="AE48" s="42">
        <v>790</v>
      </c>
      <c r="AF48" s="55"/>
      <c r="AG48" s="7"/>
      <c r="AH48" s="56">
        <v>118693</v>
      </c>
      <c r="AI48" s="7" t="s">
        <v>2459</v>
      </c>
      <c r="AJ48" s="7"/>
      <c r="AK48" s="7"/>
      <c r="AL48" s="7"/>
      <c r="AM48" s="7"/>
      <c r="AN48" s="7"/>
      <c r="AO48" s="7"/>
    </row>
    <row r="49" spans="1:41" ht="13" x14ac:dyDescent="0.15">
      <c r="A49" s="7"/>
      <c r="B49" s="31" t="s">
        <v>300</v>
      </c>
      <c r="C49" s="2" t="s">
        <v>15218</v>
      </c>
      <c r="D49" s="7"/>
      <c r="E49" s="37">
        <v>5</v>
      </c>
      <c r="F49" s="7"/>
      <c r="G49" s="7"/>
      <c r="H49" s="2" t="s">
        <v>15802</v>
      </c>
      <c r="I49" s="2" t="s">
        <v>981</v>
      </c>
      <c r="J49" s="2" t="s">
        <v>54</v>
      </c>
      <c r="K49" s="2" t="s">
        <v>55</v>
      </c>
      <c r="L49" s="2" t="s">
        <v>15824</v>
      </c>
      <c r="M49" s="6" t="s">
        <v>15826</v>
      </c>
      <c r="N49" s="45" t="str">
        <f t="shared" si="31"/>
        <v>@menlosoftball</v>
      </c>
      <c r="O49" s="114" t="str">
        <f t="shared" si="32"/>
        <v>Questionnaire</v>
      </c>
      <c r="P49" s="48" t="s">
        <v>15810</v>
      </c>
      <c r="Q49" s="60" t="s">
        <v>312</v>
      </c>
      <c r="R49" s="48" t="s">
        <v>15811</v>
      </c>
      <c r="S49" s="60" t="s">
        <v>205</v>
      </c>
      <c r="T49" s="49" t="s">
        <v>63</v>
      </c>
      <c r="U49" s="48" t="s">
        <v>75</v>
      </c>
      <c r="V49" s="49"/>
      <c r="W49" s="65">
        <v>3.2</v>
      </c>
      <c r="X49" s="49" t="s">
        <v>2375</v>
      </c>
      <c r="Y49" s="49" t="s">
        <v>15812</v>
      </c>
      <c r="Z49" s="49" t="s">
        <v>9990</v>
      </c>
      <c r="AA49" s="65">
        <v>0.41</v>
      </c>
      <c r="AB49" s="39">
        <v>58141</v>
      </c>
      <c r="AC49" s="84" t="s">
        <v>15810</v>
      </c>
      <c r="AD49" s="53" t="str">
        <f t="shared" si="33"/>
        <v>Link</v>
      </c>
      <c r="AE49" s="42">
        <v>790</v>
      </c>
      <c r="AF49" s="55"/>
      <c r="AG49" s="7"/>
      <c r="AH49" s="56">
        <v>118693</v>
      </c>
      <c r="AI49" s="7" t="s">
        <v>2459</v>
      </c>
      <c r="AJ49" s="7"/>
      <c r="AK49" s="7"/>
      <c r="AL49" s="7"/>
      <c r="AM49" s="7"/>
      <c r="AN49" s="7"/>
      <c r="AO49" s="7"/>
    </row>
    <row r="50" spans="1:41" ht="13" x14ac:dyDescent="0.15">
      <c r="A50" s="7"/>
      <c r="B50" s="31" t="s">
        <v>300</v>
      </c>
      <c r="C50" s="2" t="s">
        <v>15218</v>
      </c>
      <c r="D50" s="7" t="s">
        <v>15831</v>
      </c>
      <c r="E50" s="37">
        <v>5</v>
      </c>
      <c r="F50" s="48"/>
      <c r="G50" s="48"/>
      <c r="H50" s="2" t="s">
        <v>15834</v>
      </c>
      <c r="I50" s="2" t="s">
        <v>539</v>
      </c>
      <c r="J50" s="2" t="s">
        <v>15835</v>
      </c>
      <c r="K50" s="2" t="s">
        <v>48</v>
      </c>
      <c r="L50" s="2" t="s">
        <v>15836</v>
      </c>
      <c r="M50" s="6" t="s">
        <v>15837</v>
      </c>
      <c r="N50" s="48"/>
      <c r="O50" s="114" t="str">
        <f>HYPERLINK("http://www.sdcchawks.com/f/Recruiting_Questionnaire_.php","Questionnaire")</f>
        <v>Questionnaire</v>
      </c>
      <c r="P50" s="48" t="s">
        <v>15839</v>
      </c>
      <c r="Q50" s="60" t="s">
        <v>312</v>
      </c>
      <c r="R50" s="48" t="s">
        <v>15841</v>
      </c>
      <c r="S50" s="48" t="s">
        <v>186</v>
      </c>
      <c r="T50" s="49" t="s">
        <v>63</v>
      </c>
      <c r="U50" s="6" t="s">
        <v>1028</v>
      </c>
      <c r="V50" s="49"/>
      <c r="W50" s="65">
        <v>3.25</v>
      </c>
      <c r="X50" s="49" t="s">
        <v>447</v>
      </c>
      <c r="Y50" s="49" t="s">
        <v>1338</v>
      </c>
      <c r="Z50" s="49" t="s">
        <v>3230</v>
      </c>
      <c r="AA50" s="65">
        <v>0.53</v>
      </c>
      <c r="AB50" s="39">
        <v>45683</v>
      </c>
      <c r="AC50" s="84" t="s">
        <v>15839</v>
      </c>
      <c r="AD50" s="53" t="str">
        <f>HYPERLINK("https://sdcc.edu/residential-undergraduate/","Link")</f>
        <v>Link</v>
      </c>
      <c r="AE50" s="42">
        <v>695</v>
      </c>
      <c r="AF50" s="55"/>
      <c r="AG50" s="85"/>
      <c r="AH50" s="7"/>
      <c r="AI50" s="85"/>
      <c r="AJ50" s="137"/>
      <c r="AK50" s="137"/>
    </row>
    <row r="51" spans="1:41" ht="13" x14ac:dyDescent="0.15">
      <c r="A51" s="7"/>
      <c r="B51" s="31" t="s">
        <v>300</v>
      </c>
      <c r="C51" s="2" t="s">
        <v>15218</v>
      </c>
      <c r="D51" s="7" t="s">
        <v>15844</v>
      </c>
      <c r="E51" s="37">
        <v>5</v>
      </c>
      <c r="F51" s="48"/>
      <c r="G51" s="48"/>
      <c r="H51" s="2" t="s">
        <v>15845</v>
      </c>
      <c r="I51" s="2" t="s">
        <v>6840</v>
      </c>
      <c r="J51" s="2" t="s">
        <v>15846</v>
      </c>
      <c r="K51" s="2" t="s">
        <v>48</v>
      </c>
      <c r="L51" s="2" t="s">
        <v>15847</v>
      </c>
      <c r="M51" s="6" t="s">
        <v>15849</v>
      </c>
      <c r="N51" s="45" t="str">
        <f t="shared" ref="N51:N55" si="34">HYPERLINK("twitter.com/@SimpsonSoftball","@SimpsonSoftball")</f>
        <v>@SimpsonSoftball</v>
      </c>
      <c r="O51" s="114" t="str">
        <f t="shared" ref="O51:O55" si="35">HYPERLINK("https://simpsonredhawks.com/sb_output.aspx?form=3","Questionnaire")</f>
        <v>Questionnaire</v>
      </c>
      <c r="P51" s="48" t="s">
        <v>15857</v>
      </c>
      <c r="Q51" s="60" t="s">
        <v>312</v>
      </c>
      <c r="R51" s="48" t="s">
        <v>15858</v>
      </c>
      <c r="S51" s="48" t="s">
        <v>238</v>
      </c>
      <c r="T51" s="49" t="s">
        <v>63</v>
      </c>
      <c r="U51" s="6" t="s">
        <v>686</v>
      </c>
      <c r="V51" s="49"/>
      <c r="W51" s="65">
        <v>3.4</v>
      </c>
      <c r="X51" s="49" t="s">
        <v>15859</v>
      </c>
      <c r="Y51" s="49" t="s">
        <v>1008</v>
      </c>
      <c r="Z51" s="49" t="s">
        <v>841</v>
      </c>
      <c r="AA51" s="65">
        <v>0.52</v>
      </c>
      <c r="AB51" s="39">
        <v>38504</v>
      </c>
      <c r="AC51" s="84" t="s">
        <v>15857</v>
      </c>
      <c r="AD51" s="53" t="str">
        <f t="shared" ref="AD51:AD55" si="36">HYPERLINK("http://simpsonu.edu/Pages/Academics/Majors.htm","Link")</f>
        <v>Link</v>
      </c>
      <c r="AE51" s="42">
        <v>790</v>
      </c>
      <c r="AF51" s="55"/>
      <c r="AG51" s="85"/>
      <c r="AH51" s="56">
        <v>123457</v>
      </c>
      <c r="AI51" s="85"/>
      <c r="AJ51" s="137"/>
      <c r="AK51" s="137"/>
    </row>
    <row r="52" spans="1:41" ht="13" x14ac:dyDescent="0.15">
      <c r="A52" s="7"/>
      <c r="B52" s="31" t="s">
        <v>300</v>
      </c>
      <c r="C52" s="2" t="s">
        <v>15218</v>
      </c>
      <c r="D52" s="7" t="s">
        <v>15864</v>
      </c>
      <c r="E52" s="37">
        <v>5</v>
      </c>
      <c r="F52" s="48"/>
      <c r="G52" s="48"/>
      <c r="H52" s="2" t="s">
        <v>15845</v>
      </c>
      <c r="I52" s="2" t="s">
        <v>930</v>
      </c>
      <c r="J52" s="2" t="s">
        <v>15867</v>
      </c>
      <c r="K52" s="2" t="s">
        <v>55</v>
      </c>
      <c r="L52" s="2" t="s">
        <v>15868</v>
      </c>
      <c r="M52" s="6"/>
      <c r="N52" s="45" t="str">
        <f t="shared" si="34"/>
        <v>@SimpsonSoftball</v>
      </c>
      <c r="O52" s="114" t="str">
        <f t="shared" si="35"/>
        <v>Questionnaire</v>
      </c>
      <c r="P52" s="48" t="s">
        <v>15857</v>
      </c>
      <c r="Q52" s="60" t="s">
        <v>312</v>
      </c>
      <c r="R52" s="48" t="s">
        <v>15858</v>
      </c>
      <c r="S52" s="48" t="s">
        <v>238</v>
      </c>
      <c r="T52" s="49" t="s">
        <v>63</v>
      </c>
      <c r="U52" s="6" t="s">
        <v>686</v>
      </c>
      <c r="V52" s="49"/>
      <c r="W52" s="65">
        <v>3.4</v>
      </c>
      <c r="X52" s="49" t="s">
        <v>15859</v>
      </c>
      <c r="Y52" s="49" t="s">
        <v>1008</v>
      </c>
      <c r="Z52" s="49" t="s">
        <v>841</v>
      </c>
      <c r="AA52" s="65">
        <v>0.52</v>
      </c>
      <c r="AB52" s="39">
        <v>38504</v>
      </c>
      <c r="AC52" s="84" t="s">
        <v>15857</v>
      </c>
      <c r="AD52" s="53" t="str">
        <f t="shared" si="36"/>
        <v>Link</v>
      </c>
      <c r="AE52" s="42">
        <v>790</v>
      </c>
      <c r="AF52" s="55"/>
      <c r="AG52" s="85"/>
      <c r="AH52" s="56">
        <v>123457</v>
      </c>
      <c r="AI52" s="85"/>
      <c r="AJ52" s="137"/>
      <c r="AK52" s="137"/>
    </row>
    <row r="53" spans="1:41" ht="13" x14ac:dyDescent="0.15">
      <c r="A53" s="7"/>
      <c r="B53" s="110" t="s">
        <v>300</v>
      </c>
      <c r="C53" s="2" t="s">
        <v>15218</v>
      </c>
      <c r="D53" s="7" t="s">
        <v>15875</v>
      </c>
      <c r="E53" s="44">
        <v>5</v>
      </c>
      <c r="F53" s="48" t="s">
        <v>116</v>
      </c>
      <c r="G53" s="48"/>
      <c r="H53" s="2" t="s">
        <v>15845</v>
      </c>
      <c r="I53" s="7" t="s">
        <v>12953</v>
      </c>
      <c r="J53" s="7" t="s">
        <v>15876</v>
      </c>
      <c r="K53" s="7" t="s">
        <v>139</v>
      </c>
      <c r="L53" s="7"/>
      <c r="M53" s="48"/>
      <c r="N53" s="45" t="str">
        <f t="shared" si="34"/>
        <v>@SimpsonSoftball</v>
      </c>
      <c r="O53" s="114" t="str">
        <f t="shared" si="35"/>
        <v>Questionnaire</v>
      </c>
      <c r="P53" s="48" t="s">
        <v>15857</v>
      </c>
      <c r="Q53" s="47" t="s">
        <v>312</v>
      </c>
      <c r="R53" s="48" t="s">
        <v>15858</v>
      </c>
      <c r="S53" s="48" t="s">
        <v>238</v>
      </c>
      <c r="T53" s="49" t="s">
        <v>63</v>
      </c>
      <c r="U53" s="49" t="s">
        <v>686</v>
      </c>
      <c r="V53" s="49"/>
      <c r="W53" s="61">
        <v>3.4</v>
      </c>
      <c r="X53" s="49" t="s">
        <v>15859</v>
      </c>
      <c r="Y53" s="49" t="s">
        <v>1008</v>
      </c>
      <c r="Z53" s="49" t="s">
        <v>841</v>
      </c>
      <c r="AA53" s="61">
        <v>0.52</v>
      </c>
      <c r="AB53" s="71">
        <v>38504</v>
      </c>
      <c r="AC53" s="62" t="s">
        <v>15857</v>
      </c>
      <c r="AD53" s="53" t="str">
        <f t="shared" si="36"/>
        <v>Link</v>
      </c>
      <c r="AE53" s="54">
        <v>790</v>
      </c>
      <c r="AF53" s="55"/>
      <c r="AG53" s="55"/>
      <c r="AH53" s="56">
        <v>123457</v>
      </c>
      <c r="AI53" s="55"/>
      <c r="AJ53" s="137"/>
      <c r="AK53" s="137"/>
    </row>
    <row r="54" spans="1:41" ht="13" x14ac:dyDescent="0.15">
      <c r="A54" s="7"/>
      <c r="B54" s="110" t="s">
        <v>300</v>
      </c>
      <c r="C54" s="2" t="s">
        <v>15218</v>
      </c>
      <c r="D54" s="7" t="s">
        <v>15880</v>
      </c>
      <c r="E54" s="44">
        <v>5</v>
      </c>
      <c r="F54" s="48" t="s">
        <v>116</v>
      </c>
      <c r="G54" s="48"/>
      <c r="H54" s="2" t="s">
        <v>15845</v>
      </c>
      <c r="I54" s="7" t="s">
        <v>1418</v>
      </c>
      <c r="J54" s="7" t="s">
        <v>14970</v>
      </c>
      <c r="K54" s="7" t="s">
        <v>139</v>
      </c>
      <c r="L54" s="7"/>
      <c r="M54" s="48"/>
      <c r="N54" s="45" t="str">
        <f t="shared" si="34"/>
        <v>@SimpsonSoftball</v>
      </c>
      <c r="O54" s="114" t="str">
        <f t="shared" si="35"/>
        <v>Questionnaire</v>
      </c>
      <c r="P54" s="48" t="s">
        <v>15857</v>
      </c>
      <c r="Q54" s="47" t="s">
        <v>312</v>
      </c>
      <c r="R54" s="48" t="s">
        <v>15858</v>
      </c>
      <c r="S54" s="48" t="s">
        <v>238</v>
      </c>
      <c r="T54" s="49" t="s">
        <v>63</v>
      </c>
      <c r="U54" s="49" t="s">
        <v>686</v>
      </c>
      <c r="V54" s="49"/>
      <c r="W54" s="61">
        <v>3.4</v>
      </c>
      <c r="X54" s="49" t="s">
        <v>15859</v>
      </c>
      <c r="Y54" s="49" t="s">
        <v>1008</v>
      </c>
      <c r="Z54" s="49" t="s">
        <v>841</v>
      </c>
      <c r="AA54" s="61">
        <v>0.52</v>
      </c>
      <c r="AB54" s="71">
        <v>38504</v>
      </c>
      <c r="AC54" s="62" t="s">
        <v>15857</v>
      </c>
      <c r="AD54" s="53" t="str">
        <f t="shared" si="36"/>
        <v>Link</v>
      </c>
      <c r="AE54" s="54">
        <v>790</v>
      </c>
      <c r="AF54" s="55"/>
      <c r="AG54" s="55"/>
      <c r="AH54" s="56">
        <v>123457</v>
      </c>
      <c r="AI54" s="55"/>
      <c r="AJ54" s="137"/>
      <c r="AK54" s="137"/>
    </row>
    <row r="55" spans="1:41" ht="13" x14ac:dyDescent="0.15">
      <c r="A55" s="7"/>
      <c r="B55" s="110" t="s">
        <v>300</v>
      </c>
      <c r="C55" s="2" t="s">
        <v>15218</v>
      </c>
      <c r="D55" s="7" t="s">
        <v>15889</v>
      </c>
      <c r="E55" s="44">
        <v>5</v>
      </c>
      <c r="F55" s="48" t="s">
        <v>116</v>
      </c>
      <c r="G55" s="48"/>
      <c r="H55" s="2" t="s">
        <v>15845</v>
      </c>
      <c r="I55" s="7" t="s">
        <v>1979</v>
      </c>
      <c r="J55" s="7" t="s">
        <v>5025</v>
      </c>
      <c r="K55" s="7" t="s">
        <v>55</v>
      </c>
      <c r="L55" s="7"/>
      <c r="M55" s="48"/>
      <c r="N55" s="45" t="str">
        <f t="shared" si="34"/>
        <v>@SimpsonSoftball</v>
      </c>
      <c r="O55" s="114" t="str">
        <f t="shared" si="35"/>
        <v>Questionnaire</v>
      </c>
      <c r="P55" s="48" t="s">
        <v>15857</v>
      </c>
      <c r="Q55" s="47" t="s">
        <v>312</v>
      </c>
      <c r="R55" s="48" t="s">
        <v>15858</v>
      </c>
      <c r="S55" s="48" t="s">
        <v>238</v>
      </c>
      <c r="T55" s="49" t="s">
        <v>63</v>
      </c>
      <c r="U55" s="49" t="s">
        <v>686</v>
      </c>
      <c r="V55" s="49"/>
      <c r="W55" s="61">
        <v>3.4</v>
      </c>
      <c r="X55" s="49" t="s">
        <v>15859</v>
      </c>
      <c r="Y55" s="49" t="s">
        <v>1008</v>
      </c>
      <c r="Z55" s="49" t="s">
        <v>841</v>
      </c>
      <c r="AA55" s="61">
        <v>0.52</v>
      </c>
      <c r="AB55" s="71">
        <v>38504</v>
      </c>
      <c r="AC55" s="62" t="s">
        <v>15857</v>
      </c>
      <c r="AD55" s="53" t="str">
        <f t="shared" si="36"/>
        <v>Link</v>
      </c>
      <c r="AE55" s="54">
        <v>790</v>
      </c>
      <c r="AF55" s="55"/>
      <c r="AG55" s="55"/>
      <c r="AH55" s="56">
        <v>123457</v>
      </c>
      <c r="AI55" s="55"/>
      <c r="AJ55" s="137"/>
      <c r="AK55" s="137"/>
    </row>
    <row r="56" spans="1:41" ht="13" x14ac:dyDescent="0.15">
      <c r="A56" s="7"/>
      <c r="B56" s="31" t="s">
        <v>300</v>
      </c>
      <c r="C56" s="2" t="s">
        <v>15218</v>
      </c>
      <c r="D56" s="7"/>
      <c r="E56" s="37">
        <v>5</v>
      </c>
      <c r="F56" s="7"/>
      <c r="G56" s="7"/>
      <c r="H56" s="2" t="s">
        <v>15898</v>
      </c>
      <c r="I56" s="2" t="s">
        <v>363</v>
      </c>
      <c r="J56" s="2" t="s">
        <v>15899</v>
      </c>
      <c r="K56" s="2" t="s">
        <v>48</v>
      </c>
      <c r="L56" s="130" t="s">
        <v>15900</v>
      </c>
      <c r="M56" s="6" t="s">
        <v>15902</v>
      </c>
      <c r="N56" s="45" t="str">
        <f t="shared" ref="N56:N57" si="37">HYPERLINK("twitter.com/uav_softball","@uav_softball")</f>
        <v>@uav_softball</v>
      </c>
      <c r="O56" s="114" t="str">
        <f t="shared" ref="O56:O57" si="38">HYPERLINK("https://www.uavpioneers.com/become-a-pioneer","Questionnaire")</f>
        <v>Questionnaire</v>
      </c>
      <c r="P56" s="48" t="s">
        <v>15898</v>
      </c>
      <c r="Q56" s="60" t="s">
        <v>312</v>
      </c>
      <c r="R56" s="48" t="s">
        <v>12732</v>
      </c>
      <c r="S56" s="48" t="s">
        <v>62</v>
      </c>
      <c r="T56" s="49" t="s">
        <v>63</v>
      </c>
      <c r="U56" s="48" t="s">
        <v>75</v>
      </c>
      <c r="V56" s="49"/>
      <c r="W56" s="49" t="s">
        <v>214</v>
      </c>
      <c r="X56" s="49" t="s">
        <v>214</v>
      </c>
      <c r="Y56" s="49" t="s">
        <v>214</v>
      </c>
      <c r="Z56" s="49" t="s">
        <v>214</v>
      </c>
      <c r="AA56" s="55" t="s">
        <v>214</v>
      </c>
      <c r="AB56" s="39">
        <v>26770</v>
      </c>
      <c r="AC56" s="84" t="s">
        <v>15898</v>
      </c>
      <c r="AD56" s="53" t="str">
        <f t="shared" ref="AD56:AD57" si="39">HYPERLINK("http://www.uav.edu/programs","Link")</f>
        <v>Link</v>
      </c>
      <c r="AE56" s="42">
        <v>845</v>
      </c>
      <c r="AF56" s="55"/>
      <c r="AG56" s="85"/>
      <c r="AH56" s="85"/>
      <c r="AI56" s="85" t="s">
        <v>2459</v>
      </c>
      <c r="AJ56" s="7"/>
      <c r="AK56" s="7"/>
      <c r="AL56" s="7"/>
      <c r="AM56" s="7"/>
      <c r="AN56" s="7"/>
      <c r="AO56" s="7"/>
    </row>
    <row r="57" spans="1:41" ht="13" x14ac:dyDescent="0.15">
      <c r="A57" s="7"/>
      <c r="B57" s="31" t="s">
        <v>300</v>
      </c>
      <c r="C57" s="2" t="s">
        <v>15218</v>
      </c>
      <c r="D57" s="7"/>
      <c r="E57" s="37">
        <v>5</v>
      </c>
      <c r="F57" s="7" t="s">
        <v>116</v>
      </c>
      <c r="G57" s="7"/>
      <c r="H57" s="2" t="s">
        <v>15898</v>
      </c>
      <c r="I57" s="2" t="s">
        <v>15913</v>
      </c>
      <c r="J57" s="2" t="s">
        <v>15914</v>
      </c>
      <c r="K57" s="2" t="s">
        <v>55</v>
      </c>
      <c r="L57" s="95" t="s">
        <v>15915</v>
      </c>
      <c r="M57" s="6" t="s">
        <v>15902</v>
      </c>
      <c r="N57" s="45" t="str">
        <f t="shared" si="37"/>
        <v>@uav_softball</v>
      </c>
      <c r="O57" s="114" t="str">
        <f t="shared" si="38"/>
        <v>Questionnaire</v>
      </c>
      <c r="P57" s="48" t="s">
        <v>15898</v>
      </c>
      <c r="Q57" s="60" t="s">
        <v>312</v>
      </c>
      <c r="R57" s="48" t="s">
        <v>12732</v>
      </c>
      <c r="S57" s="48" t="s">
        <v>62</v>
      </c>
      <c r="T57" s="49" t="s">
        <v>63</v>
      </c>
      <c r="U57" s="48" t="s">
        <v>75</v>
      </c>
      <c r="V57" s="49"/>
      <c r="W57" s="49" t="s">
        <v>214</v>
      </c>
      <c r="X57" s="49" t="s">
        <v>214</v>
      </c>
      <c r="Y57" s="49" t="s">
        <v>214</v>
      </c>
      <c r="Z57" s="49" t="s">
        <v>214</v>
      </c>
      <c r="AA57" s="55" t="s">
        <v>214</v>
      </c>
      <c r="AB57" s="39">
        <v>26770</v>
      </c>
      <c r="AC57" s="84" t="s">
        <v>15898</v>
      </c>
      <c r="AD57" s="53" t="str">
        <f t="shared" si="39"/>
        <v>Link</v>
      </c>
      <c r="AE57" s="42">
        <v>845</v>
      </c>
      <c r="AF57" s="55"/>
      <c r="AG57" s="85"/>
      <c r="AH57" s="85"/>
      <c r="AI57" s="85" t="s">
        <v>2459</v>
      </c>
      <c r="AJ57" s="7"/>
      <c r="AK57" s="7"/>
      <c r="AL57" s="7"/>
      <c r="AM57" s="7"/>
      <c r="AN57" s="7"/>
      <c r="AO57" s="7"/>
    </row>
    <row r="58" spans="1:41" ht="13" x14ac:dyDescent="0.15">
      <c r="A58" s="7"/>
      <c r="B58" s="31" t="s">
        <v>300</v>
      </c>
      <c r="C58" s="2" t="s">
        <v>15218</v>
      </c>
      <c r="D58" s="7" t="s">
        <v>15922</v>
      </c>
      <c r="E58" s="37">
        <v>5</v>
      </c>
      <c r="F58" s="48"/>
      <c r="G58" s="48"/>
      <c r="H58" s="2" t="s">
        <v>15925</v>
      </c>
      <c r="I58" s="2" t="s">
        <v>4599</v>
      </c>
      <c r="J58" s="2" t="s">
        <v>15459</v>
      </c>
      <c r="K58" s="2" t="s">
        <v>48</v>
      </c>
      <c r="L58" s="2" t="s">
        <v>15927</v>
      </c>
      <c r="M58" s="6"/>
      <c r="N58" s="48"/>
      <c r="O58" s="114" t="str">
        <f t="shared" ref="O58:O59" si="40">HYPERLINK("http://www.vanguardlions.com/recruiting.php","Questionnaire")</f>
        <v>Questionnaire</v>
      </c>
      <c r="P58" s="60" t="s">
        <v>15931</v>
      </c>
      <c r="Q58" s="60" t="s">
        <v>312</v>
      </c>
      <c r="R58" s="48" t="s">
        <v>15025</v>
      </c>
      <c r="S58" s="48" t="s">
        <v>238</v>
      </c>
      <c r="T58" s="49" t="s">
        <v>63</v>
      </c>
      <c r="U58" s="6" t="s">
        <v>7034</v>
      </c>
      <c r="V58" s="49"/>
      <c r="W58" s="65">
        <v>3.21</v>
      </c>
      <c r="X58" s="49" t="s">
        <v>1338</v>
      </c>
      <c r="Y58" s="49" t="s">
        <v>8138</v>
      </c>
      <c r="Z58" s="49" t="s">
        <v>4743</v>
      </c>
      <c r="AA58" s="65">
        <v>0.7</v>
      </c>
      <c r="AB58" s="39">
        <v>45340</v>
      </c>
      <c r="AC58" s="90" t="s">
        <v>15931</v>
      </c>
      <c r="AD58" s="53" t="str">
        <f t="shared" ref="AD58:AD59" si="41">HYPERLINK("https://www.vanguard.edu/academics/academic-programs","Link")</f>
        <v>Link</v>
      </c>
      <c r="AE58" s="42">
        <v>1791</v>
      </c>
      <c r="AF58" s="55"/>
      <c r="AG58" s="85"/>
      <c r="AH58" s="56">
        <v>123651</v>
      </c>
      <c r="AI58" s="85"/>
      <c r="AJ58" s="137"/>
      <c r="AK58" s="137"/>
    </row>
    <row r="59" spans="1:41" ht="13" x14ac:dyDescent="0.15">
      <c r="A59" s="7"/>
      <c r="B59" s="31" t="s">
        <v>300</v>
      </c>
      <c r="C59" s="2" t="s">
        <v>15218</v>
      </c>
      <c r="D59" s="7" t="s">
        <v>15935</v>
      </c>
      <c r="E59" s="37">
        <v>5</v>
      </c>
      <c r="F59" s="48"/>
      <c r="G59" s="48"/>
      <c r="H59" s="2" t="s">
        <v>15925</v>
      </c>
      <c r="I59" s="2" t="s">
        <v>2402</v>
      </c>
      <c r="J59" s="2" t="s">
        <v>8306</v>
      </c>
      <c r="K59" s="2" t="s">
        <v>55</v>
      </c>
      <c r="L59" s="2"/>
      <c r="M59" s="6"/>
      <c r="N59" s="48"/>
      <c r="O59" s="114" t="str">
        <f t="shared" si="40"/>
        <v>Questionnaire</v>
      </c>
      <c r="P59" s="60" t="s">
        <v>15931</v>
      </c>
      <c r="Q59" s="60" t="s">
        <v>312</v>
      </c>
      <c r="R59" s="48" t="s">
        <v>15025</v>
      </c>
      <c r="S59" s="48" t="s">
        <v>238</v>
      </c>
      <c r="T59" s="49" t="s">
        <v>63</v>
      </c>
      <c r="U59" s="6" t="s">
        <v>7034</v>
      </c>
      <c r="V59" s="49"/>
      <c r="W59" s="65">
        <v>3.21</v>
      </c>
      <c r="X59" s="49" t="s">
        <v>1338</v>
      </c>
      <c r="Y59" s="49" t="s">
        <v>8138</v>
      </c>
      <c r="Z59" s="49" t="s">
        <v>4743</v>
      </c>
      <c r="AA59" s="65">
        <v>0.7</v>
      </c>
      <c r="AB59" s="39">
        <v>45340</v>
      </c>
      <c r="AC59" s="90" t="s">
        <v>15931</v>
      </c>
      <c r="AD59" s="53" t="str">
        <f t="shared" si="41"/>
        <v>Link</v>
      </c>
      <c r="AE59" s="42">
        <v>1791</v>
      </c>
      <c r="AF59" s="55"/>
      <c r="AG59" s="85"/>
      <c r="AH59" s="56">
        <v>123651</v>
      </c>
      <c r="AI59" s="85"/>
      <c r="AJ59" s="137"/>
      <c r="AK59" s="137"/>
    </row>
    <row r="60" spans="1:41" ht="13" x14ac:dyDescent="0.15">
      <c r="A60" s="7"/>
      <c r="B60" s="31" t="s">
        <v>300</v>
      </c>
      <c r="C60" s="2" t="s">
        <v>15218</v>
      </c>
      <c r="D60" s="7" t="s">
        <v>15944</v>
      </c>
      <c r="E60" s="37">
        <v>5</v>
      </c>
      <c r="F60" s="48"/>
      <c r="G60" s="48"/>
      <c r="H60" s="2" t="s">
        <v>15946</v>
      </c>
      <c r="I60" s="2" t="s">
        <v>1475</v>
      </c>
      <c r="J60" s="2" t="s">
        <v>1448</v>
      </c>
      <c r="K60" s="2" t="s">
        <v>48</v>
      </c>
      <c r="L60" s="95" t="s">
        <v>15947</v>
      </c>
      <c r="M60" s="6" t="s">
        <v>15948</v>
      </c>
      <c r="N60" s="45" t="s">
        <v>15949</v>
      </c>
      <c r="O60" s="114" t="str">
        <f t="shared" ref="O60:O62" si="42">HYPERLINK("https://jessupathletics.com/sports/2015/8/26/Recruit%20Me.aspx","Questionnaire")</f>
        <v>Questionnaire</v>
      </c>
      <c r="P60" s="6" t="s">
        <v>15957</v>
      </c>
      <c r="Q60" s="60" t="s">
        <v>2088</v>
      </c>
      <c r="R60" s="48" t="s">
        <v>15887</v>
      </c>
      <c r="S60" s="48" t="s">
        <v>186</v>
      </c>
      <c r="T60" s="49" t="s">
        <v>63</v>
      </c>
      <c r="U60" s="6" t="s">
        <v>7065</v>
      </c>
      <c r="V60" s="49"/>
      <c r="W60" s="65">
        <v>3.3</v>
      </c>
      <c r="X60" s="49" t="s">
        <v>276</v>
      </c>
      <c r="Y60" s="49" t="s">
        <v>396</v>
      </c>
      <c r="Z60" s="49" t="s">
        <v>746</v>
      </c>
      <c r="AA60" s="65">
        <v>0.73</v>
      </c>
      <c r="AB60" s="39">
        <v>44309</v>
      </c>
      <c r="AC60" s="84" t="s">
        <v>15959</v>
      </c>
      <c r="AD60" s="53" t="str">
        <f t="shared" ref="AD60:AD62" si="43">HYPERLINK("http://www.jessup.edu/academics/","Link")</f>
        <v>Link</v>
      </c>
      <c r="AE60" s="42">
        <v>1165</v>
      </c>
      <c r="AF60" s="55"/>
      <c r="AG60" s="85"/>
      <c r="AH60" s="56">
        <v>122728</v>
      </c>
      <c r="AI60" s="85"/>
      <c r="AJ60" s="137"/>
      <c r="AK60" s="137"/>
    </row>
    <row r="61" spans="1:41" ht="13" x14ac:dyDescent="0.15">
      <c r="A61" s="7"/>
      <c r="B61" s="31" t="s">
        <v>300</v>
      </c>
      <c r="C61" s="2" t="s">
        <v>15218</v>
      </c>
      <c r="D61" s="7" t="s">
        <v>15966</v>
      </c>
      <c r="E61" s="37">
        <v>5</v>
      </c>
      <c r="F61" s="48"/>
      <c r="G61" s="48"/>
      <c r="H61" s="2" t="s">
        <v>15946</v>
      </c>
      <c r="I61" s="2" t="s">
        <v>1075</v>
      </c>
      <c r="J61" s="2" t="s">
        <v>15967</v>
      </c>
      <c r="K61" s="2" t="s">
        <v>55</v>
      </c>
      <c r="L61" s="95" t="s">
        <v>15968</v>
      </c>
      <c r="M61" s="6" t="s">
        <v>15969</v>
      </c>
      <c r="N61" s="48"/>
      <c r="O61" s="114" t="str">
        <f t="shared" si="42"/>
        <v>Questionnaire</v>
      </c>
      <c r="P61" s="6" t="s">
        <v>15957</v>
      </c>
      <c r="Q61" s="60" t="s">
        <v>2088</v>
      </c>
      <c r="R61" s="48" t="s">
        <v>15887</v>
      </c>
      <c r="S61" s="48" t="s">
        <v>186</v>
      </c>
      <c r="T61" s="49" t="s">
        <v>63</v>
      </c>
      <c r="U61" s="6" t="s">
        <v>7065</v>
      </c>
      <c r="V61" s="49"/>
      <c r="W61" s="65">
        <v>3.3</v>
      </c>
      <c r="X61" s="49" t="s">
        <v>276</v>
      </c>
      <c r="Y61" s="49" t="s">
        <v>396</v>
      </c>
      <c r="Z61" s="49" t="s">
        <v>746</v>
      </c>
      <c r="AA61" s="65">
        <v>0.73</v>
      </c>
      <c r="AB61" s="39">
        <v>44309</v>
      </c>
      <c r="AC61" s="84" t="s">
        <v>15959</v>
      </c>
      <c r="AD61" s="53" t="str">
        <f t="shared" si="43"/>
        <v>Link</v>
      </c>
      <c r="AE61" s="42">
        <v>1165</v>
      </c>
      <c r="AF61" s="55"/>
      <c r="AG61" s="85"/>
      <c r="AH61" s="56">
        <v>122728</v>
      </c>
      <c r="AI61" s="85"/>
      <c r="AJ61" s="137"/>
      <c r="AK61" s="137"/>
    </row>
    <row r="62" spans="1:41" ht="13" x14ac:dyDescent="0.15">
      <c r="A62" s="7"/>
      <c r="B62" s="31" t="s">
        <v>300</v>
      </c>
      <c r="C62" s="2" t="s">
        <v>15218</v>
      </c>
      <c r="D62" s="7" t="s">
        <v>15966</v>
      </c>
      <c r="E62" s="37">
        <v>5</v>
      </c>
      <c r="F62" s="48" t="s">
        <v>116</v>
      </c>
      <c r="G62" s="48"/>
      <c r="H62" s="2" t="s">
        <v>15946</v>
      </c>
      <c r="I62" s="2" t="s">
        <v>2316</v>
      </c>
      <c r="J62" s="2" t="s">
        <v>3567</v>
      </c>
      <c r="K62" s="2" t="s">
        <v>139</v>
      </c>
      <c r="L62" s="95" t="s">
        <v>15947</v>
      </c>
      <c r="M62" s="6"/>
      <c r="N62" s="48"/>
      <c r="O62" s="114" t="str">
        <f t="shared" si="42"/>
        <v>Questionnaire</v>
      </c>
      <c r="P62" s="6" t="s">
        <v>15957</v>
      </c>
      <c r="Q62" s="60" t="s">
        <v>2088</v>
      </c>
      <c r="R62" s="48" t="s">
        <v>15887</v>
      </c>
      <c r="S62" s="48" t="s">
        <v>186</v>
      </c>
      <c r="T62" s="49" t="s">
        <v>63</v>
      </c>
      <c r="U62" s="6" t="s">
        <v>7065</v>
      </c>
      <c r="V62" s="49"/>
      <c r="W62" s="65">
        <v>3.3</v>
      </c>
      <c r="X62" s="49" t="s">
        <v>276</v>
      </c>
      <c r="Y62" s="49" t="s">
        <v>396</v>
      </c>
      <c r="Z62" s="49" t="s">
        <v>746</v>
      </c>
      <c r="AA62" s="65">
        <v>0.73</v>
      </c>
      <c r="AB62" s="39">
        <v>44309</v>
      </c>
      <c r="AC62" s="84" t="s">
        <v>15959</v>
      </c>
      <c r="AD62" s="53" t="str">
        <f t="shared" si="43"/>
        <v>Link</v>
      </c>
      <c r="AE62" s="42">
        <v>1165</v>
      </c>
      <c r="AF62" s="55"/>
      <c r="AG62" s="85"/>
      <c r="AH62" s="56">
        <v>122728</v>
      </c>
      <c r="AI62" s="85"/>
      <c r="AJ62" s="137"/>
      <c r="AK62" s="137"/>
    </row>
    <row r="63" spans="1:41" ht="15" x14ac:dyDescent="0.2">
      <c r="A63" s="7"/>
      <c r="B63" s="31" t="s">
        <v>2866</v>
      </c>
      <c r="C63" s="2" t="s">
        <v>15218</v>
      </c>
      <c r="D63" s="7" t="s">
        <v>15982</v>
      </c>
      <c r="E63" s="37">
        <v>5</v>
      </c>
      <c r="F63" s="48"/>
      <c r="G63" s="48"/>
      <c r="H63" s="2" t="s">
        <v>15983</v>
      </c>
      <c r="I63" s="2" t="s">
        <v>658</v>
      </c>
      <c r="J63" s="2" t="s">
        <v>484</v>
      </c>
      <c r="K63" s="2" t="s">
        <v>48</v>
      </c>
      <c r="L63" s="2" t="s">
        <v>15985</v>
      </c>
      <c r="M63" s="6" t="s">
        <v>15986</v>
      </c>
      <c r="N63" s="45" t="str">
        <f t="shared" ref="N63:N64" si="44">HYPERLINK("twitter.com/GyreneSoftball","@GyreneSoftball")</f>
        <v>@GyreneSoftball</v>
      </c>
      <c r="O63" s="48" t="s">
        <v>22</v>
      </c>
      <c r="P63" s="108" t="s">
        <v>15990</v>
      </c>
      <c r="Q63" s="60" t="s">
        <v>66</v>
      </c>
      <c r="R63" s="48" t="s">
        <v>15990</v>
      </c>
      <c r="S63" s="48" t="s">
        <v>468</v>
      </c>
      <c r="T63" s="49" t="s">
        <v>63</v>
      </c>
      <c r="U63" s="6" t="s">
        <v>343</v>
      </c>
      <c r="V63" s="49"/>
      <c r="W63" s="65">
        <v>3.6</v>
      </c>
      <c r="X63" s="49" t="s">
        <v>2455</v>
      </c>
      <c r="Y63" s="49" t="s">
        <v>1649</v>
      </c>
      <c r="Z63" s="49" t="s">
        <v>545</v>
      </c>
      <c r="AA63" s="38">
        <v>0.39889999999999998</v>
      </c>
      <c r="AB63" s="39">
        <v>19128</v>
      </c>
      <c r="AC63" s="52" t="s">
        <v>15990</v>
      </c>
      <c r="AD63" s="53" t="str">
        <f t="shared" ref="AD63:AD64" si="45">HYPERLINK("https://www.avemaria.edu/majors-programs/","Link")</f>
        <v>Link</v>
      </c>
      <c r="AE63" s="42">
        <v>1056</v>
      </c>
      <c r="AF63" s="55"/>
      <c r="AG63" s="85"/>
      <c r="AH63" s="56">
        <v>439321</v>
      </c>
      <c r="AI63" s="85"/>
      <c r="AJ63" s="137"/>
      <c r="AK63" s="137"/>
    </row>
    <row r="64" spans="1:41" ht="15" x14ac:dyDescent="0.2">
      <c r="A64" s="7"/>
      <c r="B64" s="31" t="s">
        <v>2866</v>
      </c>
      <c r="C64" s="2" t="s">
        <v>15218</v>
      </c>
      <c r="D64" s="7" t="s">
        <v>15996</v>
      </c>
      <c r="E64" s="37">
        <v>5</v>
      </c>
      <c r="F64" s="48"/>
      <c r="G64" s="48"/>
      <c r="H64" s="2" t="s">
        <v>15983</v>
      </c>
      <c r="I64" s="2" t="s">
        <v>14295</v>
      </c>
      <c r="J64" s="2" t="s">
        <v>15998</v>
      </c>
      <c r="K64" s="2" t="s">
        <v>55</v>
      </c>
      <c r="L64" s="2" t="s">
        <v>15999</v>
      </c>
      <c r="M64" s="6" t="s">
        <v>16000</v>
      </c>
      <c r="N64" s="45" t="str">
        <f t="shared" si="44"/>
        <v>@GyreneSoftball</v>
      </c>
      <c r="O64" s="48" t="s">
        <v>22</v>
      </c>
      <c r="P64" s="108" t="s">
        <v>15990</v>
      </c>
      <c r="Q64" s="60" t="s">
        <v>66</v>
      </c>
      <c r="R64" s="48" t="s">
        <v>15990</v>
      </c>
      <c r="S64" s="48" t="s">
        <v>468</v>
      </c>
      <c r="T64" s="49" t="s">
        <v>63</v>
      </c>
      <c r="U64" s="6" t="s">
        <v>343</v>
      </c>
      <c r="V64" s="49"/>
      <c r="W64" s="65">
        <v>3.6</v>
      </c>
      <c r="X64" s="49" t="s">
        <v>2455</v>
      </c>
      <c r="Y64" s="49" t="s">
        <v>1649</v>
      </c>
      <c r="Z64" s="49" t="s">
        <v>545</v>
      </c>
      <c r="AA64" s="38">
        <v>0.39889999999999998</v>
      </c>
      <c r="AB64" s="39">
        <v>19128</v>
      </c>
      <c r="AC64" s="52" t="s">
        <v>15990</v>
      </c>
      <c r="AD64" s="53" t="str">
        <f t="shared" si="45"/>
        <v>Link</v>
      </c>
      <c r="AE64" s="42">
        <v>1056</v>
      </c>
      <c r="AF64" s="55"/>
      <c r="AG64" s="85"/>
      <c r="AH64" s="56">
        <v>439321</v>
      </c>
      <c r="AI64" s="85"/>
      <c r="AJ64" s="137"/>
      <c r="AK64" s="137"/>
    </row>
    <row r="65" spans="1:41" ht="15" x14ac:dyDescent="0.2">
      <c r="A65" s="7"/>
      <c r="B65" s="31" t="s">
        <v>2866</v>
      </c>
      <c r="C65" s="2" t="s">
        <v>15218</v>
      </c>
      <c r="D65" s="7" t="s">
        <v>16005</v>
      </c>
      <c r="E65" s="37">
        <v>5</v>
      </c>
      <c r="F65" s="48"/>
      <c r="G65" s="48"/>
      <c r="H65" s="2" t="s">
        <v>16006</v>
      </c>
      <c r="I65" s="2" t="s">
        <v>16007</v>
      </c>
      <c r="J65" s="2" t="s">
        <v>743</v>
      </c>
      <c r="K65" s="2" t="s">
        <v>48</v>
      </c>
      <c r="L65" s="95" t="s">
        <v>16008</v>
      </c>
      <c r="M65" s="6" t="s">
        <v>16009</v>
      </c>
      <c r="N65" s="48"/>
      <c r="O65" s="114" t="str">
        <f>HYPERLINK("http://www.ewctigerpride.com/staff.php","Questionnaire")</f>
        <v>Questionnaire</v>
      </c>
      <c r="P65" s="108" t="s">
        <v>16014</v>
      </c>
      <c r="Q65" s="60" t="s">
        <v>66</v>
      </c>
      <c r="R65" s="48" t="s">
        <v>2146</v>
      </c>
      <c r="S65" s="48" t="s">
        <v>354</v>
      </c>
      <c r="T65" s="49" t="s">
        <v>63</v>
      </c>
      <c r="U65" s="48" t="s">
        <v>16017</v>
      </c>
      <c r="V65" s="49" t="s">
        <v>212</v>
      </c>
      <c r="W65" s="65">
        <v>2.64</v>
      </c>
      <c r="X65" s="49" t="s">
        <v>8938</v>
      </c>
      <c r="Y65" s="49" t="s">
        <v>15343</v>
      </c>
      <c r="Z65" s="49" t="s">
        <v>8450</v>
      </c>
      <c r="AA65" s="65">
        <v>0.57999999999999996</v>
      </c>
      <c r="AB65" s="39">
        <v>25083</v>
      </c>
      <c r="AC65" s="52" t="s">
        <v>16014</v>
      </c>
      <c r="AD65" s="53" t="str">
        <f>HYPERLINK("https://www.ewc.edu/academics/academic-programs/","Link")</f>
        <v>Link</v>
      </c>
      <c r="AE65" s="42">
        <v>3062</v>
      </c>
      <c r="AF65" s="55"/>
      <c r="AG65" s="85"/>
      <c r="AH65" s="56">
        <v>133526</v>
      </c>
      <c r="AI65" s="85"/>
      <c r="AJ65" s="137"/>
      <c r="AK65" s="137"/>
    </row>
    <row r="66" spans="1:41" ht="13" x14ac:dyDescent="0.15">
      <c r="A66" s="7"/>
      <c r="B66" s="31" t="s">
        <v>2866</v>
      </c>
      <c r="C66" s="2" t="s">
        <v>15218</v>
      </c>
      <c r="D66" s="7" t="s">
        <v>16025</v>
      </c>
      <c r="E66" s="44">
        <v>5</v>
      </c>
      <c r="F66" s="48" t="s">
        <v>116</v>
      </c>
      <c r="G66" s="48"/>
      <c r="H66" s="2" t="s">
        <v>16029</v>
      </c>
      <c r="I66" s="7" t="s">
        <v>2289</v>
      </c>
      <c r="J66" s="7" t="s">
        <v>16031</v>
      </c>
      <c r="K66" s="7" t="s">
        <v>55</v>
      </c>
      <c r="L66" s="7"/>
      <c r="M66" s="48"/>
      <c r="N66" s="45" t="str">
        <f t="shared" ref="N66:N68" si="46">HYPERLINK("twitter.com/keiser_softball","@keiser_softball")</f>
        <v>@keiser_softball</v>
      </c>
      <c r="O66" s="48" t="s">
        <v>22</v>
      </c>
      <c r="P66" s="48" t="s">
        <v>16036</v>
      </c>
      <c r="Q66" s="60" t="s">
        <v>66</v>
      </c>
      <c r="R66" s="48" t="s">
        <v>3222</v>
      </c>
      <c r="S66" s="48" t="s">
        <v>62</v>
      </c>
      <c r="T66" s="49" t="s">
        <v>63</v>
      </c>
      <c r="U66" s="48" t="s">
        <v>75</v>
      </c>
      <c r="V66" s="49"/>
      <c r="W66" s="49" t="s">
        <v>524</v>
      </c>
      <c r="X66" s="49" t="s">
        <v>214</v>
      </c>
      <c r="Y66" s="49" t="s">
        <v>214</v>
      </c>
      <c r="Z66" s="49" t="s">
        <v>214</v>
      </c>
      <c r="AA66" s="55" t="s">
        <v>214</v>
      </c>
      <c r="AB66" s="39">
        <v>36184</v>
      </c>
      <c r="AC66" s="84" t="s">
        <v>16036</v>
      </c>
      <c r="AD66" s="53" t="str">
        <f t="shared" ref="AD66:AD68" si="47">HYPERLINK("https://www.keiseruniversity.edu/programs/bachelors-degrees/","Link")</f>
        <v>Link</v>
      </c>
      <c r="AE66" s="42">
        <v>18172</v>
      </c>
      <c r="AF66" s="55"/>
      <c r="AG66" s="55"/>
      <c r="AH66" s="56">
        <v>135081</v>
      </c>
      <c r="AI66" s="55"/>
      <c r="AJ66" s="137"/>
      <c r="AK66" s="137"/>
    </row>
    <row r="67" spans="1:41" ht="13" x14ac:dyDescent="0.15">
      <c r="A67" s="7"/>
      <c r="B67" s="31" t="s">
        <v>2866</v>
      </c>
      <c r="C67" s="2" t="s">
        <v>15218</v>
      </c>
      <c r="D67" s="7" t="s">
        <v>16043</v>
      </c>
      <c r="E67" s="37">
        <v>5</v>
      </c>
      <c r="F67" s="48"/>
      <c r="G67" s="48"/>
      <c r="H67" s="2" t="s">
        <v>16029</v>
      </c>
      <c r="I67" s="2" t="s">
        <v>4368</v>
      </c>
      <c r="J67" s="2" t="s">
        <v>16047</v>
      </c>
      <c r="K67" s="2" t="s">
        <v>48</v>
      </c>
      <c r="L67" s="2" t="s">
        <v>16048</v>
      </c>
      <c r="M67" s="6" t="s">
        <v>16049</v>
      </c>
      <c r="N67" s="45" t="str">
        <f t="shared" si="46"/>
        <v>@keiser_softball</v>
      </c>
      <c r="O67" s="48" t="s">
        <v>22</v>
      </c>
      <c r="P67" s="48" t="s">
        <v>16036</v>
      </c>
      <c r="Q67" s="60" t="s">
        <v>66</v>
      </c>
      <c r="R67" s="48" t="s">
        <v>3222</v>
      </c>
      <c r="S67" s="48" t="s">
        <v>62</v>
      </c>
      <c r="T67" s="49" t="s">
        <v>63</v>
      </c>
      <c r="U67" s="48" t="s">
        <v>75</v>
      </c>
      <c r="V67" s="49"/>
      <c r="W67" s="49" t="s">
        <v>524</v>
      </c>
      <c r="X67" s="49" t="s">
        <v>214</v>
      </c>
      <c r="Y67" s="49" t="s">
        <v>214</v>
      </c>
      <c r="Z67" s="49" t="s">
        <v>214</v>
      </c>
      <c r="AA67" s="55" t="s">
        <v>214</v>
      </c>
      <c r="AB67" s="39">
        <v>36184</v>
      </c>
      <c r="AC67" s="84" t="s">
        <v>16036</v>
      </c>
      <c r="AD67" s="53" t="str">
        <f t="shared" si="47"/>
        <v>Link</v>
      </c>
      <c r="AE67" s="42">
        <v>18172</v>
      </c>
      <c r="AF67" s="55"/>
      <c r="AG67" s="85"/>
      <c r="AH67" s="56">
        <v>135081</v>
      </c>
      <c r="AI67" s="85"/>
      <c r="AJ67" s="137"/>
      <c r="AK67" s="137"/>
    </row>
    <row r="68" spans="1:41" ht="13" x14ac:dyDescent="0.15">
      <c r="A68" s="7"/>
      <c r="B68" s="31" t="s">
        <v>2866</v>
      </c>
      <c r="C68" s="2" t="s">
        <v>15218</v>
      </c>
      <c r="D68" s="7" t="s">
        <v>16055</v>
      </c>
      <c r="E68" s="37">
        <v>5</v>
      </c>
      <c r="F68" s="48"/>
      <c r="G68" s="48"/>
      <c r="H68" s="2" t="s">
        <v>16029</v>
      </c>
      <c r="I68" s="2" t="s">
        <v>222</v>
      </c>
      <c r="J68" s="2" t="s">
        <v>16059</v>
      </c>
      <c r="K68" s="2" t="s">
        <v>55</v>
      </c>
      <c r="L68" s="2" t="s">
        <v>16060</v>
      </c>
      <c r="M68" s="6" t="s">
        <v>16061</v>
      </c>
      <c r="N68" s="45" t="str">
        <f t="shared" si="46"/>
        <v>@keiser_softball</v>
      </c>
      <c r="O68" s="48" t="s">
        <v>22</v>
      </c>
      <c r="P68" s="48" t="s">
        <v>16036</v>
      </c>
      <c r="Q68" s="60" t="s">
        <v>66</v>
      </c>
      <c r="R68" s="48" t="s">
        <v>3222</v>
      </c>
      <c r="S68" s="48" t="s">
        <v>62</v>
      </c>
      <c r="T68" s="49" t="s">
        <v>63</v>
      </c>
      <c r="U68" s="48" t="s">
        <v>75</v>
      </c>
      <c r="V68" s="49"/>
      <c r="W68" s="49" t="s">
        <v>524</v>
      </c>
      <c r="X68" s="49" t="s">
        <v>214</v>
      </c>
      <c r="Y68" s="49" t="s">
        <v>214</v>
      </c>
      <c r="Z68" s="49" t="s">
        <v>214</v>
      </c>
      <c r="AA68" s="55" t="s">
        <v>214</v>
      </c>
      <c r="AB68" s="39">
        <v>36184</v>
      </c>
      <c r="AC68" s="84" t="s">
        <v>16036</v>
      </c>
      <c r="AD68" s="53" t="str">
        <f t="shared" si="47"/>
        <v>Link</v>
      </c>
      <c r="AE68" s="42">
        <v>18172</v>
      </c>
      <c r="AF68" s="55"/>
      <c r="AG68" s="85"/>
      <c r="AH68" s="56">
        <v>135081</v>
      </c>
      <c r="AI68" s="85"/>
      <c r="AJ68" s="137"/>
      <c r="AK68" s="137"/>
    </row>
    <row r="69" spans="1:41" ht="13" x14ac:dyDescent="0.15">
      <c r="A69" s="7"/>
      <c r="B69" s="31" t="s">
        <v>2866</v>
      </c>
      <c r="C69" s="2" t="s">
        <v>15218</v>
      </c>
      <c r="D69" s="7" t="s">
        <v>16069</v>
      </c>
      <c r="E69" s="37">
        <v>5</v>
      </c>
      <c r="F69" s="7"/>
      <c r="G69" s="7"/>
      <c r="H69" s="2" t="s">
        <v>16070</v>
      </c>
      <c r="I69" s="2" t="s">
        <v>860</v>
      </c>
      <c r="J69" s="2" t="s">
        <v>636</v>
      </c>
      <c r="K69" s="2" t="s">
        <v>48</v>
      </c>
      <c r="L69" s="2" t="s">
        <v>16071</v>
      </c>
      <c r="M69" s="6" t="s">
        <v>16073</v>
      </c>
      <c r="N69" s="45" t="str">
        <f t="shared" ref="N69:N70" si="48">HYPERLINK("twitter.com/seufiresoftball","@seufiresoftball")</f>
        <v>@seufiresoftball</v>
      </c>
      <c r="O69" s="114" t="str">
        <f t="shared" ref="O69:O70" si="49">HYPERLINK("https://fire.seu.edu/sports/2015/10/28/GEN_1028152527.aspx?path=general","Questionnaire")</f>
        <v>Questionnaire</v>
      </c>
      <c r="P69" s="48" t="s">
        <v>16079</v>
      </c>
      <c r="Q69" s="60" t="s">
        <v>66</v>
      </c>
      <c r="R69" s="48" t="s">
        <v>3251</v>
      </c>
      <c r="S69" s="48" t="s">
        <v>238</v>
      </c>
      <c r="T69" s="49" t="s">
        <v>63</v>
      </c>
      <c r="U69" s="6" t="s">
        <v>7034</v>
      </c>
      <c r="V69" s="49"/>
      <c r="W69" s="65">
        <v>3.23</v>
      </c>
      <c r="X69" s="49" t="s">
        <v>1628</v>
      </c>
      <c r="Y69" s="49" t="s">
        <v>3484</v>
      </c>
      <c r="Z69" s="49" t="s">
        <v>841</v>
      </c>
      <c r="AA69" s="65">
        <v>0.46</v>
      </c>
      <c r="AB69" s="39">
        <v>37884</v>
      </c>
      <c r="AC69" s="84" t="s">
        <v>16079</v>
      </c>
      <c r="AD69" s="53" t="str">
        <f t="shared" ref="AD69:AD70" si="50">HYPERLINK("https://www.seu.edu/academics/programs/","Link")</f>
        <v>Link</v>
      </c>
      <c r="AE69" s="42">
        <v>5055</v>
      </c>
      <c r="AF69" s="55"/>
      <c r="AG69" s="85"/>
      <c r="AH69" s="56">
        <v>137564</v>
      </c>
      <c r="AI69" s="85"/>
      <c r="AJ69" s="137"/>
      <c r="AK69" s="137"/>
    </row>
    <row r="70" spans="1:41" ht="13" x14ac:dyDescent="0.15">
      <c r="A70" s="7"/>
      <c r="B70" s="31" t="s">
        <v>2866</v>
      </c>
      <c r="C70" s="2" t="s">
        <v>15218</v>
      </c>
      <c r="D70" s="7" t="s">
        <v>16090</v>
      </c>
      <c r="E70" s="37">
        <v>5</v>
      </c>
      <c r="F70" s="7"/>
      <c r="G70" s="7"/>
      <c r="H70" s="2" t="s">
        <v>16070</v>
      </c>
      <c r="I70" s="2" t="s">
        <v>1345</v>
      </c>
      <c r="J70" s="2" t="s">
        <v>16091</v>
      </c>
      <c r="K70" s="2" t="s">
        <v>55</v>
      </c>
      <c r="L70" s="2" t="s">
        <v>16092</v>
      </c>
      <c r="M70" s="6"/>
      <c r="N70" s="45" t="str">
        <f t="shared" si="48"/>
        <v>@seufiresoftball</v>
      </c>
      <c r="O70" s="114" t="str">
        <f t="shared" si="49"/>
        <v>Questionnaire</v>
      </c>
      <c r="P70" s="48" t="s">
        <v>16079</v>
      </c>
      <c r="Q70" s="60" t="s">
        <v>66</v>
      </c>
      <c r="R70" s="48" t="s">
        <v>3251</v>
      </c>
      <c r="S70" s="48" t="s">
        <v>238</v>
      </c>
      <c r="T70" s="49" t="s">
        <v>63</v>
      </c>
      <c r="U70" s="6" t="s">
        <v>7034</v>
      </c>
      <c r="V70" s="49"/>
      <c r="W70" s="65">
        <v>3.23</v>
      </c>
      <c r="X70" s="49" t="s">
        <v>1628</v>
      </c>
      <c r="Y70" s="49" t="s">
        <v>3484</v>
      </c>
      <c r="Z70" s="49" t="s">
        <v>841</v>
      </c>
      <c r="AA70" s="65">
        <v>0.46</v>
      </c>
      <c r="AB70" s="39">
        <v>37884</v>
      </c>
      <c r="AC70" s="84" t="s">
        <v>16079</v>
      </c>
      <c r="AD70" s="53" t="str">
        <f t="shared" si="50"/>
        <v>Link</v>
      </c>
      <c r="AE70" s="42">
        <v>5055</v>
      </c>
      <c r="AF70" s="55"/>
      <c r="AG70" s="85"/>
      <c r="AH70" s="56">
        <v>137564</v>
      </c>
      <c r="AI70" s="85"/>
    </row>
    <row r="71" spans="1:41" ht="13" x14ac:dyDescent="0.15">
      <c r="A71" s="7"/>
      <c r="B71" s="110" t="s">
        <v>2866</v>
      </c>
      <c r="C71" s="2" t="s">
        <v>15218</v>
      </c>
      <c r="D71" s="7" t="s">
        <v>16102</v>
      </c>
      <c r="E71" s="44">
        <v>5</v>
      </c>
      <c r="F71" s="48"/>
      <c r="G71" s="48"/>
      <c r="H71" s="2" t="s">
        <v>16103</v>
      </c>
      <c r="I71" s="7" t="s">
        <v>1052</v>
      </c>
      <c r="J71" s="7" t="s">
        <v>16105</v>
      </c>
      <c r="K71" s="7" t="s">
        <v>55</v>
      </c>
      <c r="L71" s="7"/>
      <c r="M71" s="48"/>
      <c r="N71" s="48"/>
      <c r="O71" s="48"/>
      <c r="P71" s="48" t="s">
        <v>16106</v>
      </c>
      <c r="Q71" s="60" t="s">
        <v>66</v>
      </c>
      <c r="R71" s="48" t="s">
        <v>16107</v>
      </c>
      <c r="S71" s="48" t="s">
        <v>238</v>
      </c>
      <c r="T71" s="49" t="s">
        <v>63</v>
      </c>
      <c r="U71" s="6" t="s">
        <v>343</v>
      </c>
      <c r="V71" s="49"/>
      <c r="W71" s="61">
        <v>3.25</v>
      </c>
      <c r="X71" s="49" t="s">
        <v>6714</v>
      </c>
      <c r="Y71" s="49" t="s">
        <v>7968</v>
      </c>
      <c r="Z71" s="49" t="s">
        <v>1408</v>
      </c>
      <c r="AA71" s="65">
        <v>0.83</v>
      </c>
      <c r="AB71" s="39">
        <v>53440</v>
      </c>
      <c r="AC71" s="84" t="s">
        <v>16106</v>
      </c>
      <c r="AD71" s="67" t="str">
        <f t="shared" ref="AD71:AD72" si="51">HYPERLINK("https://www.stu.edu/academics","Link")</f>
        <v>Link</v>
      </c>
      <c r="AE71" s="42">
        <v>6048</v>
      </c>
      <c r="AF71" s="55"/>
      <c r="AG71" s="55"/>
      <c r="AH71" s="56">
        <v>137476</v>
      </c>
      <c r="AI71" s="55"/>
    </row>
    <row r="72" spans="1:41" ht="13" x14ac:dyDescent="0.15">
      <c r="A72" s="7"/>
      <c r="B72" s="31" t="s">
        <v>2866</v>
      </c>
      <c r="C72" s="2" t="s">
        <v>15218</v>
      </c>
      <c r="D72" s="7" t="s">
        <v>16112</v>
      </c>
      <c r="E72" s="37">
        <v>5</v>
      </c>
      <c r="F72" s="48"/>
      <c r="G72" s="48"/>
      <c r="H72" s="2" t="s">
        <v>16103</v>
      </c>
      <c r="I72" s="7" t="s">
        <v>435</v>
      </c>
      <c r="J72" s="7" t="s">
        <v>16117</v>
      </c>
      <c r="K72" s="7" t="s">
        <v>48</v>
      </c>
      <c r="L72" s="7" t="s">
        <v>16119</v>
      </c>
      <c r="M72" s="48"/>
      <c r="N72" s="45" t="str">
        <f>HYPERLINK("twitter.com/stu_softball","@stu_softball")</f>
        <v>@stu_softball</v>
      </c>
      <c r="O72" s="114" t="str">
        <f>HYPERLINK("https://stubobcats.com/sb_output.aspx?form=3","Questionnaire")</f>
        <v>Questionnaire</v>
      </c>
      <c r="P72" s="48" t="s">
        <v>16106</v>
      </c>
      <c r="Q72" s="60" t="s">
        <v>66</v>
      </c>
      <c r="R72" s="48" t="s">
        <v>16107</v>
      </c>
      <c r="S72" s="48" t="s">
        <v>238</v>
      </c>
      <c r="T72" s="49" t="s">
        <v>63</v>
      </c>
      <c r="U72" s="6" t="s">
        <v>343</v>
      </c>
      <c r="V72" s="49"/>
      <c r="W72" s="65">
        <v>3.25</v>
      </c>
      <c r="X72" s="49" t="s">
        <v>6714</v>
      </c>
      <c r="Y72" s="49" t="s">
        <v>7968</v>
      </c>
      <c r="Z72" s="49" t="s">
        <v>1408</v>
      </c>
      <c r="AA72" s="65">
        <v>0.83</v>
      </c>
      <c r="AB72" s="39">
        <v>53440</v>
      </c>
      <c r="AC72" s="84" t="s">
        <v>16106</v>
      </c>
      <c r="AD72" s="53" t="str">
        <f t="shared" si="51"/>
        <v>Link</v>
      </c>
      <c r="AE72" s="42">
        <v>6048</v>
      </c>
      <c r="AF72" s="55"/>
      <c r="AG72" s="85"/>
      <c r="AH72" s="56">
        <v>137476</v>
      </c>
      <c r="AI72" s="85"/>
    </row>
    <row r="73" spans="1:41" ht="13" x14ac:dyDescent="0.15">
      <c r="A73" s="7"/>
      <c r="B73" s="31" t="s">
        <v>2866</v>
      </c>
      <c r="C73" s="2" t="s">
        <v>15218</v>
      </c>
      <c r="D73" s="7" t="s">
        <v>16131</v>
      </c>
      <c r="E73" s="37">
        <v>5</v>
      </c>
      <c r="F73" s="48"/>
      <c r="G73" s="48"/>
      <c r="H73" s="2" t="s">
        <v>16132</v>
      </c>
      <c r="I73" s="2" t="s">
        <v>234</v>
      </c>
      <c r="J73" s="2" t="s">
        <v>16134</v>
      </c>
      <c r="K73" s="2" t="s">
        <v>48</v>
      </c>
      <c r="L73" s="2" t="s">
        <v>16135</v>
      </c>
      <c r="M73" s="6" t="s">
        <v>16137</v>
      </c>
      <c r="N73" s="45" t="str">
        <f t="shared" ref="N73:N74" si="52">HYPERLINK("twitter.com/wuroyalsoftball","@wuroyalsoftball")</f>
        <v>@wuroyalsoftball</v>
      </c>
      <c r="O73" s="114" t="str">
        <f t="shared" ref="O73:O74" si="53">HYPERLINK("https://warnerroyals.com/sb_output.aspx?form=3","Questionnaire")</f>
        <v>Questionnaire</v>
      </c>
      <c r="P73" s="48" t="s">
        <v>16146</v>
      </c>
      <c r="Q73" s="60" t="s">
        <v>66</v>
      </c>
      <c r="R73" s="48" t="s">
        <v>16147</v>
      </c>
      <c r="S73" s="48" t="s">
        <v>172</v>
      </c>
      <c r="T73" s="49" t="s">
        <v>63</v>
      </c>
      <c r="U73" s="6" t="s">
        <v>2615</v>
      </c>
      <c r="V73" s="49"/>
      <c r="W73" s="65">
        <v>3.22</v>
      </c>
      <c r="X73" s="49" t="s">
        <v>16148</v>
      </c>
      <c r="Y73" s="49" t="s">
        <v>6814</v>
      </c>
      <c r="Z73" s="49" t="s">
        <v>3544</v>
      </c>
      <c r="AA73" s="65">
        <v>0.44</v>
      </c>
      <c r="AB73" s="39">
        <v>33316</v>
      </c>
      <c r="AC73" s="84" t="s">
        <v>16146</v>
      </c>
      <c r="AD73" s="53" t="str">
        <f t="shared" ref="AD73:AD75" si="54">HYPERLINK("http://www.warner.edu/academics/adult-learning/majors-programs/","Link")</f>
        <v>Link</v>
      </c>
      <c r="AE73" s="42">
        <v>947</v>
      </c>
      <c r="AF73" s="55"/>
      <c r="AG73" s="85"/>
      <c r="AH73" s="85"/>
      <c r="AI73" s="85"/>
    </row>
    <row r="74" spans="1:41" ht="13" x14ac:dyDescent="0.15">
      <c r="A74" s="7"/>
      <c r="B74" s="31" t="s">
        <v>2866</v>
      </c>
      <c r="C74" s="2" t="s">
        <v>15218</v>
      </c>
      <c r="D74" s="7" t="s">
        <v>16155</v>
      </c>
      <c r="E74" s="37">
        <v>5</v>
      </c>
      <c r="F74" s="48"/>
      <c r="G74" s="48"/>
      <c r="H74" s="2" t="s">
        <v>16132</v>
      </c>
      <c r="I74" s="2" t="s">
        <v>962</v>
      </c>
      <c r="J74" s="2" t="s">
        <v>2919</v>
      </c>
      <c r="K74" s="2" t="s">
        <v>55</v>
      </c>
      <c r="L74" s="2" t="s">
        <v>16158</v>
      </c>
      <c r="M74" s="6"/>
      <c r="N74" s="45" t="str">
        <f t="shared" si="52"/>
        <v>@wuroyalsoftball</v>
      </c>
      <c r="O74" s="114" t="str">
        <f t="shared" si="53"/>
        <v>Questionnaire</v>
      </c>
      <c r="P74" s="48" t="s">
        <v>16146</v>
      </c>
      <c r="Q74" s="60" t="s">
        <v>66</v>
      </c>
      <c r="R74" s="48" t="s">
        <v>16147</v>
      </c>
      <c r="S74" s="48" t="s">
        <v>172</v>
      </c>
      <c r="T74" s="49" t="s">
        <v>63</v>
      </c>
      <c r="U74" s="6" t="s">
        <v>2615</v>
      </c>
      <c r="V74" s="49"/>
      <c r="W74" s="65">
        <v>3.22</v>
      </c>
      <c r="X74" s="49" t="s">
        <v>16148</v>
      </c>
      <c r="Y74" s="49" t="s">
        <v>6814</v>
      </c>
      <c r="Z74" s="49" t="s">
        <v>3544</v>
      </c>
      <c r="AA74" s="65">
        <v>0.44</v>
      </c>
      <c r="AB74" s="39">
        <v>33316</v>
      </c>
      <c r="AC74" s="84" t="s">
        <v>16146</v>
      </c>
      <c r="AD74" s="53" t="str">
        <f t="shared" si="54"/>
        <v>Link</v>
      </c>
      <c r="AE74" s="42">
        <v>947</v>
      </c>
      <c r="AF74" s="55"/>
      <c r="AG74" s="85"/>
      <c r="AH74" s="85"/>
      <c r="AI74" s="85"/>
    </row>
    <row r="75" spans="1:41" ht="13" x14ac:dyDescent="0.15">
      <c r="A75" s="7"/>
      <c r="B75" s="31" t="s">
        <v>2866</v>
      </c>
      <c r="C75" s="2" t="s">
        <v>15218</v>
      </c>
      <c r="D75" s="7" t="s">
        <v>16159</v>
      </c>
      <c r="E75" s="44">
        <v>5</v>
      </c>
      <c r="F75" s="48" t="s">
        <v>116</v>
      </c>
      <c r="G75" s="48"/>
      <c r="H75" s="2" t="s">
        <v>16132</v>
      </c>
      <c r="I75" s="7" t="s">
        <v>2249</v>
      </c>
      <c r="J75" s="7" t="s">
        <v>16160</v>
      </c>
      <c r="K75" s="7" t="s">
        <v>919</v>
      </c>
      <c r="L75" s="7" t="s">
        <v>16161</v>
      </c>
      <c r="M75" s="48"/>
      <c r="N75" s="48"/>
      <c r="O75" s="114" t="str">
        <f>HYPERLINK("https://college.jumpforward.com/questionnaire.aspx?iid=1741&amp;sportid=18&amp;path=football","Questionnaire")</f>
        <v>Questionnaire</v>
      </c>
      <c r="P75" s="48" t="s">
        <v>16146</v>
      </c>
      <c r="Q75" s="60" t="s">
        <v>66</v>
      </c>
      <c r="R75" s="48" t="s">
        <v>16147</v>
      </c>
      <c r="S75" s="4" t="s">
        <v>172</v>
      </c>
      <c r="T75" s="4" t="s">
        <v>63</v>
      </c>
      <c r="U75" s="4" t="s">
        <v>2615</v>
      </c>
      <c r="V75" s="49"/>
      <c r="W75" s="65">
        <v>3.22</v>
      </c>
      <c r="X75" s="49" t="s">
        <v>16148</v>
      </c>
      <c r="Y75" s="49" t="s">
        <v>6814</v>
      </c>
      <c r="Z75" s="4" t="s">
        <v>3544</v>
      </c>
      <c r="AA75" s="65">
        <v>0.44</v>
      </c>
      <c r="AB75" s="39">
        <v>33316</v>
      </c>
      <c r="AC75" s="76" t="s">
        <v>16146</v>
      </c>
      <c r="AD75" s="67" t="str">
        <f t="shared" si="54"/>
        <v>Link</v>
      </c>
      <c r="AE75" s="42">
        <v>947</v>
      </c>
      <c r="AF75" s="55"/>
      <c r="AG75" s="55"/>
      <c r="AH75" s="85"/>
      <c r="AI75" s="55"/>
    </row>
    <row r="76" spans="1:41" ht="13" x14ac:dyDescent="0.15">
      <c r="A76" s="7"/>
      <c r="B76" s="31" t="s">
        <v>2866</v>
      </c>
      <c r="C76" s="2" t="s">
        <v>15218</v>
      </c>
      <c r="D76" s="7" t="s">
        <v>16173</v>
      </c>
      <c r="E76" s="37">
        <v>5</v>
      </c>
      <c r="F76" s="48"/>
      <c r="G76" s="48"/>
      <c r="H76" s="2" t="s">
        <v>16174</v>
      </c>
      <c r="I76" s="2" t="s">
        <v>16175</v>
      </c>
      <c r="J76" s="2"/>
      <c r="K76" s="2" t="s">
        <v>3472</v>
      </c>
      <c r="L76" s="2" t="s">
        <v>16176</v>
      </c>
      <c r="M76" s="6"/>
      <c r="N76" s="45" t="str">
        <f t="shared" ref="N76:N78" si="55">HYPERLINK("twitter.com/webbersoftball","@webbersoftball")</f>
        <v>@webbersoftball</v>
      </c>
      <c r="O76" s="114" t="str">
        <f t="shared" ref="O76:O78" si="56">HYPERLINK("https://webber.edu/calling-all-athletes/","Questionnaire")</f>
        <v>Questionnaire</v>
      </c>
      <c r="P76" s="48" t="s">
        <v>16183</v>
      </c>
      <c r="Q76" s="60" t="s">
        <v>66</v>
      </c>
      <c r="R76" s="48" t="s">
        <v>16184</v>
      </c>
      <c r="S76" s="60" t="s">
        <v>205</v>
      </c>
      <c r="T76" s="49" t="s">
        <v>63</v>
      </c>
      <c r="U76" s="48" t="s">
        <v>75</v>
      </c>
      <c r="V76" s="49"/>
      <c r="W76" s="65">
        <v>2.83</v>
      </c>
      <c r="X76" s="49" t="s">
        <v>8538</v>
      </c>
      <c r="Y76" s="49" t="s">
        <v>16187</v>
      </c>
      <c r="Z76" s="49" t="s">
        <v>3544</v>
      </c>
      <c r="AA76" s="65">
        <v>0.5</v>
      </c>
      <c r="AB76" s="39">
        <v>40296</v>
      </c>
      <c r="AC76" s="84" t="s">
        <v>16183</v>
      </c>
      <c r="AD76" s="53" t="str">
        <f t="shared" ref="AD76:AD78" si="57">HYPERLINK("https://webber.edu/academics/undergraduate-programs/","Link")</f>
        <v>Link</v>
      </c>
      <c r="AE76" s="42">
        <v>662</v>
      </c>
      <c r="AF76" s="55"/>
      <c r="AG76" s="85"/>
      <c r="AH76" s="56">
        <v>138293</v>
      </c>
      <c r="AI76" s="85"/>
    </row>
    <row r="77" spans="1:41" ht="13" x14ac:dyDescent="0.15">
      <c r="A77" s="7"/>
      <c r="B77" s="31" t="s">
        <v>2866</v>
      </c>
      <c r="C77" s="2" t="s">
        <v>15218</v>
      </c>
      <c r="D77" s="7" t="s">
        <v>16196</v>
      </c>
      <c r="E77" s="37">
        <v>5</v>
      </c>
      <c r="F77" s="48"/>
      <c r="G77" s="48"/>
      <c r="H77" s="2" t="s">
        <v>16174</v>
      </c>
      <c r="I77" s="2" t="s">
        <v>5834</v>
      </c>
      <c r="J77" s="2" t="s">
        <v>3775</v>
      </c>
      <c r="K77" s="2" t="s">
        <v>48</v>
      </c>
      <c r="L77" s="2" t="s">
        <v>16197</v>
      </c>
      <c r="M77" s="6" t="s">
        <v>16198</v>
      </c>
      <c r="N77" s="45" t="str">
        <f t="shared" si="55"/>
        <v>@webbersoftball</v>
      </c>
      <c r="O77" s="114" t="str">
        <f t="shared" si="56"/>
        <v>Questionnaire</v>
      </c>
      <c r="P77" s="48" t="s">
        <v>16183</v>
      </c>
      <c r="Q77" s="60" t="s">
        <v>66</v>
      </c>
      <c r="R77" s="48" t="s">
        <v>16184</v>
      </c>
      <c r="S77" s="60" t="s">
        <v>205</v>
      </c>
      <c r="T77" s="49" t="s">
        <v>63</v>
      </c>
      <c r="U77" s="48" t="s">
        <v>75</v>
      </c>
      <c r="V77" s="49"/>
      <c r="W77" s="65">
        <v>2.83</v>
      </c>
      <c r="X77" s="49" t="s">
        <v>8538</v>
      </c>
      <c r="Y77" s="49" t="s">
        <v>16187</v>
      </c>
      <c r="Z77" s="49" t="s">
        <v>3544</v>
      </c>
      <c r="AA77" s="65">
        <v>0.5</v>
      </c>
      <c r="AB77" s="39">
        <v>40296</v>
      </c>
      <c r="AC77" s="84" t="s">
        <v>16183</v>
      </c>
      <c r="AD77" s="53" t="str">
        <f t="shared" si="57"/>
        <v>Link</v>
      </c>
      <c r="AE77" s="42">
        <v>662</v>
      </c>
      <c r="AF77" s="55"/>
      <c r="AG77" s="85"/>
      <c r="AH77" s="56">
        <v>138293</v>
      </c>
      <c r="AI77" s="85"/>
    </row>
    <row r="78" spans="1:41" ht="13" x14ac:dyDescent="0.15">
      <c r="A78" s="7"/>
      <c r="B78" s="31" t="s">
        <v>2866</v>
      </c>
      <c r="C78" s="2" t="s">
        <v>15218</v>
      </c>
      <c r="D78" s="7" t="s">
        <v>16208</v>
      </c>
      <c r="E78" s="37">
        <v>5</v>
      </c>
      <c r="F78" s="48"/>
      <c r="G78" s="48"/>
      <c r="H78" s="2" t="s">
        <v>16174</v>
      </c>
      <c r="I78" s="2" t="s">
        <v>4193</v>
      </c>
      <c r="J78" s="2" t="s">
        <v>6342</v>
      </c>
      <c r="K78" s="2" t="s">
        <v>55</v>
      </c>
      <c r="L78" s="95" t="s">
        <v>16211</v>
      </c>
      <c r="M78" s="6" t="s">
        <v>16198</v>
      </c>
      <c r="N78" s="45" t="str">
        <f t="shared" si="55"/>
        <v>@webbersoftball</v>
      </c>
      <c r="O78" s="114" t="str">
        <f t="shared" si="56"/>
        <v>Questionnaire</v>
      </c>
      <c r="P78" s="48" t="s">
        <v>16183</v>
      </c>
      <c r="Q78" s="60" t="s">
        <v>66</v>
      </c>
      <c r="R78" s="48" t="s">
        <v>16184</v>
      </c>
      <c r="S78" s="60" t="s">
        <v>205</v>
      </c>
      <c r="T78" s="49" t="s">
        <v>63</v>
      </c>
      <c r="U78" s="48" t="s">
        <v>75</v>
      </c>
      <c r="V78" s="49"/>
      <c r="W78" s="65">
        <v>2.83</v>
      </c>
      <c r="X78" s="49" t="s">
        <v>8538</v>
      </c>
      <c r="Y78" s="49" t="s">
        <v>16187</v>
      </c>
      <c r="Z78" s="49" t="s">
        <v>3544</v>
      </c>
      <c r="AA78" s="65">
        <v>0.5</v>
      </c>
      <c r="AB78" s="39">
        <v>40296</v>
      </c>
      <c r="AC78" s="84" t="s">
        <v>16183</v>
      </c>
      <c r="AD78" s="53" t="str">
        <f t="shared" si="57"/>
        <v>Link</v>
      </c>
      <c r="AE78" s="42">
        <v>662</v>
      </c>
      <c r="AF78" s="55"/>
      <c r="AG78" s="85"/>
      <c r="AH78" s="56">
        <v>138293</v>
      </c>
      <c r="AI78" s="85"/>
    </row>
    <row r="79" spans="1:41" ht="13" x14ac:dyDescent="0.15">
      <c r="A79" s="7"/>
      <c r="B79" s="31" t="s">
        <v>1354</v>
      </c>
      <c r="C79" s="2" t="s">
        <v>15218</v>
      </c>
      <c r="D79" s="7" t="s">
        <v>16219</v>
      </c>
      <c r="E79" s="37">
        <v>5</v>
      </c>
      <c r="F79" s="48"/>
      <c r="G79" s="48"/>
      <c r="H79" s="2" t="s">
        <v>16220</v>
      </c>
      <c r="I79" s="2" t="s">
        <v>16221</v>
      </c>
      <c r="J79" s="2" t="s">
        <v>4003</v>
      </c>
      <c r="K79" s="2" t="s">
        <v>48</v>
      </c>
      <c r="L79" s="95" t="s">
        <v>16222</v>
      </c>
      <c r="M79" s="6" t="s">
        <v>16223</v>
      </c>
      <c r="N79" s="48"/>
      <c r="O79" s="114" t="str">
        <f>HYPERLINK("http://www.brenautigers.com/recruiting.php","Questionnaire")</f>
        <v>Questionnaire</v>
      </c>
      <c r="P79" s="60" t="s">
        <v>16229</v>
      </c>
      <c r="Q79" s="60" t="s">
        <v>871</v>
      </c>
      <c r="R79" s="48" t="s">
        <v>11656</v>
      </c>
      <c r="S79" s="48" t="s">
        <v>468</v>
      </c>
      <c r="T79" s="49" t="s">
        <v>63</v>
      </c>
      <c r="U79" s="48" t="s">
        <v>75</v>
      </c>
      <c r="V79" s="49" t="s">
        <v>1006</v>
      </c>
      <c r="W79" s="65">
        <v>3.23</v>
      </c>
      <c r="X79" s="49" t="s">
        <v>2257</v>
      </c>
      <c r="Y79" s="49" t="s">
        <v>448</v>
      </c>
      <c r="Z79" s="49" t="s">
        <v>125</v>
      </c>
      <c r="AA79" s="38">
        <v>0.35639999999999999</v>
      </c>
      <c r="AB79" s="39">
        <v>43470</v>
      </c>
      <c r="AC79" s="90" t="s">
        <v>16229</v>
      </c>
      <c r="AD79" s="53" t="str">
        <f>HYPERLINK("http://catalog.brenau.edu/content.php?catoid=12&amp;navoid=631","Link")</f>
        <v>Link</v>
      </c>
      <c r="AE79" s="42">
        <v>1653</v>
      </c>
      <c r="AF79" s="55"/>
      <c r="AG79" s="85"/>
      <c r="AH79" s="56">
        <v>139199</v>
      </c>
      <c r="AI79" s="85"/>
    </row>
    <row r="80" spans="1:41" ht="15" x14ac:dyDescent="0.2">
      <c r="A80" s="7"/>
      <c r="B80" s="31" t="s">
        <v>1354</v>
      </c>
      <c r="C80" s="2" t="s">
        <v>15218</v>
      </c>
      <c r="D80" s="7"/>
      <c r="E80" s="37">
        <v>5</v>
      </c>
      <c r="F80" s="7"/>
      <c r="G80" s="7"/>
      <c r="H80" s="2" t="s">
        <v>16241</v>
      </c>
      <c r="I80" s="2" t="s">
        <v>1905</v>
      </c>
      <c r="J80" s="2" t="s">
        <v>16242</v>
      </c>
      <c r="K80" s="2" t="s">
        <v>48</v>
      </c>
      <c r="L80" s="2" t="s">
        <v>16244</v>
      </c>
      <c r="M80" s="6"/>
      <c r="N80" s="45" t="str">
        <f t="shared" ref="N80:N81" si="58">HYPERLINK("twitter.com/bpc_softball","@bpc_softball")</f>
        <v>@bpc_softball</v>
      </c>
      <c r="O80" s="114" t="str">
        <f t="shared" ref="O80:O81" si="59">HYPERLINK("http://www.gobaronsgo.com/recruitme","Questionnaire")</f>
        <v>Questionnaire</v>
      </c>
      <c r="P80" s="108" t="s">
        <v>16253</v>
      </c>
      <c r="Q80" s="60" t="s">
        <v>871</v>
      </c>
      <c r="R80" s="48" t="s">
        <v>16254</v>
      </c>
      <c r="S80" s="60" t="s">
        <v>205</v>
      </c>
      <c r="T80" s="49" t="s">
        <v>63</v>
      </c>
      <c r="U80" s="6" t="s">
        <v>2619</v>
      </c>
      <c r="V80" s="49"/>
      <c r="W80" s="65">
        <v>3.04</v>
      </c>
      <c r="X80" s="49" t="s">
        <v>396</v>
      </c>
      <c r="Y80" s="49" t="s">
        <v>253</v>
      </c>
      <c r="Z80" s="49" t="s">
        <v>7983</v>
      </c>
      <c r="AA80" s="65">
        <v>0.95</v>
      </c>
      <c r="AB80" s="39">
        <v>31236</v>
      </c>
      <c r="AC80" s="52" t="s">
        <v>16253</v>
      </c>
      <c r="AD80" s="53" t="str">
        <f t="shared" ref="AD80:AD81" si="60">HYPERLINK("http://www.bpc.edu/academics/programs-of-study","Link")</f>
        <v>Link</v>
      </c>
      <c r="AE80" s="42">
        <v>603</v>
      </c>
      <c r="AF80" s="55"/>
      <c r="AG80" s="85"/>
      <c r="AH80" s="56">
        <v>139205</v>
      </c>
      <c r="AI80" s="85" t="s">
        <v>2459</v>
      </c>
      <c r="AJ80" s="7"/>
      <c r="AK80" s="7"/>
      <c r="AL80" s="7"/>
      <c r="AM80" s="7"/>
      <c r="AN80" s="7"/>
      <c r="AO80" s="7"/>
    </row>
    <row r="81" spans="1:41" ht="15" x14ac:dyDescent="0.2">
      <c r="A81" s="7"/>
      <c r="B81" s="31" t="s">
        <v>1354</v>
      </c>
      <c r="C81" s="2" t="s">
        <v>15218</v>
      </c>
      <c r="D81" s="7"/>
      <c r="E81" s="37">
        <v>5</v>
      </c>
      <c r="F81" s="7"/>
      <c r="G81" s="7"/>
      <c r="H81" s="2" t="s">
        <v>16241</v>
      </c>
      <c r="I81" s="2" t="s">
        <v>16260</v>
      </c>
      <c r="J81" s="2" t="s">
        <v>1906</v>
      </c>
      <c r="K81" s="7" t="s">
        <v>55</v>
      </c>
      <c r="L81" s="74" t="s">
        <v>16263</v>
      </c>
      <c r="M81" s="48" t="s">
        <v>16291</v>
      </c>
      <c r="N81" s="45" t="str">
        <f t="shared" si="58"/>
        <v>@bpc_softball</v>
      </c>
      <c r="O81" s="114" t="str">
        <f t="shared" si="59"/>
        <v>Questionnaire</v>
      </c>
      <c r="P81" s="108" t="s">
        <v>16253</v>
      </c>
      <c r="Q81" s="60" t="s">
        <v>871</v>
      </c>
      <c r="R81" s="48" t="s">
        <v>16254</v>
      </c>
      <c r="S81" s="60" t="s">
        <v>205</v>
      </c>
      <c r="T81" s="49" t="s">
        <v>63</v>
      </c>
      <c r="U81" s="6" t="s">
        <v>2619</v>
      </c>
      <c r="V81" s="49"/>
      <c r="W81" s="65">
        <v>3.04</v>
      </c>
      <c r="X81" s="49" t="s">
        <v>396</v>
      </c>
      <c r="Y81" s="49" t="s">
        <v>253</v>
      </c>
      <c r="Z81" s="49" t="s">
        <v>7983</v>
      </c>
      <c r="AA81" s="65">
        <v>0.95</v>
      </c>
      <c r="AB81" s="39">
        <v>31236</v>
      </c>
      <c r="AC81" s="52" t="s">
        <v>16253</v>
      </c>
      <c r="AD81" s="53" t="str">
        <f t="shared" si="60"/>
        <v>Link</v>
      </c>
      <c r="AE81" s="42">
        <v>603</v>
      </c>
      <c r="AF81" s="55"/>
      <c r="AG81" s="85"/>
      <c r="AH81" s="56">
        <v>139205</v>
      </c>
      <c r="AI81" s="85" t="s">
        <v>2459</v>
      </c>
      <c r="AJ81" s="7"/>
      <c r="AK81" s="7"/>
      <c r="AL81" s="7"/>
      <c r="AM81" s="7"/>
      <c r="AN81" s="7"/>
      <c r="AO81" s="7"/>
    </row>
    <row r="82" spans="1:41" ht="15" x14ac:dyDescent="0.2">
      <c r="A82" s="7"/>
      <c r="B82" s="31" t="s">
        <v>1354</v>
      </c>
      <c r="C82" s="2" t="s">
        <v>15218</v>
      </c>
      <c r="D82" s="7"/>
      <c r="E82" s="37">
        <v>5</v>
      </c>
      <c r="F82" s="7"/>
      <c r="G82" s="7"/>
      <c r="H82" s="2" t="s">
        <v>16298</v>
      </c>
      <c r="I82" s="2" t="s">
        <v>754</v>
      </c>
      <c r="J82" s="2" t="s">
        <v>16300</v>
      </c>
      <c r="K82" s="2" t="s">
        <v>48</v>
      </c>
      <c r="L82" s="2" t="s">
        <v>16303</v>
      </c>
      <c r="M82" s="6" t="s">
        <v>16305</v>
      </c>
      <c r="N82" s="48"/>
      <c r="O82" s="114" t="str">
        <f t="shared" ref="O82:O83" si="61">HYPERLINK("http://www.coastalgeorgiasports.com/recruits","Questionnaire")</f>
        <v>Questionnaire</v>
      </c>
      <c r="P82" s="108" t="s">
        <v>16310</v>
      </c>
      <c r="Q82" s="60" t="s">
        <v>871</v>
      </c>
      <c r="R82" s="48" t="s">
        <v>3761</v>
      </c>
      <c r="S82" s="48" t="s">
        <v>172</v>
      </c>
      <c r="T82" s="49" t="s">
        <v>74</v>
      </c>
      <c r="U82" s="48" t="s">
        <v>75</v>
      </c>
      <c r="V82" s="49"/>
      <c r="W82" s="65">
        <v>2.96</v>
      </c>
      <c r="X82" s="49" t="s">
        <v>2709</v>
      </c>
      <c r="Y82" s="49" t="s">
        <v>1399</v>
      </c>
      <c r="Z82" s="49" t="s">
        <v>1302</v>
      </c>
      <c r="AA82" s="38">
        <v>0.95199999999999996</v>
      </c>
      <c r="AB82" s="48" t="s">
        <v>16313</v>
      </c>
      <c r="AC82" s="52" t="s">
        <v>16310</v>
      </c>
      <c r="AD82" s="53" t="str">
        <f t="shared" ref="AD82:AD83" si="62">HYPERLINK("https://www.ccga.edu/page.cfm?p=1635","Link")</f>
        <v>Link</v>
      </c>
      <c r="AE82" s="42">
        <v>3529</v>
      </c>
      <c r="AF82" s="55"/>
      <c r="AG82" s="85"/>
      <c r="AH82" s="56">
        <v>139250</v>
      </c>
      <c r="AI82" s="85" t="s">
        <v>2459</v>
      </c>
      <c r="AJ82" s="7"/>
      <c r="AK82" s="7"/>
      <c r="AL82" s="7"/>
      <c r="AM82" s="7"/>
      <c r="AN82" s="7"/>
      <c r="AO82" s="7"/>
    </row>
    <row r="83" spans="1:41" ht="15" x14ac:dyDescent="0.2">
      <c r="A83" s="7"/>
      <c r="B83" s="31" t="s">
        <v>1354</v>
      </c>
      <c r="C83" s="2" t="s">
        <v>15218</v>
      </c>
      <c r="D83" s="7"/>
      <c r="E83" s="37">
        <v>5</v>
      </c>
      <c r="F83" s="7"/>
      <c r="G83" s="7"/>
      <c r="H83" s="2" t="s">
        <v>16298</v>
      </c>
      <c r="I83" s="2" t="s">
        <v>1610</v>
      </c>
      <c r="J83" s="2" t="s">
        <v>3832</v>
      </c>
      <c r="K83" s="2" t="s">
        <v>55</v>
      </c>
      <c r="L83" s="95" t="s">
        <v>16317</v>
      </c>
      <c r="M83" s="6" t="s">
        <v>16318</v>
      </c>
      <c r="N83" s="48"/>
      <c r="O83" s="114" t="str">
        <f t="shared" si="61"/>
        <v>Questionnaire</v>
      </c>
      <c r="P83" s="108" t="s">
        <v>16310</v>
      </c>
      <c r="Q83" s="60" t="s">
        <v>871</v>
      </c>
      <c r="R83" s="48" t="s">
        <v>3761</v>
      </c>
      <c r="S83" s="48" t="s">
        <v>172</v>
      </c>
      <c r="T83" s="49" t="s">
        <v>74</v>
      </c>
      <c r="U83" s="48" t="s">
        <v>75</v>
      </c>
      <c r="V83" s="49"/>
      <c r="W83" s="65">
        <v>2.96</v>
      </c>
      <c r="X83" s="49" t="s">
        <v>2709</v>
      </c>
      <c r="Y83" s="49" t="s">
        <v>1399</v>
      </c>
      <c r="Z83" s="49" t="s">
        <v>1302</v>
      </c>
      <c r="AA83" s="38">
        <v>0.95199999999999996</v>
      </c>
      <c r="AB83" s="48" t="s">
        <v>16313</v>
      </c>
      <c r="AC83" s="52" t="s">
        <v>16310</v>
      </c>
      <c r="AD83" s="53" t="str">
        <f t="shared" si="62"/>
        <v>Link</v>
      </c>
      <c r="AE83" s="42">
        <v>3529</v>
      </c>
      <c r="AF83" s="55"/>
      <c r="AG83" s="85"/>
      <c r="AH83" s="56">
        <v>139250</v>
      </c>
      <c r="AI83" s="85" t="s">
        <v>2459</v>
      </c>
      <c r="AJ83" s="7"/>
      <c r="AK83" s="7"/>
      <c r="AL83" s="7"/>
      <c r="AM83" s="7"/>
      <c r="AN83" s="7"/>
      <c r="AO83" s="7"/>
    </row>
    <row r="84" spans="1:41" ht="13" x14ac:dyDescent="0.15">
      <c r="A84" s="7"/>
      <c r="B84" s="31" t="s">
        <v>1354</v>
      </c>
      <c r="C84" s="2" t="s">
        <v>15218</v>
      </c>
      <c r="D84" s="7" t="s">
        <v>16326</v>
      </c>
      <c r="E84" s="37">
        <v>5</v>
      </c>
      <c r="F84" s="48"/>
      <c r="G84" s="48"/>
      <c r="H84" s="2" t="s">
        <v>16327</v>
      </c>
      <c r="I84" s="2" t="s">
        <v>3916</v>
      </c>
      <c r="J84" s="2" t="s">
        <v>16328</v>
      </c>
      <c r="K84" s="2" t="s">
        <v>48</v>
      </c>
      <c r="L84" s="2" t="s">
        <v>16329</v>
      </c>
      <c r="M84" s="6" t="s">
        <v>16330</v>
      </c>
      <c r="N84" s="45" t="str">
        <f t="shared" ref="N84:N86" si="63">HYPERLINK("twitter.com/ggc_softball","@ggc_softball")</f>
        <v>@ggc_softball</v>
      </c>
      <c r="O84" s="114" t="str">
        <f t="shared" ref="O84:O86" si="64">HYPERLINK("https://ggcathletics.com/sb_output.aspx?form=5","Questionnaire")</f>
        <v>Questionnaire</v>
      </c>
      <c r="P84" s="48" t="s">
        <v>16340</v>
      </c>
      <c r="Q84" s="60" t="s">
        <v>871</v>
      </c>
      <c r="R84" s="48" t="s">
        <v>8309</v>
      </c>
      <c r="S84" s="48" t="s">
        <v>468</v>
      </c>
      <c r="T84" s="49" t="s">
        <v>74</v>
      </c>
      <c r="U84" s="48" t="s">
        <v>75</v>
      </c>
      <c r="V84" s="49"/>
      <c r="W84" s="65">
        <v>2.79</v>
      </c>
      <c r="X84" s="49" t="s">
        <v>3428</v>
      </c>
      <c r="Y84" s="49" t="s">
        <v>5268</v>
      </c>
      <c r="Z84" s="49" t="s">
        <v>3952</v>
      </c>
      <c r="AA84" s="65">
        <v>0.89</v>
      </c>
      <c r="AB84" s="48" t="s">
        <v>16341</v>
      </c>
      <c r="AC84" s="84" t="s">
        <v>16340</v>
      </c>
      <c r="AD84" s="53" t="str">
        <f t="shared" ref="AD84:AD86" si="65">HYPERLINK("http://www.ggc.edu/academics/degrees-and-programs/list-view/","Link")</f>
        <v>Link</v>
      </c>
      <c r="AE84" s="42">
        <v>12052</v>
      </c>
      <c r="AF84" s="55"/>
      <c r="AG84" s="85"/>
      <c r="AH84" s="85"/>
      <c r="AI84" s="85"/>
    </row>
    <row r="85" spans="1:41" ht="13" x14ac:dyDescent="0.15">
      <c r="A85" s="7"/>
      <c r="B85" s="31" t="s">
        <v>1354</v>
      </c>
      <c r="C85" s="2" t="s">
        <v>15218</v>
      </c>
      <c r="D85" s="7" t="s">
        <v>16347</v>
      </c>
      <c r="E85" s="37">
        <v>5</v>
      </c>
      <c r="F85" s="48"/>
      <c r="G85" s="48"/>
      <c r="H85" s="2" t="s">
        <v>16327</v>
      </c>
      <c r="I85" s="2" t="s">
        <v>16348</v>
      </c>
      <c r="J85" s="2" t="s">
        <v>16349</v>
      </c>
      <c r="K85" s="2" t="s">
        <v>55</v>
      </c>
      <c r="L85" s="2" t="s">
        <v>16350</v>
      </c>
      <c r="M85" s="6" t="s">
        <v>16351</v>
      </c>
      <c r="N85" s="45" t="str">
        <f t="shared" si="63"/>
        <v>@ggc_softball</v>
      </c>
      <c r="O85" s="114" t="str">
        <f t="shared" si="64"/>
        <v>Questionnaire</v>
      </c>
      <c r="P85" s="48" t="s">
        <v>16340</v>
      </c>
      <c r="Q85" s="60" t="s">
        <v>871</v>
      </c>
      <c r="R85" s="48" t="s">
        <v>8309</v>
      </c>
      <c r="S85" s="48" t="s">
        <v>468</v>
      </c>
      <c r="T85" s="49" t="s">
        <v>74</v>
      </c>
      <c r="U85" s="48" t="s">
        <v>75</v>
      </c>
      <c r="V85" s="49"/>
      <c r="W85" s="65">
        <v>2.79</v>
      </c>
      <c r="X85" s="49" t="s">
        <v>3428</v>
      </c>
      <c r="Y85" s="49" t="s">
        <v>5268</v>
      </c>
      <c r="Z85" s="49" t="s">
        <v>3952</v>
      </c>
      <c r="AA85" s="65">
        <v>0.89</v>
      </c>
      <c r="AB85" s="48" t="s">
        <v>16341</v>
      </c>
      <c r="AC85" s="84" t="s">
        <v>16340</v>
      </c>
      <c r="AD85" s="53" t="str">
        <f t="shared" si="65"/>
        <v>Link</v>
      </c>
      <c r="AE85" s="42">
        <v>12052</v>
      </c>
      <c r="AF85" s="55"/>
      <c r="AG85" s="85"/>
      <c r="AH85" s="85"/>
      <c r="AI85" s="85"/>
    </row>
    <row r="86" spans="1:41" ht="13" x14ac:dyDescent="0.15">
      <c r="A86" s="7"/>
      <c r="B86" s="31" t="s">
        <v>1354</v>
      </c>
      <c r="C86" s="2" t="s">
        <v>15218</v>
      </c>
      <c r="D86" s="7" t="s">
        <v>16354</v>
      </c>
      <c r="E86" s="37">
        <v>5</v>
      </c>
      <c r="F86" s="48"/>
      <c r="G86" s="48"/>
      <c r="H86" s="2" t="s">
        <v>16327</v>
      </c>
      <c r="I86" s="2" t="s">
        <v>658</v>
      </c>
      <c r="J86" s="2" t="s">
        <v>16328</v>
      </c>
      <c r="K86" s="2" t="s">
        <v>55</v>
      </c>
      <c r="L86" s="2" t="s">
        <v>16355</v>
      </c>
      <c r="M86" s="6" t="s">
        <v>16330</v>
      </c>
      <c r="N86" s="45" t="str">
        <f t="shared" si="63"/>
        <v>@ggc_softball</v>
      </c>
      <c r="O86" s="114" t="str">
        <f t="shared" si="64"/>
        <v>Questionnaire</v>
      </c>
      <c r="P86" s="48" t="s">
        <v>16340</v>
      </c>
      <c r="Q86" s="60" t="s">
        <v>871</v>
      </c>
      <c r="R86" s="48" t="s">
        <v>8309</v>
      </c>
      <c r="S86" s="48" t="s">
        <v>468</v>
      </c>
      <c r="T86" s="49" t="s">
        <v>74</v>
      </c>
      <c r="U86" s="48" t="s">
        <v>75</v>
      </c>
      <c r="V86" s="49"/>
      <c r="W86" s="65">
        <v>2.79</v>
      </c>
      <c r="X86" s="49" t="s">
        <v>3428</v>
      </c>
      <c r="Y86" s="49" t="s">
        <v>5268</v>
      </c>
      <c r="Z86" s="49" t="s">
        <v>3952</v>
      </c>
      <c r="AA86" s="65">
        <v>0.89</v>
      </c>
      <c r="AB86" s="48" t="s">
        <v>16341</v>
      </c>
      <c r="AC86" s="84" t="s">
        <v>16340</v>
      </c>
      <c r="AD86" s="53" t="str">
        <f t="shared" si="65"/>
        <v>Link</v>
      </c>
      <c r="AE86" s="42">
        <v>12052</v>
      </c>
      <c r="AF86" s="55"/>
      <c r="AG86" s="85"/>
      <c r="AH86" s="85"/>
      <c r="AI86" s="85"/>
    </row>
    <row r="87" spans="1:41" ht="13" x14ac:dyDescent="0.15">
      <c r="A87" s="7"/>
      <c r="B87" s="31" t="s">
        <v>1354</v>
      </c>
      <c r="C87" s="2" t="s">
        <v>15218</v>
      </c>
      <c r="D87" s="7" t="s">
        <v>16359</v>
      </c>
      <c r="E87" s="37">
        <v>5</v>
      </c>
      <c r="F87" s="48"/>
      <c r="G87" s="48"/>
      <c r="H87" s="2" t="s">
        <v>16360</v>
      </c>
      <c r="I87" s="2" t="s">
        <v>3503</v>
      </c>
      <c r="J87" s="2" t="s">
        <v>10051</v>
      </c>
      <c r="K87" s="2" t="s">
        <v>48</v>
      </c>
      <c r="L87" s="2" t="s">
        <v>16363</v>
      </c>
      <c r="M87" s="6" t="s">
        <v>16364</v>
      </c>
      <c r="N87" s="48"/>
      <c r="O87" s="114" t="str">
        <f t="shared" ref="O87:O88" si="66">HYPERLINK("https://mga.secure.force.com/events/TargetX_Eventsb__formpage?formid=217738","Questionnaire")</f>
        <v>Questionnaire</v>
      </c>
      <c r="P87" s="48" t="s">
        <v>16369</v>
      </c>
      <c r="Q87" s="60" t="s">
        <v>871</v>
      </c>
      <c r="R87" s="48" t="s">
        <v>1684</v>
      </c>
      <c r="S87" s="48" t="s">
        <v>238</v>
      </c>
      <c r="T87" s="49" t="s">
        <v>74</v>
      </c>
      <c r="U87" s="48" t="s">
        <v>75</v>
      </c>
      <c r="V87" s="49" t="s">
        <v>3678</v>
      </c>
      <c r="W87" s="49" t="s">
        <v>214</v>
      </c>
      <c r="X87" s="49" t="s">
        <v>214</v>
      </c>
      <c r="Y87" s="49" t="s">
        <v>214</v>
      </c>
      <c r="Z87" s="49" t="s">
        <v>214</v>
      </c>
      <c r="AA87" s="65">
        <v>0.71</v>
      </c>
      <c r="AB87" s="48" t="s">
        <v>16371</v>
      </c>
      <c r="AC87" s="84" t="s">
        <v>16369</v>
      </c>
      <c r="AD87" s="53" t="str">
        <f t="shared" ref="AD87:AD88" si="67">HYPERLINK("https://www.mga.edu/degrees/index.php","Link")</f>
        <v>Link</v>
      </c>
      <c r="AE87" s="42">
        <v>7642</v>
      </c>
      <c r="AF87" s="55"/>
      <c r="AG87" s="85"/>
      <c r="AH87" s="85"/>
      <c r="AI87" s="85"/>
    </row>
    <row r="88" spans="1:41" ht="13" x14ac:dyDescent="0.15">
      <c r="A88" s="7"/>
      <c r="B88" s="31" t="s">
        <v>1354</v>
      </c>
      <c r="C88" s="2" t="s">
        <v>15218</v>
      </c>
      <c r="D88" s="7" t="s">
        <v>16376</v>
      </c>
      <c r="E88" s="44">
        <v>5</v>
      </c>
      <c r="F88" s="48"/>
      <c r="G88" s="48"/>
      <c r="H88" s="2" t="s">
        <v>16360</v>
      </c>
      <c r="I88" s="7" t="s">
        <v>6633</v>
      </c>
      <c r="J88" s="7" t="s">
        <v>8357</v>
      </c>
      <c r="K88" s="7" t="s">
        <v>55</v>
      </c>
      <c r="L88" s="7" t="s">
        <v>16378</v>
      </c>
      <c r="M88" s="48" t="s">
        <v>16364</v>
      </c>
      <c r="N88" s="48"/>
      <c r="O88" s="114" t="str">
        <f t="shared" si="66"/>
        <v>Questionnaire</v>
      </c>
      <c r="P88" s="48" t="s">
        <v>16369</v>
      </c>
      <c r="Q88" s="60" t="s">
        <v>871</v>
      </c>
      <c r="R88" s="48" t="s">
        <v>1684</v>
      </c>
      <c r="S88" s="48" t="s">
        <v>238</v>
      </c>
      <c r="T88" s="49" t="s">
        <v>74</v>
      </c>
      <c r="U88" s="48" t="s">
        <v>75</v>
      </c>
      <c r="V88" s="49" t="s">
        <v>3678</v>
      </c>
      <c r="W88" s="49" t="s">
        <v>214</v>
      </c>
      <c r="X88" s="49" t="s">
        <v>214</v>
      </c>
      <c r="Y88" s="49" t="s">
        <v>214</v>
      </c>
      <c r="Z88" s="49" t="s">
        <v>214</v>
      </c>
      <c r="AA88" s="65">
        <v>0.71</v>
      </c>
      <c r="AB88" s="48" t="s">
        <v>16371</v>
      </c>
      <c r="AC88" s="84" t="s">
        <v>16369</v>
      </c>
      <c r="AD88" s="53" t="str">
        <f t="shared" si="67"/>
        <v>Link</v>
      </c>
      <c r="AE88" s="42">
        <v>7642</v>
      </c>
      <c r="AF88" s="55"/>
      <c r="AG88" s="55"/>
      <c r="AH88" s="85"/>
      <c r="AI88" s="157"/>
    </row>
    <row r="89" spans="1:41" ht="13" x14ac:dyDescent="0.15">
      <c r="A89" s="7"/>
      <c r="B89" s="31" t="s">
        <v>1354</v>
      </c>
      <c r="C89" s="2" t="s">
        <v>15218</v>
      </c>
      <c r="D89" s="7"/>
      <c r="E89" s="37">
        <v>5</v>
      </c>
      <c r="F89" s="7"/>
      <c r="G89" s="7"/>
      <c r="H89" s="2" t="s">
        <v>16393</v>
      </c>
      <c r="I89" s="2" t="s">
        <v>1080</v>
      </c>
      <c r="J89" s="2" t="s">
        <v>16394</v>
      </c>
      <c r="K89" s="2" t="s">
        <v>48</v>
      </c>
      <c r="L89" s="2" t="s">
        <v>16396</v>
      </c>
      <c r="M89" s="6" t="s">
        <v>16397</v>
      </c>
      <c r="N89" s="48"/>
      <c r="O89" s="114" t="str">
        <f t="shared" ref="O89:O90" si="68">HYPERLINK("http://www.pointskyhawks.com/recruit-me","Questionnaire")</f>
        <v>Questionnaire</v>
      </c>
      <c r="P89" s="60" t="s">
        <v>16399</v>
      </c>
      <c r="Q89" s="60" t="s">
        <v>871</v>
      </c>
      <c r="R89" s="48" t="s">
        <v>11205</v>
      </c>
      <c r="S89" s="60" t="s">
        <v>205</v>
      </c>
      <c r="T89" s="49" t="s">
        <v>63</v>
      </c>
      <c r="U89" s="6" t="s">
        <v>686</v>
      </c>
      <c r="V89" s="49"/>
      <c r="W89" s="65">
        <v>3.22</v>
      </c>
      <c r="X89" s="49" t="s">
        <v>6814</v>
      </c>
      <c r="Y89" s="49" t="s">
        <v>3428</v>
      </c>
      <c r="Z89" s="49" t="s">
        <v>1948</v>
      </c>
      <c r="AA89" s="65">
        <v>0.51</v>
      </c>
      <c r="AB89" s="39">
        <v>30400</v>
      </c>
      <c r="AC89" s="90" t="s">
        <v>16399</v>
      </c>
      <c r="AD89" s="53" t="str">
        <f t="shared" ref="AD89:AD90" si="69">HYPERLINK("https://point.edu/academics/","Link")</f>
        <v>Link</v>
      </c>
      <c r="AE89" s="42">
        <v>1954</v>
      </c>
      <c r="AF89" s="55"/>
      <c r="AG89" s="85"/>
      <c r="AH89" s="85"/>
      <c r="AI89" s="85" t="s">
        <v>2459</v>
      </c>
      <c r="AJ89" s="7"/>
      <c r="AK89" s="7"/>
      <c r="AL89" s="7"/>
      <c r="AM89" s="7"/>
      <c r="AN89" s="7"/>
      <c r="AO89" s="7"/>
    </row>
    <row r="90" spans="1:41" ht="13" x14ac:dyDescent="0.15">
      <c r="A90" s="7"/>
      <c r="B90" s="31" t="s">
        <v>1354</v>
      </c>
      <c r="C90" s="2" t="s">
        <v>15218</v>
      </c>
      <c r="D90" s="7"/>
      <c r="E90" s="37">
        <v>5</v>
      </c>
      <c r="F90" s="7"/>
      <c r="G90" s="7"/>
      <c r="H90" s="2" t="s">
        <v>16393</v>
      </c>
      <c r="I90" s="2" t="s">
        <v>539</v>
      </c>
      <c r="J90" s="2" t="s">
        <v>757</v>
      </c>
      <c r="K90" s="2" t="s">
        <v>55</v>
      </c>
      <c r="L90" s="2" t="s">
        <v>16403</v>
      </c>
      <c r="M90" s="6" t="s">
        <v>16404</v>
      </c>
      <c r="N90" s="48"/>
      <c r="O90" s="114" t="str">
        <f t="shared" si="68"/>
        <v>Questionnaire</v>
      </c>
      <c r="P90" s="60" t="s">
        <v>16399</v>
      </c>
      <c r="Q90" s="60" t="s">
        <v>871</v>
      </c>
      <c r="R90" s="48" t="s">
        <v>11205</v>
      </c>
      <c r="S90" s="60" t="s">
        <v>205</v>
      </c>
      <c r="T90" s="49" t="s">
        <v>63</v>
      </c>
      <c r="U90" s="6" t="s">
        <v>686</v>
      </c>
      <c r="V90" s="49"/>
      <c r="W90" s="65">
        <v>3.22</v>
      </c>
      <c r="X90" s="49" t="s">
        <v>6814</v>
      </c>
      <c r="Y90" s="49" t="s">
        <v>3428</v>
      </c>
      <c r="Z90" s="49" t="s">
        <v>1948</v>
      </c>
      <c r="AA90" s="65">
        <v>0.51</v>
      </c>
      <c r="AB90" s="39">
        <v>30400</v>
      </c>
      <c r="AC90" s="90" t="s">
        <v>16399</v>
      </c>
      <c r="AD90" s="53" t="str">
        <f t="shared" si="69"/>
        <v>Link</v>
      </c>
      <c r="AE90" s="42">
        <v>1954</v>
      </c>
      <c r="AF90" s="55"/>
      <c r="AG90" s="85"/>
      <c r="AH90" s="85"/>
      <c r="AI90" s="85" t="s">
        <v>2459</v>
      </c>
      <c r="AJ90" s="7"/>
      <c r="AK90" s="7"/>
      <c r="AL90" s="7"/>
      <c r="AM90" s="7"/>
      <c r="AN90" s="7"/>
      <c r="AO90" s="7"/>
    </row>
    <row r="91" spans="1:41" ht="13" x14ac:dyDescent="0.15">
      <c r="A91" s="7"/>
      <c r="B91" s="31" t="s">
        <v>1354</v>
      </c>
      <c r="C91" s="2" t="s">
        <v>15218</v>
      </c>
      <c r="D91" s="7" t="s">
        <v>16411</v>
      </c>
      <c r="E91" s="37">
        <v>5</v>
      </c>
      <c r="F91" s="48"/>
      <c r="G91" s="48"/>
      <c r="H91" s="2" t="s">
        <v>16412</v>
      </c>
      <c r="I91" s="2" t="s">
        <v>16413</v>
      </c>
      <c r="J91" s="2" t="s">
        <v>16414</v>
      </c>
      <c r="K91" s="2" t="s">
        <v>48</v>
      </c>
      <c r="L91" s="2" t="s">
        <v>16415</v>
      </c>
      <c r="M91" s="6" t="s">
        <v>16416</v>
      </c>
      <c r="N91" s="45" t="str">
        <f t="shared" ref="N91:N93" si="70">HYPERLINK("twitter.com/reinhardtsoftb1","@reinhardtsoftb1")</f>
        <v>@reinhardtsoftb1</v>
      </c>
      <c r="O91" s="48" t="s">
        <v>22</v>
      </c>
      <c r="P91" s="48" t="s">
        <v>16422</v>
      </c>
      <c r="Q91" s="60" t="s">
        <v>871</v>
      </c>
      <c r="R91" s="48" t="s">
        <v>16423</v>
      </c>
      <c r="S91" s="60" t="s">
        <v>205</v>
      </c>
      <c r="T91" s="49" t="s">
        <v>63</v>
      </c>
      <c r="U91" s="6" t="s">
        <v>65</v>
      </c>
      <c r="V91" s="49"/>
      <c r="W91" s="65">
        <v>3.11</v>
      </c>
      <c r="X91" s="49" t="s">
        <v>1338</v>
      </c>
      <c r="Y91" s="49" t="s">
        <v>1453</v>
      </c>
      <c r="Z91" s="49" t="s">
        <v>449</v>
      </c>
      <c r="AA91" s="65">
        <v>0.87</v>
      </c>
      <c r="AB91" s="39">
        <v>36652</v>
      </c>
      <c r="AC91" s="84" t="s">
        <v>16422</v>
      </c>
      <c r="AD91" s="53" t="str">
        <f t="shared" ref="AD91:AD93" si="71">HYPERLINK("https://www.reinhardt.edu/Future-Students/Majors/","Link")</f>
        <v>Link</v>
      </c>
      <c r="AE91" s="42">
        <v>1374</v>
      </c>
      <c r="AF91" s="55"/>
      <c r="AG91" s="85"/>
      <c r="AH91" s="56">
        <v>140872</v>
      </c>
      <c r="AI91" s="85"/>
      <c r="AJ91" s="137"/>
      <c r="AK91" s="137"/>
    </row>
    <row r="92" spans="1:41" ht="13" x14ac:dyDescent="0.15">
      <c r="A92" s="7"/>
      <c r="B92" s="31" t="s">
        <v>1354</v>
      </c>
      <c r="C92" s="2" t="s">
        <v>15218</v>
      </c>
      <c r="D92" s="7" t="s">
        <v>16430</v>
      </c>
      <c r="E92" s="37">
        <v>5</v>
      </c>
      <c r="F92" s="48"/>
      <c r="G92" s="48"/>
      <c r="H92" s="2" t="s">
        <v>16412</v>
      </c>
      <c r="I92" s="2" t="s">
        <v>4010</v>
      </c>
      <c r="J92" s="2" t="s">
        <v>8951</v>
      </c>
      <c r="K92" s="2" t="s">
        <v>55</v>
      </c>
      <c r="L92" s="2" t="s">
        <v>16431</v>
      </c>
      <c r="M92" s="6" t="s">
        <v>16432</v>
      </c>
      <c r="N92" s="45" t="str">
        <f t="shared" si="70"/>
        <v>@reinhardtsoftb1</v>
      </c>
      <c r="O92" s="48" t="s">
        <v>22</v>
      </c>
      <c r="P92" s="48" t="s">
        <v>16422</v>
      </c>
      <c r="Q92" s="60" t="s">
        <v>871</v>
      </c>
      <c r="R92" s="48" t="s">
        <v>16423</v>
      </c>
      <c r="S92" s="60" t="s">
        <v>205</v>
      </c>
      <c r="T92" s="49" t="s">
        <v>63</v>
      </c>
      <c r="U92" s="6" t="s">
        <v>65</v>
      </c>
      <c r="V92" s="49"/>
      <c r="W92" s="65">
        <v>3.11</v>
      </c>
      <c r="X92" s="49" t="s">
        <v>1338</v>
      </c>
      <c r="Y92" s="49" t="s">
        <v>1453</v>
      </c>
      <c r="Z92" s="49" t="s">
        <v>449</v>
      </c>
      <c r="AA92" s="65">
        <v>0.87</v>
      </c>
      <c r="AB92" s="39">
        <v>36652</v>
      </c>
      <c r="AC92" s="84" t="s">
        <v>16422</v>
      </c>
      <c r="AD92" s="53" t="str">
        <f t="shared" si="71"/>
        <v>Link</v>
      </c>
      <c r="AE92" s="42">
        <v>1374</v>
      </c>
      <c r="AF92" s="55"/>
      <c r="AG92" s="85"/>
      <c r="AH92" s="56">
        <v>140872</v>
      </c>
      <c r="AI92" s="85"/>
    </row>
    <row r="93" spans="1:41" ht="13" x14ac:dyDescent="0.15">
      <c r="A93" s="7"/>
      <c r="B93" s="31" t="s">
        <v>1354</v>
      </c>
      <c r="C93" s="2" t="s">
        <v>15218</v>
      </c>
      <c r="D93" s="7" t="s">
        <v>16435</v>
      </c>
      <c r="E93" s="37">
        <v>5</v>
      </c>
      <c r="F93" s="48"/>
      <c r="G93" s="48"/>
      <c r="H93" s="2" t="s">
        <v>16412</v>
      </c>
      <c r="I93" s="2" t="s">
        <v>16436</v>
      </c>
      <c r="J93" s="2" t="s">
        <v>5365</v>
      </c>
      <c r="K93" s="2" t="s">
        <v>55</v>
      </c>
      <c r="L93" s="2"/>
      <c r="M93" s="6"/>
      <c r="N93" s="45" t="str">
        <f t="shared" si="70"/>
        <v>@reinhardtsoftb1</v>
      </c>
      <c r="O93" s="48" t="s">
        <v>22</v>
      </c>
      <c r="P93" s="48" t="s">
        <v>16422</v>
      </c>
      <c r="Q93" s="60" t="s">
        <v>871</v>
      </c>
      <c r="R93" s="48" t="s">
        <v>16423</v>
      </c>
      <c r="S93" s="60" t="s">
        <v>205</v>
      </c>
      <c r="T93" s="49" t="s">
        <v>63</v>
      </c>
      <c r="U93" s="6" t="s">
        <v>65</v>
      </c>
      <c r="V93" s="49"/>
      <c r="W93" s="65">
        <v>3.11</v>
      </c>
      <c r="X93" s="49" t="s">
        <v>1338</v>
      </c>
      <c r="Y93" s="49" t="s">
        <v>1453</v>
      </c>
      <c r="Z93" s="49" t="s">
        <v>449</v>
      </c>
      <c r="AA93" s="65">
        <v>0.87</v>
      </c>
      <c r="AB93" s="39">
        <v>36652</v>
      </c>
      <c r="AC93" s="84" t="s">
        <v>16422</v>
      </c>
      <c r="AD93" s="53" t="str">
        <f t="shared" si="71"/>
        <v>Link</v>
      </c>
      <c r="AE93" s="42">
        <v>1374</v>
      </c>
      <c r="AF93" s="55"/>
      <c r="AG93" s="7"/>
      <c r="AH93" s="56">
        <v>140872</v>
      </c>
      <c r="AI93" s="7"/>
    </row>
    <row r="94" spans="1:41" ht="13" x14ac:dyDescent="0.15">
      <c r="A94" s="7"/>
      <c r="B94" s="31" t="s">
        <v>1354</v>
      </c>
      <c r="C94" s="2" t="s">
        <v>15218</v>
      </c>
      <c r="D94" s="7" t="s">
        <v>16441</v>
      </c>
      <c r="E94" s="37">
        <v>5</v>
      </c>
      <c r="F94" s="48"/>
      <c r="G94" s="48"/>
      <c r="H94" s="2" t="s">
        <v>16443</v>
      </c>
      <c r="I94" s="2" t="s">
        <v>2806</v>
      </c>
      <c r="J94" s="2" t="s">
        <v>805</v>
      </c>
      <c r="K94" s="2" t="s">
        <v>48</v>
      </c>
      <c r="L94" s="2" t="s">
        <v>16444</v>
      </c>
      <c r="M94" s="6" t="s">
        <v>16445</v>
      </c>
      <c r="N94" s="45" t="str">
        <f t="shared" ref="N94:N97" si="72">HYPERLINK("twitter.com/nighthawkssoftb","@nighthawkssoftb")</f>
        <v>@nighthawkssoftb</v>
      </c>
      <c r="O94" s="114" t="str">
        <f t="shared" ref="O94:O97" si="73">HYPERLINK("https://tunighthawks.com/sb_output.aspx?form=7&amp;path=softball","Questionnaire")</f>
        <v>Questionnaire</v>
      </c>
      <c r="P94" s="60" t="s">
        <v>16451</v>
      </c>
      <c r="Q94" s="60" t="s">
        <v>871</v>
      </c>
      <c r="R94" s="48" t="s">
        <v>16452</v>
      </c>
      <c r="S94" s="48" t="s">
        <v>172</v>
      </c>
      <c r="T94" s="49" t="s">
        <v>63</v>
      </c>
      <c r="U94" s="48" t="s">
        <v>75</v>
      </c>
      <c r="V94" s="49"/>
      <c r="W94" s="49" t="s">
        <v>524</v>
      </c>
      <c r="X94" s="49" t="s">
        <v>214</v>
      </c>
      <c r="Y94" s="49" t="s">
        <v>214</v>
      </c>
      <c r="Z94" s="49" t="s">
        <v>214</v>
      </c>
      <c r="AA94" s="65">
        <v>0.47</v>
      </c>
      <c r="AB94" s="39">
        <v>32180</v>
      </c>
      <c r="AC94" s="90" t="s">
        <v>16451</v>
      </c>
      <c r="AD94" s="53" t="str">
        <f t="shared" ref="AD94:AD97" si="74">HYPERLINK("https://www.thomasu.edu/Content/Default/4/255/51/academics/degree-programs-and-offerings/undergraduate-programs.html","Link")</f>
        <v>Link</v>
      </c>
      <c r="AE94" s="42">
        <v>769</v>
      </c>
      <c r="AF94" s="55"/>
      <c r="AG94" s="7"/>
      <c r="AH94" s="56">
        <v>141167</v>
      </c>
      <c r="AI94" s="7"/>
    </row>
    <row r="95" spans="1:41" ht="13" x14ac:dyDescent="0.15">
      <c r="A95" s="7"/>
      <c r="B95" s="31" t="s">
        <v>1354</v>
      </c>
      <c r="C95" s="2" t="s">
        <v>15218</v>
      </c>
      <c r="D95" s="7" t="s">
        <v>16458</v>
      </c>
      <c r="E95" s="37">
        <v>5</v>
      </c>
      <c r="F95" s="48"/>
      <c r="G95" s="48"/>
      <c r="H95" s="2" t="s">
        <v>16443</v>
      </c>
      <c r="I95" s="2" t="s">
        <v>201</v>
      </c>
      <c r="J95" s="2" t="s">
        <v>7709</v>
      </c>
      <c r="K95" s="2" t="s">
        <v>55</v>
      </c>
      <c r="L95" s="2" t="s">
        <v>16459</v>
      </c>
      <c r="M95" s="6" t="s">
        <v>16460</v>
      </c>
      <c r="N95" s="45" t="str">
        <f t="shared" si="72"/>
        <v>@nighthawkssoftb</v>
      </c>
      <c r="O95" s="114" t="str">
        <f t="shared" si="73"/>
        <v>Questionnaire</v>
      </c>
      <c r="P95" s="60" t="s">
        <v>16451</v>
      </c>
      <c r="Q95" s="60" t="s">
        <v>871</v>
      </c>
      <c r="R95" s="48" t="s">
        <v>16452</v>
      </c>
      <c r="S95" s="48" t="s">
        <v>172</v>
      </c>
      <c r="T95" s="49" t="s">
        <v>63</v>
      </c>
      <c r="U95" s="48" t="s">
        <v>75</v>
      </c>
      <c r="V95" s="49"/>
      <c r="W95" s="49" t="s">
        <v>524</v>
      </c>
      <c r="X95" s="49" t="s">
        <v>214</v>
      </c>
      <c r="Y95" s="49" t="s">
        <v>214</v>
      </c>
      <c r="Z95" s="49" t="s">
        <v>214</v>
      </c>
      <c r="AA95" s="65">
        <v>0.47</v>
      </c>
      <c r="AB95" s="39">
        <v>32180</v>
      </c>
      <c r="AC95" s="90" t="s">
        <v>16451</v>
      </c>
      <c r="AD95" s="53" t="str">
        <f t="shared" si="74"/>
        <v>Link</v>
      </c>
      <c r="AE95" s="42">
        <v>769</v>
      </c>
      <c r="AF95" s="55"/>
      <c r="AG95" s="7"/>
      <c r="AH95" s="56">
        <v>141167</v>
      </c>
      <c r="AI95" s="7"/>
    </row>
    <row r="96" spans="1:41" ht="13" x14ac:dyDescent="0.15">
      <c r="A96" s="7"/>
      <c r="B96" s="31" t="s">
        <v>1354</v>
      </c>
      <c r="C96" s="2" t="s">
        <v>15218</v>
      </c>
      <c r="D96" s="7" t="s">
        <v>16476</v>
      </c>
      <c r="E96" s="37">
        <v>5</v>
      </c>
      <c r="F96" s="48"/>
      <c r="G96" s="48"/>
      <c r="H96" s="2" t="s">
        <v>16443</v>
      </c>
      <c r="I96" s="2" t="s">
        <v>16478</v>
      </c>
      <c r="J96" s="2" t="s">
        <v>16479</v>
      </c>
      <c r="K96" s="2" t="s">
        <v>55</v>
      </c>
      <c r="L96" s="2"/>
      <c r="M96" s="6"/>
      <c r="N96" s="45" t="str">
        <f t="shared" si="72"/>
        <v>@nighthawkssoftb</v>
      </c>
      <c r="O96" s="114" t="str">
        <f t="shared" si="73"/>
        <v>Questionnaire</v>
      </c>
      <c r="P96" s="60" t="s">
        <v>16451</v>
      </c>
      <c r="Q96" s="60" t="s">
        <v>871</v>
      </c>
      <c r="R96" s="48" t="s">
        <v>16452</v>
      </c>
      <c r="S96" s="48" t="s">
        <v>172</v>
      </c>
      <c r="T96" s="49" t="s">
        <v>63</v>
      </c>
      <c r="U96" s="48" t="s">
        <v>75</v>
      </c>
      <c r="V96" s="49"/>
      <c r="W96" s="49" t="s">
        <v>524</v>
      </c>
      <c r="X96" s="49" t="s">
        <v>214</v>
      </c>
      <c r="Y96" s="49" t="s">
        <v>214</v>
      </c>
      <c r="Z96" s="49" t="s">
        <v>214</v>
      </c>
      <c r="AA96" s="65">
        <v>0.47</v>
      </c>
      <c r="AB96" s="39">
        <v>32180</v>
      </c>
      <c r="AC96" s="90" t="s">
        <v>16451</v>
      </c>
      <c r="AD96" s="53" t="str">
        <f t="shared" si="74"/>
        <v>Link</v>
      </c>
      <c r="AE96" s="42">
        <v>769</v>
      </c>
      <c r="AF96" s="55"/>
      <c r="AG96" s="7"/>
      <c r="AH96" s="56">
        <v>141167</v>
      </c>
      <c r="AI96" s="7"/>
    </row>
    <row r="97" spans="1:41" ht="13" x14ac:dyDescent="0.15">
      <c r="A97" s="7"/>
      <c r="B97" s="31" t="s">
        <v>1354</v>
      </c>
      <c r="C97" s="2" t="s">
        <v>15218</v>
      </c>
      <c r="D97" s="7" t="s">
        <v>16482</v>
      </c>
      <c r="E97" s="37">
        <v>5</v>
      </c>
      <c r="F97" s="48"/>
      <c r="G97" s="48"/>
      <c r="H97" s="2" t="s">
        <v>16443</v>
      </c>
      <c r="I97" s="2" t="s">
        <v>8821</v>
      </c>
      <c r="J97" s="2" t="s">
        <v>7709</v>
      </c>
      <c r="K97" s="2" t="s">
        <v>55</v>
      </c>
      <c r="L97" s="2" t="s">
        <v>16486</v>
      </c>
      <c r="M97" s="6" t="s">
        <v>16460</v>
      </c>
      <c r="N97" s="45" t="str">
        <f t="shared" si="72"/>
        <v>@nighthawkssoftb</v>
      </c>
      <c r="O97" s="114" t="str">
        <f t="shared" si="73"/>
        <v>Questionnaire</v>
      </c>
      <c r="P97" s="60" t="s">
        <v>16451</v>
      </c>
      <c r="Q97" s="60" t="s">
        <v>871</v>
      </c>
      <c r="R97" s="48" t="s">
        <v>16452</v>
      </c>
      <c r="S97" s="48" t="s">
        <v>172</v>
      </c>
      <c r="T97" s="49" t="s">
        <v>63</v>
      </c>
      <c r="U97" s="48" t="s">
        <v>75</v>
      </c>
      <c r="V97" s="49"/>
      <c r="W97" s="49" t="s">
        <v>524</v>
      </c>
      <c r="X97" s="49" t="s">
        <v>214</v>
      </c>
      <c r="Y97" s="49" t="s">
        <v>214</v>
      </c>
      <c r="Z97" s="49" t="s">
        <v>214</v>
      </c>
      <c r="AA97" s="65">
        <v>0.47</v>
      </c>
      <c r="AB97" s="39">
        <v>32180</v>
      </c>
      <c r="AC97" s="90" t="s">
        <v>16451</v>
      </c>
      <c r="AD97" s="53" t="str">
        <f t="shared" si="74"/>
        <v>Link</v>
      </c>
      <c r="AE97" s="42">
        <v>769</v>
      </c>
      <c r="AF97" s="55"/>
      <c r="AG97" s="7"/>
      <c r="AH97" s="56">
        <v>141167</v>
      </c>
      <c r="AI97" s="7"/>
    </row>
    <row r="98" spans="1:41" ht="15" x14ac:dyDescent="0.2">
      <c r="A98" s="7"/>
      <c r="B98" s="31" t="s">
        <v>1354</v>
      </c>
      <c r="C98" s="2" t="s">
        <v>15218</v>
      </c>
      <c r="D98" s="7" t="s">
        <v>16489</v>
      </c>
      <c r="E98" s="37">
        <v>5</v>
      </c>
      <c r="F98" s="48"/>
      <c r="G98" s="48"/>
      <c r="H98" s="2" t="s">
        <v>16490</v>
      </c>
      <c r="I98" s="2" t="s">
        <v>16491</v>
      </c>
      <c r="J98" s="2" t="s">
        <v>16492</v>
      </c>
      <c r="K98" s="2" t="s">
        <v>48</v>
      </c>
      <c r="L98" s="2" t="s">
        <v>16494</v>
      </c>
      <c r="M98" s="6" t="s">
        <v>16495</v>
      </c>
      <c r="N98" s="45" t="str">
        <f t="shared" ref="N98:N99" si="75">HYPERLINK("twitter.com/tmusoftball","@tmusoftball")</f>
        <v>@tmusoftball</v>
      </c>
      <c r="O98" s="114" t="str">
        <f t="shared" ref="O98:O99" si="76">HYPERLINK("https://tmbears.com/sb_output.aspx?form=3","Questionnaire")</f>
        <v>Questionnaire</v>
      </c>
      <c r="P98" s="108" t="s">
        <v>16502</v>
      </c>
      <c r="Q98" s="60" t="s">
        <v>871</v>
      </c>
      <c r="R98" s="48" t="s">
        <v>6150</v>
      </c>
      <c r="S98" s="60" t="s">
        <v>205</v>
      </c>
      <c r="T98" s="49" t="s">
        <v>63</v>
      </c>
      <c r="U98" s="6" t="s">
        <v>800</v>
      </c>
      <c r="V98" s="49"/>
      <c r="W98" s="65">
        <v>3.36</v>
      </c>
      <c r="X98" s="49" t="s">
        <v>253</v>
      </c>
      <c r="Y98" s="49" t="s">
        <v>16506</v>
      </c>
      <c r="Z98" s="49" t="s">
        <v>2307</v>
      </c>
      <c r="AA98" s="65">
        <v>0.91</v>
      </c>
      <c r="AB98" s="39">
        <v>30830</v>
      </c>
      <c r="AC98" s="52" t="s">
        <v>16502</v>
      </c>
      <c r="AD98" s="53" t="str">
        <f t="shared" ref="AD98:AD99" si="77">HYPERLINK("https://truett.edu/degrees/","Link")</f>
        <v>Link</v>
      </c>
      <c r="AE98" s="42">
        <v>2152</v>
      </c>
      <c r="AF98" s="55"/>
      <c r="AG98" s="85"/>
      <c r="AH98" s="56">
        <v>141237</v>
      </c>
      <c r="AI98" s="85"/>
    </row>
    <row r="99" spans="1:41" ht="15" x14ac:dyDescent="0.2">
      <c r="A99" s="7"/>
      <c r="B99" s="31" t="s">
        <v>1354</v>
      </c>
      <c r="C99" s="2" t="s">
        <v>15218</v>
      </c>
      <c r="D99" s="7" t="s">
        <v>16509</v>
      </c>
      <c r="E99" s="37">
        <v>5</v>
      </c>
      <c r="F99" s="48"/>
      <c r="G99" s="48"/>
      <c r="H99" s="2" t="s">
        <v>16490</v>
      </c>
      <c r="I99" s="2" t="s">
        <v>16510</v>
      </c>
      <c r="J99" s="2" t="s">
        <v>16511</v>
      </c>
      <c r="K99" s="2" t="s">
        <v>55</v>
      </c>
      <c r="L99" s="2" t="s">
        <v>16512</v>
      </c>
      <c r="M99" s="6"/>
      <c r="N99" s="45" t="str">
        <f t="shared" si="75"/>
        <v>@tmusoftball</v>
      </c>
      <c r="O99" s="114" t="str">
        <f t="shared" si="76"/>
        <v>Questionnaire</v>
      </c>
      <c r="P99" s="108" t="s">
        <v>16502</v>
      </c>
      <c r="Q99" s="60" t="s">
        <v>871</v>
      </c>
      <c r="R99" s="48" t="s">
        <v>6150</v>
      </c>
      <c r="S99" s="60" t="s">
        <v>205</v>
      </c>
      <c r="T99" s="49" t="s">
        <v>63</v>
      </c>
      <c r="U99" s="6" t="s">
        <v>800</v>
      </c>
      <c r="V99" s="49"/>
      <c r="W99" s="65">
        <v>3.36</v>
      </c>
      <c r="X99" s="49" t="s">
        <v>253</v>
      </c>
      <c r="Y99" s="49" t="s">
        <v>16506</v>
      </c>
      <c r="Z99" s="49" t="s">
        <v>2307</v>
      </c>
      <c r="AA99" s="65">
        <v>0.91</v>
      </c>
      <c r="AB99" s="39">
        <v>30830</v>
      </c>
      <c r="AC99" s="52" t="s">
        <v>16502</v>
      </c>
      <c r="AD99" s="53" t="str">
        <f t="shared" si="77"/>
        <v>Link</v>
      </c>
      <c r="AE99" s="42">
        <v>2152</v>
      </c>
      <c r="AF99" s="55"/>
      <c r="AG99" s="85"/>
      <c r="AH99" s="56">
        <v>141237</v>
      </c>
      <c r="AI99" s="85"/>
    </row>
    <row r="100" spans="1:41" ht="15" x14ac:dyDescent="0.2">
      <c r="A100" s="7"/>
      <c r="B100" s="31" t="s">
        <v>4302</v>
      </c>
      <c r="C100" s="2" t="s">
        <v>15218</v>
      </c>
      <c r="D100" s="7" t="s">
        <v>16518</v>
      </c>
      <c r="E100" s="37">
        <v>5</v>
      </c>
      <c r="F100" s="48"/>
      <c r="G100" s="48"/>
      <c r="H100" s="2" t="s">
        <v>16519</v>
      </c>
      <c r="I100" s="2" t="s">
        <v>4036</v>
      </c>
      <c r="J100" s="2" t="s">
        <v>16520</v>
      </c>
      <c r="K100" s="2" t="s">
        <v>48</v>
      </c>
      <c r="L100" s="2" t="s">
        <v>16522</v>
      </c>
      <c r="M100" s="6" t="s">
        <v>16523</v>
      </c>
      <c r="N100" s="45" t="str">
        <f>HYPERLINK("twitter.com/MendiolaAl","@MendiolaAl")</f>
        <v>@MendiolaAl</v>
      </c>
      <c r="O100" s="114" t="str">
        <f t="shared" ref="O100:O102" si="78">HYPERLINK("https://www.collegeofidaho.edu/admission-aid/apply/prospective-athletes","Questionnaire")</f>
        <v>Questionnaire</v>
      </c>
      <c r="P100" s="108" t="s">
        <v>16530</v>
      </c>
      <c r="Q100" s="60" t="s">
        <v>3457</v>
      </c>
      <c r="R100" s="48" t="s">
        <v>7053</v>
      </c>
      <c r="S100" s="48" t="s">
        <v>186</v>
      </c>
      <c r="T100" s="49" t="s">
        <v>63</v>
      </c>
      <c r="U100" s="48" t="s">
        <v>75</v>
      </c>
      <c r="V100" s="49"/>
      <c r="W100" s="65">
        <v>3.59</v>
      </c>
      <c r="X100" s="49" t="s">
        <v>720</v>
      </c>
      <c r="Y100" s="49" t="s">
        <v>276</v>
      </c>
      <c r="Z100" s="49" t="s">
        <v>545</v>
      </c>
      <c r="AA100" s="65">
        <v>0.85</v>
      </c>
      <c r="AB100" s="39">
        <v>39507</v>
      </c>
      <c r="AC100" s="52" t="s">
        <v>16530</v>
      </c>
      <c r="AD100" s="53" t="str">
        <f t="shared" ref="AD100:AD102" si="79">HYPERLINK("https://www.collegeofidaho.edu/academics/peak","Link")</f>
        <v>Link</v>
      </c>
      <c r="AE100" s="42">
        <v>953</v>
      </c>
      <c r="AF100" s="55"/>
      <c r="AG100" s="85"/>
      <c r="AH100" s="56">
        <v>142294</v>
      </c>
      <c r="AI100" s="85"/>
    </row>
    <row r="101" spans="1:41" ht="15" x14ac:dyDescent="0.2">
      <c r="A101" s="7"/>
      <c r="B101" s="31" t="s">
        <v>4302</v>
      </c>
      <c r="C101" s="2" t="s">
        <v>15218</v>
      </c>
      <c r="D101" s="7" t="s">
        <v>16540</v>
      </c>
      <c r="E101" s="37">
        <v>5</v>
      </c>
      <c r="F101" s="48"/>
      <c r="G101" s="48"/>
      <c r="H101" s="2" t="s">
        <v>16519</v>
      </c>
      <c r="I101" s="2" t="s">
        <v>7478</v>
      </c>
      <c r="J101" s="2" t="s">
        <v>9150</v>
      </c>
      <c r="K101" s="2" t="s">
        <v>55</v>
      </c>
      <c r="L101" s="2"/>
      <c r="M101" s="6"/>
      <c r="N101" s="48"/>
      <c r="O101" s="114" t="str">
        <f t="shared" si="78"/>
        <v>Questionnaire</v>
      </c>
      <c r="P101" s="108" t="s">
        <v>16530</v>
      </c>
      <c r="Q101" s="60" t="s">
        <v>3457</v>
      </c>
      <c r="R101" s="48" t="s">
        <v>7053</v>
      </c>
      <c r="S101" s="48" t="s">
        <v>186</v>
      </c>
      <c r="T101" s="49" t="s">
        <v>63</v>
      </c>
      <c r="U101" s="48" t="s">
        <v>75</v>
      </c>
      <c r="V101" s="49"/>
      <c r="W101" s="65">
        <v>3.59</v>
      </c>
      <c r="X101" s="49" t="s">
        <v>720</v>
      </c>
      <c r="Y101" s="49" t="s">
        <v>276</v>
      </c>
      <c r="Z101" s="49" t="s">
        <v>545</v>
      </c>
      <c r="AA101" s="65">
        <v>0.85</v>
      </c>
      <c r="AB101" s="39">
        <v>39507</v>
      </c>
      <c r="AC101" s="52" t="s">
        <v>16530</v>
      </c>
      <c r="AD101" s="53" t="str">
        <f t="shared" si="79"/>
        <v>Link</v>
      </c>
      <c r="AE101" s="42">
        <v>953</v>
      </c>
      <c r="AF101" s="55"/>
      <c r="AG101" s="85"/>
      <c r="AH101" s="56">
        <v>142294</v>
      </c>
      <c r="AI101" s="85"/>
    </row>
    <row r="102" spans="1:41" ht="15" x14ac:dyDescent="0.2">
      <c r="A102" s="7"/>
      <c r="B102" s="31" t="s">
        <v>4302</v>
      </c>
      <c r="C102" s="2" t="s">
        <v>15218</v>
      </c>
      <c r="D102" s="7" t="s">
        <v>16544</v>
      </c>
      <c r="E102" s="37">
        <v>5</v>
      </c>
      <c r="F102" s="48"/>
      <c r="G102" s="48"/>
      <c r="H102" s="2" t="s">
        <v>16519</v>
      </c>
      <c r="I102" s="2" t="s">
        <v>1100</v>
      </c>
      <c r="J102" s="2" t="s">
        <v>4294</v>
      </c>
      <c r="K102" s="2" t="s">
        <v>55</v>
      </c>
      <c r="L102" s="2"/>
      <c r="M102" s="6"/>
      <c r="N102" s="48"/>
      <c r="O102" s="114" t="str">
        <f t="shared" si="78"/>
        <v>Questionnaire</v>
      </c>
      <c r="P102" s="108" t="s">
        <v>16530</v>
      </c>
      <c r="Q102" s="60" t="s">
        <v>3457</v>
      </c>
      <c r="R102" s="48" t="s">
        <v>7053</v>
      </c>
      <c r="S102" s="48" t="s">
        <v>186</v>
      </c>
      <c r="T102" s="49" t="s">
        <v>63</v>
      </c>
      <c r="U102" s="48" t="s">
        <v>75</v>
      </c>
      <c r="V102" s="49"/>
      <c r="W102" s="65">
        <v>3.59</v>
      </c>
      <c r="X102" s="49" t="s">
        <v>720</v>
      </c>
      <c r="Y102" s="49" t="s">
        <v>276</v>
      </c>
      <c r="Z102" s="49" t="s">
        <v>545</v>
      </c>
      <c r="AA102" s="65">
        <v>0.85</v>
      </c>
      <c r="AB102" s="39">
        <v>39507</v>
      </c>
      <c r="AC102" s="52" t="s">
        <v>16530</v>
      </c>
      <c r="AD102" s="53" t="str">
        <f t="shared" si="79"/>
        <v>Link</v>
      </c>
      <c r="AE102" s="42">
        <v>953</v>
      </c>
      <c r="AF102" s="55"/>
      <c r="AG102" s="85"/>
      <c r="AH102" s="56">
        <v>142294</v>
      </c>
      <c r="AI102" s="85"/>
    </row>
    <row r="103" spans="1:41" ht="13" x14ac:dyDescent="0.15">
      <c r="A103" s="7"/>
      <c r="B103" s="31" t="s">
        <v>1705</v>
      </c>
      <c r="C103" s="2" t="s">
        <v>15218</v>
      </c>
      <c r="D103" s="7"/>
      <c r="E103" s="37">
        <v>5</v>
      </c>
      <c r="F103" s="7" t="s">
        <v>116</v>
      </c>
      <c r="G103" s="7"/>
      <c r="H103" s="2" t="s">
        <v>16554</v>
      </c>
      <c r="I103" s="2" t="s">
        <v>421</v>
      </c>
      <c r="J103" s="2"/>
      <c r="K103" s="2" t="s">
        <v>48</v>
      </c>
      <c r="L103" s="2"/>
      <c r="M103" s="6"/>
      <c r="N103" s="45" t="str">
        <f t="shared" ref="N103:N104" si="80">HYPERLINK("twitter.com/JU_Softball","@JU_Softball")</f>
        <v>@JU_Softball</v>
      </c>
      <c r="O103" s="114" t="str">
        <f t="shared" ref="O103:O104" si="81">HYPERLINK("http://www.judsoneagles.com/recruiting","Questionnaire")</f>
        <v>Questionnaire</v>
      </c>
      <c r="P103" s="48" t="s">
        <v>16559</v>
      </c>
      <c r="Q103" s="60" t="s">
        <v>1721</v>
      </c>
      <c r="R103" s="48" t="s">
        <v>16560</v>
      </c>
      <c r="S103" s="48" t="s">
        <v>238</v>
      </c>
      <c r="T103" s="49" t="s">
        <v>63</v>
      </c>
      <c r="U103" s="6" t="s">
        <v>2619</v>
      </c>
      <c r="V103" s="49"/>
      <c r="W103" s="65">
        <v>3.28</v>
      </c>
      <c r="X103" s="49" t="s">
        <v>5208</v>
      </c>
      <c r="Y103" s="49" t="s">
        <v>7801</v>
      </c>
      <c r="Z103" s="49" t="s">
        <v>125</v>
      </c>
      <c r="AA103" s="65">
        <v>0.75</v>
      </c>
      <c r="AB103" s="39">
        <v>41880</v>
      </c>
      <c r="AC103" s="84" t="s">
        <v>16559</v>
      </c>
      <c r="AD103" s="53" t="str">
        <f t="shared" ref="AD103:AD104" si="82">HYPERLINK("http://www.judsonu.edu/Admissions/Undergraduate/Academic_Programs/","Link")</f>
        <v>Link</v>
      </c>
      <c r="AE103" s="42">
        <v>1135</v>
      </c>
      <c r="AF103" s="55"/>
      <c r="AG103" s="85"/>
      <c r="AH103" s="56">
        <v>101541</v>
      </c>
      <c r="AI103" s="85" t="s">
        <v>2459</v>
      </c>
      <c r="AJ103" s="7"/>
      <c r="AK103" s="7"/>
      <c r="AL103" s="7"/>
      <c r="AM103" s="7"/>
      <c r="AN103" s="7"/>
      <c r="AO103" s="7"/>
    </row>
    <row r="104" spans="1:41" ht="13" x14ac:dyDescent="0.15">
      <c r="A104" s="7"/>
      <c r="B104" s="31" t="s">
        <v>1705</v>
      </c>
      <c r="C104" s="2" t="s">
        <v>15218</v>
      </c>
      <c r="D104" s="7"/>
      <c r="E104" s="37">
        <v>5</v>
      </c>
      <c r="F104" s="7"/>
      <c r="G104" s="7" t="s">
        <v>126</v>
      </c>
      <c r="H104" s="2" t="s">
        <v>16554</v>
      </c>
      <c r="I104" s="2" t="s">
        <v>16564</v>
      </c>
      <c r="J104" s="2"/>
      <c r="K104" s="2"/>
      <c r="L104" s="2"/>
      <c r="M104" s="6"/>
      <c r="N104" s="45" t="str">
        <f t="shared" si="80"/>
        <v>@JU_Softball</v>
      </c>
      <c r="O104" s="114" t="str">
        <f t="shared" si="81"/>
        <v>Questionnaire</v>
      </c>
      <c r="P104" s="48" t="s">
        <v>16559</v>
      </c>
      <c r="Q104" s="60" t="s">
        <v>1721</v>
      </c>
      <c r="R104" s="48" t="s">
        <v>16560</v>
      </c>
      <c r="S104" s="48" t="s">
        <v>238</v>
      </c>
      <c r="T104" s="49" t="s">
        <v>63</v>
      </c>
      <c r="U104" s="6" t="s">
        <v>2619</v>
      </c>
      <c r="V104" s="49"/>
      <c r="W104" s="65">
        <v>3.28</v>
      </c>
      <c r="X104" s="49" t="s">
        <v>5208</v>
      </c>
      <c r="Y104" s="49" t="s">
        <v>7801</v>
      </c>
      <c r="Z104" s="49" t="s">
        <v>125</v>
      </c>
      <c r="AA104" s="65">
        <v>0.75</v>
      </c>
      <c r="AB104" s="39">
        <v>41880</v>
      </c>
      <c r="AC104" s="84" t="s">
        <v>16559</v>
      </c>
      <c r="AD104" s="53" t="str">
        <f t="shared" si="82"/>
        <v>Link</v>
      </c>
      <c r="AE104" s="42">
        <v>1135</v>
      </c>
      <c r="AF104" s="55"/>
      <c r="AG104" s="85"/>
      <c r="AH104" s="56">
        <v>101541</v>
      </c>
      <c r="AI104" s="85" t="s">
        <v>2459</v>
      </c>
      <c r="AJ104" s="7"/>
      <c r="AK104" s="7"/>
      <c r="AL104" s="7"/>
      <c r="AM104" s="7"/>
      <c r="AN104" s="7"/>
      <c r="AO104" s="7"/>
    </row>
    <row r="105" spans="1:41" ht="15" x14ac:dyDescent="0.2">
      <c r="A105" s="7"/>
      <c r="B105" s="31" t="s">
        <v>1705</v>
      </c>
      <c r="C105" s="33" t="s">
        <v>12632</v>
      </c>
      <c r="D105" s="7" t="s">
        <v>16573</v>
      </c>
      <c r="E105" s="37">
        <v>5</v>
      </c>
      <c r="F105" s="48"/>
      <c r="G105" s="48"/>
      <c r="H105" s="2" t="s">
        <v>16574</v>
      </c>
      <c r="I105" s="2" t="s">
        <v>1249</v>
      </c>
      <c r="J105" s="2" t="s">
        <v>16575</v>
      </c>
      <c r="K105" s="2" t="s">
        <v>48</v>
      </c>
      <c r="L105" s="2" t="s">
        <v>16576</v>
      </c>
      <c r="M105" s="6" t="s">
        <v>16577</v>
      </c>
      <c r="N105" s="45" t="str">
        <f>HYPERLINK("twitter.com/lincolnsball","@lincolnsball")</f>
        <v>@lincolnsball</v>
      </c>
      <c r="O105" s="45" t="str">
        <f>HYPERLINK("https://lcadmissions.lincolncollege.edu/recruitment-questionnaires/softball-recruitment-questionnaire/","Questionnaire")</f>
        <v>Questionnaire</v>
      </c>
      <c r="P105" s="60" t="s">
        <v>16582</v>
      </c>
      <c r="Q105" s="60" t="s">
        <v>1721</v>
      </c>
      <c r="R105" s="48" t="s">
        <v>4736</v>
      </c>
      <c r="S105" s="48" t="s">
        <v>172</v>
      </c>
      <c r="T105" s="49" t="s">
        <v>74</v>
      </c>
      <c r="U105" s="48" t="s">
        <v>75</v>
      </c>
      <c r="V105" s="49" t="s">
        <v>3678</v>
      </c>
      <c r="W105" s="49" t="s">
        <v>524</v>
      </c>
      <c r="X105" s="49" t="s">
        <v>16585</v>
      </c>
      <c r="Y105" s="49" t="s">
        <v>16586</v>
      </c>
      <c r="Z105" s="49" t="s">
        <v>3784</v>
      </c>
      <c r="AA105" s="65">
        <v>0.62</v>
      </c>
      <c r="AB105" s="39">
        <v>30314</v>
      </c>
      <c r="AC105" s="90" t="s">
        <v>16582</v>
      </c>
      <c r="AD105" s="53" t="str">
        <f>HYPERLINK("https://academics.lincolncollege.edu/majors-and-minors/","Link")</f>
        <v>Link</v>
      </c>
      <c r="AE105" s="42">
        <v>1069</v>
      </c>
      <c r="AF105" s="55"/>
      <c r="AG105" s="55"/>
      <c r="AH105" s="56">
        <v>146676</v>
      </c>
      <c r="AI105" s="55"/>
    </row>
    <row r="106" spans="1:41" ht="13" x14ac:dyDescent="0.15">
      <c r="A106" s="7"/>
      <c r="B106" s="31" t="s">
        <v>1705</v>
      </c>
      <c r="C106" s="2" t="s">
        <v>15218</v>
      </c>
      <c r="D106" s="7" t="s">
        <v>16591</v>
      </c>
      <c r="E106" s="37">
        <v>5</v>
      </c>
      <c r="F106" s="48"/>
      <c r="G106" s="48"/>
      <c r="H106" s="2" t="s">
        <v>16594</v>
      </c>
      <c r="I106" s="2" t="s">
        <v>16595</v>
      </c>
      <c r="J106" s="2" t="s">
        <v>16596</v>
      </c>
      <c r="K106" s="2" t="s">
        <v>48</v>
      </c>
      <c r="L106" s="2" t="s">
        <v>16597</v>
      </c>
      <c r="M106" s="6" t="s">
        <v>16598</v>
      </c>
      <c r="N106" s="45" t="str">
        <f>HYPERLINK("twitter.com/lubsoftball","@lubsoftball")</f>
        <v>@lubsoftball</v>
      </c>
      <c r="O106" s="114" t="str">
        <f>HYPERLINK("https://lindenwoodlions.com/sb_output.aspx?form=3","Questionnaire")</f>
        <v>Questionnaire</v>
      </c>
      <c r="P106" s="48" t="s">
        <v>16604</v>
      </c>
      <c r="Q106" s="60" t="s">
        <v>1721</v>
      </c>
      <c r="R106" s="48" t="s">
        <v>16605</v>
      </c>
      <c r="S106" s="48" t="s">
        <v>468</v>
      </c>
      <c r="T106" s="49" t="s">
        <v>63</v>
      </c>
      <c r="U106" s="48" t="s">
        <v>75</v>
      </c>
      <c r="V106" s="49"/>
      <c r="W106" s="65">
        <v>3.31</v>
      </c>
      <c r="X106" s="49" t="s">
        <v>397</v>
      </c>
      <c r="Y106" s="49" t="s">
        <v>2341</v>
      </c>
      <c r="Z106" s="49" t="s">
        <v>1994</v>
      </c>
      <c r="AA106" s="65">
        <v>0.55000000000000004</v>
      </c>
      <c r="AB106" s="39">
        <v>29932</v>
      </c>
      <c r="AC106" s="84" t="s">
        <v>16604</v>
      </c>
      <c r="AD106" s="53" t="str">
        <f>HYPERLINK("http://www.lindenwood.edu/belleville/academics/undergraduate/","Link")</f>
        <v>Link</v>
      </c>
      <c r="AE106" s="42">
        <v>7549</v>
      </c>
      <c r="AF106" s="55"/>
      <c r="AG106" s="85"/>
      <c r="AH106" s="85"/>
      <c r="AI106" s="85"/>
    </row>
    <row r="107" spans="1:41" ht="13" x14ac:dyDescent="0.15">
      <c r="A107" s="7"/>
      <c r="B107" s="31" t="s">
        <v>1705</v>
      </c>
      <c r="C107" s="2" t="s">
        <v>15218</v>
      </c>
      <c r="D107" s="7"/>
      <c r="E107" s="37">
        <v>5</v>
      </c>
      <c r="F107" s="7"/>
      <c r="G107" s="7"/>
      <c r="H107" s="2" t="s">
        <v>16608</v>
      </c>
      <c r="I107" s="2" t="s">
        <v>1629</v>
      </c>
      <c r="J107" s="2" t="s">
        <v>14196</v>
      </c>
      <c r="K107" s="2" t="s">
        <v>48</v>
      </c>
      <c r="L107" s="2" t="s">
        <v>16609</v>
      </c>
      <c r="M107" s="6" t="s">
        <v>16610</v>
      </c>
      <c r="N107" s="45" t="str">
        <f t="shared" ref="N107:N108" si="83">HYPERLINK("twitter.com/softball_onu","@softball_onu")</f>
        <v>@softball_onu</v>
      </c>
      <c r="O107" s="114" t="str">
        <f t="shared" ref="O107:O108" si="84">HYPERLINK("http://www.onutigers.com/Become_a_Tiger","Questionnaire")</f>
        <v>Questionnaire</v>
      </c>
      <c r="P107" s="48" t="s">
        <v>16614</v>
      </c>
      <c r="Q107" s="60" t="s">
        <v>1721</v>
      </c>
      <c r="R107" s="48" t="s">
        <v>16616</v>
      </c>
      <c r="S107" s="48" t="s">
        <v>172</v>
      </c>
      <c r="T107" s="49" t="s">
        <v>63</v>
      </c>
      <c r="U107" s="6" t="s">
        <v>4316</v>
      </c>
      <c r="V107" s="49"/>
      <c r="W107" s="65">
        <v>3.54</v>
      </c>
      <c r="X107" s="49" t="s">
        <v>2310</v>
      </c>
      <c r="Y107" s="49" t="s">
        <v>2310</v>
      </c>
      <c r="Z107" s="49" t="s">
        <v>545</v>
      </c>
      <c r="AA107" s="65">
        <v>0.78</v>
      </c>
      <c r="AB107" s="39">
        <v>45540</v>
      </c>
      <c r="AC107" s="84" t="s">
        <v>16614</v>
      </c>
      <c r="AD107" s="53" t="str">
        <f t="shared" ref="AD107:AD108" si="85">HYPERLINK("https://www.olivet.edu/academics","Link")</f>
        <v>Link</v>
      </c>
      <c r="AE107" s="42">
        <v>3358</v>
      </c>
      <c r="AF107" s="55"/>
      <c r="AG107" s="85"/>
      <c r="AH107" s="56">
        <v>147828</v>
      </c>
      <c r="AI107" s="85" t="s">
        <v>2459</v>
      </c>
      <c r="AJ107" s="7"/>
      <c r="AK107" s="7"/>
      <c r="AL107" s="7"/>
      <c r="AM107" s="7"/>
      <c r="AN107" s="7"/>
      <c r="AO107" s="7"/>
    </row>
    <row r="108" spans="1:41" ht="13" x14ac:dyDescent="0.15">
      <c r="A108" s="7"/>
      <c r="B108" s="31" t="s">
        <v>1705</v>
      </c>
      <c r="C108" s="2" t="s">
        <v>15218</v>
      </c>
      <c r="D108" s="7"/>
      <c r="E108" s="37">
        <v>5</v>
      </c>
      <c r="F108" s="7"/>
      <c r="G108" s="7"/>
      <c r="H108" s="2" t="s">
        <v>16608</v>
      </c>
      <c r="I108" s="2" t="s">
        <v>878</v>
      </c>
      <c r="J108" s="2" t="s">
        <v>16625</v>
      </c>
      <c r="K108" s="2" t="s">
        <v>120</v>
      </c>
      <c r="L108" s="2" t="s">
        <v>16626</v>
      </c>
      <c r="M108" s="6"/>
      <c r="N108" s="45" t="str">
        <f t="shared" si="83"/>
        <v>@softball_onu</v>
      </c>
      <c r="O108" s="114" t="str">
        <f t="shared" si="84"/>
        <v>Questionnaire</v>
      </c>
      <c r="P108" s="48" t="s">
        <v>16614</v>
      </c>
      <c r="Q108" s="60" t="s">
        <v>1721</v>
      </c>
      <c r="R108" s="48" t="s">
        <v>16616</v>
      </c>
      <c r="S108" s="48" t="s">
        <v>172</v>
      </c>
      <c r="T108" s="49" t="s">
        <v>63</v>
      </c>
      <c r="U108" s="6" t="s">
        <v>4316</v>
      </c>
      <c r="V108" s="49"/>
      <c r="W108" s="65">
        <v>3.54</v>
      </c>
      <c r="X108" s="49" t="s">
        <v>2310</v>
      </c>
      <c r="Y108" s="49" t="s">
        <v>2310</v>
      </c>
      <c r="Z108" s="49" t="s">
        <v>545</v>
      </c>
      <c r="AA108" s="65">
        <v>0.78</v>
      </c>
      <c r="AB108" s="39">
        <v>45540</v>
      </c>
      <c r="AC108" s="84" t="s">
        <v>16614</v>
      </c>
      <c r="AD108" s="53" t="str">
        <f t="shared" si="85"/>
        <v>Link</v>
      </c>
      <c r="AE108" s="42">
        <v>3358</v>
      </c>
      <c r="AF108" s="55"/>
      <c r="AG108" s="85"/>
      <c r="AH108" s="56">
        <v>147828</v>
      </c>
      <c r="AI108" s="85" t="s">
        <v>2459</v>
      </c>
      <c r="AJ108" s="7"/>
      <c r="AK108" s="7"/>
      <c r="AL108" s="7"/>
      <c r="AM108" s="7"/>
      <c r="AN108" s="7"/>
      <c r="AO108" s="7"/>
    </row>
    <row r="109" spans="1:41" ht="13" x14ac:dyDescent="0.15">
      <c r="A109" s="7"/>
      <c r="B109" s="31" t="s">
        <v>1705</v>
      </c>
      <c r="C109" s="2" t="s">
        <v>15218</v>
      </c>
      <c r="D109" s="7"/>
      <c r="E109" s="37">
        <v>5</v>
      </c>
      <c r="F109" s="7"/>
      <c r="G109" s="7"/>
      <c r="H109" s="2" t="s">
        <v>16634</v>
      </c>
      <c r="I109" s="2" t="s">
        <v>7526</v>
      </c>
      <c r="J109" s="2" t="s">
        <v>16635</v>
      </c>
      <c r="K109" s="2" t="s">
        <v>48</v>
      </c>
      <c r="L109" s="2" t="s">
        <v>16638</v>
      </c>
      <c r="M109" s="6"/>
      <c r="N109" s="45" t="str">
        <f t="shared" ref="N109:N110" si="86">HYPERLINK("twitter.com/rmusball","@rmusball")</f>
        <v>@rmusball</v>
      </c>
      <c r="O109" s="114" t="str">
        <f t="shared" ref="O109:O111" si="87">HYPERLINK("https://www.rmueagles.com/SIDHelp/form/14","Questionnaire")</f>
        <v>Questionnaire</v>
      </c>
      <c r="P109" s="48" t="s">
        <v>16645</v>
      </c>
      <c r="Q109" s="60" t="s">
        <v>1721</v>
      </c>
      <c r="R109" s="48" t="s">
        <v>1877</v>
      </c>
      <c r="S109" s="48" t="s">
        <v>288</v>
      </c>
      <c r="T109" s="49" t="s">
        <v>63</v>
      </c>
      <c r="U109" s="48" t="s">
        <v>75</v>
      </c>
      <c r="V109" s="49"/>
      <c r="W109" s="65">
        <v>2.81</v>
      </c>
      <c r="X109" s="49" t="s">
        <v>214</v>
      </c>
      <c r="Y109" s="49" t="s">
        <v>214</v>
      </c>
      <c r="Z109" s="49" t="s">
        <v>3952</v>
      </c>
      <c r="AA109" s="51">
        <v>0.66869999999999996</v>
      </c>
      <c r="AB109" s="39">
        <v>44268</v>
      </c>
      <c r="AC109" s="84" t="s">
        <v>16645</v>
      </c>
      <c r="AD109" s="53" t="str">
        <f t="shared" ref="AD109:AD111" si="88">HYPERLINK("https://robertmorris.edu/academics/","Link")</f>
        <v>Link</v>
      </c>
      <c r="AE109" s="42">
        <v>2352</v>
      </c>
      <c r="AF109" s="55"/>
      <c r="AG109" s="85"/>
      <c r="AH109" s="56">
        <v>148335</v>
      </c>
      <c r="AI109" s="85" t="s">
        <v>2459</v>
      </c>
      <c r="AJ109" s="7"/>
      <c r="AK109" s="7"/>
      <c r="AL109" s="7"/>
      <c r="AM109" s="7"/>
      <c r="AN109" s="7"/>
      <c r="AO109" s="7"/>
    </row>
    <row r="110" spans="1:41" ht="13" x14ac:dyDescent="0.15">
      <c r="A110" s="7"/>
      <c r="B110" s="31" t="s">
        <v>1705</v>
      </c>
      <c r="C110" s="2" t="s">
        <v>15218</v>
      </c>
      <c r="D110" s="7"/>
      <c r="E110" s="37">
        <v>5</v>
      </c>
      <c r="F110" s="7"/>
      <c r="G110" s="7"/>
      <c r="H110" s="2" t="s">
        <v>16634</v>
      </c>
      <c r="I110" s="2" t="s">
        <v>361</v>
      </c>
      <c r="J110" s="2" t="s">
        <v>5872</v>
      </c>
      <c r="K110" s="2" t="s">
        <v>4008</v>
      </c>
      <c r="L110" s="2" t="s">
        <v>16650</v>
      </c>
      <c r="M110" s="6"/>
      <c r="N110" s="45" t="str">
        <f t="shared" si="86"/>
        <v>@rmusball</v>
      </c>
      <c r="O110" s="114" t="str">
        <f t="shared" si="87"/>
        <v>Questionnaire</v>
      </c>
      <c r="P110" s="48" t="s">
        <v>16645</v>
      </c>
      <c r="Q110" s="60" t="s">
        <v>1721</v>
      </c>
      <c r="R110" s="48" t="s">
        <v>1877</v>
      </c>
      <c r="S110" s="48" t="s">
        <v>288</v>
      </c>
      <c r="T110" s="49" t="s">
        <v>63</v>
      </c>
      <c r="U110" s="48" t="s">
        <v>75</v>
      </c>
      <c r="V110" s="49"/>
      <c r="W110" s="65">
        <v>2.81</v>
      </c>
      <c r="X110" s="49" t="s">
        <v>214</v>
      </c>
      <c r="Y110" s="49" t="s">
        <v>214</v>
      </c>
      <c r="Z110" s="49" t="s">
        <v>3952</v>
      </c>
      <c r="AA110" s="51">
        <v>0.66869999999999996</v>
      </c>
      <c r="AB110" s="39">
        <v>44268</v>
      </c>
      <c r="AC110" s="84" t="s">
        <v>16645</v>
      </c>
      <c r="AD110" s="53" t="str">
        <f t="shared" si="88"/>
        <v>Link</v>
      </c>
      <c r="AE110" s="42">
        <v>2352</v>
      </c>
      <c r="AF110" s="55"/>
      <c r="AG110" s="85"/>
      <c r="AH110" s="56">
        <v>148335</v>
      </c>
      <c r="AI110" s="85" t="s">
        <v>2459</v>
      </c>
      <c r="AJ110" s="7"/>
      <c r="AK110" s="7"/>
      <c r="AL110" s="7"/>
      <c r="AM110" s="7"/>
      <c r="AN110" s="7"/>
      <c r="AO110" s="7"/>
    </row>
    <row r="111" spans="1:41" ht="13" x14ac:dyDescent="0.15">
      <c r="A111" s="7"/>
      <c r="B111" s="31" t="s">
        <v>1705</v>
      </c>
      <c r="C111" s="2" t="s">
        <v>15218</v>
      </c>
      <c r="D111" s="7"/>
      <c r="E111" s="37">
        <v>5</v>
      </c>
      <c r="F111" s="7"/>
      <c r="G111" s="7"/>
      <c r="H111" s="2" t="s">
        <v>16656</v>
      </c>
      <c r="I111" s="2" t="s">
        <v>421</v>
      </c>
      <c r="J111" s="2"/>
      <c r="K111" s="2" t="s">
        <v>48</v>
      </c>
      <c r="L111" s="2"/>
      <c r="M111" s="6"/>
      <c r="N111" s="48"/>
      <c r="O111" s="114" t="str">
        <f t="shared" si="87"/>
        <v>Questionnaire</v>
      </c>
      <c r="P111" s="48" t="s">
        <v>16657</v>
      </c>
      <c r="Q111" s="60" t="s">
        <v>1721</v>
      </c>
      <c r="R111" s="48" t="s">
        <v>4357</v>
      </c>
      <c r="S111" s="48" t="s">
        <v>238</v>
      </c>
      <c r="T111" s="49" t="s">
        <v>63</v>
      </c>
      <c r="U111" s="48" t="s">
        <v>75</v>
      </c>
      <c r="V111" s="49"/>
      <c r="W111" s="65">
        <v>2.81</v>
      </c>
      <c r="X111" s="49" t="s">
        <v>214</v>
      </c>
      <c r="Y111" s="49" t="s">
        <v>214</v>
      </c>
      <c r="Z111" s="49" t="s">
        <v>3952</v>
      </c>
      <c r="AA111" s="51">
        <v>0.66869999999999996</v>
      </c>
      <c r="AB111" s="39">
        <v>44268</v>
      </c>
      <c r="AC111" s="84" t="s">
        <v>16657</v>
      </c>
      <c r="AD111" s="53" t="str">
        <f t="shared" si="88"/>
        <v>Link</v>
      </c>
      <c r="AE111" s="42">
        <v>2352</v>
      </c>
      <c r="AF111" s="55"/>
      <c r="AG111" s="85"/>
      <c r="AH111" s="56">
        <v>148335</v>
      </c>
      <c r="AI111" s="85" t="s">
        <v>2459</v>
      </c>
      <c r="AJ111" s="7"/>
      <c r="AK111" s="7"/>
      <c r="AL111" s="7"/>
      <c r="AM111" s="7"/>
      <c r="AN111" s="7"/>
      <c r="AO111" s="7"/>
    </row>
    <row r="112" spans="1:41" ht="13" x14ac:dyDescent="0.15">
      <c r="A112" s="7"/>
      <c r="B112" s="31" t="s">
        <v>1705</v>
      </c>
      <c r="C112" s="2" t="s">
        <v>15218</v>
      </c>
      <c r="D112" s="7" t="s">
        <v>16662</v>
      </c>
      <c r="E112" s="37">
        <v>5</v>
      </c>
      <c r="F112" s="48"/>
      <c r="G112" s="48"/>
      <c r="H112" s="2" t="s">
        <v>16663</v>
      </c>
      <c r="I112" s="2" t="s">
        <v>5470</v>
      </c>
      <c r="J112" s="2" t="s">
        <v>423</v>
      </c>
      <c r="K112" s="2" t="s">
        <v>48</v>
      </c>
      <c r="L112" s="2" t="s">
        <v>16665</v>
      </c>
      <c r="M112" s="6" t="s">
        <v>16667</v>
      </c>
      <c r="N112" s="45" t="str">
        <f t="shared" ref="N112:N113" si="89">HYPERLINK("twitter.com/rulakerssb","@rulakerssb")</f>
        <v>@rulakerssb</v>
      </c>
      <c r="O112" s="114" t="str">
        <f t="shared" ref="O112:O113" si="90">HYPERLINK("http://www.rooseveltlakers.com/recruiting.php","Questionnaire")</f>
        <v>Questionnaire</v>
      </c>
      <c r="P112" s="48" t="s">
        <v>16669</v>
      </c>
      <c r="Q112" s="60" t="s">
        <v>1721</v>
      </c>
      <c r="R112" s="48" t="s">
        <v>1877</v>
      </c>
      <c r="S112" s="48" t="s">
        <v>288</v>
      </c>
      <c r="T112" s="49" t="s">
        <v>63</v>
      </c>
      <c r="U112" s="48" t="s">
        <v>75</v>
      </c>
      <c r="V112" s="49"/>
      <c r="W112" s="65">
        <v>3.16</v>
      </c>
      <c r="X112" s="49" t="s">
        <v>16675</v>
      </c>
      <c r="Y112" s="49" t="s">
        <v>397</v>
      </c>
      <c r="Z112" s="49" t="s">
        <v>125</v>
      </c>
      <c r="AA112" s="65">
        <v>0.73</v>
      </c>
      <c r="AB112" s="39">
        <v>46646</v>
      </c>
      <c r="AC112" s="84" t="s">
        <v>16669</v>
      </c>
      <c r="AD112" s="53" t="str">
        <f t="shared" ref="AD112:AD113" si="91">HYPERLINK("https://www.roosevelt.edu/academics/programs","Link")</f>
        <v>Link</v>
      </c>
      <c r="AE112" s="42">
        <v>2805</v>
      </c>
      <c r="AF112" s="55"/>
      <c r="AG112" s="85"/>
      <c r="AH112" s="56">
        <v>148487</v>
      </c>
      <c r="AI112" s="85"/>
    </row>
    <row r="113" spans="1:35" ht="13" x14ac:dyDescent="0.15">
      <c r="A113" s="7"/>
      <c r="B113" s="31" t="s">
        <v>1705</v>
      </c>
      <c r="C113" s="2" t="s">
        <v>15218</v>
      </c>
      <c r="D113" s="7" t="s">
        <v>16681</v>
      </c>
      <c r="E113" s="37">
        <v>5</v>
      </c>
      <c r="F113" s="48"/>
      <c r="G113" s="48"/>
      <c r="H113" s="2" t="s">
        <v>16663</v>
      </c>
      <c r="I113" s="2" t="s">
        <v>3983</v>
      </c>
      <c r="J113" s="2" t="s">
        <v>2482</v>
      </c>
      <c r="K113" s="2" t="s">
        <v>55</v>
      </c>
      <c r="L113" s="2"/>
      <c r="M113" s="6"/>
      <c r="N113" s="45" t="str">
        <f t="shared" si="89"/>
        <v>@rulakerssb</v>
      </c>
      <c r="O113" s="114" t="str">
        <f t="shared" si="90"/>
        <v>Questionnaire</v>
      </c>
      <c r="P113" s="48" t="s">
        <v>16669</v>
      </c>
      <c r="Q113" s="60" t="s">
        <v>1721</v>
      </c>
      <c r="R113" s="48" t="s">
        <v>1877</v>
      </c>
      <c r="S113" s="48" t="s">
        <v>288</v>
      </c>
      <c r="T113" s="49" t="s">
        <v>63</v>
      </c>
      <c r="U113" s="48" t="s">
        <v>75</v>
      </c>
      <c r="V113" s="49"/>
      <c r="W113" s="65">
        <v>3.16</v>
      </c>
      <c r="X113" s="49" t="s">
        <v>16675</v>
      </c>
      <c r="Y113" s="49" t="s">
        <v>397</v>
      </c>
      <c r="Z113" s="49" t="s">
        <v>125</v>
      </c>
      <c r="AA113" s="65">
        <v>0.73</v>
      </c>
      <c r="AB113" s="39">
        <v>46646</v>
      </c>
      <c r="AC113" s="84" t="s">
        <v>16669</v>
      </c>
      <c r="AD113" s="53" t="str">
        <f t="shared" si="91"/>
        <v>Link</v>
      </c>
      <c r="AE113" s="42">
        <v>2805</v>
      </c>
      <c r="AF113" s="55"/>
      <c r="AG113" s="85"/>
      <c r="AH113" s="56">
        <v>148487</v>
      </c>
      <c r="AI113" s="85"/>
    </row>
    <row r="114" spans="1:35" ht="15" x14ac:dyDescent="0.2">
      <c r="A114" s="7"/>
      <c r="B114" s="31" t="s">
        <v>1705</v>
      </c>
      <c r="C114" s="2" t="s">
        <v>15218</v>
      </c>
      <c r="D114" s="7" t="s">
        <v>16692</v>
      </c>
      <c r="E114" s="37">
        <v>5</v>
      </c>
      <c r="F114" s="48"/>
      <c r="G114" s="48"/>
      <c r="H114" s="2" t="s">
        <v>16694</v>
      </c>
      <c r="I114" s="2" t="s">
        <v>1875</v>
      </c>
      <c r="J114" s="2" t="s">
        <v>3795</v>
      </c>
      <c r="K114" s="2" t="s">
        <v>48</v>
      </c>
      <c r="L114" s="2" t="s">
        <v>16695</v>
      </c>
      <c r="M114" s="6" t="s">
        <v>16696</v>
      </c>
      <c r="N114" s="45" t="str">
        <f t="shared" ref="N114:N116" si="92">HYPERLINK("twitter.com/usfsaints","@usfsaints")</f>
        <v>@usfsaints</v>
      </c>
      <c r="O114" s="114" t="str">
        <f t="shared" ref="O114:O116" si="93">HYPERLINK("http://www.gofightingsaints.com/recruiting/0/11.php","Questionnaire")</f>
        <v>Questionnaire</v>
      </c>
      <c r="P114" s="48" t="s">
        <v>16706</v>
      </c>
      <c r="Q114" s="60" t="s">
        <v>1721</v>
      </c>
      <c r="R114" s="48" t="s">
        <v>16707</v>
      </c>
      <c r="S114" s="48" t="s">
        <v>238</v>
      </c>
      <c r="T114" s="49" t="s">
        <v>63</v>
      </c>
      <c r="U114" s="6" t="s">
        <v>343</v>
      </c>
      <c r="V114" s="49"/>
      <c r="W114" s="65">
        <v>3.44</v>
      </c>
      <c r="X114" s="49" t="s">
        <v>2257</v>
      </c>
      <c r="Y114" s="49" t="s">
        <v>2341</v>
      </c>
      <c r="Z114" s="49" t="s">
        <v>278</v>
      </c>
      <c r="AA114" s="80">
        <v>0.49</v>
      </c>
      <c r="AB114" s="39">
        <v>43724</v>
      </c>
      <c r="AC114" s="84" t="s">
        <v>16706</v>
      </c>
      <c r="AD114" s="53" t="str">
        <f t="shared" ref="AD114:AD116" si="94">HYPERLINK("https://www.stfrancis.edu/academics/undergraduate-degree-programs-majors/","Link")</f>
        <v>Link</v>
      </c>
      <c r="AE114" s="42">
        <v>1620</v>
      </c>
      <c r="AF114" s="55"/>
      <c r="AG114" s="85"/>
      <c r="AH114" s="56">
        <v>148584</v>
      </c>
      <c r="AI114" s="85"/>
    </row>
    <row r="115" spans="1:35" ht="15" x14ac:dyDescent="0.2">
      <c r="A115" s="7"/>
      <c r="B115" s="31" t="s">
        <v>1705</v>
      </c>
      <c r="C115" s="2" t="s">
        <v>15218</v>
      </c>
      <c r="D115" s="7" t="s">
        <v>16711</v>
      </c>
      <c r="E115" s="37">
        <v>5</v>
      </c>
      <c r="F115" s="48"/>
      <c r="G115" s="48"/>
      <c r="H115" s="2" t="s">
        <v>16694</v>
      </c>
      <c r="I115" s="2" t="s">
        <v>2150</v>
      </c>
      <c r="J115" s="2" t="s">
        <v>16712</v>
      </c>
      <c r="K115" s="2" t="s">
        <v>55</v>
      </c>
      <c r="L115" s="2"/>
      <c r="M115" s="6" t="s">
        <v>16696</v>
      </c>
      <c r="N115" s="45" t="str">
        <f t="shared" si="92"/>
        <v>@usfsaints</v>
      </c>
      <c r="O115" s="114" t="str">
        <f t="shared" si="93"/>
        <v>Questionnaire</v>
      </c>
      <c r="P115" s="48" t="s">
        <v>16706</v>
      </c>
      <c r="Q115" s="60" t="s">
        <v>1721</v>
      </c>
      <c r="R115" s="48" t="s">
        <v>16707</v>
      </c>
      <c r="S115" s="48" t="s">
        <v>238</v>
      </c>
      <c r="T115" s="49" t="s">
        <v>63</v>
      </c>
      <c r="U115" s="6" t="s">
        <v>343</v>
      </c>
      <c r="V115" s="49"/>
      <c r="W115" s="65">
        <v>3.44</v>
      </c>
      <c r="X115" s="49" t="s">
        <v>2257</v>
      </c>
      <c r="Y115" s="49" t="s">
        <v>2341</v>
      </c>
      <c r="Z115" s="49" t="s">
        <v>278</v>
      </c>
      <c r="AA115" s="80">
        <v>0.49</v>
      </c>
      <c r="AB115" s="39">
        <v>43724</v>
      </c>
      <c r="AC115" s="84" t="s">
        <v>16706</v>
      </c>
      <c r="AD115" s="53" t="str">
        <f t="shared" si="94"/>
        <v>Link</v>
      </c>
      <c r="AE115" s="42">
        <v>1620</v>
      </c>
      <c r="AF115" s="55"/>
      <c r="AG115" s="85"/>
      <c r="AH115" s="56">
        <v>148584</v>
      </c>
      <c r="AI115" s="85"/>
    </row>
    <row r="116" spans="1:35" ht="15" x14ac:dyDescent="0.2">
      <c r="A116" s="7"/>
      <c r="B116" s="31" t="s">
        <v>1705</v>
      </c>
      <c r="C116" s="2" t="s">
        <v>15218</v>
      </c>
      <c r="D116" s="7" t="s">
        <v>16716</v>
      </c>
      <c r="E116" s="37">
        <v>5</v>
      </c>
      <c r="F116" s="48"/>
      <c r="G116" s="48"/>
      <c r="H116" s="2" t="s">
        <v>16694</v>
      </c>
      <c r="I116" s="2" t="s">
        <v>562</v>
      </c>
      <c r="J116" s="2" t="s">
        <v>3795</v>
      </c>
      <c r="K116" s="2" t="s">
        <v>55</v>
      </c>
      <c r="L116" s="2" t="s">
        <v>16717</v>
      </c>
      <c r="M116" s="6" t="s">
        <v>16718</v>
      </c>
      <c r="N116" s="45" t="str">
        <f t="shared" si="92"/>
        <v>@usfsaints</v>
      </c>
      <c r="O116" s="114" t="str">
        <f t="shared" si="93"/>
        <v>Questionnaire</v>
      </c>
      <c r="P116" s="48" t="s">
        <v>16706</v>
      </c>
      <c r="Q116" s="60" t="s">
        <v>1721</v>
      </c>
      <c r="R116" s="48" t="s">
        <v>16707</v>
      </c>
      <c r="S116" s="48" t="s">
        <v>238</v>
      </c>
      <c r="T116" s="49" t="s">
        <v>63</v>
      </c>
      <c r="U116" s="6" t="s">
        <v>343</v>
      </c>
      <c r="V116" s="49"/>
      <c r="W116" s="65">
        <v>3.44</v>
      </c>
      <c r="X116" s="49" t="s">
        <v>2257</v>
      </c>
      <c r="Y116" s="49" t="s">
        <v>2341</v>
      </c>
      <c r="Z116" s="49" t="s">
        <v>278</v>
      </c>
      <c r="AA116" s="80">
        <v>0.49</v>
      </c>
      <c r="AB116" s="39">
        <v>43724</v>
      </c>
      <c r="AC116" s="84" t="s">
        <v>16706</v>
      </c>
      <c r="AD116" s="53" t="str">
        <f t="shared" si="94"/>
        <v>Link</v>
      </c>
      <c r="AE116" s="42">
        <v>1620</v>
      </c>
      <c r="AF116" s="55"/>
      <c r="AG116" s="85"/>
      <c r="AH116" s="56">
        <v>148584</v>
      </c>
      <c r="AI116" s="85"/>
    </row>
    <row r="117" spans="1:35" ht="13" x14ac:dyDescent="0.15">
      <c r="A117" s="7"/>
      <c r="B117" s="31" t="s">
        <v>1705</v>
      </c>
      <c r="C117" s="2" t="s">
        <v>15218</v>
      </c>
      <c r="D117" s="7" t="s">
        <v>16744</v>
      </c>
      <c r="E117" s="37">
        <v>5</v>
      </c>
      <c r="F117" s="48"/>
      <c r="G117" s="48"/>
      <c r="H117" s="2" t="s">
        <v>16746</v>
      </c>
      <c r="I117" s="2" t="s">
        <v>338</v>
      </c>
      <c r="J117" s="2" t="s">
        <v>16747</v>
      </c>
      <c r="K117" s="2" t="s">
        <v>48</v>
      </c>
      <c r="L117" s="2" t="s">
        <v>16748</v>
      </c>
      <c r="M117" s="6" t="s">
        <v>16749</v>
      </c>
      <c r="N117" s="45" t="str">
        <f>HYPERLINK("twitter.com/SXUsoftball","@SXUsoftball")</f>
        <v>@SXUsoftball</v>
      </c>
      <c r="O117" s="114" t="str">
        <f>HYPERLINK("http://www.sxucougars.com/recruiting.php","Questionnaire")</f>
        <v>Questionnaire</v>
      </c>
      <c r="P117" s="48" t="s">
        <v>16752</v>
      </c>
      <c r="Q117" s="60" t="s">
        <v>1721</v>
      </c>
      <c r="R117" s="48" t="s">
        <v>1877</v>
      </c>
      <c r="S117" s="48" t="s">
        <v>288</v>
      </c>
      <c r="T117" s="49" t="s">
        <v>63</v>
      </c>
      <c r="U117" s="6" t="s">
        <v>343</v>
      </c>
      <c r="V117" s="49"/>
      <c r="W117" s="65">
        <v>3.4</v>
      </c>
      <c r="X117" s="49" t="s">
        <v>16753</v>
      </c>
      <c r="Y117" s="49" t="s">
        <v>16754</v>
      </c>
      <c r="Z117" s="49" t="s">
        <v>125</v>
      </c>
      <c r="AA117" s="65">
        <v>0.75</v>
      </c>
      <c r="AB117" s="39">
        <v>46468</v>
      </c>
      <c r="AC117" s="84" t="s">
        <v>16752</v>
      </c>
      <c r="AD117" s="53" t="str">
        <f>HYPERLINK("http://www.sxu.edu/academics/undergraduate.asp","Link")</f>
        <v>Link</v>
      </c>
      <c r="AE117" s="42">
        <v>2954</v>
      </c>
      <c r="AF117" s="55"/>
      <c r="AG117" s="85"/>
      <c r="AH117" s="56">
        <v>148627</v>
      </c>
      <c r="AI117" s="85"/>
    </row>
    <row r="118" spans="1:35" ht="13" x14ac:dyDescent="0.15">
      <c r="A118" s="7"/>
      <c r="B118" s="31" t="s">
        <v>1705</v>
      </c>
      <c r="C118" s="2" t="s">
        <v>15218</v>
      </c>
      <c r="D118" s="7" t="s">
        <v>16761</v>
      </c>
      <c r="E118" s="37">
        <v>5</v>
      </c>
      <c r="F118" s="48"/>
      <c r="G118" s="48"/>
      <c r="H118" s="2" t="s">
        <v>16762</v>
      </c>
      <c r="I118" s="2" t="s">
        <v>1875</v>
      </c>
      <c r="J118" s="2" t="s">
        <v>16763</v>
      </c>
      <c r="K118" s="2" t="s">
        <v>48</v>
      </c>
      <c r="L118" s="2" t="s">
        <v>16764</v>
      </c>
      <c r="M118" s="6" t="s">
        <v>16765</v>
      </c>
      <c r="N118" s="45" t="str">
        <f t="shared" ref="N118:N121" si="95">HYPERLINK("twitter.com/trollssoftball","@trollssoftball")</f>
        <v>@trollssoftball</v>
      </c>
      <c r="O118" s="114" t="str">
        <f t="shared" ref="O118:O121" si="96">HYPERLINK("http://oldwww.trnty.edu/softball.html","Questionnaire")</f>
        <v>Questionnaire</v>
      </c>
      <c r="P118" s="48" t="s">
        <v>16772</v>
      </c>
      <c r="Q118" s="60" t="s">
        <v>1721</v>
      </c>
      <c r="R118" s="48" t="s">
        <v>16773</v>
      </c>
      <c r="S118" s="48" t="s">
        <v>172</v>
      </c>
      <c r="T118" s="49" t="s">
        <v>63</v>
      </c>
      <c r="U118" s="6" t="s">
        <v>3252</v>
      </c>
      <c r="V118" s="49"/>
      <c r="W118" s="65">
        <v>3.46</v>
      </c>
      <c r="X118" s="49" t="s">
        <v>16774</v>
      </c>
      <c r="Y118" s="49" t="s">
        <v>355</v>
      </c>
      <c r="Z118" s="49" t="s">
        <v>2190</v>
      </c>
      <c r="AA118" s="65">
        <v>0.7</v>
      </c>
      <c r="AB118" s="39">
        <v>41155</v>
      </c>
      <c r="AC118" s="84" t="s">
        <v>16772</v>
      </c>
      <c r="AD118" s="53" t="str">
        <f t="shared" ref="AD118:AD121" si="97">HYPERLINK("https://www.trnty.edu/academics/search-majors-and-minors/","Link")</f>
        <v>Link</v>
      </c>
      <c r="AE118" s="42">
        <v>1193</v>
      </c>
      <c r="AF118" s="55"/>
      <c r="AG118" s="85"/>
      <c r="AH118" s="56">
        <v>149505</v>
      </c>
      <c r="AI118" s="85"/>
    </row>
    <row r="119" spans="1:35" ht="13" x14ac:dyDescent="0.15">
      <c r="A119" s="7"/>
      <c r="B119" s="31" t="s">
        <v>1705</v>
      </c>
      <c r="C119" s="2" t="s">
        <v>15218</v>
      </c>
      <c r="D119" s="7" t="s">
        <v>16777</v>
      </c>
      <c r="E119" s="37">
        <v>5</v>
      </c>
      <c r="F119" s="48"/>
      <c r="G119" s="48"/>
      <c r="H119" s="2" t="s">
        <v>16762</v>
      </c>
      <c r="I119" s="2" t="s">
        <v>361</v>
      </c>
      <c r="J119" s="2" t="s">
        <v>16780</v>
      </c>
      <c r="K119" s="2" t="s">
        <v>55</v>
      </c>
      <c r="L119" s="2"/>
      <c r="M119" s="6"/>
      <c r="N119" s="45" t="str">
        <f t="shared" si="95"/>
        <v>@trollssoftball</v>
      </c>
      <c r="O119" s="114" t="str">
        <f t="shared" si="96"/>
        <v>Questionnaire</v>
      </c>
      <c r="P119" s="48" t="s">
        <v>16772</v>
      </c>
      <c r="Q119" s="60" t="s">
        <v>1721</v>
      </c>
      <c r="R119" s="48" t="s">
        <v>16773</v>
      </c>
      <c r="S119" s="48" t="s">
        <v>172</v>
      </c>
      <c r="T119" s="49" t="s">
        <v>63</v>
      </c>
      <c r="U119" s="6" t="s">
        <v>3252</v>
      </c>
      <c r="V119" s="49"/>
      <c r="W119" s="65">
        <v>3.46</v>
      </c>
      <c r="X119" s="49" t="s">
        <v>16774</v>
      </c>
      <c r="Y119" s="49" t="s">
        <v>355</v>
      </c>
      <c r="Z119" s="49" t="s">
        <v>2190</v>
      </c>
      <c r="AA119" s="65">
        <v>0.7</v>
      </c>
      <c r="AB119" s="39">
        <v>41155</v>
      </c>
      <c r="AC119" s="84" t="s">
        <v>16772</v>
      </c>
      <c r="AD119" s="53" t="str">
        <f t="shared" si="97"/>
        <v>Link</v>
      </c>
      <c r="AE119" s="42">
        <v>1193</v>
      </c>
      <c r="AF119" s="55"/>
      <c r="AG119" s="85"/>
      <c r="AH119" s="56">
        <v>149505</v>
      </c>
      <c r="AI119" s="85"/>
    </row>
    <row r="120" spans="1:35" ht="13" x14ac:dyDescent="0.15">
      <c r="A120" s="7"/>
      <c r="B120" s="31" t="s">
        <v>1705</v>
      </c>
      <c r="C120" s="2" t="s">
        <v>15218</v>
      </c>
      <c r="D120" s="7" t="s">
        <v>16784</v>
      </c>
      <c r="E120" s="37">
        <v>5</v>
      </c>
      <c r="F120" s="48"/>
      <c r="G120" s="48"/>
      <c r="H120" s="2" t="s">
        <v>16762</v>
      </c>
      <c r="I120" s="2" t="s">
        <v>1374</v>
      </c>
      <c r="J120" s="2" t="s">
        <v>16785</v>
      </c>
      <c r="K120" s="2" t="s">
        <v>55</v>
      </c>
      <c r="L120" s="2"/>
      <c r="M120" s="6"/>
      <c r="N120" s="45" t="str">
        <f t="shared" si="95"/>
        <v>@trollssoftball</v>
      </c>
      <c r="O120" s="114" t="str">
        <f t="shared" si="96"/>
        <v>Questionnaire</v>
      </c>
      <c r="P120" s="48" t="s">
        <v>16772</v>
      </c>
      <c r="Q120" s="60" t="s">
        <v>1721</v>
      </c>
      <c r="R120" s="48" t="s">
        <v>16773</v>
      </c>
      <c r="S120" s="48" t="s">
        <v>172</v>
      </c>
      <c r="T120" s="49" t="s">
        <v>63</v>
      </c>
      <c r="U120" s="6" t="s">
        <v>3252</v>
      </c>
      <c r="V120" s="49"/>
      <c r="W120" s="65">
        <v>3.46</v>
      </c>
      <c r="X120" s="49" t="s">
        <v>16774</v>
      </c>
      <c r="Y120" s="49" t="s">
        <v>355</v>
      </c>
      <c r="Z120" s="49" t="s">
        <v>2190</v>
      </c>
      <c r="AA120" s="65">
        <v>0.7</v>
      </c>
      <c r="AB120" s="39">
        <v>41155</v>
      </c>
      <c r="AC120" s="84" t="s">
        <v>16772</v>
      </c>
      <c r="AD120" s="53" t="str">
        <f t="shared" si="97"/>
        <v>Link</v>
      </c>
      <c r="AE120" s="42">
        <v>1193</v>
      </c>
      <c r="AF120" s="55"/>
      <c r="AG120" s="85"/>
      <c r="AH120" s="56">
        <v>149505</v>
      </c>
      <c r="AI120" s="85"/>
    </row>
    <row r="121" spans="1:35" ht="13" x14ac:dyDescent="0.15">
      <c r="A121" s="7"/>
      <c r="B121" s="31" t="s">
        <v>1705</v>
      </c>
      <c r="C121" s="2" t="s">
        <v>15218</v>
      </c>
      <c r="D121" s="7" t="s">
        <v>16788</v>
      </c>
      <c r="E121" s="37">
        <v>5</v>
      </c>
      <c r="F121" s="48"/>
      <c r="G121" s="48"/>
      <c r="H121" s="2" t="s">
        <v>16762</v>
      </c>
      <c r="I121" s="2" t="s">
        <v>16789</v>
      </c>
      <c r="J121" s="2" t="s">
        <v>5713</v>
      </c>
      <c r="K121" s="2" t="s">
        <v>55</v>
      </c>
      <c r="L121" s="2"/>
      <c r="M121" s="6"/>
      <c r="N121" s="45" t="str">
        <f t="shared" si="95"/>
        <v>@trollssoftball</v>
      </c>
      <c r="O121" s="114" t="str">
        <f t="shared" si="96"/>
        <v>Questionnaire</v>
      </c>
      <c r="P121" s="48" t="s">
        <v>16772</v>
      </c>
      <c r="Q121" s="60" t="s">
        <v>1721</v>
      </c>
      <c r="R121" s="48" t="s">
        <v>16773</v>
      </c>
      <c r="S121" s="48" t="s">
        <v>172</v>
      </c>
      <c r="T121" s="49" t="s">
        <v>63</v>
      </c>
      <c r="U121" s="6" t="s">
        <v>3252</v>
      </c>
      <c r="V121" s="49"/>
      <c r="W121" s="65">
        <v>3.46</v>
      </c>
      <c r="X121" s="49" t="s">
        <v>16774</v>
      </c>
      <c r="Y121" s="49" t="s">
        <v>355</v>
      </c>
      <c r="Z121" s="49" t="s">
        <v>2190</v>
      </c>
      <c r="AA121" s="65">
        <v>0.7</v>
      </c>
      <c r="AB121" s="39">
        <v>41155</v>
      </c>
      <c r="AC121" s="84" t="s">
        <v>16772</v>
      </c>
      <c r="AD121" s="53" t="str">
        <f t="shared" si="97"/>
        <v>Link</v>
      </c>
      <c r="AE121" s="42">
        <v>1193</v>
      </c>
      <c r="AF121" s="55"/>
      <c r="AG121" s="85"/>
      <c r="AH121" s="56">
        <v>149505</v>
      </c>
      <c r="AI121" s="85"/>
    </row>
    <row r="122" spans="1:35" ht="13" x14ac:dyDescent="0.15">
      <c r="A122" s="7"/>
      <c r="B122" s="31" t="s">
        <v>1705</v>
      </c>
      <c r="C122" s="2" t="s">
        <v>15218</v>
      </c>
      <c r="D122" s="7" t="s">
        <v>16792</v>
      </c>
      <c r="E122" s="37">
        <v>5</v>
      </c>
      <c r="F122" s="48"/>
      <c r="G122" s="48"/>
      <c r="H122" s="2" t="s">
        <v>16794</v>
      </c>
      <c r="I122" s="2" t="s">
        <v>16796</v>
      </c>
      <c r="J122" s="2" t="s">
        <v>16798</v>
      </c>
      <c r="K122" s="2" t="s">
        <v>48</v>
      </c>
      <c r="L122" s="2" t="s">
        <v>16802</v>
      </c>
      <c r="M122" s="6" t="s">
        <v>16803</v>
      </c>
      <c r="N122" s="45" t="str">
        <f t="shared" ref="N122:N124" si="98">HYPERLINK("twitter.com/tiutrojans","@tiutrojans")</f>
        <v>@tiutrojans</v>
      </c>
      <c r="O122" s="114" t="str">
        <f t="shared" ref="O122:O124" si="99">HYPERLINK("https://tiutrojans.com/sb_output.aspx?form=3","Questionnaire")</f>
        <v>Questionnaire</v>
      </c>
      <c r="P122" s="48" t="s">
        <v>16809</v>
      </c>
      <c r="Q122" s="60" t="s">
        <v>1721</v>
      </c>
      <c r="R122" s="48" t="s">
        <v>16810</v>
      </c>
      <c r="S122" s="48" t="s">
        <v>172</v>
      </c>
      <c r="T122" s="49" t="s">
        <v>63</v>
      </c>
      <c r="U122" s="6" t="s">
        <v>16811</v>
      </c>
      <c r="V122" s="49"/>
      <c r="W122" s="65">
        <v>3.26</v>
      </c>
      <c r="X122" s="49" t="s">
        <v>1029</v>
      </c>
      <c r="Y122" s="49" t="s">
        <v>10418</v>
      </c>
      <c r="Z122" s="49" t="s">
        <v>2190</v>
      </c>
      <c r="AA122" s="65">
        <v>0.6</v>
      </c>
      <c r="AB122" s="39">
        <v>43360</v>
      </c>
      <c r="AC122" s="84" t="s">
        <v>16809</v>
      </c>
      <c r="AD122" s="53" t="str">
        <f t="shared" ref="AD122:AD124" si="100">HYPERLINK("https://www.tiu.edu/degrees-majors/","Link")</f>
        <v>Link</v>
      </c>
      <c r="AE122" s="42">
        <v>881</v>
      </c>
      <c r="AF122" s="55"/>
      <c r="AG122" s="85"/>
      <c r="AH122" s="56">
        <v>149514</v>
      </c>
      <c r="AI122" s="7"/>
    </row>
    <row r="123" spans="1:35" ht="13" x14ac:dyDescent="0.15">
      <c r="A123" s="7"/>
      <c r="B123" s="31" t="s">
        <v>1705</v>
      </c>
      <c r="C123" s="2" t="s">
        <v>15218</v>
      </c>
      <c r="D123" s="7" t="s">
        <v>16815</v>
      </c>
      <c r="E123" s="37">
        <v>5</v>
      </c>
      <c r="F123" s="48"/>
      <c r="G123" s="48"/>
      <c r="H123" s="2" t="s">
        <v>16794</v>
      </c>
      <c r="I123" s="2" t="s">
        <v>3235</v>
      </c>
      <c r="J123" s="2" t="s">
        <v>16816</v>
      </c>
      <c r="K123" s="2" t="s">
        <v>55</v>
      </c>
      <c r="L123" s="2" t="s">
        <v>16818</v>
      </c>
      <c r="M123" s="6" t="s">
        <v>16819</v>
      </c>
      <c r="N123" s="45" t="str">
        <f t="shared" si="98"/>
        <v>@tiutrojans</v>
      </c>
      <c r="O123" s="114" t="str">
        <f t="shared" si="99"/>
        <v>Questionnaire</v>
      </c>
      <c r="P123" s="48" t="s">
        <v>16809</v>
      </c>
      <c r="Q123" s="60" t="s">
        <v>1721</v>
      </c>
      <c r="R123" s="48" t="s">
        <v>16810</v>
      </c>
      <c r="S123" s="48" t="s">
        <v>172</v>
      </c>
      <c r="T123" s="49" t="s">
        <v>63</v>
      </c>
      <c r="U123" s="6" t="s">
        <v>16811</v>
      </c>
      <c r="V123" s="49"/>
      <c r="W123" s="65">
        <v>3.26</v>
      </c>
      <c r="X123" s="49" t="s">
        <v>1029</v>
      </c>
      <c r="Y123" s="49" t="s">
        <v>10418</v>
      </c>
      <c r="Z123" s="49" t="s">
        <v>2190</v>
      </c>
      <c r="AA123" s="65">
        <v>0.6</v>
      </c>
      <c r="AB123" s="39">
        <v>43360</v>
      </c>
      <c r="AC123" s="84" t="s">
        <v>16809</v>
      </c>
      <c r="AD123" s="53" t="str">
        <f t="shared" si="100"/>
        <v>Link</v>
      </c>
      <c r="AE123" s="42">
        <v>881</v>
      </c>
      <c r="AF123" s="55"/>
      <c r="AG123" s="85"/>
      <c r="AH123" s="56">
        <v>149514</v>
      </c>
      <c r="AI123" s="85"/>
    </row>
    <row r="124" spans="1:35" ht="13" x14ac:dyDescent="0.15">
      <c r="A124" s="7"/>
      <c r="B124" s="31" t="s">
        <v>1705</v>
      </c>
      <c r="C124" s="2" t="s">
        <v>15218</v>
      </c>
      <c r="D124" s="7" t="s">
        <v>16821</v>
      </c>
      <c r="E124" s="37">
        <v>5</v>
      </c>
      <c r="F124" s="48"/>
      <c r="G124" s="48"/>
      <c r="H124" s="2" t="s">
        <v>16794</v>
      </c>
      <c r="I124" s="2" t="s">
        <v>2790</v>
      </c>
      <c r="J124" s="2" t="s">
        <v>16823</v>
      </c>
      <c r="K124" s="2" t="s">
        <v>55</v>
      </c>
      <c r="L124" s="2"/>
      <c r="M124" s="6"/>
      <c r="N124" s="45" t="str">
        <f t="shared" si="98"/>
        <v>@tiutrojans</v>
      </c>
      <c r="O124" s="114" t="str">
        <f t="shared" si="99"/>
        <v>Questionnaire</v>
      </c>
      <c r="P124" s="48" t="s">
        <v>16809</v>
      </c>
      <c r="Q124" s="60" t="s">
        <v>1721</v>
      </c>
      <c r="R124" s="48" t="s">
        <v>16810</v>
      </c>
      <c r="S124" s="48" t="s">
        <v>172</v>
      </c>
      <c r="T124" s="49" t="s">
        <v>63</v>
      </c>
      <c r="U124" s="6" t="s">
        <v>16811</v>
      </c>
      <c r="V124" s="49"/>
      <c r="W124" s="65">
        <v>3.26</v>
      </c>
      <c r="X124" s="49" t="s">
        <v>1029</v>
      </c>
      <c r="Y124" s="49" t="s">
        <v>10418</v>
      </c>
      <c r="Z124" s="49" t="s">
        <v>2190</v>
      </c>
      <c r="AA124" s="65">
        <v>0.6</v>
      </c>
      <c r="AB124" s="39">
        <v>43360</v>
      </c>
      <c r="AC124" s="84" t="s">
        <v>16809</v>
      </c>
      <c r="AD124" s="53" t="str">
        <f t="shared" si="100"/>
        <v>Link</v>
      </c>
      <c r="AE124" s="42">
        <v>881</v>
      </c>
      <c r="AF124" s="55"/>
      <c r="AG124" s="85"/>
      <c r="AH124" s="56">
        <v>149514</v>
      </c>
      <c r="AI124" s="85"/>
    </row>
    <row r="125" spans="1:35" ht="15" x14ac:dyDescent="0.2">
      <c r="A125" s="7"/>
      <c r="B125" s="31" t="s">
        <v>2602</v>
      </c>
      <c r="C125" s="2" t="s">
        <v>15218</v>
      </c>
      <c r="D125" s="7" t="s">
        <v>16825</v>
      </c>
      <c r="E125" s="37">
        <v>5</v>
      </c>
      <c r="F125" s="48"/>
      <c r="G125" s="48"/>
      <c r="H125" s="2" t="s">
        <v>16826</v>
      </c>
      <c r="I125" s="2" t="s">
        <v>2031</v>
      </c>
      <c r="J125" s="2" t="s">
        <v>717</v>
      </c>
      <c r="K125" s="2" t="s">
        <v>48</v>
      </c>
      <c r="L125" s="95" t="s">
        <v>16828</v>
      </c>
      <c r="M125" s="6" t="s">
        <v>16829</v>
      </c>
      <c r="N125" s="45" t="str">
        <f t="shared" ref="N125:N127" si="101">HYPERLINK("twitter.com/bethelsoftball","@bethelsoftball")</f>
        <v>@bethelsoftball</v>
      </c>
      <c r="O125" s="114" t="str">
        <f t="shared" ref="O125:O127" si="102">HYPERLINK("http://www.bupilots.com/RecruitingForm","Questionnaire")</f>
        <v>Questionnaire</v>
      </c>
      <c r="P125" s="108" t="s">
        <v>16833</v>
      </c>
      <c r="Q125" s="60" t="s">
        <v>1151</v>
      </c>
      <c r="R125" s="48" t="s">
        <v>16835</v>
      </c>
      <c r="S125" s="48" t="s">
        <v>468</v>
      </c>
      <c r="T125" s="49" t="s">
        <v>63</v>
      </c>
      <c r="U125" s="6" t="s">
        <v>16838</v>
      </c>
      <c r="V125" s="49"/>
      <c r="W125" s="65">
        <v>3.41</v>
      </c>
      <c r="X125" s="49" t="s">
        <v>396</v>
      </c>
      <c r="Y125" s="49" t="s">
        <v>1648</v>
      </c>
      <c r="Z125" s="49" t="s">
        <v>1994</v>
      </c>
      <c r="AA125" s="38">
        <v>0.97770000000000001</v>
      </c>
      <c r="AB125" s="39">
        <v>38660</v>
      </c>
      <c r="AC125" s="52" t="s">
        <v>16833</v>
      </c>
      <c r="AD125" s="53" t="str">
        <f t="shared" ref="AD125:AD127" si="103">HYPERLINK("https://www.bethel.edu/undergrad/academics/majors-minors","Link")</f>
        <v>Link</v>
      </c>
      <c r="AE125" s="42">
        <v>1388</v>
      </c>
      <c r="AF125" s="55"/>
      <c r="AG125" s="85"/>
      <c r="AH125" s="56">
        <v>150145</v>
      </c>
      <c r="AI125" s="85"/>
    </row>
    <row r="126" spans="1:35" ht="15" x14ac:dyDescent="0.2">
      <c r="A126" s="7"/>
      <c r="B126" s="31" t="s">
        <v>2602</v>
      </c>
      <c r="C126" s="2" t="s">
        <v>15218</v>
      </c>
      <c r="D126" s="7" t="s">
        <v>16844</v>
      </c>
      <c r="E126" s="37">
        <v>5</v>
      </c>
      <c r="F126" s="48"/>
      <c r="G126" s="48"/>
      <c r="H126" s="2" t="s">
        <v>16826</v>
      </c>
      <c r="I126" s="2" t="s">
        <v>16845</v>
      </c>
      <c r="J126" s="2" t="s">
        <v>717</v>
      </c>
      <c r="K126" s="2" t="s">
        <v>55</v>
      </c>
      <c r="L126" s="158" t="s">
        <v>16846</v>
      </c>
      <c r="M126" s="6"/>
      <c r="N126" s="45" t="str">
        <f t="shared" si="101"/>
        <v>@bethelsoftball</v>
      </c>
      <c r="O126" s="114" t="str">
        <f t="shared" si="102"/>
        <v>Questionnaire</v>
      </c>
      <c r="P126" s="108" t="s">
        <v>16833</v>
      </c>
      <c r="Q126" s="60" t="s">
        <v>1151</v>
      </c>
      <c r="R126" s="48" t="s">
        <v>16835</v>
      </c>
      <c r="S126" s="48" t="s">
        <v>468</v>
      </c>
      <c r="T126" s="49" t="s">
        <v>63</v>
      </c>
      <c r="U126" s="6" t="s">
        <v>16838</v>
      </c>
      <c r="V126" s="49"/>
      <c r="W126" s="65">
        <v>3.41</v>
      </c>
      <c r="X126" s="49" t="s">
        <v>396</v>
      </c>
      <c r="Y126" s="49" t="s">
        <v>1648</v>
      </c>
      <c r="Z126" s="49" t="s">
        <v>1994</v>
      </c>
      <c r="AA126" s="38">
        <v>0.97770000000000001</v>
      </c>
      <c r="AB126" s="39">
        <v>38660</v>
      </c>
      <c r="AC126" s="52" t="s">
        <v>16833</v>
      </c>
      <c r="AD126" s="53" t="str">
        <f t="shared" si="103"/>
        <v>Link</v>
      </c>
      <c r="AE126" s="42">
        <v>1388</v>
      </c>
      <c r="AF126" s="55"/>
      <c r="AG126" s="85"/>
      <c r="AH126" s="56">
        <v>150145</v>
      </c>
      <c r="AI126" s="85"/>
    </row>
    <row r="127" spans="1:35" ht="15" x14ac:dyDescent="0.2">
      <c r="A127" s="7"/>
      <c r="B127" s="31" t="s">
        <v>2602</v>
      </c>
      <c r="C127" s="2" t="s">
        <v>15218</v>
      </c>
      <c r="D127" s="7" t="s">
        <v>16844</v>
      </c>
      <c r="E127" s="37">
        <v>5</v>
      </c>
      <c r="F127" s="48"/>
      <c r="G127" s="48"/>
      <c r="H127" s="2" t="s">
        <v>16826</v>
      </c>
      <c r="I127" s="2" t="s">
        <v>4010</v>
      </c>
      <c r="J127" s="2" t="s">
        <v>7082</v>
      </c>
      <c r="K127" s="2" t="s">
        <v>120</v>
      </c>
      <c r="L127" s="89" t="s">
        <v>16864</v>
      </c>
      <c r="M127" s="6"/>
      <c r="N127" s="45" t="str">
        <f t="shared" si="101"/>
        <v>@bethelsoftball</v>
      </c>
      <c r="O127" s="114" t="str">
        <f t="shared" si="102"/>
        <v>Questionnaire</v>
      </c>
      <c r="P127" s="108" t="s">
        <v>16833</v>
      </c>
      <c r="Q127" s="60" t="s">
        <v>1151</v>
      </c>
      <c r="R127" s="48" t="s">
        <v>16835</v>
      </c>
      <c r="S127" s="48" t="s">
        <v>468</v>
      </c>
      <c r="T127" s="49" t="s">
        <v>63</v>
      </c>
      <c r="U127" s="6" t="s">
        <v>16838</v>
      </c>
      <c r="V127" s="49"/>
      <c r="W127" s="65">
        <v>3.41</v>
      </c>
      <c r="X127" s="49" t="s">
        <v>396</v>
      </c>
      <c r="Y127" s="49" t="s">
        <v>1648</v>
      </c>
      <c r="Z127" s="49" t="s">
        <v>1994</v>
      </c>
      <c r="AA127" s="38">
        <v>0.97770000000000001</v>
      </c>
      <c r="AB127" s="39">
        <v>38660</v>
      </c>
      <c r="AC127" s="52" t="s">
        <v>16833</v>
      </c>
      <c r="AD127" s="53" t="str">
        <f t="shared" si="103"/>
        <v>Link</v>
      </c>
      <c r="AE127" s="42">
        <v>1388</v>
      </c>
      <c r="AF127" s="55"/>
      <c r="AG127" s="85"/>
      <c r="AH127" s="56">
        <v>150145</v>
      </c>
      <c r="AI127" s="85"/>
    </row>
    <row r="128" spans="1:35" ht="15" x14ac:dyDescent="0.2">
      <c r="A128" s="7"/>
      <c r="B128" s="31" t="s">
        <v>2602</v>
      </c>
      <c r="C128" s="2" t="s">
        <v>15218</v>
      </c>
      <c r="D128" s="7" t="s">
        <v>16871</v>
      </c>
      <c r="E128" s="37">
        <v>5</v>
      </c>
      <c r="F128" s="48"/>
      <c r="G128" s="48"/>
      <c r="H128" s="2" t="s">
        <v>16873</v>
      </c>
      <c r="I128" s="2" t="s">
        <v>329</v>
      </c>
      <c r="J128" s="2" t="s">
        <v>5757</v>
      </c>
      <c r="K128" s="2" t="s">
        <v>48</v>
      </c>
      <c r="L128" s="2" t="s">
        <v>16875</v>
      </c>
      <c r="M128" s="6" t="s">
        <v>16876</v>
      </c>
      <c r="N128" s="45" t="str">
        <f>HYPERLINK("twitter.com/ccsjsoftball","@ccsjsoftball")</f>
        <v>@ccsjsoftball</v>
      </c>
      <c r="O128" s="114" t="str">
        <f t="shared" ref="O128:O131" si="104">HYPERLINK("http://www.ccsjathletics.com/recruiting.php","Questionnaire")</f>
        <v>Questionnaire</v>
      </c>
      <c r="P128" s="108" t="s">
        <v>16883</v>
      </c>
      <c r="Q128" s="60" t="s">
        <v>1151</v>
      </c>
      <c r="R128" s="48" t="s">
        <v>16884</v>
      </c>
      <c r="S128" s="60" t="s">
        <v>205</v>
      </c>
      <c r="T128" s="49" t="s">
        <v>63</v>
      </c>
      <c r="U128" s="6" t="s">
        <v>343</v>
      </c>
      <c r="V128" s="49"/>
      <c r="W128" s="65">
        <v>2.63</v>
      </c>
      <c r="X128" s="49" t="s">
        <v>5921</v>
      </c>
      <c r="Y128" s="49" t="s">
        <v>16145</v>
      </c>
      <c r="Z128" s="49" t="s">
        <v>612</v>
      </c>
      <c r="AA128" s="65">
        <v>0.35</v>
      </c>
      <c r="AB128" s="39">
        <v>27020</v>
      </c>
      <c r="AC128" s="52" t="s">
        <v>16883</v>
      </c>
      <c r="AD128" s="53" t="str">
        <f t="shared" ref="AD128:AD131" si="105">HYPERLINK("https://www.ccsj.edu/Academics/Index.html","Link")</f>
        <v>Link</v>
      </c>
      <c r="AE128" s="42">
        <v>784</v>
      </c>
      <c r="AF128" s="55"/>
      <c r="AG128" s="85"/>
      <c r="AH128" s="56">
        <v>150172</v>
      </c>
      <c r="AI128" s="85"/>
    </row>
    <row r="129" spans="1:41" ht="15" x14ac:dyDescent="0.2">
      <c r="A129" s="7"/>
      <c r="B129" s="31" t="s">
        <v>2602</v>
      </c>
      <c r="C129" s="2" t="s">
        <v>15218</v>
      </c>
      <c r="D129" s="7" t="s">
        <v>16889</v>
      </c>
      <c r="E129" s="37">
        <v>5</v>
      </c>
      <c r="F129" s="48"/>
      <c r="G129" s="48"/>
      <c r="H129" s="2" t="s">
        <v>16873</v>
      </c>
      <c r="I129" s="2" t="s">
        <v>981</v>
      </c>
      <c r="J129" s="2" t="s">
        <v>16890</v>
      </c>
      <c r="K129" s="2" t="s">
        <v>55</v>
      </c>
      <c r="L129" s="2" t="s">
        <v>16891</v>
      </c>
      <c r="M129" s="6" t="s">
        <v>16892</v>
      </c>
      <c r="N129" s="48"/>
      <c r="O129" s="114" t="str">
        <f t="shared" si="104"/>
        <v>Questionnaire</v>
      </c>
      <c r="P129" s="108" t="s">
        <v>16883</v>
      </c>
      <c r="Q129" s="60" t="s">
        <v>1151</v>
      </c>
      <c r="R129" s="48" t="s">
        <v>16884</v>
      </c>
      <c r="S129" s="60" t="s">
        <v>205</v>
      </c>
      <c r="T129" s="49" t="s">
        <v>63</v>
      </c>
      <c r="U129" s="6" t="s">
        <v>343</v>
      </c>
      <c r="V129" s="49"/>
      <c r="W129" s="65">
        <v>2.63</v>
      </c>
      <c r="X129" s="49" t="s">
        <v>5921</v>
      </c>
      <c r="Y129" s="49" t="s">
        <v>16145</v>
      </c>
      <c r="Z129" s="49" t="s">
        <v>612</v>
      </c>
      <c r="AA129" s="65">
        <v>0.35</v>
      </c>
      <c r="AB129" s="39">
        <v>27020</v>
      </c>
      <c r="AC129" s="52" t="s">
        <v>16883</v>
      </c>
      <c r="AD129" s="53" t="str">
        <f t="shared" si="105"/>
        <v>Link</v>
      </c>
      <c r="AE129" s="42">
        <v>784</v>
      </c>
      <c r="AF129" s="55"/>
      <c r="AG129" s="85"/>
      <c r="AH129" s="56">
        <v>150172</v>
      </c>
      <c r="AI129" s="85"/>
    </row>
    <row r="130" spans="1:41" ht="15" x14ac:dyDescent="0.2">
      <c r="A130" s="7"/>
      <c r="B130" s="31" t="s">
        <v>2602</v>
      </c>
      <c r="C130" s="2" t="s">
        <v>15218</v>
      </c>
      <c r="D130" s="7" t="s">
        <v>16896</v>
      </c>
      <c r="E130" s="37">
        <v>5</v>
      </c>
      <c r="F130" s="48"/>
      <c r="G130" s="48"/>
      <c r="H130" s="2" t="s">
        <v>16873</v>
      </c>
      <c r="I130" s="2" t="s">
        <v>2829</v>
      </c>
      <c r="J130" s="2" t="s">
        <v>5696</v>
      </c>
      <c r="K130" s="2" t="s">
        <v>55</v>
      </c>
      <c r="L130" s="2" t="s">
        <v>16898</v>
      </c>
      <c r="M130" s="6" t="s">
        <v>16899</v>
      </c>
      <c r="N130" s="48"/>
      <c r="O130" s="114" t="str">
        <f t="shared" si="104"/>
        <v>Questionnaire</v>
      </c>
      <c r="P130" s="108" t="s">
        <v>16883</v>
      </c>
      <c r="Q130" s="60" t="s">
        <v>1151</v>
      </c>
      <c r="R130" s="48" t="s">
        <v>16884</v>
      </c>
      <c r="S130" s="60" t="s">
        <v>205</v>
      </c>
      <c r="T130" s="49" t="s">
        <v>63</v>
      </c>
      <c r="U130" s="6" t="s">
        <v>343</v>
      </c>
      <c r="V130" s="49"/>
      <c r="W130" s="65">
        <v>2.63</v>
      </c>
      <c r="X130" s="49" t="s">
        <v>5921</v>
      </c>
      <c r="Y130" s="49" t="s">
        <v>16145</v>
      </c>
      <c r="Z130" s="49" t="s">
        <v>612</v>
      </c>
      <c r="AA130" s="65">
        <v>0.35</v>
      </c>
      <c r="AB130" s="39">
        <v>27020</v>
      </c>
      <c r="AC130" s="52" t="s">
        <v>16883</v>
      </c>
      <c r="AD130" s="53" t="str">
        <f t="shared" si="105"/>
        <v>Link</v>
      </c>
      <c r="AE130" s="42">
        <v>784</v>
      </c>
      <c r="AF130" s="55"/>
      <c r="AG130" s="85"/>
      <c r="AH130" s="56">
        <v>150172</v>
      </c>
      <c r="AI130" s="85"/>
    </row>
    <row r="131" spans="1:41" ht="15" x14ac:dyDescent="0.2">
      <c r="A131" s="7"/>
      <c r="B131" s="31" t="s">
        <v>2602</v>
      </c>
      <c r="C131" s="2" t="s">
        <v>15218</v>
      </c>
      <c r="D131" s="7" t="s">
        <v>16904</v>
      </c>
      <c r="E131" s="37">
        <v>5</v>
      </c>
      <c r="F131" s="48"/>
      <c r="G131" s="48"/>
      <c r="H131" s="2" t="s">
        <v>16873</v>
      </c>
      <c r="I131" s="2" t="s">
        <v>1280</v>
      </c>
      <c r="J131" s="2" t="s">
        <v>6038</v>
      </c>
      <c r="K131" s="2" t="s">
        <v>55</v>
      </c>
      <c r="L131" s="2" t="s">
        <v>16906</v>
      </c>
      <c r="M131" s="6"/>
      <c r="N131" s="48"/>
      <c r="O131" s="114" t="str">
        <f t="shared" si="104"/>
        <v>Questionnaire</v>
      </c>
      <c r="P131" s="108" t="s">
        <v>16883</v>
      </c>
      <c r="Q131" s="60" t="s">
        <v>1151</v>
      </c>
      <c r="R131" s="48" t="s">
        <v>16884</v>
      </c>
      <c r="S131" s="60" t="s">
        <v>205</v>
      </c>
      <c r="T131" s="49" t="s">
        <v>63</v>
      </c>
      <c r="U131" s="6" t="s">
        <v>343</v>
      </c>
      <c r="V131" s="49"/>
      <c r="W131" s="65">
        <v>2.63</v>
      </c>
      <c r="X131" s="49" t="s">
        <v>5921</v>
      </c>
      <c r="Y131" s="49" t="s">
        <v>16145</v>
      </c>
      <c r="Z131" s="49" t="s">
        <v>612</v>
      </c>
      <c r="AA131" s="65">
        <v>0.35</v>
      </c>
      <c r="AB131" s="39">
        <v>27020</v>
      </c>
      <c r="AC131" s="52" t="s">
        <v>16883</v>
      </c>
      <c r="AD131" s="53" t="str">
        <f t="shared" si="105"/>
        <v>Link</v>
      </c>
      <c r="AE131" s="42">
        <v>784</v>
      </c>
      <c r="AF131" s="55"/>
      <c r="AG131" s="85"/>
      <c r="AH131" s="56">
        <v>150172</v>
      </c>
      <c r="AI131" s="85"/>
    </row>
    <row r="132" spans="1:41" ht="13" x14ac:dyDescent="0.15">
      <c r="A132" s="7"/>
      <c r="B132" s="31" t="s">
        <v>2602</v>
      </c>
      <c r="C132" s="2" t="s">
        <v>15218</v>
      </c>
      <c r="D132" s="7"/>
      <c r="E132" s="37">
        <v>5</v>
      </c>
      <c r="F132" s="7"/>
      <c r="G132" s="7"/>
      <c r="H132" s="2" t="s">
        <v>16913</v>
      </c>
      <c r="I132" s="2" t="s">
        <v>16914</v>
      </c>
      <c r="J132" s="2" t="s">
        <v>16915</v>
      </c>
      <c r="K132" s="2" t="s">
        <v>48</v>
      </c>
      <c r="L132" s="2" t="s">
        <v>16916</v>
      </c>
      <c r="M132" s="6" t="s">
        <v>16917</v>
      </c>
      <c r="N132" s="45" t="str">
        <f t="shared" ref="N132:N133" si="106">HYPERLINK("twitter.com/gcmapleleafs_sb","@gcmapleleafs_sb")</f>
        <v>@gcmapleleafs_sb</v>
      </c>
      <c r="O132" s="114" t="str">
        <f t="shared" ref="O132:O133" si="107">HYPERLINK("http://www.goleafs.net/Recruiting/Recruiting_Process","Questionnaire")</f>
        <v>Questionnaire</v>
      </c>
      <c r="P132" s="48" t="s">
        <v>16922</v>
      </c>
      <c r="Q132" s="60" t="s">
        <v>1151</v>
      </c>
      <c r="R132" s="48" t="s">
        <v>16922</v>
      </c>
      <c r="S132" s="48" t="s">
        <v>468</v>
      </c>
      <c r="T132" s="49" t="s">
        <v>63</v>
      </c>
      <c r="U132" s="6" t="s">
        <v>11123</v>
      </c>
      <c r="V132" s="49"/>
      <c r="W132" s="65">
        <v>3.46</v>
      </c>
      <c r="X132" s="49" t="s">
        <v>16924</v>
      </c>
      <c r="Y132" s="49" t="s">
        <v>16925</v>
      </c>
      <c r="Z132" s="49" t="s">
        <v>958</v>
      </c>
      <c r="AA132" s="65">
        <v>0.62</v>
      </c>
      <c r="AB132" s="39">
        <v>46300</v>
      </c>
      <c r="AC132" s="84" t="s">
        <v>16922</v>
      </c>
      <c r="AD132" s="53" t="str">
        <f t="shared" ref="AD132:AD133" si="108">HYPERLINK("https://www.goshen.edu/academics/majors-minors/","Link")</f>
        <v>Link</v>
      </c>
      <c r="AE132" s="42">
        <v>800</v>
      </c>
      <c r="AF132" s="55"/>
      <c r="AG132" s="85"/>
      <c r="AH132" s="56">
        <v>150668</v>
      </c>
      <c r="AI132" s="85" t="s">
        <v>2459</v>
      </c>
      <c r="AJ132" s="7"/>
      <c r="AK132" s="7"/>
      <c r="AL132" s="7"/>
      <c r="AM132" s="7"/>
      <c r="AN132" s="7"/>
      <c r="AO132" s="7"/>
    </row>
    <row r="133" spans="1:41" ht="13" x14ac:dyDescent="0.15">
      <c r="A133" s="7"/>
      <c r="B133" s="31" t="s">
        <v>2602</v>
      </c>
      <c r="C133" s="2" t="s">
        <v>15218</v>
      </c>
      <c r="D133" s="7"/>
      <c r="E133" s="37">
        <v>5</v>
      </c>
      <c r="F133" s="7" t="s">
        <v>116</v>
      </c>
      <c r="G133" s="7"/>
      <c r="H133" s="2" t="s">
        <v>16913</v>
      </c>
      <c r="I133" s="2" t="s">
        <v>2316</v>
      </c>
      <c r="J133" s="2" t="s">
        <v>16931</v>
      </c>
      <c r="K133" s="2" t="s">
        <v>55</v>
      </c>
      <c r="L133" s="2" t="s">
        <v>16932</v>
      </c>
      <c r="M133" s="6" t="s">
        <v>16917</v>
      </c>
      <c r="N133" s="45" t="str">
        <f t="shared" si="106"/>
        <v>@gcmapleleafs_sb</v>
      </c>
      <c r="O133" s="114" t="str">
        <f t="shared" si="107"/>
        <v>Questionnaire</v>
      </c>
      <c r="P133" s="48" t="s">
        <v>16922</v>
      </c>
      <c r="Q133" s="60" t="s">
        <v>1151</v>
      </c>
      <c r="R133" s="48" t="s">
        <v>16922</v>
      </c>
      <c r="S133" s="48" t="s">
        <v>468</v>
      </c>
      <c r="T133" s="49" t="s">
        <v>63</v>
      </c>
      <c r="U133" s="6" t="s">
        <v>11123</v>
      </c>
      <c r="V133" s="49"/>
      <c r="W133" s="65">
        <v>3.46</v>
      </c>
      <c r="X133" s="49" t="s">
        <v>16924</v>
      </c>
      <c r="Y133" s="49" t="s">
        <v>16925</v>
      </c>
      <c r="Z133" s="49" t="s">
        <v>958</v>
      </c>
      <c r="AA133" s="65">
        <v>0.62</v>
      </c>
      <c r="AB133" s="39">
        <v>46300</v>
      </c>
      <c r="AC133" s="84" t="s">
        <v>16922</v>
      </c>
      <c r="AD133" s="53" t="str">
        <f t="shared" si="108"/>
        <v>Link</v>
      </c>
      <c r="AE133" s="42">
        <v>800</v>
      </c>
      <c r="AF133" s="55"/>
      <c r="AG133" s="85"/>
      <c r="AH133" s="56">
        <v>150668</v>
      </c>
      <c r="AI133" s="85" t="s">
        <v>2459</v>
      </c>
      <c r="AJ133" s="7"/>
      <c r="AK133" s="7"/>
      <c r="AL133" s="7"/>
      <c r="AM133" s="7"/>
      <c r="AN133" s="7"/>
      <c r="AO133" s="7"/>
    </row>
    <row r="134" spans="1:41" ht="13" x14ac:dyDescent="0.15">
      <c r="A134" s="7"/>
      <c r="B134" s="31" t="s">
        <v>2602</v>
      </c>
      <c r="C134" s="2" t="s">
        <v>15218</v>
      </c>
      <c r="D134" s="7" t="s">
        <v>16935</v>
      </c>
      <c r="E134" s="37">
        <v>5</v>
      </c>
      <c r="F134" s="48"/>
      <c r="G134" s="48"/>
      <c r="H134" s="2" t="s">
        <v>16938</v>
      </c>
      <c r="I134" s="2" t="s">
        <v>539</v>
      </c>
      <c r="J134" s="2" t="s">
        <v>16940</v>
      </c>
      <c r="K134" s="2" t="s">
        <v>48</v>
      </c>
      <c r="L134" s="2" t="s">
        <v>16941</v>
      </c>
      <c r="M134" s="6" t="s">
        <v>16942</v>
      </c>
      <c r="N134" s="45" t="str">
        <f t="shared" ref="N134:N136" si="109">HYPERLINK("twitter.com/gc__softball","@gc__softball")</f>
        <v>@gc__softball</v>
      </c>
      <c r="O134" s="114" t="str">
        <f t="shared" ref="O134:O136" si="110">HYPERLINK("https://gclancers.com/sports/2013/5/16/GEN_0516135909.aspx","Questionnaire")</f>
        <v>Questionnaire</v>
      </c>
      <c r="P134" s="48" t="s">
        <v>16946</v>
      </c>
      <c r="Q134" s="60" t="s">
        <v>1151</v>
      </c>
      <c r="R134" s="48" t="s">
        <v>16947</v>
      </c>
      <c r="S134" s="60" t="s">
        <v>205</v>
      </c>
      <c r="T134" s="49" t="s">
        <v>63</v>
      </c>
      <c r="U134" s="6" t="s">
        <v>16949</v>
      </c>
      <c r="V134" s="49"/>
      <c r="W134" s="65">
        <v>3.59</v>
      </c>
      <c r="X134" s="49" t="s">
        <v>1648</v>
      </c>
      <c r="Y134" s="49" t="s">
        <v>276</v>
      </c>
      <c r="Z134" s="49" t="s">
        <v>545</v>
      </c>
      <c r="AA134" s="65">
        <v>0.79</v>
      </c>
      <c r="AB134" s="39">
        <v>33524</v>
      </c>
      <c r="AC134" s="84" t="s">
        <v>16946</v>
      </c>
      <c r="AD134" s="53" t="str">
        <f t="shared" ref="AD134:AD136" si="111">HYPERLINK("http://www.grace.edu/academics/undergraduate-majors","Link")</f>
        <v>Link</v>
      </c>
      <c r="AE134" s="42">
        <v>1901</v>
      </c>
      <c r="AF134" s="55"/>
      <c r="AG134" s="85"/>
      <c r="AH134" s="56">
        <v>150677</v>
      </c>
      <c r="AI134" s="85"/>
    </row>
    <row r="135" spans="1:41" ht="13" x14ac:dyDescent="0.15">
      <c r="A135" s="7"/>
      <c r="B135" s="31" t="s">
        <v>2602</v>
      </c>
      <c r="C135" s="2" t="s">
        <v>15218</v>
      </c>
      <c r="D135" s="7" t="s">
        <v>16957</v>
      </c>
      <c r="E135" s="37">
        <v>5</v>
      </c>
      <c r="F135" s="48"/>
      <c r="G135" s="48"/>
      <c r="H135" s="2" t="s">
        <v>16938</v>
      </c>
      <c r="I135" s="2" t="s">
        <v>1629</v>
      </c>
      <c r="J135" s="2" t="s">
        <v>16958</v>
      </c>
      <c r="K135" s="2" t="s">
        <v>55</v>
      </c>
      <c r="L135" s="2" t="s">
        <v>16959</v>
      </c>
      <c r="M135" s="6" t="s">
        <v>16942</v>
      </c>
      <c r="N135" s="45" t="str">
        <f t="shared" si="109"/>
        <v>@gc__softball</v>
      </c>
      <c r="O135" s="114" t="str">
        <f t="shared" si="110"/>
        <v>Questionnaire</v>
      </c>
      <c r="P135" s="48" t="s">
        <v>16946</v>
      </c>
      <c r="Q135" s="60" t="s">
        <v>1151</v>
      </c>
      <c r="R135" s="48" t="s">
        <v>16947</v>
      </c>
      <c r="S135" s="60" t="s">
        <v>205</v>
      </c>
      <c r="T135" s="49" t="s">
        <v>63</v>
      </c>
      <c r="U135" s="6" t="s">
        <v>16949</v>
      </c>
      <c r="V135" s="49"/>
      <c r="W135" s="65">
        <v>3.59</v>
      </c>
      <c r="X135" s="49" t="s">
        <v>1648</v>
      </c>
      <c r="Y135" s="49" t="s">
        <v>276</v>
      </c>
      <c r="Z135" s="49" t="s">
        <v>545</v>
      </c>
      <c r="AA135" s="65">
        <v>0.79</v>
      </c>
      <c r="AB135" s="39">
        <v>33524</v>
      </c>
      <c r="AC135" s="84" t="s">
        <v>16946</v>
      </c>
      <c r="AD135" s="53" t="str">
        <f t="shared" si="111"/>
        <v>Link</v>
      </c>
      <c r="AE135" s="42">
        <v>1901</v>
      </c>
      <c r="AF135" s="55"/>
      <c r="AG135" s="85"/>
      <c r="AH135" s="56">
        <v>150677</v>
      </c>
      <c r="AI135" s="85"/>
    </row>
    <row r="136" spans="1:41" ht="13" x14ac:dyDescent="0.15">
      <c r="A136" s="7"/>
      <c r="B136" s="31" t="s">
        <v>2602</v>
      </c>
      <c r="C136" s="2" t="s">
        <v>15218</v>
      </c>
      <c r="D136" s="7" t="s">
        <v>16964</v>
      </c>
      <c r="E136" s="37">
        <v>5</v>
      </c>
      <c r="F136" s="48"/>
      <c r="G136" s="48"/>
      <c r="H136" s="2" t="s">
        <v>16938</v>
      </c>
      <c r="I136" s="2" t="s">
        <v>11270</v>
      </c>
      <c r="J136" s="2" t="s">
        <v>16965</v>
      </c>
      <c r="K136" s="2" t="s">
        <v>55</v>
      </c>
      <c r="L136" s="2" t="s">
        <v>16966</v>
      </c>
      <c r="M136" s="6" t="s">
        <v>16942</v>
      </c>
      <c r="N136" s="45" t="str">
        <f t="shared" si="109"/>
        <v>@gc__softball</v>
      </c>
      <c r="O136" s="114" t="str">
        <f t="shared" si="110"/>
        <v>Questionnaire</v>
      </c>
      <c r="P136" s="48" t="s">
        <v>16946</v>
      </c>
      <c r="Q136" s="60" t="s">
        <v>1151</v>
      </c>
      <c r="R136" s="48" t="s">
        <v>16947</v>
      </c>
      <c r="S136" s="60" t="s">
        <v>205</v>
      </c>
      <c r="T136" s="49" t="s">
        <v>63</v>
      </c>
      <c r="U136" s="6" t="s">
        <v>16949</v>
      </c>
      <c r="V136" s="49"/>
      <c r="W136" s="65">
        <v>3.59</v>
      </c>
      <c r="X136" s="49" t="s">
        <v>1648</v>
      </c>
      <c r="Y136" s="49" t="s">
        <v>276</v>
      </c>
      <c r="Z136" s="49" t="s">
        <v>545</v>
      </c>
      <c r="AA136" s="65">
        <v>0.79</v>
      </c>
      <c r="AB136" s="39">
        <v>33524</v>
      </c>
      <c r="AC136" s="84" t="s">
        <v>16946</v>
      </c>
      <c r="AD136" s="53" t="str">
        <f t="shared" si="111"/>
        <v>Link</v>
      </c>
      <c r="AE136" s="42">
        <v>1901</v>
      </c>
      <c r="AF136" s="55"/>
      <c r="AG136" s="85"/>
      <c r="AH136" s="56">
        <v>150677</v>
      </c>
      <c r="AI136" s="85"/>
    </row>
    <row r="137" spans="1:41" ht="15" x14ac:dyDescent="0.2">
      <c r="A137" s="7"/>
      <c r="B137" s="31" t="s">
        <v>2602</v>
      </c>
      <c r="C137" s="2" t="s">
        <v>15218</v>
      </c>
      <c r="D137" s="7"/>
      <c r="E137" s="37">
        <v>5</v>
      </c>
      <c r="F137" s="7"/>
      <c r="G137" s="7"/>
      <c r="H137" s="2" t="s">
        <v>16970</v>
      </c>
      <c r="I137" s="2" t="s">
        <v>1454</v>
      </c>
      <c r="J137" s="2" t="s">
        <v>16971</v>
      </c>
      <c r="K137" s="2" t="s">
        <v>48</v>
      </c>
      <c r="L137" s="2" t="s">
        <v>16972</v>
      </c>
      <c r="M137" s="6" t="s">
        <v>16974</v>
      </c>
      <c r="N137" s="45" t="str">
        <f t="shared" ref="N137:N138" si="112">HYPERLINK("twitter.com/huforestersb","@huforestersb")</f>
        <v>@huforestersb</v>
      </c>
      <c r="O137" s="114" t="str">
        <f t="shared" ref="O137:O138" si="113">HYPERLINK("http://www.huathletics.com/recruiting-page","Questionnaire")</f>
        <v>Questionnaire</v>
      </c>
      <c r="P137" s="108" t="s">
        <v>16981</v>
      </c>
      <c r="Q137" s="60" t="s">
        <v>1151</v>
      </c>
      <c r="R137" s="48" t="s">
        <v>6207</v>
      </c>
      <c r="S137" s="48" t="s">
        <v>172</v>
      </c>
      <c r="T137" s="49" t="s">
        <v>63</v>
      </c>
      <c r="U137" s="6" t="s">
        <v>16983</v>
      </c>
      <c r="V137" s="49"/>
      <c r="W137" s="49" t="s">
        <v>289</v>
      </c>
      <c r="X137" s="49" t="s">
        <v>1029</v>
      </c>
      <c r="Y137" s="49" t="s">
        <v>1622</v>
      </c>
      <c r="Z137" s="49" t="s">
        <v>357</v>
      </c>
      <c r="AA137" s="65">
        <v>0.89</v>
      </c>
      <c r="AB137" s="39">
        <v>37156</v>
      </c>
      <c r="AC137" s="52" t="s">
        <v>16981</v>
      </c>
      <c r="AD137" s="53" t="str">
        <f t="shared" ref="AD137:AD138" si="114">HYPERLINK("https://www.huntington.edu/academics","Link")</f>
        <v>Link</v>
      </c>
      <c r="AE137" s="42">
        <v>996</v>
      </c>
      <c r="AF137" s="55"/>
      <c r="AG137" s="85"/>
      <c r="AH137" s="56">
        <v>150941</v>
      </c>
      <c r="AI137" s="85" t="s">
        <v>2459</v>
      </c>
      <c r="AJ137" s="7"/>
      <c r="AK137" s="7"/>
      <c r="AL137" s="7"/>
      <c r="AM137" s="7"/>
      <c r="AN137" s="7"/>
      <c r="AO137" s="7"/>
    </row>
    <row r="138" spans="1:41" ht="15" x14ac:dyDescent="0.2">
      <c r="A138" s="7"/>
      <c r="B138" s="31" t="s">
        <v>2602</v>
      </c>
      <c r="C138" s="2" t="s">
        <v>15218</v>
      </c>
      <c r="D138" s="7"/>
      <c r="E138" s="37">
        <v>5</v>
      </c>
      <c r="F138" s="7"/>
      <c r="G138" s="7"/>
      <c r="H138" s="2" t="s">
        <v>16970</v>
      </c>
      <c r="I138" s="2" t="s">
        <v>4000</v>
      </c>
      <c r="J138" s="2" t="s">
        <v>16986</v>
      </c>
      <c r="K138" s="2" t="s">
        <v>55</v>
      </c>
      <c r="L138" s="2"/>
      <c r="M138" s="6"/>
      <c r="N138" s="45" t="str">
        <f t="shared" si="112"/>
        <v>@huforestersb</v>
      </c>
      <c r="O138" s="114" t="str">
        <f t="shared" si="113"/>
        <v>Questionnaire</v>
      </c>
      <c r="P138" s="108" t="s">
        <v>16981</v>
      </c>
      <c r="Q138" s="60" t="s">
        <v>1151</v>
      </c>
      <c r="R138" s="48" t="s">
        <v>6207</v>
      </c>
      <c r="S138" s="48" t="s">
        <v>172</v>
      </c>
      <c r="T138" s="49" t="s">
        <v>63</v>
      </c>
      <c r="U138" s="6" t="s">
        <v>16983</v>
      </c>
      <c r="V138" s="49"/>
      <c r="W138" s="49" t="s">
        <v>289</v>
      </c>
      <c r="X138" s="49" t="s">
        <v>1029</v>
      </c>
      <c r="Y138" s="49" t="s">
        <v>1622</v>
      </c>
      <c r="Z138" s="49" t="s">
        <v>357</v>
      </c>
      <c r="AA138" s="65">
        <v>0.89</v>
      </c>
      <c r="AB138" s="39">
        <v>37156</v>
      </c>
      <c r="AC138" s="52" t="s">
        <v>16981</v>
      </c>
      <c r="AD138" s="53" t="str">
        <f t="shared" si="114"/>
        <v>Link</v>
      </c>
      <c r="AE138" s="42">
        <v>996</v>
      </c>
      <c r="AF138" s="55"/>
      <c r="AG138" s="85"/>
      <c r="AH138" s="56">
        <v>150941</v>
      </c>
      <c r="AI138" s="85" t="s">
        <v>2459</v>
      </c>
      <c r="AJ138" s="7"/>
      <c r="AK138" s="7"/>
      <c r="AL138" s="7"/>
      <c r="AM138" s="7"/>
      <c r="AN138" s="7"/>
      <c r="AO138" s="7"/>
    </row>
    <row r="139" spans="1:41" ht="13" x14ac:dyDescent="0.15">
      <c r="A139" s="7"/>
      <c r="B139" s="31" t="s">
        <v>2602</v>
      </c>
      <c r="C139" s="2" t="s">
        <v>15218</v>
      </c>
      <c r="D139" s="7" t="s">
        <v>16989</v>
      </c>
      <c r="E139" s="37">
        <v>5</v>
      </c>
      <c r="F139" s="48"/>
      <c r="G139" s="48"/>
      <c r="H139" s="2" t="s">
        <v>16992</v>
      </c>
      <c r="I139" s="2" t="s">
        <v>1258</v>
      </c>
      <c r="J139" s="2" t="s">
        <v>16993</v>
      </c>
      <c r="K139" s="2" t="s">
        <v>48</v>
      </c>
      <c r="L139" s="2" t="s">
        <v>16994</v>
      </c>
      <c r="M139" s="6" t="s">
        <v>16995</v>
      </c>
      <c r="N139" s="45" t="str">
        <f t="shared" ref="N139:N142" si="115">HYPERLINK("twitter.com/intechsoftball","@intechsoftball")</f>
        <v>@intechsoftball</v>
      </c>
      <c r="O139" s="114" t="str">
        <f t="shared" ref="O139:O142" si="116">HYPERLINK("https://indianatechwarriors.com/sports/2014/4/22/GEN_BeaWarrior.aspx","Questionnaire")</f>
        <v>Questionnaire</v>
      </c>
      <c r="P139" s="60" t="s">
        <v>16997</v>
      </c>
      <c r="Q139" s="60" t="s">
        <v>1151</v>
      </c>
      <c r="R139" s="48" t="s">
        <v>13824</v>
      </c>
      <c r="S139" s="48" t="s">
        <v>62</v>
      </c>
      <c r="T139" s="49" t="s">
        <v>63</v>
      </c>
      <c r="U139" s="48" t="s">
        <v>75</v>
      </c>
      <c r="V139" s="49"/>
      <c r="W139" s="65">
        <v>2.93</v>
      </c>
      <c r="X139" s="49" t="s">
        <v>3892</v>
      </c>
      <c r="Y139" s="49" t="s">
        <v>2103</v>
      </c>
      <c r="Z139" s="49" t="s">
        <v>4743</v>
      </c>
      <c r="AA139" s="65">
        <v>0.69</v>
      </c>
      <c r="AB139" s="39">
        <v>39983</v>
      </c>
      <c r="AC139" s="90" t="s">
        <v>16997</v>
      </c>
      <c r="AD139" s="53" t="str">
        <f t="shared" ref="AD139:AD142" si="117">HYPERLINK("https://admissions.indianatech.edu/academics/majors/","Link")</f>
        <v>Link</v>
      </c>
      <c r="AE139" s="42">
        <v>7249</v>
      </c>
      <c r="AF139" s="55"/>
      <c r="AG139" s="85"/>
      <c r="AH139" s="56">
        <v>151290</v>
      </c>
      <c r="AI139" s="85"/>
    </row>
    <row r="140" spans="1:41" ht="13" x14ac:dyDescent="0.15">
      <c r="A140" s="7"/>
      <c r="B140" s="31" t="s">
        <v>2602</v>
      </c>
      <c r="C140" s="2" t="s">
        <v>15218</v>
      </c>
      <c r="D140" s="7" t="s">
        <v>17006</v>
      </c>
      <c r="E140" s="37">
        <v>5</v>
      </c>
      <c r="F140" s="48"/>
      <c r="G140" s="48"/>
      <c r="H140" s="2" t="s">
        <v>16992</v>
      </c>
      <c r="I140" s="2" t="s">
        <v>6840</v>
      </c>
      <c r="J140" s="2" t="s">
        <v>10571</v>
      </c>
      <c r="K140" s="2" t="s">
        <v>55</v>
      </c>
      <c r="L140" s="2" t="s">
        <v>17009</v>
      </c>
      <c r="M140" s="6"/>
      <c r="N140" s="45" t="str">
        <f t="shared" si="115"/>
        <v>@intechsoftball</v>
      </c>
      <c r="O140" s="114" t="str">
        <f t="shared" si="116"/>
        <v>Questionnaire</v>
      </c>
      <c r="P140" s="60" t="s">
        <v>16997</v>
      </c>
      <c r="Q140" s="60" t="s">
        <v>1151</v>
      </c>
      <c r="R140" s="48" t="s">
        <v>13824</v>
      </c>
      <c r="S140" s="48" t="s">
        <v>62</v>
      </c>
      <c r="T140" s="49" t="s">
        <v>63</v>
      </c>
      <c r="U140" s="48" t="s">
        <v>75</v>
      </c>
      <c r="V140" s="49"/>
      <c r="W140" s="65">
        <v>2.93</v>
      </c>
      <c r="X140" s="49" t="s">
        <v>3892</v>
      </c>
      <c r="Y140" s="49" t="s">
        <v>2103</v>
      </c>
      <c r="Z140" s="49" t="s">
        <v>4743</v>
      </c>
      <c r="AA140" s="65">
        <v>0.69</v>
      </c>
      <c r="AB140" s="39">
        <v>39983</v>
      </c>
      <c r="AC140" s="90" t="s">
        <v>16997</v>
      </c>
      <c r="AD140" s="53" t="str">
        <f t="shared" si="117"/>
        <v>Link</v>
      </c>
      <c r="AE140" s="42">
        <v>7249</v>
      </c>
      <c r="AF140" s="55"/>
      <c r="AG140" s="85"/>
      <c r="AH140" s="56">
        <v>151290</v>
      </c>
      <c r="AI140" s="85"/>
    </row>
    <row r="141" spans="1:41" ht="13" x14ac:dyDescent="0.15">
      <c r="A141" s="7" t="s">
        <v>17020</v>
      </c>
      <c r="B141" s="31" t="s">
        <v>2602</v>
      </c>
      <c r="C141" s="2" t="s">
        <v>15218</v>
      </c>
      <c r="D141" s="7" t="s">
        <v>17021</v>
      </c>
      <c r="E141" s="37">
        <v>5</v>
      </c>
      <c r="F141" s="48" t="s">
        <v>116</v>
      </c>
      <c r="G141" s="48"/>
      <c r="H141" s="2" t="s">
        <v>16992</v>
      </c>
      <c r="I141" s="7" t="s">
        <v>17024</v>
      </c>
      <c r="J141" s="7" t="s">
        <v>17025</v>
      </c>
      <c r="K141" s="7" t="s">
        <v>120</v>
      </c>
      <c r="L141" s="7" t="s">
        <v>17026</v>
      </c>
      <c r="M141" s="48"/>
      <c r="N141" s="45" t="str">
        <f t="shared" si="115"/>
        <v>@intechsoftball</v>
      </c>
      <c r="O141" s="114" t="str">
        <f t="shared" si="116"/>
        <v>Questionnaire</v>
      </c>
      <c r="P141" s="60" t="s">
        <v>16997</v>
      </c>
      <c r="Q141" s="60" t="s">
        <v>1151</v>
      </c>
      <c r="R141" s="48" t="s">
        <v>13824</v>
      </c>
      <c r="S141" s="48" t="s">
        <v>62</v>
      </c>
      <c r="T141" s="49" t="s">
        <v>63</v>
      </c>
      <c r="U141" s="48" t="s">
        <v>75</v>
      </c>
      <c r="V141" s="49"/>
      <c r="W141" s="65">
        <v>2.93</v>
      </c>
      <c r="X141" s="49" t="s">
        <v>3892</v>
      </c>
      <c r="Y141" s="49" t="s">
        <v>2103</v>
      </c>
      <c r="Z141" s="49" t="s">
        <v>4743</v>
      </c>
      <c r="AA141" s="65">
        <v>0.69</v>
      </c>
      <c r="AB141" s="39">
        <v>39983</v>
      </c>
      <c r="AC141" s="90" t="s">
        <v>16997</v>
      </c>
      <c r="AD141" s="53" t="str">
        <f t="shared" si="117"/>
        <v>Link</v>
      </c>
      <c r="AE141" s="42">
        <v>7249</v>
      </c>
      <c r="AF141" s="55"/>
      <c r="AG141" s="85"/>
      <c r="AH141" s="56">
        <v>151290</v>
      </c>
      <c r="AI141" s="85"/>
    </row>
    <row r="142" spans="1:41" ht="13" x14ac:dyDescent="0.15">
      <c r="A142" s="7"/>
      <c r="B142" s="31" t="s">
        <v>2602</v>
      </c>
      <c r="C142" s="2" t="s">
        <v>15218</v>
      </c>
      <c r="D142" s="7" t="s">
        <v>17021</v>
      </c>
      <c r="E142" s="37">
        <v>5</v>
      </c>
      <c r="F142" s="48"/>
      <c r="G142" s="48" t="s">
        <v>126</v>
      </c>
      <c r="H142" s="2" t="s">
        <v>16992</v>
      </c>
      <c r="I142" s="2" t="s">
        <v>17033</v>
      </c>
      <c r="J142" s="2"/>
      <c r="K142" s="2"/>
      <c r="L142" s="7"/>
      <c r="M142" s="6"/>
      <c r="N142" s="45" t="str">
        <f t="shared" si="115"/>
        <v>@intechsoftball</v>
      </c>
      <c r="O142" s="114" t="str">
        <f t="shared" si="116"/>
        <v>Questionnaire</v>
      </c>
      <c r="P142" s="60" t="s">
        <v>16997</v>
      </c>
      <c r="Q142" s="60" t="s">
        <v>1151</v>
      </c>
      <c r="R142" s="48" t="s">
        <v>13824</v>
      </c>
      <c r="S142" s="48" t="s">
        <v>62</v>
      </c>
      <c r="T142" s="49" t="s">
        <v>63</v>
      </c>
      <c r="U142" s="48" t="s">
        <v>75</v>
      </c>
      <c r="V142" s="49"/>
      <c r="W142" s="65">
        <v>2.93</v>
      </c>
      <c r="X142" s="49" t="s">
        <v>3892</v>
      </c>
      <c r="Y142" s="49" t="s">
        <v>2103</v>
      </c>
      <c r="Z142" s="49" t="s">
        <v>4743</v>
      </c>
      <c r="AA142" s="65">
        <v>0.69</v>
      </c>
      <c r="AB142" s="39">
        <v>39983</v>
      </c>
      <c r="AC142" s="90" t="s">
        <v>16997</v>
      </c>
      <c r="AD142" s="53" t="str">
        <f t="shared" si="117"/>
        <v>Link</v>
      </c>
      <c r="AE142" s="42">
        <v>7249</v>
      </c>
      <c r="AF142" s="55"/>
      <c r="AG142" s="85"/>
      <c r="AH142" s="56">
        <v>151290</v>
      </c>
      <c r="AI142" s="85"/>
    </row>
    <row r="143" spans="1:41" ht="15" x14ac:dyDescent="0.2">
      <c r="A143" s="7"/>
      <c r="B143" s="31" t="s">
        <v>2602</v>
      </c>
      <c r="C143" s="2" t="s">
        <v>15218</v>
      </c>
      <c r="D143" s="7"/>
      <c r="E143" s="37">
        <v>5</v>
      </c>
      <c r="F143" s="7"/>
      <c r="G143" s="7"/>
      <c r="H143" s="2" t="s">
        <v>17041</v>
      </c>
      <c r="I143" s="2" t="s">
        <v>363</v>
      </c>
      <c r="J143" s="2" t="s">
        <v>17042</v>
      </c>
      <c r="K143" s="2" t="s">
        <v>48</v>
      </c>
      <c r="L143" s="2" t="s">
        <v>17043</v>
      </c>
      <c r="M143" s="6" t="s">
        <v>17044</v>
      </c>
      <c r="N143" s="45" t="str">
        <f t="shared" ref="N143:N146" si="118">HYPERLINK("twitter.com/indwessoftball","@indwessoftball")</f>
        <v>@indwessoftball</v>
      </c>
      <c r="O143" s="114" t="str">
        <f t="shared" ref="O143:O146" si="119">HYPERLINK("http://www.iwuwildcats.com/recruiting","Questionnaire")</f>
        <v>Questionnaire</v>
      </c>
      <c r="P143" s="108" t="s">
        <v>17052</v>
      </c>
      <c r="Q143" s="60" t="s">
        <v>1151</v>
      </c>
      <c r="R143" s="48" t="s">
        <v>12856</v>
      </c>
      <c r="S143" s="48" t="s">
        <v>468</v>
      </c>
      <c r="T143" s="49" t="s">
        <v>63</v>
      </c>
      <c r="U143" s="6" t="s">
        <v>9196</v>
      </c>
      <c r="V143" s="49"/>
      <c r="W143" s="65">
        <v>3.61</v>
      </c>
      <c r="X143" s="49" t="s">
        <v>3341</v>
      </c>
      <c r="Y143" s="49" t="s">
        <v>276</v>
      </c>
      <c r="Z143" s="49" t="s">
        <v>545</v>
      </c>
      <c r="AA143" s="65">
        <v>0.74</v>
      </c>
      <c r="AB143" s="39">
        <v>36952</v>
      </c>
      <c r="AC143" s="52" t="s">
        <v>17052</v>
      </c>
      <c r="AD143" s="53" t="str">
        <f t="shared" ref="AD143:AD146" si="120">HYPERLINK("https://www.indwes.edu/undergraduate/majors","Link")</f>
        <v>Link</v>
      </c>
      <c r="AE143" s="42">
        <v>2782</v>
      </c>
      <c r="AF143" s="55"/>
      <c r="AG143" s="85"/>
      <c r="AH143" s="56">
        <v>151801</v>
      </c>
      <c r="AI143" s="85" t="s">
        <v>2459</v>
      </c>
      <c r="AJ143" s="7"/>
      <c r="AK143" s="7"/>
      <c r="AL143" s="7"/>
      <c r="AM143" s="7"/>
      <c r="AN143" s="7"/>
      <c r="AO143" s="7"/>
    </row>
    <row r="144" spans="1:41" ht="15" x14ac:dyDescent="0.2">
      <c r="A144" s="7"/>
      <c r="B144" s="31" t="s">
        <v>2602</v>
      </c>
      <c r="C144" s="2" t="s">
        <v>15218</v>
      </c>
      <c r="D144" s="7"/>
      <c r="E144" s="37">
        <v>5</v>
      </c>
      <c r="F144" s="7"/>
      <c r="G144" s="7"/>
      <c r="H144" s="2" t="s">
        <v>17041</v>
      </c>
      <c r="I144" s="2" t="s">
        <v>3279</v>
      </c>
      <c r="J144" s="2" t="s">
        <v>17062</v>
      </c>
      <c r="K144" s="2" t="s">
        <v>55</v>
      </c>
      <c r="L144" s="2" t="s">
        <v>17064</v>
      </c>
      <c r="M144" s="6" t="s">
        <v>17067</v>
      </c>
      <c r="N144" s="45" t="str">
        <f t="shared" si="118"/>
        <v>@indwessoftball</v>
      </c>
      <c r="O144" s="114" t="str">
        <f t="shared" si="119"/>
        <v>Questionnaire</v>
      </c>
      <c r="P144" s="108" t="s">
        <v>17052</v>
      </c>
      <c r="Q144" s="60" t="s">
        <v>1151</v>
      </c>
      <c r="R144" s="48" t="s">
        <v>12856</v>
      </c>
      <c r="S144" s="48" t="s">
        <v>468</v>
      </c>
      <c r="T144" s="49" t="s">
        <v>63</v>
      </c>
      <c r="U144" s="6" t="s">
        <v>9196</v>
      </c>
      <c r="V144" s="49"/>
      <c r="W144" s="65">
        <v>3.61</v>
      </c>
      <c r="X144" s="49" t="s">
        <v>3341</v>
      </c>
      <c r="Y144" s="49" t="s">
        <v>276</v>
      </c>
      <c r="Z144" s="49" t="s">
        <v>545</v>
      </c>
      <c r="AA144" s="65">
        <v>0.74</v>
      </c>
      <c r="AB144" s="39">
        <v>36952</v>
      </c>
      <c r="AC144" s="52" t="s">
        <v>17052</v>
      </c>
      <c r="AD144" s="53" t="str">
        <f t="shared" si="120"/>
        <v>Link</v>
      </c>
      <c r="AE144" s="42">
        <v>2782</v>
      </c>
      <c r="AF144" s="55"/>
      <c r="AG144" s="85"/>
      <c r="AH144" s="56">
        <v>151801</v>
      </c>
      <c r="AI144" s="7" t="s">
        <v>2459</v>
      </c>
      <c r="AJ144" s="7"/>
      <c r="AK144" s="7"/>
      <c r="AL144" s="7"/>
      <c r="AM144" s="7"/>
      <c r="AN144" s="7"/>
      <c r="AO144" s="7"/>
    </row>
    <row r="145" spans="1:41" ht="15" x14ac:dyDescent="0.2">
      <c r="A145" s="7"/>
      <c r="B145" s="31" t="s">
        <v>2602</v>
      </c>
      <c r="C145" s="2" t="s">
        <v>15218</v>
      </c>
      <c r="D145" s="7"/>
      <c r="E145" s="37">
        <v>5</v>
      </c>
      <c r="F145" s="7"/>
      <c r="G145" s="7"/>
      <c r="H145" s="2" t="s">
        <v>17041</v>
      </c>
      <c r="I145" s="2" t="s">
        <v>17075</v>
      </c>
      <c r="J145" s="2" t="s">
        <v>17076</v>
      </c>
      <c r="K145" s="2" t="s">
        <v>55</v>
      </c>
      <c r="L145" s="2" t="s">
        <v>17078</v>
      </c>
      <c r="M145" s="6"/>
      <c r="N145" s="45" t="str">
        <f t="shared" si="118"/>
        <v>@indwessoftball</v>
      </c>
      <c r="O145" s="114" t="str">
        <f t="shared" si="119"/>
        <v>Questionnaire</v>
      </c>
      <c r="P145" s="108" t="s">
        <v>17052</v>
      </c>
      <c r="Q145" s="60" t="s">
        <v>1151</v>
      </c>
      <c r="R145" s="48" t="s">
        <v>12856</v>
      </c>
      <c r="S145" s="48" t="s">
        <v>468</v>
      </c>
      <c r="T145" s="49" t="s">
        <v>63</v>
      </c>
      <c r="U145" s="6" t="s">
        <v>9196</v>
      </c>
      <c r="V145" s="49"/>
      <c r="W145" s="65">
        <v>3.61</v>
      </c>
      <c r="X145" s="49" t="s">
        <v>3341</v>
      </c>
      <c r="Y145" s="49" t="s">
        <v>276</v>
      </c>
      <c r="Z145" s="49" t="s">
        <v>545</v>
      </c>
      <c r="AA145" s="65">
        <v>0.74</v>
      </c>
      <c r="AB145" s="39">
        <v>36952</v>
      </c>
      <c r="AC145" s="52" t="s">
        <v>17052</v>
      </c>
      <c r="AD145" s="53" t="str">
        <f t="shared" si="120"/>
        <v>Link</v>
      </c>
      <c r="AE145" s="42">
        <v>2782</v>
      </c>
      <c r="AF145" s="55"/>
      <c r="AG145" s="85"/>
      <c r="AH145" s="56">
        <v>151801</v>
      </c>
      <c r="AI145" s="7" t="s">
        <v>2459</v>
      </c>
      <c r="AJ145" s="7"/>
      <c r="AK145" s="7"/>
      <c r="AL145" s="7"/>
      <c r="AM145" s="7"/>
      <c r="AN145" s="7"/>
      <c r="AO145" s="7"/>
    </row>
    <row r="146" spans="1:41" ht="15" x14ac:dyDescent="0.2">
      <c r="A146" s="7"/>
      <c r="B146" s="31" t="s">
        <v>2602</v>
      </c>
      <c r="C146" s="2" t="s">
        <v>15218</v>
      </c>
      <c r="D146" s="7"/>
      <c r="E146" s="37">
        <v>5</v>
      </c>
      <c r="F146" s="7"/>
      <c r="G146" s="7"/>
      <c r="H146" s="2" t="s">
        <v>17041</v>
      </c>
      <c r="I146" s="2" t="s">
        <v>1447</v>
      </c>
      <c r="J146" s="2" t="s">
        <v>17087</v>
      </c>
      <c r="K146" s="2" t="s">
        <v>55</v>
      </c>
      <c r="L146" s="2" t="s">
        <v>17088</v>
      </c>
      <c r="M146" s="6"/>
      <c r="N146" s="45" t="str">
        <f t="shared" si="118"/>
        <v>@indwessoftball</v>
      </c>
      <c r="O146" s="114" t="str">
        <f t="shared" si="119"/>
        <v>Questionnaire</v>
      </c>
      <c r="P146" s="108" t="s">
        <v>17052</v>
      </c>
      <c r="Q146" s="60" t="s">
        <v>1151</v>
      </c>
      <c r="R146" s="48" t="s">
        <v>12856</v>
      </c>
      <c r="S146" s="48" t="s">
        <v>468</v>
      </c>
      <c r="T146" s="49" t="s">
        <v>63</v>
      </c>
      <c r="U146" s="6" t="s">
        <v>9196</v>
      </c>
      <c r="V146" s="49"/>
      <c r="W146" s="65">
        <v>3.61</v>
      </c>
      <c r="X146" s="49" t="s">
        <v>3341</v>
      </c>
      <c r="Y146" s="49" t="s">
        <v>276</v>
      </c>
      <c r="Z146" s="49" t="s">
        <v>545</v>
      </c>
      <c r="AA146" s="65">
        <v>0.74</v>
      </c>
      <c r="AB146" s="39">
        <v>36952</v>
      </c>
      <c r="AC146" s="52" t="s">
        <v>17052</v>
      </c>
      <c r="AD146" s="53" t="str">
        <f t="shared" si="120"/>
        <v>Link</v>
      </c>
      <c r="AE146" s="42">
        <v>2782</v>
      </c>
      <c r="AF146" s="55"/>
      <c r="AG146" s="85"/>
      <c r="AH146" s="56">
        <v>151801</v>
      </c>
      <c r="AI146" s="85" t="s">
        <v>2459</v>
      </c>
      <c r="AJ146" s="7"/>
      <c r="AK146" s="7"/>
      <c r="AL146" s="7"/>
      <c r="AM146" s="7"/>
      <c r="AN146" s="7"/>
      <c r="AO146" s="7"/>
    </row>
    <row r="147" spans="1:41" ht="13" x14ac:dyDescent="0.15">
      <c r="A147" s="7"/>
      <c r="B147" s="31" t="s">
        <v>2602</v>
      </c>
      <c r="C147" s="2" t="s">
        <v>15218</v>
      </c>
      <c r="D147" s="7" t="s">
        <v>17098</v>
      </c>
      <c r="E147" s="37">
        <v>5</v>
      </c>
      <c r="F147" s="48"/>
      <c r="G147" s="48"/>
      <c r="H147" s="2" t="s">
        <v>17100</v>
      </c>
      <c r="I147" s="2" t="s">
        <v>349</v>
      </c>
      <c r="J147" s="2" t="s">
        <v>174</v>
      </c>
      <c r="K147" s="2" t="s">
        <v>48</v>
      </c>
      <c r="L147" s="2" t="s">
        <v>17103</v>
      </c>
      <c r="M147" s="6"/>
      <c r="N147" s="45" t="str">
        <f>HYPERLINK("twitter.com/iusbtitans","@iusbtitans")</f>
        <v>@iusbtitans</v>
      </c>
      <c r="O147" s="114" t="str">
        <f>HYPERLINK("http://www.iusbtitans.com/SIDHelp/form/27.php","Questionnaire")</f>
        <v>Questionnaire</v>
      </c>
      <c r="P147" s="48" t="s">
        <v>17107</v>
      </c>
      <c r="Q147" s="60" t="s">
        <v>1151</v>
      </c>
      <c r="R147" s="48" t="s">
        <v>1168</v>
      </c>
      <c r="S147" s="48" t="s">
        <v>238</v>
      </c>
      <c r="T147" s="49" t="s">
        <v>74</v>
      </c>
      <c r="U147" s="48" t="s">
        <v>75</v>
      </c>
      <c r="V147" s="49"/>
      <c r="W147" s="65">
        <v>3.11</v>
      </c>
      <c r="X147" s="49" t="s">
        <v>1785</v>
      </c>
      <c r="Y147" s="49" t="s">
        <v>1338</v>
      </c>
      <c r="Z147" s="49" t="s">
        <v>449</v>
      </c>
      <c r="AA147" s="65">
        <v>0.77</v>
      </c>
      <c r="AB147" s="48" t="s">
        <v>17111</v>
      </c>
      <c r="AC147" s="84" t="s">
        <v>17107</v>
      </c>
      <c r="AD147" s="53" t="str">
        <f>HYPERLINK("https://www.iusb.edu/oiss/admissions/explore/majors.php","Link")</f>
        <v>Link</v>
      </c>
      <c r="AE147" s="42">
        <v>6653</v>
      </c>
      <c r="AF147" s="55"/>
      <c r="AG147" s="85"/>
      <c r="AH147" s="56">
        <v>151342</v>
      </c>
      <c r="AI147" s="85"/>
    </row>
    <row r="148" spans="1:41" ht="13" x14ac:dyDescent="0.15">
      <c r="A148" s="7"/>
      <c r="B148" s="31" t="s">
        <v>2602</v>
      </c>
      <c r="C148" s="2" t="s">
        <v>15218</v>
      </c>
      <c r="D148" s="7"/>
      <c r="E148" s="37">
        <v>5</v>
      </c>
      <c r="F148" s="7"/>
      <c r="G148" s="7"/>
      <c r="H148" s="2" t="s">
        <v>17118</v>
      </c>
      <c r="I148" s="2" t="s">
        <v>1541</v>
      </c>
      <c r="J148" s="2" t="s">
        <v>17120</v>
      </c>
      <c r="K148" s="2" t="s">
        <v>48</v>
      </c>
      <c r="L148" s="2" t="s">
        <v>17122</v>
      </c>
      <c r="M148" s="6" t="s">
        <v>17123</v>
      </c>
      <c r="N148" s="45" t="str">
        <f t="shared" ref="N148:N151" si="121">HYPERLINK("twitter.com/iusathletics","@iusathletics")</f>
        <v>@iusathletics</v>
      </c>
      <c r="O148" s="114" t="str">
        <f t="shared" ref="O148:O151" si="122">HYPERLINK("http://www.iusathletics.com/recruit","Questionnaire")</f>
        <v>Questionnaire</v>
      </c>
      <c r="P148" s="48" t="s">
        <v>17130</v>
      </c>
      <c r="Q148" s="60" t="s">
        <v>1151</v>
      </c>
      <c r="R148" s="48" t="s">
        <v>17131</v>
      </c>
      <c r="S148" s="48" t="s">
        <v>468</v>
      </c>
      <c r="T148" s="49" t="s">
        <v>74</v>
      </c>
      <c r="U148" s="48" t="s">
        <v>75</v>
      </c>
      <c r="V148" s="49"/>
      <c r="W148" s="65">
        <v>3.18</v>
      </c>
      <c r="X148" s="49" t="s">
        <v>1338</v>
      </c>
      <c r="Y148" s="49" t="s">
        <v>2709</v>
      </c>
      <c r="Z148" s="49" t="s">
        <v>1339</v>
      </c>
      <c r="AA148" s="65">
        <v>0.84</v>
      </c>
      <c r="AB148" s="48" t="s">
        <v>17133</v>
      </c>
      <c r="AC148" s="84" t="s">
        <v>17130</v>
      </c>
      <c r="AD148" s="53" t="str">
        <f t="shared" ref="AD148:AD151" si="123">HYPERLINK("https://www.ius.edu/academics/","Link")</f>
        <v>Link</v>
      </c>
      <c r="AE148" s="42">
        <v>5486</v>
      </c>
      <c r="AF148" s="55"/>
      <c r="AG148" s="85"/>
      <c r="AH148" s="56">
        <v>151379</v>
      </c>
      <c r="AI148" s="85" t="s">
        <v>2459</v>
      </c>
      <c r="AJ148" s="7"/>
      <c r="AK148" s="7"/>
      <c r="AL148" s="7"/>
      <c r="AM148" s="7"/>
      <c r="AN148" s="7"/>
      <c r="AO148" s="7"/>
    </row>
    <row r="149" spans="1:41" ht="13" x14ac:dyDescent="0.15">
      <c r="A149" s="7"/>
      <c r="B149" s="31" t="s">
        <v>2602</v>
      </c>
      <c r="C149" s="2" t="s">
        <v>15218</v>
      </c>
      <c r="D149" s="7"/>
      <c r="E149" s="37">
        <v>5</v>
      </c>
      <c r="F149" s="7"/>
      <c r="G149" s="7"/>
      <c r="H149" s="2" t="s">
        <v>17118</v>
      </c>
      <c r="I149" s="2" t="s">
        <v>107</v>
      </c>
      <c r="J149" s="2" t="s">
        <v>17142</v>
      </c>
      <c r="K149" s="2" t="s">
        <v>55</v>
      </c>
      <c r="L149" s="2"/>
      <c r="M149" s="6"/>
      <c r="N149" s="45" t="str">
        <f t="shared" si="121"/>
        <v>@iusathletics</v>
      </c>
      <c r="O149" s="114" t="str">
        <f t="shared" si="122"/>
        <v>Questionnaire</v>
      </c>
      <c r="P149" s="48" t="s">
        <v>17130</v>
      </c>
      <c r="Q149" s="60" t="s">
        <v>1151</v>
      </c>
      <c r="R149" s="48" t="s">
        <v>17131</v>
      </c>
      <c r="S149" s="48" t="s">
        <v>468</v>
      </c>
      <c r="T149" s="49" t="s">
        <v>74</v>
      </c>
      <c r="U149" s="48" t="s">
        <v>75</v>
      </c>
      <c r="V149" s="49"/>
      <c r="W149" s="65">
        <v>3.18</v>
      </c>
      <c r="X149" s="49" t="s">
        <v>1338</v>
      </c>
      <c r="Y149" s="49" t="s">
        <v>2709</v>
      </c>
      <c r="Z149" s="49" t="s">
        <v>1339</v>
      </c>
      <c r="AA149" s="65">
        <v>0.84</v>
      </c>
      <c r="AB149" s="48" t="s">
        <v>17133</v>
      </c>
      <c r="AC149" s="84" t="s">
        <v>17130</v>
      </c>
      <c r="AD149" s="53" t="str">
        <f t="shared" si="123"/>
        <v>Link</v>
      </c>
      <c r="AE149" s="42">
        <v>5486</v>
      </c>
      <c r="AF149" s="55"/>
      <c r="AG149" s="85"/>
      <c r="AH149" s="56">
        <v>151379</v>
      </c>
      <c r="AI149" s="85" t="s">
        <v>2459</v>
      </c>
      <c r="AJ149" s="7"/>
      <c r="AK149" s="7"/>
      <c r="AL149" s="7"/>
      <c r="AM149" s="7"/>
      <c r="AN149" s="7"/>
      <c r="AO149" s="7"/>
    </row>
    <row r="150" spans="1:41" ht="13" x14ac:dyDescent="0.15">
      <c r="A150" s="7"/>
      <c r="B150" s="31" t="s">
        <v>2602</v>
      </c>
      <c r="C150" s="2" t="s">
        <v>15218</v>
      </c>
      <c r="D150" s="7"/>
      <c r="E150" s="37">
        <v>5</v>
      </c>
      <c r="F150" s="7"/>
      <c r="G150" s="7"/>
      <c r="H150" s="2" t="s">
        <v>17118</v>
      </c>
      <c r="I150" s="2" t="s">
        <v>2806</v>
      </c>
      <c r="J150" s="2" t="s">
        <v>17151</v>
      </c>
      <c r="K150" s="2" t="s">
        <v>55</v>
      </c>
      <c r="L150" s="2"/>
      <c r="M150" s="6"/>
      <c r="N150" s="45" t="str">
        <f t="shared" si="121"/>
        <v>@iusathletics</v>
      </c>
      <c r="O150" s="114" t="str">
        <f t="shared" si="122"/>
        <v>Questionnaire</v>
      </c>
      <c r="P150" s="48" t="s">
        <v>17130</v>
      </c>
      <c r="Q150" s="60" t="s">
        <v>1151</v>
      </c>
      <c r="R150" s="48" t="s">
        <v>17131</v>
      </c>
      <c r="S150" s="48" t="s">
        <v>468</v>
      </c>
      <c r="T150" s="49" t="s">
        <v>74</v>
      </c>
      <c r="U150" s="48" t="s">
        <v>75</v>
      </c>
      <c r="V150" s="49"/>
      <c r="W150" s="65">
        <v>3.18</v>
      </c>
      <c r="X150" s="49" t="s">
        <v>1338</v>
      </c>
      <c r="Y150" s="49" t="s">
        <v>2709</v>
      </c>
      <c r="Z150" s="49" t="s">
        <v>1339</v>
      </c>
      <c r="AA150" s="65">
        <v>0.84</v>
      </c>
      <c r="AB150" s="48" t="s">
        <v>17133</v>
      </c>
      <c r="AC150" s="84" t="s">
        <v>17130</v>
      </c>
      <c r="AD150" s="53" t="str">
        <f t="shared" si="123"/>
        <v>Link</v>
      </c>
      <c r="AE150" s="42">
        <v>5486</v>
      </c>
      <c r="AF150" s="55"/>
      <c r="AG150" s="85"/>
      <c r="AH150" s="56">
        <v>151379</v>
      </c>
      <c r="AI150" s="85" t="s">
        <v>2459</v>
      </c>
      <c r="AJ150" s="7"/>
      <c r="AK150" s="7"/>
      <c r="AL150" s="7"/>
      <c r="AM150" s="7"/>
      <c r="AN150" s="7"/>
      <c r="AO150" s="7"/>
    </row>
    <row r="151" spans="1:41" ht="13" x14ac:dyDescent="0.15">
      <c r="A151" s="7"/>
      <c r="B151" s="31" t="s">
        <v>2602</v>
      </c>
      <c r="C151" s="2" t="s">
        <v>15218</v>
      </c>
      <c r="D151" s="7"/>
      <c r="E151" s="37">
        <v>5</v>
      </c>
      <c r="F151" s="7"/>
      <c r="G151" s="7"/>
      <c r="H151" s="2" t="s">
        <v>17118</v>
      </c>
      <c r="I151" s="2" t="s">
        <v>6331</v>
      </c>
      <c r="J151" s="2" t="s">
        <v>812</v>
      </c>
      <c r="K151" s="2" t="s">
        <v>55</v>
      </c>
      <c r="L151" s="2"/>
      <c r="M151" s="6"/>
      <c r="N151" s="45" t="str">
        <f t="shared" si="121"/>
        <v>@iusathletics</v>
      </c>
      <c r="O151" s="114" t="str">
        <f t="shared" si="122"/>
        <v>Questionnaire</v>
      </c>
      <c r="P151" s="48" t="s">
        <v>17130</v>
      </c>
      <c r="Q151" s="60" t="s">
        <v>1151</v>
      </c>
      <c r="R151" s="48" t="s">
        <v>17131</v>
      </c>
      <c r="S151" s="48" t="s">
        <v>468</v>
      </c>
      <c r="T151" s="49" t="s">
        <v>74</v>
      </c>
      <c r="U151" s="48" t="s">
        <v>75</v>
      </c>
      <c r="V151" s="49"/>
      <c r="W151" s="65">
        <v>3.18</v>
      </c>
      <c r="X151" s="49" t="s">
        <v>1338</v>
      </c>
      <c r="Y151" s="49" t="s">
        <v>2709</v>
      </c>
      <c r="Z151" s="49" t="s">
        <v>1339</v>
      </c>
      <c r="AA151" s="65">
        <v>0.84</v>
      </c>
      <c r="AB151" s="48" t="s">
        <v>17133</v>
      </c>
      <c r="AC151" s="84" t="s">
        <v>17130</v>
      </c>
      <c r="AD151" s="53" t="str">
        <f t="shared" si="123"/>
        <v>Link</v>
      </c>
      <c r="AE151" s="42">
        <v>5486</v>
      </c>
      <c r="AF151" s="55"/>
      <c r="AG151" s="85"/>
      <c r="AH151" s="56">
        <v>151379</v>
      </c>
      <c r="AI151" s="85" t="s">
        <v>2459</v>
      </c>
      <c r="AJ151" s="7"/>
      <c r="AK151" s="7"/>
      <c r="AL151" s="7"/>
      <c r="AM151" s="7"/>
      <c r="AN151" s="7"/>
      <c r="AO151" s="7"/>
    </row>
    <row r="152" spans="1:41" ht="13" x14ac:dyDescent="0.15">
      <c r="A152" s="7"/>
      <c r="B152" s="31" t="s">
        <v>2602</v>
      </c>
      <c r="C152" s="2" t="s">
        <v>15218</v>
      </c>
      <c r="D152" s="7"/>
      <c r="E152" s="37">
        <v>5</v>
      </c>
      <c r="F152" s="7"/>
      <c r="G152" s="7"/>
      <c r="H152" s="2" t="s">
        <v>17167</v>
      </c>
      <c r="I152" s="2" t="s">
        <v>2031</v>
      </c>
      <c r="J152" s="2" t="s">
        <v>4479</v>
      </c>
      <c r="K152" s="2" t="s">
        <v>48</v>
      </c>
      <c r="L152" s="2" t="s">
        <v>17169</v>
      </c>
      <c r="M152" s="6" t="s">
        <v>17170</v>
      </c>
      <c r="N152" s="45" t="str">
        <f t="shared" ref="N152:N154" si="124">HYPERLINK("twitter.com/marianknightssb","@marianknightssb")</f>
        <v>@marianknightssb</v>
      </c>
      <c r="O152" s="114" t="str">
        <f t="shared" ref="O152:O154" si="125">HYPERLINK("http://www.muknights.com/Recruiting/Knight_Recruits","Questionnaire")</f>
        <v>Questionnaire</v>
      </c>
      <c r="P152" s="48" t="s">
        <v>17176</v>
      </c>
      <c r="Q152" s="60" t="s">
        <v>1151</v>
      </c>
      <c r="R152" s="48" t="s">
        <v>3079</v>
      </c>
      <c r="S152" s="48" t="s">
        <v>354</v>
      </c>
      <c r="T152" s="49" t="s">
        <v>63</v>
      </c>
      <c r="U152" s="6" t="s">
        <v>343</v>
      </c>
      <c r="V152" s="49"/>
      <c r="W152" s="65">
        <v>3.41</v>
      </c>
      <c r="X152" s="49" t="s">
        <v>356</v>
      </c>
      <c r="Y152" s="49" t="s">
        <v>1622</v>
      </c>
      <c r="Z152" s="49" t="s">
        <v>746</v>
      </c>
      <c r="AA152" s="65">
        <v>0.6</v>
      </c>
      <c r="AB152" s="39">
        <v>46168</v>
      </c>
      <c r="AC152" s="84" t="s">
        <v>17176</v>
      </c>
      <c r="AD152" s="53" t="str">
        <f t="shared" ref="AD152:AD154" si="126">HYPERLINK("https://www.marian.edu/academics/degree-programs#bachelors","Link")</f>
        <v>Link</v>
      </c>
      <c r="AE152" s="42">
        <v>2147</v>
      </c>
      <c r="AF152" s="55"/>
      <c r="AG152" s="85"/>
      <c r="AH152" s="56">
        <v>151786</v>
      </c>
      <c r="AI152" s="85" t="s">
        <v>2459</v>
      </c>
      <c r="AJ152" s="7"/>
      <c r="AK152" s="7"/>
      <c r="AL152" s="7"/>
      <c r="AM152" s="7"/>
      <c r="AN152" s="7"/>
      <c r="AO152" s="7"/>
    </row>
    <row r="153" spans="1:41" ht="13" x14ac:dyDescent="0.15">
      <c r="A153" s="7"/>
      <c r="B153" s="31" t="s">
        <v>2602</v>
      </c>
      <c r="C153" s="2" t="s">
        <v>15218</v>
      </c>
      <c r="D153" s="7"/>
      <c r="E153" s="37">
        <v>5</v>
      </c>
      <c r="F153" s="7"/>
      <c r="G153" s="7"/>
      <c r="H153" s="2" t="s">
        <v>17167</v>
      </c>
      <c r="I153" s="2" t="s">
        <v>754</v>
      </c>
      <c r="J153" s="2" t="s">
        <v>1727</v>
      </c>
      <c r="K153" s="2" t="s">
        <v>55</v>
      </c>
      <c r="L153" s="2"/>
      <c r="M153" s="6"/>
      <c r="N153" s="45" t="str">
        <f t="shared" si="124"/>
        <v>@marianknightssb</v>
      </c>
      <c r="O153" s="114" t="str">
        <f t="shared" si="125"/>
        <v>Questionnaire</v>
      </c>
      <c r="P153" s="48" t="s">
        <v>17176</v>
      </c>
      <c r="Q153" s="60" t="s">
        <v>1151</v>
      </c>
      <c r="R153" s="48" t="s">
        <v>3079</v>
      </c>
      <c r="S153" s="48" t="s">
        <v>354</v>
      </c>
      <c r="T153" s="49" t="s">
        <v>63</v>
      </c>
      <c r="U153" s="6" t="s">
        <v>343</v>
      </c>
      <c r="V153" s="49"/>
      <c r="W153" s="65">
        <v>3.41</v>
      </c>
      <c r="X153" s="49" t="s">
        <v>356</v>
      </c>
      <c r="Y153" s="49" t="s">
        <v>1622</v>
      </c>
      <c r="Z153" s="49" t="s">
        <v>746</v>
      </c>
      <c r="AA153" s="65">
        <v>0.6</v>
      </c>
      <c r="AB153" s="39">
        <v>46168</v>
      </c>
      <c r="AC153" s="84" t="s">
        <v>17176</v>
      </c>
      <c r="AD153" s="53" t="str">
        <f t="shared" si="126"/>
        <v>Link</v>
      </c>
      <c r="AE153" s="42">
        <v>2147</v>
      </c>
      <c r="AF153" s="55"/>
      <c r="AG153" s="85"/>
      <c r="AH153" s="56">
        <v>151786</v>
      </c>
      <c r="AI153" s="85" t="s">
        <v>2459</v>
      </c>
      <c r="AJ153" s="7"/>
      <c r="AK153" s="7"/>
      <c r="AL153" s="7"/>
      <c r="AM153" s="7"/>
      <c r="AN153" s="7"/>
      <c r="AO153" s="7"/>
    </row>
    <row r="154" spans="1:41" ht="13" x14ac:dyDescent="0.15">
      <c r="A154" s="7"/>
      <c r="B154" s="31" t="s">
        <v>2602</v>
      </c>
      <c r="C154" s="2" t="s">
        <v>15218</v>
      </c>
      <c r="D154" s="7"/>
      <c r="E154" s="37">
        <v>5</v>
      </c>
      <c r="F154" s="7"/>
      <c r="G154" s="7"/>
      <c r="H154" s="2" t="s">
        <v>17167</v>
      </c>
      <c r="I154" s="2" t="s">
        <v>1629</v>
      </c>
      <c r="J154" s="2" t="s">
        <v>1906</v>
      </c>
      <c r="K154" s="2" t="s">
        <v>55</v>
      </c>
      <c r="L154" s="2"/>
      <c r="M154" s="6"/>
      <c r="N154" s="45" t="str">
        <f t="shared" si="124"/>
        <v>@marianknightssb</v>
      </c>
      <c r="O154" s="114" t="str">
        <f t="shared" si="125"/>
        <v>Questionnaire</v>
      </c>
      <c r="P154" s="48" t="s">
        <v>17176</v>
      </c>
      <c r="Q154" s="60" t="s">
        <v>1151</v>
      </c>
      <c r="R154" s="48" t="s">
        <v>3079</v>
      </c>
      <c r="S154" s="48" t="s">
        <v>354</v>
      </c>
      <c r="T154" s="49" t="s">
        <v>63</v>
      </c>
      <c r="U154" s="6" t="s">
        <v>343</v>
      </c>
      <c r="V154" s="49"/>
      <c r="W154" s="65">
        <v>3.41</v>
      </c>
      <c r="X154" s="49" t="s">
        <v>356</v>
      </c>
      <c r="Y154" s="49" t="s">
        <v>1622</v>
      </c>
      <c r="Z154" s="49" t="s">
        <v>746</v>
      </c>
      <c r="AA154" s="65">
        <v>0.6</v>
      </c>
      <c r="AB154" s="39">
        <v>46168</v>
      </c>
      <c r="AC154" s="84" t="s">
        <v>17176</v>
      </c>
      <c r="AD154" s="53" t="str">
        <f t="shared" si="126"/>
        <v>Link</v>
      </c>
      <c r="AE154" s="42">
        <v>2147</v>
      </c>
      <c r="AF154" s="55"/>
      <c r="AG154" s="85"/>
      <c r="AH154" s="56">
        <v>151786</v>
      </c>
      <c r="AI154" s="85" t="s">
        <v>2459</v>
      </c>
      <c r="AJ154" s="7"/>
      <c r="AK154" s="7"/>
      <c r="AL154" s="7"/>
      <c r="AM154" s="7"/>
      <c r="AN154" s="7"/>
      <c r="AO154" s="7"/>
    </row>
    <row r="155" spans="1:41" ht="15" x14ac:dyDescent="0.2">
      <c r="A155" s="7"/>
      <c r="B155" s="31" t="s">
        <v>2602</v>
      </c>
      <c r="C155" s="2" t="s">
        <v>15218</v>
      </c>
      <c r="D155" s="7"/>
      <c r="E155" s="37">
        <v>5</v>
      </c>
      <c r="F155" s="7"/>
      <c r="G155" s="7"/>
      <c r="H155" s="2" t="s">
        <v>17180</v>
      </c>
      <c r="I155" s="2" t="s">
        <v>2316</v>
      </c>
      <c r="J155" s="2" t="s">
        <v>17181</v>
      </c>
      <c r="K155" s="2" t="s">
        <v>48</v>
      </c>
      <c r="L155" s="2" t="s">
        <v>17184</v>
      </c>
      <c r="M155" s="6" t="s">
        <v>17185</v>
      </c>
      <c r="N155" s="48"/>
      <c r="O155" s="114" t="str">
        <f t="shared" ref="O155:O156" si="127">HYPERLINK("http://www.saintfranciscougars.com/prospective-athlete-forms","Questionnaire")</f>
        <v>Questionnaire</v>
      </c>
      <c r="P155" s="48" t="s">
        <v>17188</v>
      </c>
      <c r="Q155" s="60" t="s">
        <v>1151</v>
      </c>
      <c r="R155" s="48" t="s">
        <v>13824</v>
      </c>
      <c r="S155" s="48" t="s">
        <v>62</v>
      </c>
      <c r="T155" s="49" t="s">
        <v>63</v>
      </c>
      <c r="U155" s="6" t="s">
        <v>343</v>
      </c>
      <c r="V155" s="49"/>
      <c r="W155" s="65">
        <v>3.34</v>
      </c>
      <c r="X155" s="49" t="s">
        <v>3338</v>
      </c>
      <c r="Y155" s="49" t="s">
        <v>397</v>
      </c>
      <c r="Z155" s="49" t="s">
        <v>125</v>
      </c>
      <c r="AA155" s="80">
        <v>0.97</v>
      </c>
      <c r="AB155" s="39">
        <v>41100</v>
      </c>
      <c r="AC155" s="84" t="s">
        <v>17188</v>
      </c>
      <c r="AD155" s="53" t="str">
        <f t="shared" ref="AD155:AD156" si="128">HYPERLINK("https://majors.sf.edu/","Link")</f>
        <v>Link</v>
      </c>
      <c r="AE155" s="42">
        <v>1810</v>
      </c>
      <c r="AF155" s="55"/>
      <c r="AG155" s="85"/>
      <c r="AH155" s="56">
        <v>152336</v>
      </c>
      <c r="AI155" s="85" t="s">
        <v>2459</v>
      </c>
      <c r="AJ155" s="7"/>
      <c r="AK155" s="7"/>
      <c r="AL155" s="7"/>
      <c r="AM155" s="7"/>
      <c r="AN155" s="7"/>
      <c r="AO155" s="7"/>
    </row>
    <row r="156" spans="1:41" ht="15" x14ac:dyDescent="0.2">
      <c r="A156" s="7"/>
      <c r="B156" s="31" t="s">
        <v>2602</v>
      </c>
      <c r="C156" s="2" t="s">
        <v>15218</v>
      </c>
      <c r="D156" s="7"/>
      <c r="E156" s="37">
        <v>5</v>
      </c>
      <c r="F156" s="7"/>
      <c r="G156" s="7"/>
      <c r="H156" s="2" t="s">
        <v>17180</v>
      </c>
      <c r="I156" s="2" t="s">
        <v>1454</v>
      </c>
      <c r="J156" s="2" t="s">
        <v>1792</v>
      </c>
      <c r="K156" s="2" t="s">
        <v>55</v>
      </c>
      <c r="L156" s="2"/>
      <c r="M156" s="6"/>
      <c r="N156" s="48"/>
      <c r="O156" s="114" t="str">
        <f t="shared" si="127"/>
        <v>Questionnaire</v>
      </c>
      <c r="P156" s="48" t="s">
        <v>17188</v>
      </c>
      <c r="Q156" s="60" t="s">
        <v>1151</v>
      </c>
      <c r="R156" s="48" t="s">
        <v>13824</v>
      </c>
      <c r="S156" s="48" t="s">
        <v>62</v>
      </c>
      <c r="T156" s="49" t="s">
        <v>63</v>
      </c>
      <c r="U156" s="6" t="s">
        <v>343</v>
      </c>
      <c r="V156" s="49"/>
      <c r="W156" s="65">
        <v>3.34</v>
      </c>
      <c r="X156" s="49" t="s">
        <v>3338</v>
      </c>
      <c r="Y156" s="49" t="s">
        <v>397</v>
      </c>
      <c r="Z156" s="49" t="s">
        <v>125</v>
      </c>
      <c r="AA156" s="80">
        <v>0.97</v>
      </c>
      <c r="AB156" s="39">
        <v>41100</v>
      </c>
      <c r="AC156" s="84" t="s">
        <v>17188</v>
      </c>
      <c r="AD156" s="53" t="str">
        <f t="shared" si="128"/>
        <v>Link</v>
      </c>
      <c r="AE156" s="42">
        <v>1810</v>
      </c>
      <c r="AF156" s="55"/>
      <c r="AG156" s="85"/>
      <c r="AH156" s="56">
        <v>152336</v>
      </c>
      <c r="AI156" s="85" t="s">
        <v>2459</v>
      </c>
      <c r="AJ156" s="7"/>
      <c r="AK156" s="7"/>
      <c r="AL156" s="7"/>
      <c r="AM156" s="7"/>
      <c r="AN156" s="7"/>
      <c r="AO156" s="7"/>
    </row>
    <row r="157" spans="1:41" ht="13" x14ac:dyDescent="0.15">
      <c r="A157" s="7"/>
      <c r="B157" s="31" t="s">
        <v>2602</v>
      </c>
      <c r="C157" s="2" t="s">
        <v>15218</v>
      </c>
      <c r="D157" s="7" t="s">
        <v>17194</v>
      </c>
      <c r="E157" s="37">
        <v>5</v>
      </c>
      <c r="F157" s="48"/>
      <c r="G157" s="48"/>
      <c r="H157" s="2" t="s">
        <v>17195</v>
      </c>
      <c r="I157" s="2" t="s">
        <v>338</v>
      </c>
      <c r="J157" s="2" t="s">
        <v>17196</v>
      </c>
      <c r="K157" s="2" t="s">
        <v>48</v>
      </c>
      <c r="L157" s="2" t="s">
        <v>17197</v>
      </c>
      <c r="M157" s="6" t="s">
        <v>17198</v>
      </c>
      <c r="N157" s="45" t="str">
        <f t="shared" ref="N157:N160" si="129">HYPERLINK("http://twitter.com/tu_softball","@tu_softball")</f>
        <v>@tu_softball</v>
      </c>
      <c r="O157" s="114" t="str">
        <f t="shared" ref="O157:O160" si="130">HYPERLINK("http://athletics.taylor.edu/recruiting.php","Questionnaire")</f>
        <v>Questionnaire</v>
      </c>
      <c r="P157" s="48" t="s">
        <v>17201</v>
      </c>
      <c r="Q157" s="60" t="s">
        <v>1151</v>
      </c>
      <c r="R157" s="48" t="s">
        <v>17202</v>
      </c>
      <c r="S157" s="60" t="s">
        <v>205</v>
      </c>
      <c r="T157" s="49" t="s">
        <v>63</v>
      </c>
      <c r="U157" s="6" t="s">
        <v>3252</v>
      </c>
      <c r="V157" s="49"/>
      <c r="W157" s="65">
        <v>3.7</v>
      </c>
      <c r="X157" s="49" t="s">
        <v>17203</v>
      </c>
      <c r="Y157" s="49" t="s">
        <v>2511</v>
      </c>
      <c r="Z157" s="49" t="s">
        <v>958</v>
      </c>
      <c r="AA157" s="65">
        <v>0.8</v>
      </c>
      <c r="AB157" s="39">
        <v>43517</v>
      </c>
      <c r="AC157" s="84" t="s">
        <v>17201</v>
      </c>
      <c r="AD157" s="53" t="str">
        <f t="shared" ref="AD157:AD160" si="131">HYPERLINK("http://www.taylor.edu/academics/undergraduate/degrees/","Link")</f>
        <v>Link</v>
      </c>
      <c r="AE157" s="42">
        <v>2131</v>
      </c>
      <c r="AF157" s="55"/>
      <c r="AG157" s="85"/>
      <c r="AH157" s="56">
        <v>150561</v>
      </c>
      <c r="AI157" s="85"/>
    </row>
    <row r="158" spans="1:41" ht="13" x14ac:dyDescent="0.15">
      <c r="A158" s="7"/>
      <c r="B158" s="31" t="s">
        <v>2602</v>
      </c>
      <c r="C158" s="2" t="s">
        <v>15218</v>
      </c>
      <c r="D158" s="7" t="s">
        <v>17204</v>
      </c>
      <c r="E158" s="37">
        <v>5</v>
      </c>
      <c r="F158" s="48"/>
      <c r="G158" s="48"/>
      <c r="H158" s="2" t="s">
        <v>17195</v>
      </c>
      <c r="I158" s="2" t="s">
        <v>3642</v>
      </c>
      <c r="J158" s="2" t="s">
        <v>17205</v>
      </c>
      <c r="K158" s="2" t="s">
        <v>55</v>
      </c>
      <c r="L158" s="2"/>
      <c r="M158" s="6"/>
      <c r="N158" s="45" t="str">
        <f t="shared" si="129"/>
        <v>@tu_softball</v>
      </c>
      <c r="O158" s="114" t="str">
        <f t="shared" si="130"/>
        <v>Questionnaire</v>
      </c>
      <c r="P158" s="48" t="s">
        <v>17201</v>
      </c>
      <c r="Q158" s="60" t="s">
        <v>1151</v>
      </c>
      <c r="R158" s="48" t="s">
        <v>17202</v>
      </c>
      <c r="S158" s="60" t="s">
        <v>205</v>
      </c>
      <c r="T158" s="49" t="s">
        <v>63</v>
      </c>
      <c r="U158" s="6" t="s">
        <v>3252</v>
      </c>
      <c r="V158" s="49"/>
      <c r="W158" s="65">
        <v>3.7</v>
      </c>
      <c r="X158" s="49" t="s">
        <v>17203</v>
      </c>
      <c r="Y158" s="49" t="s">
        <v>2511</v>
      </c>
      <c r="Z158" s="49" t="s">
        <v>958</v>
      </c>
      <c r="AA158" s="65">
        <v>0.8</v>
      </c>
      <c r="AB158" s="39">
        <v>43517</v>
      </c>
      <c r="AC158" s="84" t="s">
        <v>17201</v>
      </c>
      <c r="AD158" s="53" t="str">
        <f t="shared" si="131"/>
        <v>Link</v>
      </c>
      <c r="AE158" s="42">
        <v>2131</v>
      </c>
      <c r="AF158" s="55"/>
      <c r="AG158" s="85"/>
      <c r="AH158" s="56">
        <v>150561</v>
      </c>
      <c r="AI158" s="85"/>
    </row>
    <row r="159" spans="1:41" ht="13" x14ac:dyDescent="0.15">
      <c r="A159" s="7"/>
      <c r="B159" s="31" t="s">
        <v>2602</v>
      </c>
      <c r="C159" s="2" t="s">
        <v>15218</v>
      </c>
      <c r="D159" s="7" t="s">
        <v>17210</v>
      </c>
      <c r="E159" s="37">
        <v>5</v>
      </c>
      <c r="F159" s="48"/>
      <c r="G159" s="48"/>
      <c r="H159" s="2" t="s">
        <v>17195</v>
      </c>
      <c r="I159" s="2" t="s">
        <v>701</v>
      </c>
      <c r="J159" s="2" t="s">
        <v>17212</v>
      </c>
      <c r="K159" s="2" t="s">
        <v>55</v>
      </c>
      <c r="L159" s="2"/>
      <c r="M159" s="6"/>
      <c r="N159" s="45" t="str">
        <f t="shared" si="129"/>
        <v>@tu_softball</v>
      </c>
      <c r="O159" s="114" t="str">
        <f t="shared" si="130"/>
        <v>Questionnaire</v>
      </c>
      <c r="P159" s="48" t="s">
        <v>17201</v>
      </c>
      <c r="Q159" s="60" t="s">
        <v>1151</v>
      </c>
      <c r="R159" s="48" t="s">
        <v>17202</v>
      </c>
      <c r="S159" s="60" t="s">
        <v>205</v>
      </c>
      <c r="T159" s="49" t="s">
        <v>63</v>
      </c>
      <c r="U159" s="6" t="s">
        <v>3252</v>
      </c>
      <c r="V159" s="49"/>
      <c r="W159" s="65">
        <v>3.7</v>
      </c>
      <c r="X159" s="49" t="s">
        <v>17203</v>
      </c>
      <c r="Y159" s="49" t="s">
        <v>2511</v>
      </c>
      <c r="Z159" s="49" t="s">
        <v>958</v>
      </c>
      <c r="AA159" s="65">
        <v>0.8</v>
      </c>
      <c r="AB159" s="39">
        <v>43517</v>
      </c>
      <c r="AC159" s="84" t="s">
        <v>17201</v>
      </c>
      <c r="AD159" s="53" t="str">
        <f t="shared" si="131"/>
        <v>Link</v>
      </c>
      <c r="AE159" s="42">
        <v>2131</v>
      </c>
      <c r="AF159" s="55"/>
      <c r="AG159" s="85"/>
      <c r="AH159" s="56">
        <v>150561</v>
      </c>
      <c r="AI159" s="85"/>
    </row>
    <row r="160" spans="1:41" ht="13" x14ac:dyDescent="0.15">
      <c r="A160" s="7"/>
      <c r="B160" s="31" t="s">
        <v>2602</v>
      </c>
      <c r="C160" s="2" t="s">
        <v>15218</v>
      </c>
      <c r="D160" s="7" t="s">
        <v>17214</v>
      </c>
      <c r="E160" s="37">
        <v>5</v>
      </c>
      <c r="F160" s="48"/>
      <c r="G160" s="48"/>
      <c r="H160" s="2" t="s">
        <v>17195</v>
      </c>
      <c r="I160" s="2" t="s">
        <v>930</v>
      </c>
      <c r="J160" s="2" t="s">
        <v>3729</v>
      </c>
      <c r="K160" s="2" t="s">
        <v>55</v>
      </c>
      <c r="L160" s="2"/>
      <c r="M160" s="6"/>
      <c r="N160" s="45" t="str">
        <f t="shared" si="129"/>
        <v>@tu_softball</v>
      </c>
      <c r="O160" s="114" t="str">
        <f t="shared" si="130"/>
        <v>Questionnaire</v>
      </c>
      <c r="P160" s="48" t="s">
        <v>17201</v>
      </c>
      <c r="Q160" s="60" t="s">
        <v>1151</v>
      </c>
      <c r="R160" s="48" t="s">
        <v>17202</v>
      </c>
      <c r="S160" s="60" t="s">
        <v>205</v>
      </c>
      <c r="T160" s="49" t="s">
        <v>63</v>
      </c>
      <c r="U160" s="6" t="s">
        <v>3252</v>
      </c>
      <c r="V160" s="49"/>
      <c r="W160" s="65">
        <v>3.7</v>
      </c>
      <c r="X160" s="49" t="s">
        <v>17203</v>
      </c>
      <c r="Y160" s="49" t="s">
        <v>2511</v>
      </c>
      <c r="Z160" s="49" t="s">
        <v>958</v>
      </c>
      <c r="AA160" s="65">
        <v>0.8</v>
      </c>
      <c r="AB160" s="39">
        <v>43517</v>
      </c>
      <c r="AC160" s="84" t="s">
        <v>17201</v>
      </c>
      <c r="AD160" s="53" t="str">
        <f t="shared" si="131"/>
        <v>Link</v>
      </c>
      <c r="AE160" s="42">
        <v>2131</v>
      </c>
      <c r="AF160" s="55"/>
      <c r="AG160" s="85"/>
      <c r="AH160" s="56">
        <v>150561</v>
      </c>
      <c r="AI160" s="85"/>
    </row>
    <row r="161" spans="1:41" ht="15" x14ac:dyDescent="0.2">
      <c r="A161" s="7"/>
      <c r="B161" s="31" t="s">
        <v>2926</v>
      </c>
      <c r="C161" s="2" t="s">
        <v>15218</v>
      </c>
      <c r="D161" s="7" t="s">
        <v>17215</v>
      </c>
      <c r="E161" s="37">
        <v>5</v>
      </c>
      <c r="F161" s="48"/>
      <c r="G161" s="48"/>
      <c r="H161" s="2" t="s">
        <v>17216</v>
      </c>
      <c r="I161" s="2" t="s">
        <v>338</v>
      </c>
      <c r="J161" s="2" t="s">
        <v>17217</v>
      </c>
      <c r="K161" s="2" t="s">
        <v>48</v>
      </c>
      <c r="L161" s="130" t="s">
        <v>17218</v>
      </c>
      <c r="M161" s="6" t="s">
        <v>17219</v>
      </c>
      <c r="N161" s="45" t="str">
        <f t="shared" ref="N161:N163" si="132">HYPERLINK("twitter.com/cliffsoftball","@cliffsoftball")</f>
        <v>@cliffsoftball</v>
      </c>
      <c r="O161" s="114" t="str">
        <f t="shared" ref="O161:O163" si="133">HYPERLINK("http://www.bcuchargers.com/recruiting/0/1.php","Questionnaire")</f>
        <v>Questionnaire</v>
      </c>
      <c r="P161" s="108" t="s">
        <v>17222</v>
      </c>
      <c r="Q161" s="60" t="s">
        <v>2663</v>
      </c>
      <c r="R161" s="48" t="s">
        <v>17224</v>
      </c>
      <c r="S161" s="48" t="s">
        <v>238</v>
      </c>
      <c r="T161" s="49" t="s">
        <v>63</v>
      </c>
      <c r="U161" s="6" t="s">
        <v>343</v>
      </c>
      <c r="V161" s="49"/>
      <c r="W161" s="65">
        <v>3.27</v>
      </c>
      <c r="X161" s="49" t="s">
        <v>17225</v>
      </c>
      <c r="Y161" s="49" t="s">
        <v>17225</v>
      </c>
      <c r="Z161" s="49" t="s">
        <v>3842</v>
      </c>
      <c r="AA161" s="38">
        <v>0.61699999999999999</v>
      </c>
      <c r="AB161" s="39">
        <v>42000</v>
      </c>
      <c r="AC161" s="52" t="s">
        <v>17222</v>
      </c>
      <c r="AD161" s="53" t="str">
        <f t="shared" ref="AD161:AD163" si="134">HYPERLINK("https://www.briarcliff.edu/academics/undergraduate-degrees/","Link")</f>
        <v>Link</v>
      </c>
      <c r="AE161" s="42">
        <v>1117</v>
      </c>
      <c r="AF161" s="55"/>
      <c r="AG161" s="85"/>
      <c r="AH161" s="56">
        <v>152992</v>
      </c>
      <c r="AI161" s="85"/>
    </row>
    <row r="162" spans="1:41" ht="15" x14ac:dyDescent="0.2">
      <c r="A162" s="7"/>
      <c r="B162" s="31" t="s">
        <v>2926</v>
      </c>
      <c r="C162" s="2" t="s">
        <v>15218</v>
      </c>
      <c r="D162" s="7" t="s">
        <v>17226</v>
      </c>
      <c r="E162" s="37">
        <v>5</v>
      </c>
      <c r="F162" s="48"/>
      <c r="G162" s="48"/>
      <c r="H162" s="2" t="s">
        <v>17216</v>
      </c>
      <c r="I162" s="2" t="s">
        <v>5696</v>
      </c>
      <c r="J162" s="2" t="s">
        <v>17217</v>
      </c>
      <c r="K162" s="6" t="s">
        <v>55</v>
      </c>
      <c r="L162" s="2" t="s">
        <v>17227</v>
      </c>
      <c r="M162" s="2"/>
      <c r="N162" s="45" t="str">
        <f t="shared" si="132"/>
        <v>@cliffsoftball</v>
      </c>
      <c r="O162" s="114" t="str">
        <f t="shared" si="133"/>
        <v>Questionnaire</v>
      </c>
      <c r="P162" s="108" t="s">
        <v>17222</v>
      </c>
      <c r="Q162" s="60" t="s">
        <v>2663</v>
      </c>
      <c r="R162" s="48" t="s">
        <v>17224</v>
      </c>
      <c r="S162" s="48" t="s">
        <v>238</v>
      </c>
      <c r="T162" s="49" t="s">
        <v>63</v>
      </c>
      <c r="U162" s="6" t="s">
        <v>343</v>
      </c>
      <c r="V162" s="49"/>
      <c r="W162" s="65">
        <v>3.27</v>
      </c>
      <c r="X162" s="49" t="s">
        <v>17225</v>
      </c>
      <c r="Y162" s="49" t="s">
        <v>17225</v>
      </c>
      <c r="Z162" s="49" t="s">
        <v>3842</v>
      </c>
      <c r="AA162" s="38">
        <v>0.61699999999999999</v>
      </c>
      <c r="AB162" s="39">
        <v>42000</v>
      </c>
      <c r="AC162" s="52" t="s">
        <v>17222</v>
      </c>
      <c r="AD162" s="53" t="str">
        <f t="shared" si="134"/>
        <v>Link</v>
      </c>
      <c r="AE162" s="42">
        <v>1117</v>
      </c>
      <c r="AF162" s="55"/>
      <c r="AG162" s="85"/>
      <c r="AH162" s="56">
        <v>152992</v>
      </c>
      <c r="AI162" s="85"/>
    </row>
    <row r="163" spans="1:41" ht="15" x14ac:dyDescent="0.2">
      <c r="A163" s="7"/>
      <c r="B163" s="31" t="s">
        <v>2926</v>
      </c>
      <c r="C163" s="2" t="s">
        <v>15218</v>
      </c>
      <c r="D163" s="7" t="s">
        <v>17226</v>
      </c>
      <c r="E163" s="37">
        <v>5</v>
      </c>
      <c r="F163" s="48"/>
      <c r="G163" s="48"/>
      <c r="H163" s="2" t="s">
        <v>17216</v>
      </c>
      <c r="I163" s="2" t="s">
        <v>484</v>
      </c>
      <c r="J163" s="2" t="s">
        <v>17233</v>
      </c>
      <c r="K163" s="2" t="s">
        <v>120</v>
      </c>
      <c r="L163" s="2" t="s">
        <v>17234</v>
      </c>
      <c r="M163" s="6"/>
      <c r="N163" s="45" t="str">
        <f t="shared" si="132"/>
        <v>@cliffsoftball</v>
      </c>
      <c r="O163" s="114" t="str">
        <f t="shared" si="133"/>
        <v>Questionnaire</v>
      </c>
      <c r="P163" s="108" t="s">
        <v>17222</v>
      </c>
      <c r="Q163" s="60" t="s">
        <v>2663</v>
      </c>
      <c r="R163" s="48" t="s">
        <v>17224</v>
      </c>
      <c r="S163" s="48" t="s">
        <v>238</v>
      </c>
      <c r="T163" s="49" t="s">
        <v>63</v>
      </c>
      <c r="U163" s="6" t="s">
        <v>343</v>
      </c>
      <c r="V163" s="49"/>
      <c r="W163" s="65">
        <v>3.27</v>
      </c>
      <c r="X163" s="49" t="s">
        <v>17225</v>
      </c>
      <c r="Y163" s="49" t="s">
        <v>17225</v>
      </c>
      <c r="Z163" s="49" t="s">
        <v>3842</v>
      </c>
      <c r="AA163" s="38">
        <v>0.61699999999999999</v>
      </c>
      <c r="AB163" s="39">
        <v>42000</v>
      </c>
      <c r="AC163" s="52" t="s">
        <v>17222</v>
      </c>
      <c r="AD163" s="53" t="str">
        <f t="shared" si="134"/>
        <v>Link</v>
      </c>
      <c r="AE163" s="42">
        <v>1117</v>
      </c>
      <c r="AF163" s="55"/>
      <c r="AG163" s="85"/>
      <c r="AH163" s="56">
        <v>152992</v>
      </c>
      <c r="AI163" s="85"/>
    </row>
    <row r="164" spans="1:41" ht="15" x14ac:dyDescent="0.2">
      <c r="A164" s="7"/>
      <c r="B164" s="31" t="s">
        <v>2926</v>
      </c>
      <c r="C164" s="2" t="s">
        <v>15218</v>
      </c>
      <c r="D164" s="7" t="s">
        <v>17239</v>
      </c>
      <c r="E164" s="37">
        <v>5</v>
      </c>
      <c r="F164" s="48"/>
      <c r="G164" s="48"/>
      <c r="H164" s="2" t="s">
        <v>17240</v>
      </c>
      <c r="I164" s="2" t="s">
        <v>4372</v>
      </c>
      <c r="J164" s="2" t="s">
        <v>14866</v>
      </c>
      <c r="K164" s="2" t="s">
        <v>48</v>
      </c>
      <c r="L164" s="2" t="s">
        <v>17241</v>
      </c>
      <c r="M164" s="6" t="s">
        <v>17242</v>
      </c>
      <c r="N164" s="45" t="str">
        <f>HYPERLINK("twitter.com/CUPrideSoftball","@CUPrideSoftball")</f>
        <v>@CUPrideSoftball</v>
      </c>
      <c r="O164" s="114" t="str">
        <f>HYPERLINK("http://www.clarkepride.com/recruiting","Questionnaire")</f>
        <v>Questionnaire</v>
      </c>
      <c r="P164" s="108" t="s">
        <v>17244</v>
      </c>
      <c r="Q164" s="60" t="s">
        <v>2663</v>
      </c>
      <c r="R164" s="48" t="s">
        <v>3150</v>
      </c>
      <c r="S164" s="48" t="s">
        <v>186</v>
      </c>
      <c r="T164" s="49" t="s">
        <v>63</v>
      </c>
      <c r="U164" s="6" t="s">
        <v>343</v>
      </c>
      <c r="V164" s="49"/>
      <c r="W164" s="65">
        <v>3.41</v>
      </c>
      <c r="X164" s="49" t="s">
        <v>13425</v>
      </c>
      <c r="Y164" s="49" t="s">
        <v>17246</v>
      </c>
      <c r="Z164" s="49" t="s">
        <v>1994</v>
      </c>
      <c r="AA164" s="38">
        <v>0.64929999999999999</v>
      </c>
      <c r="AB164" s="39">
        <v>44500</v>
      </c>
      <c r="AC164" s="52" t="s">
        <v>17244</v>
      </c>
      <c r="AD164" s="53" t="str">
        <f>HYPERLINK("https://www.clarke.edu/academics/academic-resources/","Link")</f>
        <v>Link</v>
      </c>
      <c r="AE164" s="42">
        <v>801</v>
      </c>
      <c r="AF164" s="55"/>
      <c r="AG164" s="85"/>
      <c r="AH164" s="56">
        <v>153126</v>
      </c>
      <c r="AI164" s="85"/>
    </row>
    <row r="165" spans="1:41" ht="13" x14ac:dyDescent="0.15">
      <c r="A165" s="7"/>
      <c r="B165" s="31" t="s">
        <v>2926</v>
      </c>
      <c r="C165" s="2" t="s">
        <v>15218</v>
      </c>
      <c r="D165" s="7" t="s">
        <v>17248</v>
      </c>
      <c r="E165" s="37">
        <v>5</v>
      </c>
      <c r="F165" s="48"/>
      <c r="G165" s="48"/>
      <c r="H165" s="2" t="s">
        <v>17249</v>
      </c>
      <c r="I165" s="2" t="s">
        <v>94</v>
      </c>
      <c r="J165" s="2" t="s">
        <v>17250</v>
      </c>
      <c r="K165" s="2" t="s">
        <v>48</v>
      </c>
      <c r="L165" s="2" t="s">
        <v>17251</v>
      </c>
      <c r="M165" s="6" t="s">
        <v>17252</v>
      </c>
      <c r="N165" s="45" t="str">
        <f t="shared" ref="N165:N167" si="135">HYPERLINK("twitter.com/dordtsoftball","@dordtsoftball")</f>
        <v>@dordtsoftball</v>
      </c>
      <c r="O165" s="114" t="str">
        <f t="shared" ref="O165:O167" si="136">HYPERLINK("https://www.dordt.edu/athletics/be-recruited","Questionnaire")</f>
        <v>Questionnaire</v>
      </c>
      <c r="P165" s="48" t="s">
        <v>17258</v>
      </c>
      <c r="Q165" s="60" t="s">
        <v>2663</v>
      </c>
      <c r="R165" s="48" t="s">
        <v>17259</v>
      </c>
      <c r="S165" s="60" t="s">
        <v>205</v>
      </c>
      <c r="T165" s="49" t="s">
        <v>63</v>
      </c>
      <c r="U165" s="6" t="s">
        <v>6377</v>
      </c>
      <c r="V165" s="49"/>
      <c r="W165" s="65">
        <v>3.5</v>
      </c>
      <c r="X165" s="49" t="s">
        <v>355</v>
      </c>
      <c r="Y165" s="49" t="s">
        <v>2310</v>
      </c>
      <c r="Z165" s="49" t="s">
        <v>320</v>
      </c>
      <c r="AA165" s="65">
        <v>0.72</v>
      </c>
      <c r="AB165" s="39">
        <v>42500</v>
      </c>
      <c r="AC165" s="84" t="s">
        <v>17258</v>
      </c>
      <c r="AD165" s="53" t="str">
        <f t="shared" ref="AD165:AD167" si="137">HYPERLINK("https://www.dordt.edu/academics/undergraduate-programs/four-year-programs","Link")</f>
        <v>Link</v>
      </c>
      <c r="AE165" s="42">
        <v>1454</v>
      </c>
      <c r="AF165" s="55"/>
      <c r="AG165" s="85"/>
      <c r="AH165" s="56">
        <v>153250</v>
      </c>
      <c r="AI165" s="85"/>
    </row>
    <row r="166" spans="1:41" ht="13" x14ac:dyDescent="0.15">
      <c r="A166" s="7"/>
      <c r="B166" s="31" t="s">
        <v>2926</v>
      </c>
      <c r="C166" s="2" t="s">
        <v>15218</v>
      </c>
      <c r="D166" s="7" t="s">
        <v>17261</v>
      </c>
      <c r="E166" s="37">
        <v>5</v>
      </c>
      <c r="F166" s="48"/>
      <c r="G166" s="48"/>
      <c r="H166" s="2" t="s">
        <v>17249</v>
      </c>
      <c r="I166" s="2" t="s">
        <v>402</v>
      </c>
      <c r="J166" s="2" t="s">
        <v>17263</v>
      </c>
      <c r="K166" s="2" t="s">
        <v>55</v>
      </c>
      <c r="L166" s="2"/>
      <c r="M166" s="6"/>
      <c r="N166" s="45" t="str">
        <f t="shared" si="135"/>
        <v>@dordtsoftball</v>
      </c>
      <c r="O166" s="114" t="str">
        <f t="shared" si="136"/>
        <v>Questionnaire</v>
      </c>
      <c r="P166" s="48" t="s">
        <v>17258</v>
      </c>
      <c r="Q166" s="60" t="s">
        <v>2663</v>
      </c>
      <c r="R166" s="48" t="s">
        <v>17259</v>
      </c>
      <c r="S166" s="60" t="s">
        <v>205</v>
      </c>
      <c r="T166" s="49" t="s">
        <v>63</v>
      </c>
      <c r="U166" s="6" t="s">
        <v>6377</v>
      </c>
      <c r="V166" s="49"/>
      <c r="W166" s="65">
        <v>3.5</v>
      </c>
      <c r="X166" s="49" t="s">
        <v>355</v>
      </c>
      <c r="Y166" s="49" t="s">
        <v>2310</v>
      </c>
      <c r="Z166" s="49" t="s">
        <v>320</v>
      </c>
      <c r="AA166" s="65">
        <v>0.72</v>
      </c>
      <c r="AB166" s="39">
        <v>42500</v>
      </c>
      <c r="AC166" s="84" t="s">
        <v>17258</v>
      </c>
      <c r="AD166" s="53" t="str">
        <f t="shared" si="137"/>
        <v>Link</v>
      </c>
      <c r="AE166" s="42">
        <v>1454</v>
      </c>
      <c r="AF166" s="55"/>
      <c r="AG166" s="85"/>
      <c r="AH166" s="56">
        <v>153250</v>
      </c>
      <c r="AI166" s="7"/>
    </row>
    <row r="167" spans="1:41" ht="13" x14ac:dyDescent="0.15">
      <c r="A167" s="7"/>
      <c r="B167" s="31" t="s">
        <v>2926</v>
      </c>
      <c r="C167" s="2" t="s">
        <v>15218</v>
      </c>
      <c r="D167" s="7" t="s">
        <v>17265</v>
      </c>
      <c r="E167" s="37">
        <v>5</v>
      </c>
      <c r="F167" s="48"/>
      <c r="G167" s="48"/>
      <c r="H167" s="2" t="s">
        <v>17249</v>
      </c>
      <c r="I167" s="2" t="s">
        <v>8203</v>
      </c>
      <c r="J167" s="2" t="s">
        <v>2919</v>
      </c>
      <c r="K167" s="2" t="s">
        <v>55</v>
      </c>
      <c r="L167" s="2"/>
      <c r="M167" s="6"/>
      <c r="N167" s="45" t="str">
        <f t="shared" si="135"/>
        <v>@dordtsoftball</v>
      </c>
      <c r="O167" s="114" t="str">
        <f t="shared" si="136"/>
        <v>Questionnaire</v>
      </c>
      <c r="P167" s="48" t="s">
        <v>17258</v>
      </c>
      <c r="Q167" s="60" t="s">
        <v>2663</v>
      </c>
      <c r="R167" s="48" t="s">
        <v>17259</v>
      </c>
      <c r="S167" s="60" t="s">
        <v>205</v>
      </c>
      <c r="T167" s="49" t="s">
        <v>63</v>
      </c>
      <c r="U167" s="6" t="s">
        <v>6377</v>
      </c>
      <c r="V167" s="49"/>
      <c r="W167" s="65">
        <v>3.5</v>
      </c>
      <c r="X167" s="49" t="s">
        <v>355</v>
      </c>
      <c r="Y167" s="49" t="s">
        <v>2310</v>
      </c>
      <c r="Z167" s="49" t="s">
        <v>320</v>
      </c>
      <c r="AA167" s="65">
        <v>0.72</v>
      </c>
      <c r="AB167" s="39">
        <v>42500</v>
      </c>
      <c r="AC167" s="84" t="s">
        <v>17258</v>
      </c>
      <c r="AD167" s="53" t="str">
        <f t="shared" si="137"/>
        <v>Link</v>
      </c>
      <c r="AE167" s="42">
        <v>1454</v>
      </c>
      <c r="AF167" s="55"/>
      <c r="AG167" s="85"/>
      <c r="AH167" s="56">
        <v>153250</v>
      </c>
      <c r="AI167" s="85"/>
    </row>
    <row r="168" spans="1:41" ht="13" x14ac:dyDescent="0.15">
      <c r="A168" s="7"/>
      <c r="B168" s="31" t="s">
        <v>2926</v>
      </c>
      <c r="C168" s="2" t="s">
        <v>15218</v>
      </c>
      <c r="D168" s="7" t="s">
        <v>17270</v>
      </c>
      <c r="E168" s="37">
        <v>5</v>
      </c>
      <c r="F168" s="48"/>
      <c r="G168" s="48"/>
      <c r="H168" s="2" t="s">
        <v>17273</v>
      </c>
      <c r="I168" s="2" t="s">
        <v>2200</v>
      </c>
      <c r="J168" s="2" t="s">
        <v>17275</v>
      </c>
      <c r="K168" s="2" t="s">
        <v>48</v>
      </c>
      <c r="L168" s="2" t="s">
        <v>17276</v>
      </c>
      <c r="M168" s="6" t="s">
        <v>17277</v>
      </c>
      <c r="N168" s="45" t="str">
        <f t="shared" ref="N168:N169" si="138">HYPERLINK("twitter.com/softball_gu","@softball_gu")</f>
        <v>@softball_gu</v>
      </c>
      <c r="O168" s="114" t="str">
        <f t="shared" ref="O168:O169" si="139">HYPERLINK("http://www.gujackets.com/recruiting.php","Questionnaire")</f>
        <v>Questionnaire</v>
      </c>
      <c r="P168" s="48" t="s">
        <v>17281</v>
      </c>
      <c r="Q168" s="60" t="s">
        <v>2663</v>
      </c>
      <c r="R168" s="48" t="s">
        <v>17282</v>
      </c>
      <c r="S168" s="60" t="s">
        <v>205</v>
      </c>
      <c r="T168" s="49" t="s">
        <v>63</v>
      </c>
      <c r="U168" s="48" t="s">
        <v>75</v>
      </c>
      <c r="V168" s="49"/>
      <c r="W168" s="65">
        <v>3.23</v>
      </c>
      <c r="X168" s="49" t="s">
        <v>1947</v>
      </c>
      <c r="Y168" s="49" t="s">
        <v>2709</v>
      </c>
      <c r="Z168" s="49" t="s">
        <v>841</v>
      </c>
      <c r="AA168" s="65">
        <v>0.48</v>
      </c>
      <c r="AB168" s="39">
        <v>39770</v>
      </c>
      <c r="AC168" s="84" t="s">
        <v>17281</v>
      </c>
      <c r="AD168" s="53" t="str">
        <f t="shared" ref="AD168:AD169" si="140">HYPERLINK("http://www.graceland.edu/academics/undergraduate-programs","Link")</f>
        <v>Link</v>
      </c>
      <c r="AE168" s="42">
        <v>1449</v>
      </c>
      <c r="AF168" s="55"/>
      <c r="AG168" s="85"/>
      <c r="AH168" s="56">
        <v>177463</v>
      </c>
      <c r="AI168" s="85"/>
    </row>
    <row r="169" spans="1:41" ht="13" x14ac:dyDescent="0.15">
      <c r="A169" s="7"/>
      <c r="B169" s="31" t="s">
        <v>2926</v>
      </c>
      <c r="C169" s="2" t="s">
        <v>15218</v>
      </c>
      <c r="D169" s="7" t="s">
        <v>17287</v>
      </c>
      <c r="E169" s="37">
        <v>5</v>
      </c>
      <c r="F169" s="48"/>
      <c r="G169" s="48"/>
      <c r="H169" s="2" t="s">
        <v>17273</v>
      </c>
      <c r="I169" s="2" t="s">
        <v>2806</v>
      </c>
      <c r="J169" s="2" t="s">
        <v>4508</v>
      </c>
      <c r="K169" s="2" t="s">
        <v>55</v>
      </c>
      <c r="L169" s="2" t="s">
        <v>17288</v>
      </c>
      <c r="M169" s="6" t="s">
        <v>17277</v>
      </c>
      <c r="N169" s="45" t="str">
        <f t="shared" si="138"/>
        <v>@softball_gu</v>
      </c>
      <c r="O169" s="114" t="str">
        <f t="shared" si="139"/>
        <v>Questionnaire</v>
      </c>
      <c r="P169" s="48" t="s">
        <v>17281</v>
      </c>
      <c r="Q169" s="60" t="s">
        <v>2663</v>
      </c>
      <c r="R169" s="48" t="s">
        <v>17282</v>
      </c>
      <c r="S169" s="60" t="s">
        <v>205</v>
      </c>
      <c r="T169" s="49" t="s">
        <v>63</v>
      </c>
      <c r="U169" s="48" t="s">
        <v>75</v>
      </c>
      <c r="V169" s="49"/>
      <c r="W169" s="65">
        <v>3.23</v>
      </c>
      <c r="X169" s="49" t="s">
        <v>1947</v>
      </c>
      <c r="Y169" s="49" t="s">
        <v>2709</v>
      </c>
      <c r="Z169" s="49" t="s">
        <v>841</v>
      </c>
      <c r="AA169" s="65">
        <v>0.48</v>
      </c>
      <c r="AB169" s="39">
        <v>39770</v>
      </c>
      <c r="AC169" s="84" t="s">
        <v>17281</v>
      </c>
      <c r="AD169" s="53" t="str">
        <f t="shared" si="140"/>
        <v>Link</v>
      </c>
      <c r="AE169" s="42">
        <v>1449</v>
      </c>
      <c r="AF169" s="55"/>
      <c r="AG169" s="85"/>
      <c r="AH169" s="56">
        <v>177463</v>
      </c>
      <c r="AI169" s="85"/>
    </row>
    <row r="170" spans="1:41" ht="13" x14ac:dyDescent="0.15">
      <c r="A170" s="7"/>
      <c r="B170" s="31" t="s">
        <v>2926</v>
      </c>
      <c r="C170" s="2" t="s">
        <v>15218</v>
      </c>
      <c r="D170" s="7" t="s">
        <v>17290</v>
      </c>
      <c r="E170" s="37">
        <v>5</v>
      </c>
      <c r="F170" s="48"/>
      <c r="G170" s="48"/>
      <c r="H170" s="2" t="s">
        <v>17291</v>
      </c>
      <c r="I170" s="2" t="s">
        <v>7338</v>
      </c>
      <c r="J170" s="2" t="s">
        <v>17292</v>
      </c>
      <c r="K170" s="2" t="s">
        <v>48</v>
      </c>
      <c r="L170" s="2" t="s">
        <v>17293</v>
      </c>
      <c r="M170" s="6" t="s">
        <v>17294</v>
      </c>
      <c r="N170" s="45" t="str">
        <f t="shared" ref="N170:N171" si="141">HYPERLINK("twitter.com/gvu_softball","@gvu_softball")</f>
        <v>@gvu_softball</v>
      </c>
      <c r="O170" s="114" t="str">
        <f t="shared" ref="O170:O171" si="142">HYPERLINK("http://www.gvvikings.com/recruiting","Questionnaire")</f>
        <v>Questionnaire</v>
      </c>
      <c r="P170" s="48" t="s">
        <v>17300</v>
      </c>
      <c r="Q170" s="60" t="s">
        <v>2663</v>
      </c>
      <c r="R170" s="48" t="s">
        <v>9045</v>
      </c>
      <c r="S170" s="48" t="s">
        <v>62</v>
      </c>
      <c r="T170" s="49" t="s">
        <v>63</v>
      </c>
      <c r="U170" s="6" t="s">
        <v>318</v>
      </c>
      <c r="V170" s="49"/>
      <c r="W170" s="65">
        <v>3.2</v>
      </c>
      <c r="X170" s="49" t="s">
        <v>3950</v>
      </c>
      <c r="Y170" s="49" t="s">
        <v>8175</v>
      </c>
      <c r="Z170" s="49" t="s">
        <v>449</v>
      </c>
      <c r="AA170" s="65">
        <v>0.97</v>
      </c>
      <c r="AB170" s="39">
        <v>37232</v>
      </c>
      <c r="AC170" s="84" t="s">
        <v>17300</v>
      </c>
      <c r="AD170" s="53" t="str">
        <f t="shared" ref="AD170:AD171" si="143">HYPERLINK("https://www.grandview.edu/academics/undergraduate","Link")</f>
        <v>Link</v>
      </c>
      <c r="AE170" s="42">
        <v>1910</v>
      </c>
      <c r="AF170" s="55"/>
      <c r="AG170" s="85"/>
      <c r="AH170" s="56">
        <v>153375</v>
      </c>
      <c r="AI170" s="85"/>
    </row>
    <row r="171" spans="1:41" ht="13" x14ac:dyDescent="0.15">
      <c r="A171" s="7"/>
      <c r="B171" s="31" t="s">
        <v>2926</v>
      </c>
      <c r="C171" s="2" t="s">
        <v>15218</v>
      </c>
      <c r="D171" s="7" t="s">
        <v>17303</v>
      </c>
      <c r="E171" s="37">
        <v>5</v>
      </c>
      <c r="F171" s="48"/>
      <c r="G171" s="48"/>
      <c r="H171" s="2" t="s">
        <v>17291</v>
      </c>
      <c r="I171" s="2" t="s">
        <v>9122</v>
      </c>
      <c r="J171" s="2" t="s">
        <v>17304</v>
      </c>
      <c r="K171" s="2" t="s">
        <v>55</v>
      </c>
      <c r="L171" s="2"/>
      <c r="M171" s="6" t="s">
        <v>17294</v>
      </c>
      <c r="N171" s="45" t="str">
        <f t="shared" si="141"/>
        <v>@gvu_softball</v>
      </c>
      <c r="O171" s="114" t="str">
        <f t="shared" si="142"/>
        <v>Questionnaire</v>
      </c>
      <c r="P171" s="48" t="s">
        <v>17300</v>
      </c>
      <c r="Q171" s="60" t="s">
        <v>2663</v>
      </c>
      <c r="R171" s="48" t="s">
        <v>9045</v>
      </c>
      <c r="S171" s="48" t="s">
        <v>62</v>
      </c>
      <c r="T171" s="49" t="s">
        <v>63</v>
      </c>
      <c r="U171" s="6" t="s">
        <v>318</v>
      </c>
      <c r="V171" s="49"/>
      <c r="W171" s="65">
        <v>3.2</v>
      </c>
      <c r="X171" s="49" t="s">
        <v>3950</v>
      </c>
      <c r="Y171" s="49" t="s">
        <v>8175</v>
      </c>
      <c r="Z171" s="49" t="s">
        <v>449</v>
      </c>
      <c r="AA171" s="65">
        <v>0.97</v>
      </c>
      <c r="AB171" s="39">
        <v>37232</v>
      </c>
      <c r="AC171" s="84" t="s">
        <v>17300</v>
      </c>
      <c r="AD171" s="53" t="str">
        <f t="shared" si="143"/>
        <v>Link</v>
      </c>
      <c r="AE171" s="42">
        <v>1910</v>
      </c>
      <c r="AF171" s="55"/>
      <c r="AG171" s="85"/>
      <c r="AH171" s="56">
        <v>153375</v>
      </c>
      <c r="AI171" s="7"/>
    </row>
    <row r="172" spans="1:41" ht="13" x14ac:dyDescent="0.15">
      <c r="A172" s="7"/>
      <c r="B172" s="31" t="s">
        <v>2926</v>
      </c>
      <c r="C172" s="2" t="s">
        <v>15218</v>
      </c>
      <c r="D172" s="7"/>
      <c r="E172" s="37">
        <v>5</v>
      </c>
      <c r="F172" s="7"/>
      <c r="G172" s="7"/>
      <c r="H172" s="2" t="s">
        <v>17306</v>
      </c>
      <c r="I172" s="2" t="s">
        <v>201</v>
      </c>
      <c r="J172" s="2" t="s">
        <v>17307</v>
      </c>
      <c r="K172" s="2" t="s">
        <v>48</v>
      </c>
      <c r="L172" s="2" t="s">
        <v>17308</v>
      </c>
      <c r="M172" s="6" t="s">
        <v>17309</v>
      </c>
      <c r="N172" s="45" t="str">
        <f t="shared" ref="N172:N175" si="144">HYPERLINK("twitter.com/mside_softball","@mside_softball")</f>
        <v>@mside_softball</v>
      </c>
      <c r="O172" s="114" t="str">
        <f t="shared" ref="O172:O175" si="145">HYPERLINK("https://www.msidemustangs.com/recruiting","Questionnaire")</f>
        <v>Questionnaire</v>
      </c>
      <c r="P172" s="60" t="s">
        <v>17311</v>
      </c>
      <c r="Q172" s="60" t="s">
        <v>2663</v>
      </c>
      <c r="R172" s="48" t="s">
        <v>10519</v>
      </c>
      <c r="S172" s="48" t="s">
        <v>238</v>
      </c>
      <c r="T172" s="49" t="s">
        <v>63</v>
      </c>
      <c r="U172" s="6" t="s">
        <v>65</v>
      </c>
      <c r="V172" s="49"/>
      <c r="W172" s="65">
        <v>3.45</v>
      </c>
      <c r="X172" s="49" t="s">
        <v>214</v>
      </c>
      <c r="Y172" s="49" t="s">
        <v>214</v>
      </c>
      <c r="Z172" s="49" t="s">
        <v>278</v>
      </c>
      <c r="AA172" s="65">
        <v>0.56999999999999995</v>
      </c>
      <c r="AB172" s="39">
        <v>42822</v>
      </c>
      <c r="AC172" s="90" t="s">
        <v>17311</v>
      </c>
      <c r="AD172" s="53" t="str">
        <f t="shared" ref="AD172:AD175" si="146">HYPERLINK("https://www.morningside.edu/academics/undergraduate-programs/","Link")</f>
        <v>Link</v>
      </c>
      <c r="AE172" s="42">
        <v>1321</v>
      </c>
      <c r="AF172" s="55"/>
      <c r="AG172" s="85"/>
      <c r="AH172" s="56">
        <v>154004</v>
      </c>
      <c r="AI172" s="85" t="s">
        <v>2459</v>
      </c>
      <c r="AJ172" s="7"/>
      <c r="AK172" s="7"/>
      <c r="AL172" s="7"/>
      <c r="AM172" s="7"/>
      <c r="AN172" s="7"/>
      <c r="AO172" s="7"/>
    </row>
    <row r="173" spans="1:41" ht="13" x14ac:dyDescent="0.15">
      <c r="A173" s="7"/>
      <c r="B173" s="31" t="s">
        <v>2926</v>
      </c>
      <c r="C173" s="2" t="s">
        <v>15218</v>
      </c>
      <c r="D173" s="7"/>
      <c r="E173" s="37">
        <v>5</v>
      </c>
      <c r="F173" s="7"/>
      <c r="G173" s="7"/>
      <c r="H173" s="2" t="s">
        <v>17306</v>
      </c>
      <c r="I173" s="2" t="s">
        <v>70</v>
      </c>
      <c r="J173" s="2" t="s">
        <v>17313</v>
      </c>
      <c r="K173" s="2" t="s">
        <v>55</v>
      </c>
      <c r="L173" s="2"/>
      <c r="M173" s="6"/>
      <c r="N173" s="45" t="str">
        <f t="shared" si="144"/>
        <v>@mside_softball</v>
      </c>
      <c r="O173" s="114" t="str">
        <f t="shared" si="145"/>
        <v>Questionnaire</v>
      </c>
      <c r="P173" s="60" t="s">
        <v>17311</v>
      </c>
      <c r="Q173" s="60" t="s">
        <v>2663</v>
      </c>
      <c r="R173" s="48" t="s">
        <v>10519</v>
      </c>
      <c r="S173" s="48" t="s">
        <v>238</v>
      </c>
      <c r="T173" s="49" t="s">
        <v>63</v>
      </c>
      <c r="U173" s="6" t="s">
        <v>65</v>
      </c>
      <c r="V173" s="49"/>
      <c r="W173" s="65">
        <v>3.45</v>
      </c>
      <c r="X173" s="49" t="s">
        <v>214</v>
      </c>
      <c r="Y173" s="49" t="s">
        <v>214</v>
      </c>
      <c r="Z173" s="49" t="s">
        <v>278</v>
      </c>
      <c r="AA173" s="65">
        <v>0.56999999999999995</v>
      </c>
      <c r="AB173" s="39">
        <v>42822</v>
      </c>
      <c r="AC173" s="90" t="s">
        <v>17311</v>
      </c>
      <c r="AD173" s="53" t="str">
        <f t="shared" si="146"/>
        <v>Link</v>
      </c>
      <c r="AE173" s="42">
        <v>1321</v>
      </c>
      <c r="AF173" s="55"/>
      <c r="AG173" s="85"/>
      <c r="AH173" s="56">
        <v>154004</v>
      </c>
      <c r="AI173" s="85" t="s">
        <v>2459</v>
      </c>
      <c r="AJ173" s="7"/>
      <c r="AK173" s="7"/>
      <c r="AL173" s="7"/>
      <c r="AM173" s="7"/>
      <c r="AN173" s="7"/>
      <c r="AO173" s="7"/>
    </row>
    <row r="174" spans="1:41" ht="13" x14ac:dyDescent="0.15">
      <c r="A174" s="7"/>
      <c r="B174" s="31" t="s">
        <v>2926</v>
      </c>
      <c r="C174" s="2" t="s">
        <v>15218</v>
      </c>
      <c r="D174" s="7"/>
      <c r="E174" s="37">
        <v>5</v>
      </c>
      <c r="F174" s="7"/>
      <c r="G174" s="7"/>
      <c r="H174" s="2" t="s">
        <v>17306</v>
      </c>
      <c r="I174" s="2" t="s">
        <v>878</v>
      </c>
      <c r="J174" s="2" t="s">
        <v>17317</v>
      </c>
      <c r="K174" s="2" t="s">
        <v>55</v>
      </c>
      <c r="L174" s="2"/>
      <c r="M174" s="6"/>
      <c r="N174" s="45" t="str">
        <f t="shared" si="144"/>
        <v>@mside_softball</v>
      </c>
      <c r="O174" s="114" t="str">
        <f t="shared" si="145"/>
        <v>Questionnaire</v>
      </c>
      <c r="P174" s="60" t="s">
        <v>17311</v>
      </c>
      <c r="Q174" s="60" t="s">
        <v>2663</v>
      </c>
      <c r="R174" s="48" t="s">
        <v>10519</v>
      </c>
      <c r="S174" s="48" t="s">
        <v>238</v>
      </c>
      <c r="T174" s="49" t="s">
        <v>63</v>
      </c>
      <c r="U174" s="6" t="s">
        <v>65</v>
      </c>
      <c r="V174" s="49"/>
      <c r="W174" s="65">
        <v>3.45</v>
      </c>
      <c r="X174" s="49" t="s">
        <v>214</v>
      </c>
      <c r="Y174" s="49" t="s">
        <v>214</v>
      </c>
      <c r="Z174" s="49" t="s">
        <v>278</v>
      </c>
      <c r="AA174" s="65">
        <v>0.56999999999999995</v>
      </c>
      <c r="AB174" s="39">
        <v>42822</v>
      </c>
      <c r="AC174" s="90" t="s">
        <v>17311</v>
      </c>
      <c r="AD174" s="53" t="str">
        <f t="shared" si="146"/>
        <v>Link</v>
      </c>
      <c r="AE174" s="42">
        <v>1321</v>
      </c>
      <c r="AF174" s="55"/>
      <c r="AG174" s="85"/>
      <c r="AH174" s="56">
        <v>154004</v>
      </c>
      <c r="AI174" s="85" t="s">
        <v>2459</v>
      </c>
      <c r="AJ174" s="7"/>
      <c r="AK174" s="7"/>
      <c r="AL174" s="7"/>
      <c r="AM174" s="7"/>
      <c r="AN174" s="7"/>
      <c r="AO174" s="7"/>
    </row>
    <row r="175" spans="1:41" ht="13" x14ac:dyDescent="0.15">
      <c r="A175" s="7"/>
      <c r="B175" s="31" t="s">
        <v>2926</v>
      </c>
      <c r="C175" s="2" t="s">
        <v>15218</v>
      </c>
      <c r="D175" s="7"/>
      <c r="E175" s="37">
        <v>5</v>
      </c>
      <c r="F175" s="7"/>
      <c r="G175" s="7"/>
      <c r="H175" s="2" t="s">
        <v>17306</v>
      </c>
      <c r="I175" s="2" t="s">
        <v>3865</v>
      </c>
      <c r="J175" s="2" t="s">
        <v>12388</v>
      </c>
      <c r="K175" s="2" t="s">
        <v>55</v>
      </c>
      <c r="L175" s="2"/>
      <c r="M175" s="6"/>
      <c r="N175" s="45" t="str">
        <f t="shared" si="144"/>
        <v>@mside_softball</v>
      </c>
      <c r="O175" s="114" t="str">
        <f t="shared" si="145"/>
        <v>Questionnaire</v>
      </c>
      <c r="P175" s="60" t="s">
        <v>17311</v>
      </c>
      <c r="Q175" s="60" t="s">
        <v>2663</v>
      </c>
      <c r="R175" s="48" t="s">
        <v>10519</v>
      </c>
      <c r="S175" s="48" t="s">
        <v>238</v>
      </c>
      <c r="T175" s="49" t="s">
        <v>63</v>
      </c>
      <c r="U175" s="6" t="s">
        <v>65</v>
      </c>
      <c r="V175" s="49"/>
      <c r="W175" s="65">
        <v>3.45</v>
      </c>
      <c r="X175" s="49" t="s">
        <v>214</v>
      </c>
      <c r="Y175" s="49" t="s">
        <v>214</v>
      </c>
      <c r="Z175" s="49" t="s">
        <v>278</v>
      </c>
      <c r="AA175" s="65">
        <v>0.56999999999999995</v>
      </c>
      <c r="AB175" s="39">
        <v>42822</v>
      </c>
      <c r="AC175" s="90" t="s">
        <v>17311</v>
      </c>
      <c r="AD175" s="53" t="str">
        <f t="shared" si="146"/>
        <v>Link</v>
      </c>
      <c r="AE175" s="42">
        <v>1321</v>
      </c>
      <c r="AF175" s="55"/>
      <c r="AG175" s="85"/>
      <c r="AH175" s="56">
        <v>154004</v>
      </c>
      <c r="AI175" s="85" t="s">
        <v>2459</v>
      </c>
      <c r="AJ175" s="7"/>
      <c r="AK175" s="7"/>
      <c r="AL175" s="7"/>
      <c r="AM175" s="7"/>
      <c r="AN175" s="7"/>
      <c r="AO175" s="7"/>
    </row>
    <row r="176" spans="1:41" ht="13" x14ac:dyDescent="0.15">
      <c r="A176" s="7"/>
      <c r="B176" s="31" t="s">
        <v>2926</v>
      </c>
      <c r="C176" s="2" t="s">
        <v>15218</v>
      </c>
      <c r="D176" s="7" t="s">
        <v>17321</v>
      </c>
      <c r="E176" s="37">
        <v>5</v>
      </c>
      <c r="F176" s="48"/>
      <c r="G176" s="48"/>
      <c r="H176" s="2" t="s">
        <v>17322</v>
      </c>
      <c r="I176" s="2" t="s">
        <v>2157</v>
      </c>
      <c r="J176" s="2" t="s">
        <v>17323</v>
      </c>
      <c r="K176" s="2" t="s">
        <v>48</v>
      </c>
      <c r="L176" s="2" t="s">
        <v>17324</v>
      </c>
      <c r="M176" s="6" t="s">
        <v>17325</v>
      </c>
      <c r="N176" s="45" t="str">
        <f t="shared" ref="N176:N180" si="147">HYPERLINK("twitter.com/MMUSoftball","@MMUSoftball")</f>
        <v>@MMUSoftball</v>
      </c>
      <c r="O176" s="114" t="str">
        <f t="shared" ref="O176:O180" si="148">HYPERLINK("http://www.mountmercymustangs.com/recruiting.php","Questionnaire")</f>
        <v>Questionnaire</v>
      </c>
      <c r="P176" s="48" t="s">
        <v>17326</v>
      </c>
      <c r="Q176" s="60" t="s">
        <v>2663</v>
      </c>
      <c r="R176" s="48" t="s">
        <v>3062</v>
      </c>
      <c r="S176" s="48" t="s">
        <v>238</v>
      </c>
      <c r="T176" s="49" t="s">
        <v>63</v>
      </c>
      <c r="U176" s="6" t="s">
        <v>343</v>
      </c>
      <c r="V176" s="49"/>
      <c r="W176" s="65">
        <v>3.4</v>
      </c>
      <c r="X176" s="49" t="s">
        <v>214</v>
      </c>
      <c r="Y176" s="49" t="s">
        <v>8075</v>
      </c>
      <c r="Z176" s="49" t="s">
        <v>841</v>
      </c>
      <c r="AA176" s="65">
        <v>0.62</v>
      </c>
      <c r="AB176" s="39">
        <v>43654</v>
      </c>
      <c r="AC176" s="84" t="s">
        <v>17326</v>
      </c>
      <c r="AD176" s="53" t="str">
        <f t="shared" ref="AD176:AD180" si="149">HYPERLINK("https://www.mtmercy.edu/undergraduate-programs","Link")</f>
        <v>Link</v>
      </c>
      <c r="AE176" s="42">
        <v>1580</v>
      </c>
      <c r="AF176" s="55"/>
      <c r="AG176" s="85"/>
      <c r="AH176" s="56">
        <v>154013</v>
      </c>
      <c r="AI176" s="85"/>
    </row>
    <row r="177" spans="1:41" ht="13" x14ac:dyDescent="0.15">
      <c r="A177" s="7"/>
      <c r="B177" s="31" t="s">
        <v>2926</v>
      </c>
      <c r="C177" s="2" t="s">
        <v>15218</v>
      </c>
      <c r="D177" s="7" t="s">
        <v>17327</v>
      </c>
      <c r="E177" s="37">
        <v>5</v>
      </c>
      <c r="F177" s="48"/>
      <c r="G177" s="48"/>
      <c r="H177" s="2" t="s">
        <v>17322</v>
      </c>
      <c r="I177" s="2" t="s">
        <v>658</v>
      </c>
      <c r="J177" s="2" t="s">
        <v>17328</v>
      </c>
      <c r="K177" s="2" t="s">
        <v>919</v>
      </c>
      <c r="L177" s="2"/>
      <c r="M177" s="6"/>
      <c r="N177" s="45" t="str">
        <f t="shared" si="147"/>
        <v>@MMUSoftball</v>
      </c>
      <c r="O177" s="114" t="str">
        <f t="shared" si="148"/>
        <v>Questionnaire</v>
      </c>
      <c r="P177" s="48" t="s">
        <v>17326</v>
      </c>
      <c r="Q177" s="60" t="s">
        <v>2663</v>
      </c>
      <c r="R177" s="48" t="s">
        <v>3062</v>
      </c>
      <c r="S177" s="48" t="s">
        <v>238</v>
      </c>
      <c r="T177" s="49" t="s">
        <v>63</v>
      </c>
      <c r="U177" s="6" t="s">
        <v>343</v>
      </c>
      <c r="V177" s="49"/>
      <c r="W177" s="65">
        <v>3.4</v>
      </c>
      <c r="X177" s="49" t="s">
        <v>214</v>
      </c>
      <c r="Y177" s="49" t="s">
        <v>8075</v>
      </c>
      <c r="Z177" s="49" t="s">
        <v>841</v>
      </c>
      <c r="AA177" s="65">
        <v>0.62</v>
      </c>
      <c r="AB177" s="39">
        <v>43654</v>
      </c>
      <c r="AC177" s="84" t="s">
        <v>17326</v>
      </c>
      <c r="AD177" s="53" t="str">
        <f t="shared" si="149"/>
        <v>Link</v>
      </c>
      <c r="AE177" s="42">
        <v>1580</v>
      </c>
      <c r="AF177" s="55"/>
      <c r="AG177" s="85"/>
      <c r="AH177" s="56">
        <v>154013</v>
      </c>
      <c r="AI177" s="85"/>
    </row>
    <row r="178" spans="1:41" ht="13" x14ac:dyDescent="0.15">
      <c r="A178" s="7"/>
      <c r="B178" s="31" t="s">
        <v>2926</v>
      </c>
      <c r="C178" s="2" t="s">
        <v>15218</v>
      </c>
      <c r="D178" s="7" t="s">
        <v>17330</v>
      </c>
      <c r="E178" s="37">
        <v>5</v>
      </c>
      <c r="F178" s="48"/>
      <c r="G178" s="48"/>
      <c r="H178" s="2" t="s">
        <v>17322</v>
      </c>
      <c r="I178" s="2" t="s">
        <v>2606</v>
      </c>
      <c r="J178" s="2" t="s">
        <v>263</v>
      </c>
      <c r="K178" s="2" t="s">
        <v>55</v>
      </c>
      <c r="L178" s="2" t="s">
        <v>17331</v>
      </c>
      <c r="M178" s="6"/>
      <c r="N178" s="45" t="str">
        <f t="shared" si="147"/>
        <v>@MMUSoftball</v>
      </c>
      <c r="O178" s="114" t="str">
        <f t="shared" si="148"/>
        <v>Questionnaire</v>
      </c>
      <c r="P178" s="48" t="s">
        <v>17326</v>
      </c>
      <c r="Q178" s="60" t="s">
        <v>2663</v>
      </c>
      <c r="R178" s="48" t="s">
        <v>3062</v>
      </c>
      <c r="S178" s="48" t="s">
        <v>238</v>
      </c>
      <c r="T178" s="49" t="s">
        <v>63</v>
      </c>
      <c r="U178" s="6" t="s">
        <v>343</v>
      </c>
      <c r="V178" s="49"/>
      <c r="W178" s="65">
        <v>3.4</v>
      </c>
      <c r="X178" s="49" t="s">
        <v>214</v>
      </c>
      <c r="Y178" s="49" t="s">
        <v>8075</v>
      </c>
      <c r="Z178" s="49" t="s">
        <v>841</v>
      </c>
      <c r="AA178" s="65">
        <v>0.62</v>
      </c>
      <c r="AB178" s="39">
        <v>43654</v>
      </c>
      <c r="AC178" s="84" t="s">
        <v>17326</v>
      </c>
      <c r="AD178" s="53" t="str">
        <f t="shared" si="149"/>
        <v>Link</v>
      </c>
      <c r="AE178" s="42">
        <v>1580</v>
      </c>
      <c r="AF178" s="55"/>
      <c r="AG178" s="85"/>
      <c r="AH178" s="56">
        <v>154013</v>
      </c>
      <c r="AI178" s="85"/>
    </row>
    <row r="179" spans="1:41" ht="13" x14ac:dyDescent="0.15">
      <c r="A179" s="7"/>
      <c r="B179" s="31" t="s">
        <v>2926</v>
      </c>
      <c r="C179" s="2" t="s">
        <v>15218</v>
      </c>
      <c r="D179" s="7" t="s">
        <v>17332</v>
      </c>
      <c r="E179" s="37">
        <v>5</v>
      </c>
      <c r="F179" s="48"/>
      <c r="G179" s="48"/>
      <c r="H179" s="2" t="s">
        <v>17322</v>
      </c>
      <c r="I179" s="2" t="s">
        <v>17334</v>
      </c>
      <c r="J179" s="2" t="s">
        <v>743</v>
      </c>
      <c r="K179" s="2" t="s">
        <v>55</v>
      </c>
      <c r="L179" s="2"/>
      <c r="M179" s="6"/>
      <c r="N179" s="45" t="str">
        <f t="shared" si="147"/>
        <v>@MMUSoftball</v>
      </c>
      <c r="O179" s="114" t="str">
        <f t="shared" si="148"/>
        <v>Questionnaire</v>
      </c>
      <c r="P179" s="48" t="s">
        <v>17326</v>
      </c>
      <c r="Q179" s="60" t="s">
        <v>2663</v>
      </c>
      <c r="R179" s="48" t="s">
        <v>3062</v>
      </c>
      <c r="S179" s="48" t="s">
        <v>238</v>
      </c>
      <c r="T179" s="49" t="s">
        <v>63</v>
      </c>
      <c r="U179" s="6" t="s">
        <v>343</v>
      </c>
      <c r="V179" s="49"/>
      <c r="W179" s="65">
        <v>3.4</v>
      </c>
      <c r="X179" s="49" t="s">
        <v>214</v>
      </c>
      <c r="Y179" s="49" t="s">
        <v>8075</v>
      </c>
      <c r="Z179" s="49" t="s">
        <v>841</v>
      </c>
      <c r="AA179" s="65">
        <v>0.62</v>
      </c>
      <c r="AB179" s="39">
        <v>43654</v>
      </c>
      <c r="AC179" s="84" t="s">
        <v>17326</v>
      </c>
      <c r="AD179" s="53" t="str">
        <f t="shared" si="149"/>
        <v>Link</v>
      </c>
      <c r="AE179" s="42">
        <v>1580</v>
      </c>
      <c r="AF179" s="55"/>
      <c r="AG179" s="85"/>
      <c r="AH179" s="56">
        <v>154013</v>
      </c>
      <c r="AI179" s="7"/>
    </row>
    <row r="180" spans="1:41" ht="13" x14ac:dyDescent="0.15">
      <c r="A180" s="7"/>
      <c r="B180" s="31" t="s">
        <v>2926</v>
      </c>
      <c r="C180" s="2" t="s">
        <v>15218</v>
      </c>
      <c r="D180" s="7" t="s">
        <v>17337</v>
      </c>
      <c r="E180" s="37">
        <v>5</v>
      </c>
      <c r="F180" s="48"/>
      <c r="G180" s="48"/>
      <c r="H180" s="2" t="s">
        <v>17322</v>
      </c>
      <c r="I180" s="2" t="s">
        <v>3722</v>
      </c>
      <c r="J180" s="2" t="s">
        <v>1906</v>
      </c>
      <c r="K180" s="2" t="s">
        <v>55</v>
      </c>
      <c r="L180" s="2"/>
      <c r="M180" s="6"/>
      <c r="N180" s="45" t="str">
        <f t="shared" si="147"/>
        <v>@MMUSoftball</v>
      </c>
      <c r="O180" s="114" t="str">
        <f t="shared" si="148"/>
        <v>Questionnaire</v>
      </c>
      <c r="P180" s="48" t="s">
        <v>17326</v>
      </c>
      <c r="Q180" s="60" t="s">
        <v>2663</v>
      </c>
      <c r="R180" s="48" t="s">
        <v>3062</v>
      </c>
      <c r="S180" s="48" t="s">
        <v>238</v>
      </c>
      <c r="T180" s="49" t="s">
        <v>63</v>
      </c>
      <c r="U180" s="6" t="s">
        <v>343</v>
      </c>
      <c r="V180" s="49"/>
      <c r="W180" s="65">
        <v>3.4</v>
      </c>
      <c r="X180" s="49" t="s">
        <v>214</v>
      </c>
      <c r="Y180" s="49" t="s">
        <v>8075</v>
      </c>
      <c r="Z180" s="49" t="s">
        <v>841</v>
      </c>
      <c r="AA180" s="65">
        <v>0.62</v>
      </c>
      <c r="AB180" s="39">
        <v>43654</v>
      </c>
      <c r="AC180" s="84" t="s">
        <v>17326</v>
      </c>
      <c r="AD180" s="53" t="str">
        <f t="shared" si="149"/>
        <v>Link</v>
      </c>
      <c r="AE180" s="42">
        <v>1580</v>
      </c>
      <c r="AF180" s="55"/>
      <c r="AG180" s="85"/>
      <c r="AH180" s="56">
        <v>154013</v>
      </c>
      <c r="AI180" s="85"/>
    </row>
    <row r="181" spans="1:41" ht="13" x14ac:dyDescent="0.15">
      <c r="A181" s="7"/>
      <c r="B181" s="31" t="s">
        <v>2926</v>
      </c>
      <c r="C181" s="2" t="s">
        <v>15218</v>
      </c>
      <c r="D181" s="7" t="s">
        <v>17339</v>
      </c>
      <c r="E181" s="37">
        <v>5</v>
      </c>
      <c r="F181" s="48"/>
      <c r="G181" s="48"/>
      <c r="H181" s="2" t="s">
        <v>17340</v>
      </c>
      <c r="I181" s="2" t="s">
        <v>1985</v>
      </c>
      <c r="J181" s="2" t="s">
        <v>6032</v>
      </c>
      <c r="K181" s="2" t="s">
        <v>48</v>
      </c>
      <c r="L181" s="130" t="s">
        <v>17343</v>
      </c>
      <c r="M181" s="6" t="s">
        <v>17344</v>
      </c>
      <c r="N181" s="45" t="str">
        <f t="shared" ref="N181:N184" si="150">HYPERLINK("twitter.com/nwcsoftball","@nwcsoftball")</f>
        <v>@nwcsoftball</v>
      </c>
      <c r="O181" s="114" t="str">
        <f t="shared" ref="O181:O184" si="151">HYPERLINK("https://nwcraiders.com/sb_output.aspx?form=3","Questionnaire")</f>
        <v>Questionnaire</v>
      </c>
      <c r="P181" s="48" t="s">
        <v>17345</v>
      </c>
      <c r="Q181" s="60" t="s">
        <v>2663</v>
      </c>
      <c r="R181" s="48" t="s">
        <v>17347</v>
      </c>
      <c r="S181" s="60" t="s">
        <v>205</v>
      </c>
      <c r="T181" s="49" t="s">
        <v>63</v>
      </c>
      <c r="U181" s="48" t="s">
        <v>75</v>
      </c>
      <c r="V181" s="49"/>
      <c r="W181" s="65">
        <v>3.58</v>
      </c>
      <c r="X181" s="49" t="s">
        <v>396</v>
      </c>
      <c r="Y181" s="49" t="s">
        <v>4067</v>
      </c>
      <c r="Z181" s="49" t="s">
        <v>803</v>
      </c>
      <c r="AA181" s="65">
        <v>0.66</v>
      </c>
      <c r="AB181" s="39">
        <v>42900</v>
      </c>
      <c r="AC181" s="84" t="s">
        <v>17345</v>
      </c>
      <c r="AD181" s="53" t="str">
        <f t="shared" ref="AD181:AD184" si="152">HYPERLINK("https://www.nwciowa.edu/academics/programs","Link")</f>
        <v>Link</v>
      </c>
      <c r="AE181" s="42">
        <v>1091</v>
      </c>
      <c r="AF181" s="55"/>
      <c r="AG181" s="85"/>
      <c r="AH181" s="56">
        <v>154101</v>
      </c>
      <c r="AI181" s="85"/>
    </row>
    <row r="182" spans="1:41" ht="13" x14ac:dyDescent="0.15">
      <c r="A182" s="7"/>
      <c r="B182" s="31" t="s">
        <v>2926</v>
      </c>
      <c r="C182" s="2" t="s">
        <v>15218</v>
      </c>
      <c r="D182" s="7" t="s">
        <v>17350</v>
      </c>
      <c r="E182" s="37">
        <v>5</v>
      </c>
      <c r="F182" s="48"/>
      <c r="G182" s="48"/>
      <c r="H182" s="2" t="s">
        <v>17340</v>
      </c>
      <c r="I182" s="2" t="s">
        <v>2031</v>
      </c>
      <c r="J182" s="2" t="s">
        <v>977</v>
      </c>
      <c r="K182" s="2" t="s">
        <v>55</v>
      </c>
      <c r="L182" s="2"/>
      <c r="M182" s="6"/>
      <c r="N182" s="45" t="str">
        <f t="shared" si="150"/>
        <v>@nwcsoftball</v>
      </c>
      <c r="O182" s="114" t="str">
        <f t="shared" si="151"/>
        <v>Questionnaire</v>
      </c>
      <c r="P182" s="48" t="s">
        <v>17345</v>
      </c>
      <c r="Q182" s="60" t="s">
        <v>2663</v>
      </c>
      <c r="R182" s="48" t="s">
        <v>17347</v>
      </c>
      <c r="S182" s="60" t="s">
        <v>205</v>
      </c>
      <c r="T182" s="49" t="s">
        <v>63</v>
      </c>
      <c r="U182" s="48" t="s">
        <v>75</v>
      </c>
      <c r="V182" s="49"/>
      <c r="W182" s="65">
        <v>3.58</v>
      </c>
      <c r="X182" s="49" t="s">
        <v>396</v>
      </c>
      <c r="Y182" s="49" t="s">
        <v>4067</v>
      </c>
      <c r="Z182" s="49" t="s">
        <v>803</v>
      </c>
      <c r="AA182" s="65">
        <v>0.66</v>
      </c>
      <c r="AB182" s="39">
        <v>42900</v>
      </c>
      <c r="AC182" s="84" t="s">
        <v>17345</v>
      </c>
      <c r="AD182" s="53" t="str">
        <f t="shared" si="152"/>
        <v>Link</v>
      </c>
      <c r="AE182" s="42">
        <v>1091</v>
      </c>
      <c r="AF182" s="55"/>
      <c r="AG182" s="85"/>
      <c r="AH182" s="56">
        <v>154101</v>
      </c>
      <c r="AI182" s="85"/>
    </row>
    <row r="183" spans="1:41" ht="13" x14ac:dyDescent="0.15">
      <c r="A183" s="7"/>
      <c r="B183" s="31" t="s">
        <v>2926</v>
      </c>
      <c r="C183" s="2" t="s">
        <v>15218</v>
      </c>
      <c r="D183" s="7" t="s">
        <v>17353</v>
      </c>
      <c r="E183" s="37">
        <v>5</v>
      </c>
      <c r="F183" s="48"/>
      <c r="G183" s="48"/>
      <c r="H183" s="2" t="s">
        <v>17340</v>
      </c>
      <c r="I183" s="2" t="s">
        <v>844</v>
      </c>
      <c r="J183" s="2" t="s">
        <v>17354</v>
      </c>
      <c r="K183" s="2" t="s">
        <v>55</v>
      </c>
      <c r="L183" s="2"/>
      <c r="M183" s="6"/>
      <c r="N183" s="45" t="str">
        <f t="shared" si="150"/>
        <v>@nwcsoftball</v>
      </c>
      <c r="O183" s="114" t="str">
        <f t="shared" si="151"/>
        <v>Questionnaire</v>
      </c>
      <c r="P183" s="48" t="s">
        <v>17345</v>
      </c>
      <c r="Q183" s="60" t="s">
        <v>2663</v>
      </c>
      <c r="R183" s="48" t="s">
        <v>17347</v>
      </c>
      <c r="S183" s="60" t="s">
        <v>205</v>
      </c>
      <c r="T183" s="49" t="s">
        <v>63</v>
      </c>
      <c r="U183" s="48" t="s">
        <v>75</v>
      </c>
      <c r="V183" s="49"/>
      <c r="W183" s="65">
        <v>3.58</v>
      </c>
      <c r="X183" s="49" t="s">
        <v>396</v>
      </c>
      <c r="Y183" s="49" t="s">
        <v>4067</v>
      </c>
      <c r="Z183" s="49" t="s">
        <v>803</v>
      </c>
      <c r="AA183" s="65">
        <v>0.66</v>
      </c>
      <c r="AB183" s="39">
        <v>42900</v>
      </c>
      <c r="AC183" s="84" t="s">
        <v>17345</v>
      </c>
      <c r="AD183" s="53" t="str">
        <f t="shared" si="152"/>
        <v>Link</v>
      </c>
      <c r="AE183" s="42">
        <v>1091</v>
      </c>
      <c r="AF183" s="55"/>
      <c r="AG183" s="85"/>
      <c r="AH183" s="56">
        <v>154101</v>
      </c>
      <c r="AI183" s="85"/>
    </row>
    <row r="184" spans="1:41" ht="13" x14ac:dyDescent="0.15">
      <c r="A184" s="7"/>
      <c r="B184" s="31" t="s">
        <v>2926</v>
      </c>
      <c r="C184" s="2" t="s">
        <v>15218</v>
      </c>
      <c r="D184" s="7" t="s">
        <v>17353</v>
      </c>
      <c r="E184" s="37">
        <v>5</v>
      </c>
      <c r="F184" s="48"/>
      <c r="G184" s="48"/>
      <c r="H184" s="2" t="s">
        <v>17340</v>
      </c>
      <c r="I184" s="2" t="s">
        <v>1875</v>
      </c>
      <c r="J184" s="2" t="s">
        <v>17356</v>
      </c>
      <c r="K184" s="2" t="s">
        <v>55</v>
      </c>
      <c r="L184" s="2"/>
      <c r="M184" s="6"/>
      <c r="N184" s="45" t="str">
        <f t="shared" si="150"/>
        <v>@nwcsoftball</v>
      </c>
      <c r="O184" s="114" t="str">
        <f t="shared" si="151"/>
        <v>Questionnaire</v>
      </c>
      <c r="P184" s="48" t="s">
        <v>17345</v>
      </c>
      <c r="Q184" s="60" t="s">
        <v>2663</v>
      </c>
      <c r="R184" s="48" t="s">
        <v>17347</v>
      </c>
      <c r="S184" s="60" t="s">
        <v>205</v>
      </c>
      <c r="T184" s="49" t="s">
        <v>63</v>
      </c>
      <c r="U184" s="48" t="s">
        <v>75</v>
      </c>
      <c r="V184" s="49"/>
      <c r="W184" s="65">
        <v>3.58</v>
      </c>
      <c r="X184" s="49" t="s">
        <v>396</v>
      </c>
      <c r="Y184" s="49" t="s">
        <v>4067</v>
      </c>
      <c r="Z184" s="49" t="s">
        <v>803</v>
      </c>
      <c r="AA184" s="65">
        <v>0.66</v>
      </c>
      <c r="AB184" s="39">
        <v>42900</v>
      </c>
      <c r="AC184" s="84" t="s">
        <v>17345</v>
      </c>
      <c r="AD184" s="53" t="str">
        <f t="shared" si="152"/>
        <v>Link</v>
      </c>
      <c r="AE184" s="42">
        <v>1091</v>
      </c>
      <c r="AF184" s="55"/>
      <c r="AG184" s="85"/>
      <c r="AH184" s="56">
        <v>154101</v>
      </c>
      <c r="AI184" s="85"/>
    </row>
    <row r="185" spans="1:41" ht="15" x14ac:dyDescent="0.2">
      <c r="A185" s="7"/>
      <c r="B185" s="31" t="s">
        <v>2926</v>
      </c>
      <c r="C185" s="2" t="s">
        <v>15218</v>
      </c>
      <c r="D185" s="7" t="s">
        <v>17359</v>
      </c>
      <c r="E185" s="37">
        <v>5</v>
      </c>
      <c r="F185" s="48"/>
      <c r="G185" s="48"/>
      <c r="H185" s="2" t="s">
        <v>17360</v>
      </c>
      <c r="I185" s="2" t="s">
        <v>3385</v>
      </c>
      <c r="J185" s="2" t="s">
        <v>17361</v>
      </c>
      <c r="K185" s="2" t="s">
        <v>48</v>
      </c>
      <c r="L185" s="2" t="s">
        <v>17362</v>
      </c>
      <c r="M185" s="6" t="s">
        <v>17363</v>
      </c>
      <c r="N185" s="45" t="str">
        <f>HYPERLINK("twitter.com/saubeessoftball","@saubeessoftball")</f>
        <v>@saubeessoftball</v>
      </c>
      <c r="O185" s="114" t="str">
        <f>HYPERLINK("http://www.saubees.com/recruiting.php","Questionnaire")</f>
        <v>Questionnaire</v>
      </c>
      <c r="P185" s="108" t="s">
        <v>17367</v>
      </c>
      <c r="Q185" s="60" t="s">
        <v>2663</v>
      </c>
      <c r="R185" s="48" t="s">
        <v>2986</v>
      </c>
      <c r="S185" s="48" t="s">
        <v>238</v>
      </c>
      <c r="T185" s="49" t="s">
        <v>63</v>
      </c>
      <c r="U185" s="6" t="s">
        <v>343</v>
      </c>
      <c r="V185" s="49"/>
      <c r="W185" s="65">
        <v>3.32</v>
      </c>
      <c r="X185" s="49" t="s">
        <v>214</v>
      </c>
      <c r="Y185" s="49" t="s">
        <v>214</v>
      </c>
      <c r="Z185" s="49" t="s">
        <v>1994</v>
      </c>
      <c r="AA185" s="80">
        <v>0.64</v>
      </c>
      <c r="AB185" s="39">
        <v>43503</v>
      </c>
      <c r="AC185" s="52" t="s">
        <v>17367</v>
      </c>
      <c r="AD185" s="53" t="str">
        <f>HYPERLINK("https://sau.edu/academics/programs","Link")</f>
        <v>Link</v>
      </c>
      <c r="AE185" s="42">
        <v>2404</v>
      </c>
      <c r="AF185" s="55"/>
      <c r="AG185" s="85"/>
      <c r="AH185" s="56">
        <v>154235</v>
      </c>
      <c r="AI185" s="85"/>
    </row>
    <row r="186" spans="1:41" ht="13" x14ac:dyDescent="0.15">
      <c r="A186" s="7"/>
      <c r="B186" s="31" t="s">
        <v>2926</v>
      </c>
      <c r="C186" s="2" t="s">
        <v>15218</v>
      </c>
      <c r="D186" s="7" t="s">
        <v>17370</v>
      </c>
      <c r="E186" s="37">
        <v>5</v>
      </c>
      <c r="F186" s="48"/>
      <c r="G186" s="48"/>
      <c r="H186" s="2" t="s">
        <v>17371</v>
      </c>
      <c r="I186" s="2" t="s">
        <v>17372</v>
      </c>
      <c r="J186" s="2" t="s">
        <v>17373</v>
      </c>
      <c r="K186" s="2" t="s">
        <v>48</v>
      </c>
      <c r="L186" s="2" t="s">
        <v>17374</v>
      </c>
      <c r="M186" s="6" t="s">
        <v>17375</v>
      </c>
      <c r="N186" s="45" t="str">
        <f t="shared" ref="N186:N187" si="153">HYPERLINK("twitter.com/waldorfsoftball","@waldorfsoftball")</f>
        <v>@waldorfsoftball</v>
      </c>
      <c r="O186" s="114" t="str">
        <f t="shared" ref="O186:O187" si="154">HYPERLINK("http://www.waldorfwarriors.com/recruiting.php","Questionnaire")</f>
        <v>Questionnaire</v>
      </c>
      <c r="P186" s="48" t="s">
        <v>17376</v>
      </c>
      <c r="Q186" s="60" t="s">
        <v>2663</v>
      </c>
      <c r="R186" s="48" t="s">
        <v>17377</v>
      </c>
      <c r="S186" s="60" t="s">
        <v>205</v>
      </c>
      <c r="T186" s="49" t="s">
        <v>63</v>
      </c>
      <c r="U186" s="48" t="s">
        <v>75</v>
      </c>
      <c r="V186" s="49"/>
      <c r="W186" s="65">
        <v>3.17</v>
      </c>
      <c r="X186" s="49" t="s">
        <v>448</v>
      </c>
      <c r="Y186" s="49" t="s">
        <v>5268</v>
      </c>
      <c r="Z186" s="49" t="s">
        <v>449</v>
      </c>
      <c r="AA186" s="65">
        <v>0.67</v>
      </c>
      <c r="AB186" s="39">
        <v>33100</v>
      </c>
      <c r="AC186" s="84" t="s">
        <v>17376</v>
      </c>
      <c r="AD186" s="53" t="str">
        <f t="shared" ref="AD186:AD187" si="155">HYPERLINK("https://www.waldorf.edu/academics/degree-programs","Link")</f>
        <v>Link</v>
      </c>
      <c r="AE186" s="42">
        <v>1913</v>
      </c>
      <c r="AF186" s="55"/>
      <c r="AG186" s="85"/>
      <c r="AH186" s="56">
        <v>154518</v>
      </c>
      <c r="AI186" s="85"/>
    </row>
    <row r="187" spans="1:41" ht="13" x14ac:dyDescent="0.15">
      <c r="A187" s="7"/>
      <c r="B187" s="31" t="s">
        <v>2926</v>
      </c>
      <c r="C187" s="2" t="s">
        <v>15218</v>
      </c>
      <c r="D187" s="7" t="s">
        <v>17370</v>
      </c>
      <c r="E187" s="37">
        <v>5</v>
      </c>
      <c r="F187" s="48"/>
      <c r="G187" s="48"/>
      <c r="H187" s="2" t="s">
        <v>17371</v>
      </c>
      <c r="I187" s="2" t="s">
        <v>1286</v>
      </c>
      <c r="J187" s="2" t="s">
        <v>17382</v>
      </c>
      <c r="K187" s="2" t="s">
        <v>55</v>
      </c>
      <c r="L187" s="2" t="s">
        <v>17383</v>
      </c>
      <c r="M187" s="6"/>
      <c r="N187" s="45" t="str">
        <f t="shared" si="153"/>
        <v>@waldorfsoftball</v>
      </c>
      <c r="O187" s="114" t="str">
        <f t="shared" si="154"/>
        <v>Questionnaire</v>
      </c>
      <c r="P187" s="48" t="s">
        <v>17376</v>
      </c>
      <c r="Q187" s="60" t="s">
        <v>2663</v>
      </c>
      <c r="R187" s="48" t="s">
        <v>17377</v>
      </c>
      <c r="S187" s="60" t="s">
        <v>205</v>
      </c>
      <c r="T187" s="49" t="s">
        <v>63</v>
      </c>
      <c r="U187" s="48" t="s">
        <v>75</v>
      </c>
      <c r="V187" s="49"/>
      <c r="W187" s="65">
        <v>3.17</v>
      </c>
      <c r="X187" s="49" t="s">
        <v>448</v>
      </c>
      <c r="Y187" s="49" t="s">
        <v>5268</v>
      </c>
      <c r="Z187" s="49" t="s">
        <v>449</v>
      </c>
      <c r="AA187" s="65">
        <v>0.67</v>
      </c>
      <c r="AB187" s="39">
        <v>33100</v>
      </c>
      <c r="AC187" s="84" t="s">
        <v>17376</v>
      </c>
      <c r="AD187" s="53" t="str">
        <f t="shared" si="155"/>
        <v>Link</v>
      </c>
      <c r="AE187" s="42">
        <v>1913</v>
      </c>
      <c r="AF187" s="55"/>
      <c r="AG187" s="85"/>
      <c r="AH187" s="56">
        <v>154518</v>
      </c>
      <c r="AI187" s="85"/>
    </row>
    <row r="188" spans="1:41" ht="15" x14ac:dyDescent="0.2">
      <c r="A188" s="7"/>
      <c r="B188" s="31" t="s">
        <v>2926</v>
      </c>
      <c r="C188" s="2" t="s">
        <v>15218</v>
      </c>
      <c r="D188" s="7"/>
      <c r="E188" s="37">
        <v>5</v>
      </c>
      <c r="F188" s="7"/>
      <c r="G188" s="7"/>
      <c r="H188" s="2" t="s">
        <v>17384</v>
      </c>
      <c r="I188" s="2" t="s">
        <v>754</v>
      </c>
      <c r="J188" s="2" t="s">
        <v>17386</v>
      </c>
      <c r="K188" s="2" t="s">
        <v>48</v>
      </c>
      <c r="L188" s="2" t="s">
        <v>17388</v>
      </c>
      <c r="M188" s="6" t="s">
        <v>17389</v>
      </c>
      <c r="N188" s="45" t="str">
        <f t="shared" ref="N188:N190" si="156">HYPERLINK("twitter.com/wmpennsoftball","@wmpennsoftball")</f>
        <v>@wmpennsoftball</v>
      </c>
      <c r="O188" s="114" t="str">
        <f t="shared" ref="O188:O190" si="157">HYPERLINK("http://www.statesmenathletics.com/recruiting.php?seasonID=0&amp;sportID=2&amp;checkSplashCookie=1","Questionnaire")</f>
        <v>Questionnaire</v>
      </c>
      <c r="P188" s="108" t="s">
        <v>17391</v>
      </c>
      <c r="Q188" s="60" t="s">
        <v>2663</v>
      </c>
      <c r="R188" s="48" t="s">
        <v>17392</v>
      </c>
      <c r="S188" s="48" t="s">
        <v>172</v>
      </c>
      <c r="T188" s="49" t="s">
        <v>63</v>
      </c>
      <c r="U188" s="6" t="s">
        <v>2827</v>
      </c>
      <c r="V188" s="49"/>
      <c r="W188" s="65">
        <v>2.9</v>
      </c>
      <c r="X188" s="49" t="s">
        <v>5635</v>
      </c>
      <c r="Y188" s="49" t="s">
        <v>5140</v>
      </c>
      <c r="Z188" s="49" t="s">
        <v>3230</v>
      </c>
      <c r="AA188" s="65">
        <v>0.59</v>
      </c>
      <c r="AB188" s="39">
        <v>36504</v>
      </c>
      <c r="AC188" s="52" t="s">
        <v>17391</v>
      </c>
      <c r="AD188" s="53" t="str">
        <f t="shared" ref="AD188:AD190" si="158">HYPERLINK("https://www.wmpenn.edu/academics/","Link")</f>
        <v>Link</v>
      </c>
      <c r="AE188" s="42">
        <v>1426</v>
      </c>
      <c r="AF188" s="55"/>
      <c r="AG188" s="85"/>
      <c r="AH188" s="56">
        <v>154590</v>
      </c>
      <c r="AI188" s="85" t="s">
        <v>2459</v>
      </c>
      <c r="AJ188" s="7"/>
      <c r="AK188" s="7"/>
      <c r="AL188" s="7"/>
      <c r="AM188" s="7"/>
      <c r="AN188" s="7"/>
      <c r="AO188" s="7"/>
    </row>
    <row r="189" spans="1:41" ht="15" x14ac:dyDescent="0.2">
      <c r="A189" s="7"/>
      <c r="B189" s="31" t="s">
        <v>2926</v>
      </c>
      <c r="C189" s="2" t="s">
        <v>15218</v>
      </c>
      <c r="D189" s="7"/>
      <c r="E189" s="37">
        <v>5</v>
      </c>
      <c r="F189" s="7"/>
      <c r="G189" s="7"/>
      <c r="H189" s="2" t="s">
        <v>17384</v>
      </c>
      <c r="I189" s="2" t="s">
        <v>5273</v>
      </c>
      <c r="J189" s="2" t="s">
        <v>17397</v>
      </c>
      <c r="K189" s="2" t="s">
        <v>55</v>
      </c>
      <c r="L189" s="2"/>
      <c r="M189" s="6" t="s">
        <v>17389</v>
      </c>
      <c r="N189" s="45" t="str">
        <f t="shared" si="156"/>
        <v>@wmpennsoftball</v>
      </c>
      <c r="O189" s="114" t="str">
        <f t="shared" si="157"/>
        <v>Questionnaire</v>
      </c>
      <c r="P189" s="108" t="s">
        <v>17391</v>
      </c>
      <c r="Q189" s="60" t="s">
        <v>2663</v>
      </c>
      <c r="R189" s="48" t="s">
        <v>17392</v>
      </c>
      <c r="S189" s="48" t="s">
        <v>172</v>
      </c>
      <c r="T189" s="49" t="s">
        <v>63</v>
      </c>
      <c r="U189" s="6" t="s">
        <v>2827</v>
      </c>
      <c r="V189" s="49"/>
      <c r="W189" s="65">
        <v>2.9</v>
      </c>
      <c r="X189" s="49" t="s">
        <v>5635</v>
      </c>
      <c r="Y189" s="49" t="s">
        <v>5140</v>
      </c>
      <c r="Z189" s="49" t="s">
        <v>3230</v>
      </c>
      <c r="AA189" s="65">
        <v>0.59</v>
      </c>
      <c r="AB189" s="39">
        <v>36504</v>
      </c>
      <c r="AC189" s="52" t="s">
        <v>17391</v>
      </c>
      <c r="AD189" s="53" t="str">
        <f t="shared" si="158"/>
        <v>Link</v>
      </c>
      <c r="AE189" s="42">
        <v>1426</v>
      </c>
      <c r="AF189" s="55"/>
      <c r="AG189" s="85"/>
      <c r="AH189" s="56">
        <v>154590</v>
      </c>
      <c r="AI189" s="85" t="s">
        <v>2459</v>
      </c>
      <c r="AJ189" s="7"/>
      <c r="AK189" s="7"/>
      <c r="AL189" s="7"/>
      <c r="AM189" s="7"/>
      <c r="AN189" s="7"/>
      <c r="AO189" s="7"/>
    </row>
    <row r="190" spans="1:41" ht="15" x14ac:dyDescent="0.2">
      <c r="A190" s="7"/>
      <c r="B190" s="31" t="s">
        <v>2926</v>
      </c>
      <c r="C190" s="2" t="s">
        <v>15218</v>
      </c>
      <c r="D190" s="7"/>
      <c r="E190" s="37">
        <v>5</v>
      </c>
      <c r="F190" s="7"/>
      <c r="G190" s="7"/>
      <c r="H190" s="2" t="s">
        <v>17384</v>
      </c>
      <c r="I190" s="2" t="s">
        <v>17399</v>
      </c>
      <c r="J190" s="2" t="s">
        <v>977</v>
      </c>
      <c r="K190" s="2" t="s">
        <v>120</v>
      </c>
      <c r="L190" s="70" t="s">
        <v>17401</v>
      </c>
      <c r="M190" s="6" t="s">
        <v>17389</v>
      </c>
      <c r="N190" s="45" t="str">
        <f t="shared" si="156"/>
        <v>@wmpennsoftball</v>
      </c>
      <c r="O190" s="114" t="str">
        <f t="shared" si="157"/>
        <v>Questionnaire</v>
      </c>
      <c r="P190" s="108" t="s">
        <v>17391</v>
      </c>
      <c r="Q190" s="60" t="s">
        <v>2663</v>
      </c>
      <c r="R190" s="48" t="s">
        <v>17392</v>
      </c>
      <c r="S190" s="48" t="s">
        <v>172</v>
      </c>
      <c r="T190" s="49" t="s">
        <v>63</v>
      </c>
      <c r="U190" s="6" t="s">
        <v>2827</v>
      </c>
      <c r="V190" s="49"/>
      <c r="W190" s="65">
        <v>2.9</v>
      </c>
      <c r="X190" s="49" t="s">
        <v>5635</v>
      </c>
      <c r="Y190" s="49" t="s">
        <v>5140</v>
      </c>
      <c r="Z190" s="49" t="s">
        <v>3230</v>
      </c>
      <c r="AA190" s="65">
        <v>0.59</v>
      </c>
      <c r="AB190" s="39">
        <v>36504</v>
      </c>
      <c r="AC190" s="52" t="s">
        <v>17391</v>
      </c>
      <c r="AD190" s="53" t="str">
        <f t="shared" si="158"/>
        <v>Link</v>
      </c>
      <c r="AE190" s="42">
        <v>1426</v>
      </c>
      <c r="AF190" s="55"/>
      <c r="AG190" s="85"/>
      <c r="AH190" s="56">
        <v>154590</v>
      </c>
      <c r="AI190" s="85" t="s">
        <v>2459</v>
      </c>
      <c r="AJ190" s="7"/>
      <c r="AK190" s="7"/>
      <c r="AL190" s="7"/>
      <c r="AM190" s="7"/>
      <c r="AN190" s="7"/>
      <c r="AO190" s="7"/>
    </row>
    <row r="191" spans="1:41" ht="15" x14ac:dyDescent="0.2">
      <c r="A191" s="7"/>
      <c r="B191" s="31" t="s">
        <v>2730</v>
      </c>
      <c r="C191" s="2" t="s">
        <v>15218</v>
      </c>
      <c r="D191" s="7" t="s">
        <v>17413</v>
      </c>
      <c r="E191" s="37">
        <v>5</v>
      </c>
      <c r="F191" s="48"/>
      <c r="G191" s="48"/>
      <c r="H191" s="2" t="s">
        <v>17414</v>
      </c>
      <c r="I191" s="2" t="s">
        <v>847</v>
      </c>
      <c r="J191" s="2" t="s">
        <v>17415</v>
      </c>
      <c r="K191" s="2" t="s">
        <v>48</v>
      </c>
      <c r="L191" s="2" t="s">
        <v>17416</v>
      </c>
      <c r="M191" s="6" t="s">
        <v>17417</v>
      </c>
      <c r="N191" s="45" t="str">
        <f>HYPERLINK("twitter.com/bakerwildcatsb","@bakerwildcatsb")</f>
        <v>@bakerwildcatsb</v>
      </c>
      <c r="O191" s="114" t="str">
        <f>HYPERLINK("http://www.bakerwildcats.com/recruiting/0/5.php","Questionnaire")</f>
        <v>Questionnaire</v>
      </c>
      <c r="P191" s="108" t="s">
        <v>17422</v>
      </c>
      <c r="Q191" s="60" t="s">
        <v>528</v>
      </c>
      <c r="R191" s="48" t="s">
        <v>17423</v>
      </c>
      <c r="S191" s="60" t="s">
        <v>205</v>
      </c>
      <c r="T191" s="49" t="s">
        <v>63</v>
      </c>
      <c r="U191" s="6" t="s">
        <v>65</v>
      </c>
      <c r="V191" s="49"/>
      <c r="W191" s="65">
        <v>3.47</v>
      </c>
      <c r="X191" s="49" t="s">
        <v>6282</v>
      </c>
      <c r="Y191" s="49" t="s">
        <v>17424</v>
      </c>
      <c r="Z191" s="49" t="s">
        <v>1994</v>
      </c>
      <c r="AA191" s="38">
        <v>0.77749999999999997</v>
      </c>
      <c r="AB191" s="39">
        <v>42340</v>
      </c>
      <c r="AC191" s="52" t="s">
        <v>17422</v>
      </c>
      <c r="AD191" s="53" t="str">
        <f>HYPERLINK("https://www.bakeru.edu/academics/","Link")</f>
        <v>Link</v>
      </c>
      <c r="AE191" s="42">
        <v>1867</v>
      </c>
      <c r="AF191" s="55"/>
      <c r="AG191" s="85"/>
      <c r="AH191" s="56">
        <v>154688</v>
      </c>
      <c r="AI191" s="85"/>
    </row>
    <row r="192" spans="1:41" ht="15" x14ac:dyDescent="0.2">
      <c r="A192" s="7"/>
      <c r="B192" s="31" t="s">
        <v>2730</v>
      </c>
      <c r="C192" s="2" t="s">
        <v>15218</v>
      </c>
      <c r="D192" s="7" t="s">
        <v>17425</v>
      </c>
      <c r="E192" s="37">
        <v>5</v>
      </c>
      <c r="F192" s="48"/>
      <c r="G192" s="48"/>
      <c r="H192" s="2" t="s">
        <v>17427</v>
      </c>
      <c r="I192" s="2" t="s">
        <v>2599</v>
      </c>
      <c r="J192" s="2" t="s">
        <v>2472</v>
      </c>
      <c r="K192" s="2" t="s">
        <v>48</v>
      </c>
      <c r="L192" s="2" t="s">
        <v>17429</v>
      </c>
      <c r="M192" s="6"/>
      <c r="N192" s="45" t="str">
        <f>HYPERLINK("twitter.com/raven_softball","@raven_softball")</f>
        <v>@raven_softball</v>
      </c>
      <c r="O192" s="114" t="str">
        <f>HYPERLINK("http://www.ravenathletics.com/recruiting.php","Questionnaire")</f>
        <v>Questionnaire</v>
      </c>
      <c r="P192" s="108" t="s">
        <v>17431</v>
      </c>
      <c r="Q192" s="60" t="s">
        <v>528</v>
      </c>
      <c r="R192" s="48" t="s">
        <v>17432</v>
      </c>
      <c r="S192" s="48" t="s">
        <v>172</v>
      </c>
      <c r="T192" s="49" t="s">
        <v>63</v>
      </c>
      <c r="U192" s="6" t="s">
        <v>343</v>
      </c>
      <c r="V192" s="49"/>
      <c r="W192" s="65">
        <v>3.42</v>
      </c>
      <c r="X192" s="49" t="s">
        <v>17433</v>
      </c>
      <c r="Y192" s="49" t="s">
        <v>6282</v>
      </c>
      <c r="Z192" s="49" t="s">
        <v>803</v>
      </c>
      <c r="AA192" s="38">
        <v>0.69240000000000002</v>
      </c>
      <c r="AB192" s="39">
        <v>42230</v>
      </c>
      <c r="AC192" s="52" t="s">
        <v>17431</v>
      </c>
      <c r="AD192" s="53" t="str">
        <f>HYPERLINK("https://www.benedictine.edu/academics/departments/index","Link")</f>
        <v>Link</v>
      </c>
      <c r="AE192" s="42">
        <v>2245</v>
      </c>
      <c r="AF192" s="55"/>
      <c r="AG192" s="85"/>
      <c r="AH192" s="56">
        <v>154712</v>
      </c>
      <c r="AI192" s="85"/>
    </row>
    <row r="193" spans="1:41" ht="15" x14ac:dyDescent="0.2">
      <c r="A193" s="7"/>
      <c r="B193" s="31" t="s">
        <v>2730</v>
      </c>
      <c r="C193" s="2" t="s">
        <v>15218</v>
      </c>
      <c r="D193" s="7" t="s">
        <v>17438</v>
      </c>
      <c r="E193" s="37">
        <v>5</v>
      </c>
      <c r="F193" s="48"/>
      <c r="G193" s="48"/>
      <c r="H193" s="2" t="s">
        <v>17439</v>
      </c>
      <c r="I193" s="2" t="s">
        <v>2999</v>
      </c>
      <c r="J193" s="2" t="s">
        <v>17440</v>
      </c>
      <c r="K193" s="2" t="s">
        <v>48</v>
      </c>
      <c r="L193" s="2" t="s">
        <v>17441</v>
      </c>
      <c r="M193" s="6" t="s">
        <v>17442</v>
      </c>
      <c r="N193" s="45" t="str">
        <f t="shared" ref="N193:N195" si="159">HYPERLINK("twitter.com/swedessoftball","@swedessoftball")</f>
        <v>@swedessoftball</v>
      </c>
      <c r="O193" s="114" t="str">
        <f t="shared" ref="O193:O195" si="160">HYPERLINK("https://www.frontrush.com/FR_Web_App/Player/PlayerSubmit.aspx?sid=OTMwOA==-o5GvYw3Hyh4=&amp;ptype=recruit","Questionnaire")</f>
        <v>Questionnaire</v>
      </c>
      <c r="P193" s="108" t="s">
        <v>17444</v>
      </c>
      <c r="Q193" s="60" t="s">
        <v>528</v>
      </c>
      <c r="R193" s="48" t="s">
        <v>17445</v>
      </c>
      <c r="S193" s="60" t="s">
        <v>205</v>
      </c>
      <c r="T193" s="49" t="s">
        <v>63</v>
      </c>
      <c r="U193" s="6" t="s">
        <v>318</v>
      </c>
      <c r="V193" s="49"/>
      <c r="W193" s="49" t="s">
        <v>524</v>
      </c>
      <c r="X193" s="49" t="s">
        <v>448</v>
      </c>
      <c r="Y193" s="49" t="s">
        <v>1452</v>
      </c>
      <c r="Z193" s="49" t="s">
        <v>449</v>
      </c>
      <c r="AA193" s="38">
        <v>0.63790000000000002</v>
      </c>
      <c r="AB193" s="39">
        <v>42090</v>
      </c>
      <c r="AC193" s="52" t="s">
        <v>17444</v>
      </c>
      <c r="AD193" s="53" t="str">
        <f t="shared" ref="AD193:AD195" si="161">HYPERLINK("https://www.bethanylb.edu/academics/areas-of-study/","Link")</f>
        <v>Link</v>
      </c>
      <c r="AE193" s="42">
        <v>721</v>
      </c>
      <c r="AF193" s="55"/>
      <c r="AG193" s="85"/>
      <c r="AH193" s="56">
        <v>154721</v>
      </c>
      <c r="AI193" s="85"/>
    </row>
    <row r="194" spans="1:41" ht="15" x14ac:dyDescent="0.2">
      <c r="A194" s="7" t="s">
        <v>17446</v>
      </c>
      <c r="B194" s="31" t="s">
        <v>2730</v>
      </c>
      <c r="C194" s="2" t="s">
        <v>15218</v>
      </c>
      <c r="D194" s="7" t="s">
        <v>17447</v>
      </c>
      <c r="E194" s="37">
        <v>5</v>
      </c>
      <c r="F194" s="48"/>
      <c r="G194" s="48"/>
      <c r="H194" s="2" t="s">
        <v>17439</v>
      </c>
      <c r="I194" s="2" t="s">
        <v>17448</v>
      </c>
      <c r="J194" s="2" t="s">
        <v>1934</v>
      </c>
      <c r="K194" s="2" t="s">
        <v>55</v>
      </c>
      <c r="L194" s="2" t="s">
        <v>17449</v>
      </c>
      <c r="M194" s="6" t="s">
        <v>17442</v>
      </c>
      <c r="N194" s="45" t="str">
        <f t="shared" si="159"/>
        <v>@swedessoftball</v>
      </c>
      <c r="O194" s="114" t="str">
        <f t="shared" si="160"/>
        <v>Questionnaire</v>
      </c>
      <c r="P194" s="108" t="s">
        <v>17444</v>
      </c>
      <c r="Q194" s="60" t="s">
        <v>528</v>
      </c>
      <c r="R194" s="48" t="s">
        <v>17445</v>
      </c>
      <c r="S194" s="60" t="s">
        <v>205</v>
      </c>
      <c r="T194" s="49" t="s">
        <v>63</v>
      </c>
      <c r="U194" s="6" t="s">
        <v>318</v>
      </c>
      <c r="V194" s="49"/>
      <c r="W194" s="49" t="s">
        <v>524</v>
      </c>
      <c r="X194" s="49" t="s">
        <v>448</v>
      </c>
      <c r="Y194" s="49" t="s">
        <v>1452</v>
      </c>
      <c r="Z194" s="49" t="s">
        <v>449</v>
      </c>
      <c r="AA194" s="38">
        <v>0.63790000000000002</v>
      </c>
      <c r="AB194" s="39">
        <v>42090</v>
      </c>
      <c r="AC194" s="52" t="s">
        <v>17444</v>
      </c>
      <c r="AD194" s="53" t="str">
        <f t="shared" si="161"/>
        <v>Link</v>
      </c>
      <c r="AE194" s="42">
        <v>721</v>
      </c>
      <c r="AF194" s="55"/>
      <c r="AG194" s="85"/>
      <c r="AH194" s="56">
        <v>154721</v>
      </c>
      <c r="AI194" s="85"/>
    </row>
    <row r="195" spans="1:41" ht="15" x14ac:dyDescent="0.2">
      <c r="A195" s="7"/>
      <c r="B195" s="31" t="s">
        <v>2730</v>
      </c>
      <c r="C195" s="2" t="s">
        <v>15218</v>
      </c>
      <c r="D195" s="7" t="s">
        <v>17452</v>
      </c>
      <c r="E195" s="37">
        <v>5</v>
      </c>
      <c r="F195" s="48"/>
      <c r="G195" s="48"/>
      <c r="H195" s="2" t="s">
        <v>17439</v>
      </c>
      <c r="I195" s="2" t="s">
        <v>17453</v>
      </c>
      <c r="J195" s="2" t="s">
        <v>3193</v>
      </c>
      <c r="K195" s="2" t="s">
        <v>55</v>
      </c>
      <c r="L195" s="2" t="s">
        <v>17454</v>
      </c>
      <c r="M195" s="6" t="s">
        <v>17442</v>
      </c>
      <c r="N195" s="45" t="str">
        <f t="shared" si="159"/>
        <v>@swedessoftball</v>
      </c>
      <c r="O195" s="114" t="str">
        <f t="shared" si="160"/>
        <v>Questionnaire</v>
      </c>
      <c r="P195" s="108" t="s">
        <v>17444</v>
      </c>
      <c r="Q195" s="60" t="s">
        <v>528</v>
      </c>
      <c r="R195" s="48" t="s">
        <v>17445</v>
      </c>
      <c r="S195" s="60" t="s">
        <v>205</v>
      </c>
      <c r="T195" s="49" t="s">
        <v>63</v>
      </c>
      <c r="U195" s="6" t="s">
        <v>318</v>
      </c>
      <c r="V195" s="49"/>
      <c r="W195" s="49" t="s">
        <v>524</v>
      </c>
      <c r="X195" s="49" t="s">
        <v>448</v>
      </c>
      <c r="Y195" s="49" t="s">
        <v>1452</v>
      </c>
      <c r="Z195" s="49" t="s">
        <v>449</v>
      </c>
      <c r="AA195" s="38">
        <v>0.63790000000000002</v>
      </c>
      <c r="AB195" s="39">
        <v>42090</v>
      </c>
      <c r="AC195" s="52" t="s">
        <v>17444</v>
      </c>
      <c r="AD195" s="53" t="str">
        <f t="shared" si="161"/>
        <v>Link</v>
      </c>
      <c r="AE195" s="42">
        <v>721</v>
      </c>
      <c r="AF195" s="55"/>
      <c r="AG195" s="85"/>
      <c r="AH195" s="56">
        <v>154721</v>
      </c>
      <c r="AI195" s="85"/>
    </row>
    <row r="196" spans="1:41" ht="15" x14ac:dyDescent="0.2">
      <c r="A196" s="7"/>
      <c r="B196" s="31" t="s">
        <v>2730</v>
      </c>
      <c r="C196" s="2" t="s">
        <v>15218</v>
      </c>
      <c r="D196" s="7"/>
      <c r="E196" s="37">
        <v>5</v>
      </c>
      <c r="F196" s="7"/>
      <c r="G196" s="7"/>
      <c r="H196" s="2" t="s">
        <v>17459</v>
      </c>
      <c r="I196" s="2" t="s">
        <v>728</v>
      </c>
      <c r="J196" s="2" t="s">
        <v>17460</v>
      </c>
      <c r="K196" s="2" t="s">
        <v>48</v>
      </c>
      <c r="L196" s="2" t="s">
        <v>17461</v>
      </c>
      <c r="M196" s="6" t="s">
        <v>17462</v>
      </c>
      <c r="N196" s="48"/>
      <c r="O196" s="114" t="str">
        <f t="shared" ref="O196:O197" si="162">HYPERLINK("http://www.bethelthreshers.com/recruit","Questionnaire")</f>
        <v>Questionnaire</v>
      </c>
      <c r="P196" s="108" t="s">
        <v>17464</v>
      </c>
      <c r="Q196" s="60" t="s">
        <v>528</v>
      </c>
      <c r="R196" s="48" t="s">
        <v>17465</v>
      </c>
      <c r="S196" s="60" t="s">
        <v>205</v>
      </c>
      <c r="T196" s="49" t="s">
        <v>63</v>
      </c>
      <c r="U196" s="6" t="s">
        <v>6638</v>
      </c>
      <c r="V196" s="49"/>
      <c r="W196" s="65">
        <v>3.37</v>
      </c>
      <c r="X196" s="49" t="s">
        <v>17466</v>
      </c>
      <c r="Y196" s="49" t="s">
        <v>17467</v>
      </c>
      <c r="Z196" s="49" t="s">
        <v>278</v>
      </c>
      <c r="AA196" s="38">
        <v>0.55969999999999998</v>
      </c>
      <c r="AB196" s="39">
        <v>40611</v>
      </c>
      <c r="AC196" s="52" t="s">
        <v>17464</v>
      </c>
      <c r="AD196" s="53" t="str">
        <f t="shared" ref="AD196:AD197" si="163">HYPERLINK("https://www.bethelks.edu/academics/areas-of-study/","Link")</f>
        <v>Link</v>
      </c>
      <c r="AE196" s="42">
        <v>460</v>
      </c>
      <c r="AF196" s="55"/>
      <c r="AG196" s="85"/>
      <c r="AH196" s="56">
        <v>154749</v>
      </c>
      <c r="AI196" s="7" t="s">
        <v>2459</v>
      </c>
      <c r="AJ196" s="7"/>
      <c r="AK196" s="7"/>
      <c r="AL196" s="7"/>
      <c r="AM196" s="7"/>
      <c r="AN196" s="7"/>
      <c r="AO196" s="7"/>
    </row>
    <row r="197" spans="1:41" ht="15" x14ac:dyDescent="0.2">
      <c r="A197" s="7"/>
      <c r="B197" s="31" t="s">
        <v>2730</v>
      </c>
      <c r="C197" s="2" t="s">
        <v>15218</v>
      </c>
      <c r="D197" s="7"/>
      <c r="E197" s="37">
        <v>5</v>
      </c>
      <c r="F197" s="7"/>
      <c r="G197" s="7"/>
      <c r="H197" s="2" t="s">
        <v>17459</v>
      </c>
      <c r="I197" s="2" t="s">
        <v>4187</v>
      </c>
      <c r="J197" s="2" t="s">
        <v>17460</v>
      </c>
      <c r="K197" s="2" t="s">
        <v>55</v>
      </c>
      <c r="L197" s="2" t="s">
        <v>17470</v>
      </c>
      <c r="M197" s="6" t="s">
        <v>17471</v>
      </c>
      <c r="N197" s="48"/>
      <c r="O197" s="114" t="str">
        <f t="shared" si="162"/>
        <v>Questionnaire</v>
      </c>
      <c r="P197" s="108" t="s">
        <v>17464</v>
      </c>
      <c r="Q197" s="60" t="s">
        <v>528</v>
      </c>
      <c r="R197" s="48" t="s">
        <v>17465</v>
      </c>
      <c r="S197" s="60" t="s">
        <v>205</v>
      </c>
      <c r="T197" s="49" t="s">
        <v>63</v>
      </c>
      <c r="U197" s="6" t="s">
        <v>6638</v>
      </c>
      <c r="V197" s="49"/>
      <c r="W197" s="65">
        <v>3.37</v>
      </c>
      <c r="X197" s="49" t="s">
        <v>17466</v>
      </c>
      <c r="Y197" s="49" t="s">
        <v>17467</v>
      </c>
      <c r="Z197" s="49" t="s">
        <v>278</v>
      </c>
      <c r="AA197" s="38">
        <v>0.55969999999999998</v>
      </c>
      <c r="AB197" s="39">
        <v>40611</v>
      </c>
      <c r="AC197" s="52" t="s">
        <v>17464</v>
      </c>
      <c r="AD197" s="53" t="str">
        <f t="shared" si="163"/>
        <v>Link</v>
      </c>
      <c r="AE197" s="42">
        <v>460</v>
      </c>
      <c r="AF197" s="55"/>
      <c r="AG197" s="85"/>
      <c r="AH197" s="56">
        <v>154749</v>
      </c>
      <c r="AI197" s="7" t="s">
        <v>2459</v>
      </c>
      <c r="AJ197" s="7"/>
      <c r="AK197" s="7"/>
      <c r="AL197" s="7"/>
      <c r="AM197" s="7"/>
      <c r="AN197" s="7"/>
      <c r="AO197" s="7"/>
    </row>
    <row r="198" spans="1:41" ht="15" x14ac:dyDescent="0.2">
      <c r="A198" s="7"/>
      <c r="B198" s="31" t="s">
        <v>2730</v>
      </c>
      <c r="C198" s="2" t="s">
        <v>15218</v>
      </c>
      <c r="D198" s="7"/>
      <c r="E198" s="37">
        <v>5</v>
      </c>
      <c r="F198" s="7"/>
      <c r="G198" s="7"/>
      <c r="H198" s="2" t="s">
        <v>17475</v>
      </c>
      <c r="I198" s="2" t="s">
        <v>5470</v>
      </c>
      <c r="J198" s="2" t="s">
        <v>17476</v>
      </c>
      <c r="K198" s="2" t="s">
        <v>48</v>
      </c>
      <c r="L198" s="2" t="s">
        <v>17478</v>
      </c>
      <c r="M198" s="6"/>
      <c r="N198" s="45" t="str">
        <f>HYPERLINK("twitter.com/ccctigerssb","@ccctigerssb")</f>
        <v>@ccctigerssb</v>
      </c>
      <c r="O198" s="114" t="str">
        <f>HYPERLINK("https://cccbsaints.com/inside-athletics/recruiting-questionnaire","Questionnaire")</f>
        <v>Questionnaire</v>
      </c>
      <c r="P198" s="108" t="s">
        <v>17479</v>
      </c>
      <c r="Q198" s="60" t="s">
        <v>528</v>
      </c>
      <c r="R198" s="48" t="s">
        <v>17480</v>
      </c>
      <c r="S198" s="48" t="s">
        <v>172</v>
      </c>
      <c r="T198" s="49" t="s">
        <v>63</v>
      </c>
      <c r="U198" s="6" t="s">
        <v>2100</v>
      </c>
      <c r="V198" s="49"/>
      <c r="W198" s="65">
        <v>3.27</v>
      </c>
      <c r="X198" s="49" t="s">
        <v>8138</v>
      </c>
      <c r="Y198" s="49" t="s">
        <v>8538</v>
      </c>
      <c r="Z198" s="49" t="s">
        <v>1948</v>
      </c>
      <c r="AA198" s="38">
        <v>0.5363</v>
      </c>
      <c r="AB198" s="39">
        <v>28370</v>
      </c>
      <c r="AC198" s="52" t="s">
        <v>17479</v>
      </c>
      <c r="AD198" s="53" t="str">
        <f>HYPERLINK("http://www.centralchristian.edu/areas-of-study","Link")</f>
        <v>Link</v>
      </c>
      <c r="AE198" s="42">
        <v>1013</v>
      </c>
      <c r="AF198" s="55"/>
      <c r="AG198" s="85"/>
      <c r="AH198" s="56">
        <v>154855</v>
      </c>
      <c r="AI198" s="7" t="s">
        <v>2459</v>
      </c>
      <c r="AJ198" s="7"/>
      <c r="AK198" s="7"/>
      <c r="AL198" s="7"/>
      <c r="AM198" s="7"/>
      <c r="AN198" s="7"/>
      <c r="AO198" s="7"/>
    </row>
    <row r="199" spans="1:41" ht="15" x14ac:dyDescent="0.2">
      <c r="A199" s="7"/>
      <c r="B199" s="31" t="s">
        <v>2730</v>
      </c>
      <c r="C199" s="2" t="s">
        <v>15218</v>
      </c>
      <c r="D199" s="7" t="s">
        <v>17484</v>
      </c>
      <c r="E199" s="37">
        <v>5</v>
      </c>
      <c r="F199" s="48"/>
      <c r="G199" s="48"/>
      <c r="H199" s="2" t="s">
        <v>17485</v>
      </c>
      <c r="I199" s="2" t="s">
        <v>2622</v>
      </c>
      <c r="J199" s="2" t="s">
        <v>17486</v>
      </c>
      <c r="K199" s="2" t="s">
        <v>48</v>
      </c>
      <c r="L199" s="2" t="s">
        <v>17487</v>
      </c>
      <c r="M199" s="6" t="s">
        <v>17488</v>
      </c>
      <c r="N199" s="45" t="str">
        <f t="shared" ref="N199:N201" si="164">HYPERLINK("twitter.com/friendssoftball","@friendssoftball")</f>
        <v>@friendssoftball</v>
      </c>
      <c r="O199" s="114" t="str">
        <f t="shared" ref="O199:O201" si="165">HYPERLINK("http://www.friendsathletics.com/recruiting.php","Questionnaire")</f>
        <v>Questionnaire</v>
      </c>
      <c r="P199" s="108" t="s">
        <v>17491</v>
      </c>
      <c r="Q199" s="60" t="s">
        <v>528</v>
      </c>
      <c r="R199" s="48" t="s">
        <v>542</v>
      </c>
      <c r="S199" s="48" t="s">
        <v>354</v>
      </c>
      <c r="T199" s="49" t="s">
        <v>63</v>
      </c>
      <c r="U199" s="48" t="s">
        <v>75</v>
      </c>
      <c r="V199" s="49"/>
      <c r="W199" s="65">
        <v>3.4</v>
      </c>
      <c r="X199" s="49" t="s">
        <v>17495</v>
      </c>
      <c r="Y199" s="49" t="s">
        <v>1785</v>
      </c>
      <c r="Z199" s="49" t="s">
        <v>125</v>
      </c>
      <c r="AA199" s="65">
        <v>0.55000000000000004</v>
      </c>
      <c r="AB199" s="39">
        <v>40377</v>
      </c>
      <c r="AC199" s="52" t="s">
        <v>17491</v>
      </c>
      <c r="AD199" s="53" t="str">
        <f t="shared" ref="AD199:AD203" si="166">HYPERLINK("https://www.friends.edu/majors/","Link")</f>
        <v>Link</v>
      </c>
      <c r="AE199" s="42">
        <v>1192</v>
      </c>
      <c r="AF199" s="55"/>
      <c r="AG199" s="85"/>
      <c r="AH199" s="56">
        <v>155089</v>
      </c>
      <c r="AI199" s="85"/>
    </row>
    <row r="200" spans="1:41" ht="15" x14ac:dyDescent="0.2">
      <c r="A200" s="7"/>
      <c r="B200" s="31" t="s">
        <v>2730</v>
      </c>
      <c r="C200" s="2" t="s">
        <v>15218</v>
      </c>
      <c r="D200" s="7" t="s">
        <v>17498</v>
      </c>
      <c r="E200" s="37">
        <v>5</v>
      </c>
      <c r="F200" s="48"/>
      <c r="G200" s="48"/>
      <c r="H200" s="2" t="s">
        <v>17485</v>
      </c>
      <c r="I200" s="2" t="s">
        <v>5217</v>
      </c>
      <c r="J200" s="2" t="s">
        <v>729</v>
      </c>
      <c r="K200" s="2" t="s">
        <v>55</v>
      </c>
      <c r="L200" s="2"/>
      <c r="M200" s="6"/>
      <c r="N200" s="45" t="str">
        <f t="shared" si="164"/>
        <v>@friendssoftball</v>
      </c>
      <c r="O200" s="114" t="str">
        <f t="shared" si="165"/>
        <v>Questionnaire</v>
      </c>
      <c r="P200" s="108" t="s">
        <v>17491</v>
      </c>
      <c r="Q200" s="60" t="s">
        <v>528</v>
      </c>
      <c r="R200" s="48" t="s">
        <v>542</v>
      </c>
      <c r="S200" s="48" t="s">
        <v>354</v>
      </c>
      <c r="T200" s="49" t="s">
        <v>63</v>
      </c>
      <c r="U200" s="48" t="s">
        <v>75</v>
      </c>
      <c r="V200" s="49"/>
      <c r="W200" s="65">
        <v>3.4</v>
      </c>
      <c r="X200" s="49" t="s">
        <v>17495</v>
      </c>
      <c r="Y200" s="49" t="s">
        <v>1785</v>
      </c>
      <c r="Z200" s="49" t="s">
        <v>125</v>
      </c>
      <c r="AA200" s="65">
        <v>0.55000000000000004</v>
      </c>
      <c r="AB200" s="39">
        <v>40377</v>
      </c>
      <c r="AC200" s="52" t="s">
        <v>17491</v>
      </c>
      <c r="AD200" s="53" t="str">
        <f t="shared" si="166"/>
        <v>Link</v>
      </c>
      <c r="AE200" s="42">
        <v>1192</v>
      </c>
      <c r="AF200" s="55"/>
      <c r="AG200" s="85"/>
      <c r="AH200" s="56">
        <v>155089</v>
      </c>
      <c r="AI200" s="85"/>
    </row>
    <row r="201" spans="1:41" ht="15" x14ac:dyDescent="0.2">
      <c r="A201" s="7"/>
      <c r="B201" s="31" t="s">
        <v>2730</v>
      </c>
      <c r="C201" s="2" t="s">
        <v>15218</v>
      </c>
      <c r="D201" s="7" t="s">
        <v>17500</v>
      </c>
      <c r="E201" s="37">
        <v>5</v>
      </c>
      <c r="F201" s="48"/>
      <c r="G201" s="48"/>
      <c r="H201" s="2" t="s">
        <v>17485</v>
      </c>
      <c r="I201" s="2" t="s">
        <v>1589</v>
      </c>
      <c r="J201" s="2" t="s">
        <v>13131</v>
      </c>
      <c r="K201" s="2" t="s">
        <v>55</v>
      </c>
      <c r="L201" s="2"/>
      <c r="M201" s="6"/>
      <c r="N201" s="45" t="str">
        <f t="shared" si="164"/>
        <v>@friendssoftball</v>
      </c>
      <c r="O201" s="114" t="str">
        <f t="shared" si="165"/>
        <v>Questionnaire</v>
      </c>
      <c r="P201" s="108" t="s">
        <v>17491</v>
      </c>
      <c r="Q201" s="60" t="s">
        <v>528</v>
      </c>
      <c r="R201" s="48" t="s">
        <v>542</v>
      </c>
      <c r="S201" s="48" t="s">
        <v>354</v>
      </c>
      <c r="T201" s="49" t="s">
        <v>63</v>
      </c>
      <c r="U201" s="48" t="s">
        <v>75</v>
      </c>
      <c r="V201" s="49"/>
      <c r="W201" s="65">
        <v>3.4</v>
      </c>
      <c r="X201" s="49" t="s">
        <v>17495</v>
      </c>
      <c r="Y201" s="49" t="s">
        <v>1785</v>
      </c>
      <c r="Z201" s="49" t="s">
        <v>125</v>
      </c>
      <c r="AA201" s="65">
        <v>0.55000000000000004</v>
      </c>
      <c r="AB201" s="39">
        <v>40377</v>
      </c>
      <c r="AC201" s="52" t="s">
        <v>17491</v>
      </c>
      <c r="AD201" s="53" t="str">
        <f t="shared" si="166"/>
        <v>Link</v>
      </c>
      <c r="AE201" s="42">
        <v>1192</v>
      </c>
      <c r="AF201" s="55"/>
      <c r="AG201" s="85"/>
      <c r="AH201" s="56">
        <v>155089</v>
      </c>
      <c r="AI201" s="85"/>
    </row>
    <row r="202" spans="1:41" ht="15" x14ac:dyDescent="0.2">
      <c r="A202" s="7"/>
      <c r="B202" s="110" t="s">
        <v>2730</v>
      </c>
      <c r="C202" s="2" t="s">
        <v>15218</v>
      </c>
      <c r="D202" s="7" t="s">
        <v>17507</v>
      </c>
      <c r="E202" s="44">
        <v>5</v>
      </c>
      <c r="F202" s="48"/>
      <c r="G202" s="48"/>
      <c r="H202" s="2" t="s">
        <v>17485</v>
      </c>
      <c r="I202" s="7" t="s">
        <v>17509</v>
      </c>
      <c r="J202" s="7" t="s">
        <v>17510</v>
      </c>
      <c r="K202" s="7" t="s">
        <v>55</v>
      </c>
      <c r="L202" s="7"/>
      <c r="M202" s="48"/>
      <c r="N202" s="47"/>
      <c r="O202" s="47"/>
      <c r="P202" s="47" t="s">
        <v>17491</v>
      </c>
      <c r="Q202" s="47" t="s">
        <v>528</v>
      </c>
      <c r="R202" s="48" t="s">
        <v>542</v>
      </c>
      <c r="S202" s="48" t="s">
        <v>354</v>
      </c>
      <c r="T202" s="49" t="s">
        <v>63</v>
      </c>
      <c r="U202" s="49" t="s">
        <v>75</v>
      </c>
      <c r="V202" s="49"/>
      <c r="W202" s="61">
        <v>3.4</v>
      </c>
      <c r="X202" s="49" t="s">
        <v>17495</v>
      </c>
      <c r="Y202" s="49" t="s">
        <v>1785</v>
      </c>
      <c r="Z202" s="49" t="s">
        <v>125</v>
      </c>
      <c r="AA202" s="61">
        <v>0.55000000000000004</v>
      </c>
      <c r="AB202" s="71">
        <v>40377</v>
      </c>
      <c r="AC202" s="52" t="s">
        <v>17491</v>
      </c>
      <c r="AD202" s="53" t="str">
        <f t="shared" si="166"/>
        <v>Link</v>
      </c>
      <c r="AE202" s="54">
        <v>1192</v>
      </c>
      <c r="AF202" s="55"/>
      <c r="AG202" s="55"/>
      <c r="AH202" s="56">
        <v>155089</v>
      </c>
      <c r="AI202" s="55"/>
    </row>
    <row r="203" spans="1:41" ht="15" x14ac:dyDescent="0.2">
      <c r="A203" s="7"/>
      <c r="B203" s="110" t="s">
        <v>2730</v>
      </c>
      <c r="C203" s="2" t="s">
        <v>15218</v>
      </c>
      <c r="D203" s="7" t="s">
        <v>17513</v>
      </c>
      <c r="E203" s="44">
        <v>5</v>
      </c>
      <c r="F203" s="48"/>
      <c r="G203" s="48"/>
      <c r="H203" s="2" t="s">
        <v>17485</v>
      </c>
      <c r="I203" s="7" t="s">
        <v>329</v>
      </c>
      <c r="J203" s="7" t="s">
        <v>17514</v>
      </c>
      <c r="K203" s="7" t="s">
        <v>55</v>
      </c>
      <c r="L203" s="7"/>
      <c r="M203" s="48"/>
      <c r="N203" s="47"/>
      <c r="O203" s="47"/>
      <c r="P203" s="47" t="s">
        <v>17491</v>
      </c>
      <c r="Q203" s="47" t="s">
        <v>528</v>
      </c>
      <c r="R203" s="48" t="s">
        <v>542</v>
      </c>
      <c r="S203" s="48" t="s">
        <v>354</v>
      </c>
      <c r="T203" s="49" t="s">
        <v>63</v>
      </c>
      <c r="U203" s="49" t="s">
        <v>75</v>
      </c>
      <c r="V203" s="49"/>
      <c r="W203" s="61">
        <v>3.4</v>
      </c>
      <c r="X203" s="49" t="s">
        <v>17495</v>
      </c>
      <c r="Y203" s="49" t="s">
        <v>1785</v>
      </c>
      <c r="Z203" s="49" t="s">
        <v>125</v>
      </c>
      <c r="AA203" s="61">
        <v>0.55000000000000004</v>
      </c>
      <c r="AB203" s="71">
        <v>40377</v>
      </c>
      <c r="AC203" s="52" t="s">
        <v>17491</v>
      </c>
      <c r="AD203" s="53" t="str">
        <f t="shared" si="166"/>
        <v>Link</v>
      </c>
      <c r="AE203" s="54">
        <v>1192</v>
      </c>
      <c r="AF203" s="55"/>
      <c r="AG203" s="55"/>
      <c r="AH203" s="56">
        <v>155089</v>
      </c>
      <c r="AI203" s="55"/>
    </row>
    <row r="204" spans="1:41" ht="15" x14ac:dyDescent="0.2">
      <c r="A204" s="7"/>
      <c r="B204" s="31" t="s">
        <v>2730</v>
      </c>
      <c r="C204" s="2" t="s">
        <v>15218</v>
      </c>
      <c r="D204" s="7" t="s">
        <v>17516</v>
      </c>
      <c r="E204" s="37">
        <v>5</v>
      </c>
      <c r="F204" s="48"/>
      <c r="G204" s="48"/>
      <c r="H204" s="2" t="s">
        <v>17517</v>
      </c>
      <c r="I204" s="2" t="s">
        <v>811</v>
      </c>
      <c r="J204" s="2" t="s">
        <v>12690</v>
      </c>
      <c r="K204" s="2" t="s">
        <v>48</v>
      </c>
      <c r="L204" s="2" t="s">
        <v>17518</v>
      </c>
      <c r="M204" s="6" t="s">
        <v>17519</v>
      </c>
      <c r="N204" s="48"/>
      <c r="O204" s="114" t="str">
        <f>HYPERLINK("http://www.haskellathletics.com/recruiting.php","Questionnaire")</f>
        <v>Questionnaire</v>
      </c>
      <c r="P204" s="108" t="s">
        <v>17528</v>
      </c>
      <c r="Q204" s="60" t="s">
        <v>528</v>
      </c>
      <c r="R204" s="48" t="s">
        <v>2731</v>
      </c>
      <c r="S204" s="48" t="s">
        <v>238</v>
      </c>
      <c r="T204" s="49" t="s">
        <v>74</v>
      </c>
      <c r="U204" s="48" t="s">
        <v>75</v>
      </c>
      <c r="V204" s="49"/>
      <c r="W204" s="49" t="s">
        <v>524</v>
      </c>
      <c r="X204" s="49" t="s">
        <v>3892</v>
      </c>
      <c r="Y204" s="49" t="s">
        <v>3892</v>
      </c>
      <c r="Z204" s="49" t="s">
        <v>1400</v>
      </c>
      <c r="AA204" s="65">
        <v>0.86</v>
      </c>
      <c r="AB204" s="39">
        <v>8550</v>
      </c>
      <c r="AC204" s="52" t="s">
        <v>17528</v>
      </c>
      <c r="AD204" s="53" t="str">
        <f>HYPERLINK("http://www.haskell.edu/academics/","Link")</f>
        <v>Link</v>
      </c>
      <c r="AE204" s="42">
        <v>820</v>
      </c>
      <c r="AF204" s="55"/>
      <c r="AG204" s="85"/>
      <c r="AH204" s="56">
        <v>155140</v>
      </c>
      <c r="AI204" s="85"/>
    </row>
    <row r="205" spans="1:41" ht="13" x14ac:dyDescent="0.15">
      <c r="A205" s="7"/>
      <c r="B205" s="31" t="s">
        <v>2730</v>
      </c>
      <c r="C205" s="2" t="s">
        <v>15218</v>
      </c>
      <c r="D205" s="7" t="s">
        <v>17532</v>
      </c>
      <c r="E205" s="37">
        <v>5</v>
      </c>
      <c r="F205" s="48"/>
      <c r="G205" s="48"/>
      <c r="H205" s="2" t="s">
        <v>17535</v>
      </c>
      <c r="I205" s="2" t="s">
        <v>1124</v>
      </c>
      <c r="J205" s="2" t="s">
        <v>17536</v>
      </c>
      <c r="K205" s="2" t="s">
        <v>48</v>
      </c>
      <c r="L205" s="2" t="s">
        <v>17537</v>
      </c>
      <c r="M205" s="6" t="s">
        <v>17538</v>
      </c>
      <c r="N205" s="45" t="str">
        <f t="shared" ref="N205:N206" si="167">HYPERLINK("twitter.com/kwusoftball","@kwusoftball")</f>
        <v>@kwusoftball</v>
      </c>
      <c r="O205" s="114" t="str">
        <f t="shared" ref="O205:O206" si="168">HYPERLINK("http://www.kwucoyotes.com/recruitingFR/11.php","Questionnaire")</f>
        <v>Questionnaire</v>
      </c>
      <c r="P205" s="48" t="s">
        <v>17541</v>
      </c>
      <c r="Q205" s="60" t="s">
        <v>528</v>
      </c>
      <c r="R205" s="48" t="s">
        <v>17543</v>
      </c>
      <c r="S205" s="48" t="s">
        <v>468</v>
      </c>
      <c r="T205" s="49" t="s">
        <v>63</v>
      </c>
      <c r="U205" s="6" t="s">
        <v>65</v>
      </c>
      <c r="V205" s="49"/>
      <c r="W205" s="65">
        <v>3.33</v>
      </c>
      <c r="X205" s="49" t="s">
        <v>8684</v>
      </c>
      <c r="Y205" s="49" t="s">
        <v>1688</v>
      </c>
      <c r="Z205" s="49" t="s">
        <v>125</v>
      </c>
      <c r="AA205" s="65">
        <v>0.55000000000000004</v>
      </c>
      <c r="AB205" s="39">
        <v>41574</v>
      </c>
      <c r="AC205" s="84" t="s">
        <v>17541</v>
      </c>
      <c r="AD205" s="53" t="str">
        <f t="shared" ref="AD205:AD206" si="169">HYPERLINK("http://www.kwu.edu/academics/undergraduate-degrees-and-majors","Link")</f>
        <v>Link</v>
      </c>
      <c r="AE205" s="42">
        <v>693</v>
      </c>
      <c r="AF205" s="55"/>
      <c r="AG205" s="85"/>
      <c r="AH205" s="56">
        <v>155414</v>
      </c>
      <c r="AI205" s="85"/>
    </row>
    <row r="206" spans="1:41" ht="13" x14ac:dyDescent="0.15">
      <c r="A206" s="7"/>
      <c r="B206" s="31" t="s">
        <v>2730</v>
      </c>
      <c r="C206" s="2" t="s">
        <v>15218</v>
      </c>
      <c r="D206" s="7" t="s">
        <v>17549</v>
      </c>
      <c r="E206" s="37">
        <v>5</v>
      </c>
      <c r="F206" s="48"/>
      <c r="G206" s="48"/>
      <c r="H206" s="2" t="s">
        <v>17535</v>
      </c>
      <c r="I206" s="2" t="s">
        <v>4428</v>
      </c>
      <c r="J206" s="2" t="s">
        <v>17550</v>
      </c>
      <c r="K206" s="2" t="s">
        <v>55</v>
      </c>
      <c r="L206" s="2" t="s">
        <v>17551</v>
      </c>
      <c r="M206" s="6"/>
      <c r="N206" s="45" t="str">
        <f t="shared" si="167"/>
        <v>@kwusoftball</v>
      </c>
      <c r="O206" s="114" t="str">
        <f t="shared" si="168"/>
        <v>Questionnaire</v>
      </c>
      <c r="P206" s="48" t="s">
        <v>17541</v>
      </c>
      <c r="Q206" s="60" t="s">
        <v>528</v>
      </c>
      <c r="R206" s="48" t="s">
        <v>17543</v>
      </c>
      <c r="S206" s="48" t="s">
        <v>468</v>
      </c>
      <c r="T206" s="49" t="s">
        <v>63</v>
      </c>
      <c r="U206" s="6" t="s">
        <v>65</v>
      </c>
      <c r="V206" s="49"/>
      <c r="W206" s="65">
        <v>3.33</v>
      </c>
      <c r="X206" s="49" t="s">
        <v>8684</v>
      </c>
      <c r="Y206" s="49" t="s">
        <v>1688</v>
      </c>
      <c r="Z206" s="49" t="s">
        <v>125</v>
      </c>
      <c r="AA206" s="65">
        <v>0.55000000000000004</v>
      </c>
      <c r="AB206" s="39">
        <v>41574</v>
      </c>
      <c r="AC206" s="84" t="s">
        <v>17541</v>
      </c>
      <c r="AD206" s="53" t="str">
        <f t="shared" si="169"/>
        <v>Link</v>
      </c>
      <c r="AE206" s="42">
        <v>693</v>
      </c>
      <c r="AF206" s="55"/>
      <c r="AG206" s="85"/>
      <c r="AH206" s="56">
        <v>155414</v>
      </c>
      <c r="AI206" s="85"/>
    </row>
    <row r="207" spans="1:41" ht="15" x14ac:dyDescent="0.2">
      <c r="A207" s="7"/>
      <c r="B207" s="31" t="s">
        <v>2730</v>
      </c>
      <c r="C207" s="2" t="s">
        <v>15218</v>
      </c>
      <c r="D207" s="7" t="s">
        <v>17553</v>
      </c>
      <c r="E207" s="37">
        <v>5</v>
      </c>
      <c r="F207" s="48"/>
      <c r="G207" s="48"/>
      <c r="H207" s="2" t="s">
        <v>17554</v>
      </c>
      <c r="I207" s="2" t="s">
        <v>2622</v>
      </c>
      <c r="J207" s="2" t="s">
        <v>17486</v>
      </c>
      <c r="K207" s="2" t="s">
        <v>48</v>
      </c>
      <c r="L207" s="2" t="s">
        <v>17555</v>
      </c>
      <c r="M207" s="6" t="s">
        <v>17556</v>
      </c>
      <c r="N207" s="45" t="str">
        <f t="shared" ref="N207:N210" si="170">HYPERLINK("twitter.com/macbulldogssb","@macbulldogssb")</f>
        <v>@macbulldogssb</v>
      </c>
      <c r="O207" s="114" t="str">
        <f t="shared" ref="O207:O211" si="171">HYPERLINK("https://macbulldogs.com/sports/2013/8/8/GEN_0808131313.aspx","Questionnaire")</f>
        <v>Questionnaire</v>
      </c>
      <c r="P207" s="108" t="s">
        <v>17480</v>
      </c>
      <c r="Q207" s="60" t="s">
        <v>528</v>
      </c>
      <c r="R207" s="48" t="s">
        <v>17480</v>
      </c>
      <c r="S207" s="48" t="s">
        <v>172</v>
      </c>
      <c r="T207" s="49" t="s">
        <v>63</v>
      </c>
      <c r="U207" s="6" t="s">
        <v>2769</v>
      </c>
      <c r="V207" s="49"/>
      <c r="W207" s="65">
        <v>3.18</v>
      </c>
      <c r="X207" s="49" t="s">
        <v>276</v>
      </c>
      <c r="Y207" s="49" t="s">
        <v>1144</v>
      </c>
      <c r="Z207" s="49" t="s">
        <v>125</v>
      </c>
      <c r="AA207" s="65">
        <v>0.56999999999999995</v>
      </c>
      <c r="AB207" s="39">
        <v>39665</v>
      </c>
      <c r="AC207" s="52" t="s">
        <v>17480</v>
      </c>
      <c r="AD207" s="53" t="str">
        <f t="shared" ref="AD207:AD211" si="172">HYPERLINK("https://www.mcpherson.edu/academics/","Link")</f>
        <v>Link</v>
      </c>
      <c r="AE207" s="42">
        <v>703</v>
      </c>
      <c r="AF207" s="55"/>
      <c r="AG207" s="85"/>
      <c r="AH207" s="56">
        <v>155511</v>
      </c>
      <c r="AI207" s="85"/>
    </row>
    <row r="208" spans="1:41" ht="15" x14ac:dyDescent="0.2">
      <c r="A208" s="7"/>
      <c r="B208" s="31" t="s">
        <v>2730</v>
      </c>
      <c r="C208" s="2" t="s">
        <v>15218</v>
      </c>
      <c r="D208" s="7" t="s">
        <v>17563</v>
      </c>
      <c r="E208" s="37">
        <v>5</v>
      </c>
      <c r="F208" s="48"/>
      <c r="G208" s="48"/>
      <c r="H208" s="2" t="s">
        <v>17554</v>
      </c>
      <c r="I208" s="2" t="s">
        <v>1875</v>
      </c>
      <c r="J208" s="2" t="s">
        <v>9150</v>
      </c>
      <c r="K208" s="2" t="s">
        <v>55</v>
      </c>
      <c r="L208" s="2" t="s">
        <v>17564</v>
      </c>
      <c r="M208" s="6" t="s">
        <v>17565</v>
      </c>
      <c r="N208" s="45" t="str">
        <f t="shared" si="170"/>
        <v>@macbulldogssb</v>
      </c>
      <c r="O208" s="114" t="str">
        <f t="shared" si="171"/>
        <v>Questionnaire</v>
      </c>
      <c r="P208" s="108" t="s">
        <v>17480</v>
      </c>
      <c r="Q208" s="60" t="s">
        <v>528</v>
      </c>
      <c r="R208" s="48" t="s">
        <v>17480</v>
      </c>
      <c r="S208" s="48" t="s">
        <v>172</v>
      </c>
      <c r="T208" s="49" t="s">
        <v>63</v>
      </c>
      <c r="U208" s="6" t="s">
        <v>2769</v>
      </c>
      <c r="V208" s="49"/>
      <c r="W208" s="65">
        <v>3.18</v>
      </c>
      <c r="X208" s="49" t="s">
        <v>276</v>
      </c>
      <c r="Y208" s="49" t="s">
        <v>1144</v>
      </c>
      <c r="Z208" s="49" t="s">
        <v>125</v>
      </c>
      <c r="AA208" s="65">
        <v>0.56999999999999995</v>
      </c>
      <c r="AB208" s="39">
        <v>39665</v>
      </c>
      <c r="AC208" s="52" t="s">
        <v>17480</v>
      </c>
      <c r="AD208" s="53" t="str">
        <f t="shared" si="172"/>
        <v>Link</v>
      </c>
      <c r="AE208" s="42">
        <v>703</v>
      </c>
      <c r="AF208" s="55"/>
      <c r="AG208" s="85"/>
      <c r="AH208" s="56">
        <v>155511</v>
      </c>
      <c r="AI208" s="85"/>
    </row>
    <row r="209" spans="1:41" ht="15" x14ac:dyDescent="0.2">
      <c r="A209" s="7"/>
      <c r="B209" s="31" t="s">
        <v>2730</v>
      </c>
      <c r="C209" s="2" t="s">
        <v>15218</v>
      </c>
      <c r="D209" s="7" t="s">
        <v>17570</v>
      </c>
      <c r="E209" s="37">
        <v>5</v>
      </c>
      <c r="F209" s="48"/>
      <c r="G209" s="48"/>
      <c r="H209" s="2" t="s">
        <v>17554</v>
      </c>
      <c r="I209" s="2" t="s">
        <v>15456</v>
      </c>
      <c r="J209" s="2" t="s">
        <v>1226</v>
      </c>
      <c r="K209" s="2" t="s">
        <v>139</v>
      </c>
      <c r="L209" s="2"/>
      <c r="M209" s="6"/>
      <c r="N209" s="45" t="str">
        <f t="shared" si="170"/>
        <v>@macbulldogssb</v>
      </c>
      <c r="O209" s="114" t="str">
        <f t="shared" si="171"/>
        <v>Questionnaire</v>
      </c>
      <c r="P209" s="108" t="s">
        <v>17480</v>
      </c>
      <c r="Q209" s="60" t="s">
        <v>528</v>
      </c>
      <c r="R209" s="48" t="s">
        <v>17480</v>
      </c>
      <c r="S209" s="48" t="s">
        <v>172</v>
      </c>
      <c r="T209" s="49" t="s">
        <v>63</v>
      </c>
      <c r="U209" s="6" t="s">
        <v>2769</v>
      </c>
      <c r="V209" s="49"/>
      <c r="W209" s="65">
        <v>3.18</v>
      </c>
      <c r="X209" s="49" t="s">
        <v>276</v>
      </c>
      <c r="Y209" s="49" t="s">
        <v>1144</v>
      </c>
      <c r="Z209" s="49" t="s">
        <v>125</v>
      </c>
      <c r="AA209" s="65">
        <v>0.56999999999999995</v>
      </c>
      <c r="AB209" s="39">
        <v>39665</v>
      </c>
      <c r="AC209" s="52" t="s">
        <v>17480</v>
      </c>
      <c r="AD209" s="53" t="str">
        <f t="shared" si="172"/>
        <v>Link</v>
      </c>
      <c r="AE209" s="42">
        <v>703</v>
      </c>
      <c r="AF209" s="55"/>
      <c r="AG209" s="85"/>
      <c r="AH209" s="56">
        <v>155511</v>
      </c>
      <c r="AI209" s="85"/>
    </row>
    <row r="210" spans="1:41" ht="15" x14ac:dyDescent="0.2">
      <c r="A210" s="7"/>
      <c r="B210" s="31" t="s">
        <v>2730</v>
      </c>
      <c r="C210" s="2" t="s">
        <v>15218</v>
      </c>
      <c r="D210" s="7" t="s">
        <v>17574</v>
      </c>
      <c r="E210" s="37">
        <v>5</v>
      </c>
      <c r="F210" s="48"/>
      <c r="G210" s="48"/>
      <c r="H210" s="2" t="s">
        <v>17554</v>
      </c>
      <c r="I210" s="2" t="s">
        <v>2705</v>
      </c>
      <c r="J210" s="2" t="s">
        <v>17575</v>
      </c>
      <c r="K210" s="2" t="s">
        <v>17576</v>
      </c>
      <c r="L210" s="2"/>
      <c r="M210" s="6"/>
      <c r="N210" s="45" t="str">
        <f t="shared" si="170"/>
        <v>@macbulldogssb</v>
      </c>
      <c r="O210" s="114" t="str">
        <f t="shared" si="171"/>
        <v>Questionnaire</v>
      </c>
      <c r="P210" s="108" t="s">
        <v>17480</v>
      </c>
      <c r="Q210" s="60" t="s">
        <v>528</v>
      </c>
      <c r="R210" s="48" t="s">
        <v>17480</v>
      </c>
      <c r="S210" s="48" t="s">
        <v>172</v>
      </c>
      <c r="T210" s="49" t="s">
        <v>63</v>
      </c>
      <c r="U210" s="6" t="s">
        <v>2769</v>
      </c>
      <c r="V210" s="49"/>
      <c r="W210" s="65">
        <v>3.18</v>
      </c>
      <c r="X210" s="49" t="s">
        <v>276</v>
      </c>
      <c r="Y210" s="49" t="s">
        <v>1144</v>
      </c>
      <c r="Z210" s="49" t="s">
        <v>125</v>
      </c>
      <c r="AA210" s="65">
        <v>0.56999999999999995</v>
      </c>
      <c r="AB210" s="39">
        <v>39665</v>
      </c>
      <c r="AC210" s="52" t="s">
        <v>17480</v>
      </c>
      <c r="AD210" s="53" t="str">
        <f t="shared" si="172"/>
        <v>Link</v>
      </c>
      <c r="AE210" s="42">
        <v>703</v>
      </c>
      <c r="AF210" s="55"/>
      <c r="AG210" s="85"/>
      <c r="AH210" s="56">
        <v>155511</v>
      </c>
      <c r="AI210" s="85"/>
    </row>
    <row r="211" spans="1:41" ht="13" x14ac:dyDescent="0.15">
      <c r="A211" s="7" t="s">
        <v>17446</v>
      </c>
      <c r="B211" s="31" t="s">
        <v>2730</v>
      </c>
      <c r="C211" s="2" t="s">
        <v>15218</v>
      </c>
      <c r="D211" s="7" t="s">
        <v>17578</v>
      </c>
      <c r="E211" s="44">
        <v>5</v>
      </c>
      <c r="F211" s="48" t="s">
        <v>116</v>
      </c>
      <c r="G211" s="48"/>
      <c r="H211" s="2" t="s">
        <v>17554</v>
      </c>
      <c r="I211" s="7" t="s">
        <v>2622</v>
      </c>
      <c r="J211" s="7" t="s">
        <v>17579</v>
      </c>
      <c r="K211" s="7" t="s">
        <v>55</v>
      </c>
      <c r="L211" s="7" t="s">
        <v>17580</v>
      </c>
      <c r="M211" s="48"/>
      <c r="N211" s="48"/>
      <c r="O211" s="114" t="str">
        <f t="shared" si="171"/>
        <v>Questionnaire</v>
      </c>
      <c r="P211" s="60" t="s">
        <v>17480</v>
      </c>
      <c r="Q211" s="60" t="s">
        <v>528</v>
      </c>
      <c r="R211" s="48" t="s">
        <v>17480</v>
      </c>
      <c r="S211" s="48" t="s">
        <v>172</v>
      </c>
      <c r="T211" s="4" t="s">
        <v>63</v>
      </c>
      <c r="U211" s="6" t="s">
        <v>2769</v>
      </c>
      <c r="V211" s="49"/>
      <c r="W211" s="65">
        <v>3.18</v>
      </c>
      <c r="X211" s="49" t="s">
        <v>276</v>
      </c>
      <c r="Y211" s="49" t="s">
        <v>1144</v>
      </c>
      <c r="Z211" s="4" t="s">
        <v>125</v>
      </c>
      <c r="AA211" s="65">
        <v>0.56999999999999995</v>
      </c>
      <c r="AB211" s="39">
        <v>39665</v>
      </c>
      <c r="AC211" s="90" t="s">
        <v>17480</v>
      </c>
      <c r="AD211" s="67" t="str">
        <f t="shared" si="172"/>
        <v>Link</v>
      </c>
      <c r="AE211" s="42">
        <v>703</v>
      </c>
      <c r="AF211" s="55"/>
      <c r="AG211" s="55"/>
      <c r="AH211" s="56">
        <v>155511</v>
      </c>
      <c r="AI211" s="55"/>
    </row>
    <row r="212" spans="1:41" ht="13" x14ac:dyDescent="0.15">
      <c r="A212" s="7"/>
      <c r="B212" s="31" t="s">
        <v>2730</v>
      </c>
      <c r="C212" s="2" t="s">
        <v>15218</v>
      </c>
      <c r="D212" s="7" t="s">
        <v>17584</v>
      </c>
      <c r="E212" s="37">
        <v>5</v>
      </c>
      <c r="F212" s="48"/>
      <c r="G212" s="48"/>
      <c r="H212" s="2" t="s">
        <v>17585</v>
      </c>
      <c r="I212" s="2" t="s">
        <v>5294</v>
      </c>
      <c r="J212" s="2" t="s">
        <v>5594</v>
      </c>
      <c r="K212" s="2" t="s">
        <v>48</v>
      </c>
      <c r="L212" s="2" t="s">
        <v>17586</v>
      </c>
      <c r="M212" s="6" t="s">
        <v>17587</v>
      </c>
      <c r="N212" s="45" t="str">
        <f>HYPERLINK("twitter.com/@MnuSoftball","@MnuSoftball")</f>
        <v>@MnuSoftball</v>
      </c>
      <c r="O212" s="114" t="str">
        <f t="shared" ref="O212:O213" si="173">HYPERLINK("https://mnusports.com/sb_output.aspx?form=6","Questionnaire")</f>
        <v>Questionnaire</v>
      </c>
      <c r="P212" s="48" t="s">
        <v>17591</v>
      </c>
      <c r="Q212" s="60" t="s">
        <v>528</v>
      </c>
      <c r="R212" s="48" t="s">
        <v>17592</v>
      </c>
      <c r="S212" s="48" t="s">
        <v>238</v>
      </c>
      <c r="T212" s="49" t="s">
        <v>63</v>
      </c>
      <c r="U212" s="6" t="s">
        <v>4316</v>
      </c>
      <c r="V212" s="49"/>
      <c r="W212" s="65">
        <v>3.4</v>
      </c>
      <c r="X212" s="49" t="s">
        <v>3614</v>
      </c>
      <c r="Y212" s="49" t="s">
        <v>252</v>
      </c>
      <c r="Z212" s="49" t="s">
        <v>357</v>
      </c>
      <c r="AA212" s="65">
        <v>0.52</v>
      </c>
      <c r="AB212" s="39">
        <v>40284</v>
      </c>
      <c r="AC212" s="84" t="s">
        <v>17591</v>
      </c>
      <c r="AD212" s="53" t="str">
        <f t="shared" ref="AD212:AD213" si="174">HYPERLINK("https://www.mnu.edu/undergraduate/majors-minors","Link")</f>
        <v>Link</v>
      </c>
      <c r="AE212" s="42">
        <v>1309</v>
      </c>
      <c r="AF212" s="55"/>
      <c r="AG212" s="85"/>
      <c r="AH212" s="56">
        <v>155520</v>
      </c>
      <c r="AI212" s="85"/>
    </row>
    <row r="213" spans="1:41" ht="13" x14ac:dyDescent="0.15">
      <c r="A213" s="7"/>
      <c r="B213" s="31" t="s">
        <v>2730</v>
      </c>
      <c r="C213" s="2" t="s">
        <v>15218</v>
      </c>
      <c r="D213" s="7" t="s">
        <v>17597</v>
      </c>
      <c r="E213" s="37">
        <v>5</v>
      </c>
      <c r="F213" s="48"/>
      <c r="G213" s="48"/>
      <c r="H213" s="2" t="s">
        <v>17585</v>
      </c>
      <c r="I213" s="2" t="s">
        <v>904</v>
      </c>
      <c r="J213" s="2" t="s">
        <v>17598</v>
      </c>
      <c r="K213" s="2" t="s">
        <v>55</v>
      </c>
      <c r="L213" s="2"/>
      <c r="M213" s="6"/>
      <c r="N213" s="48"/>
      <c r="O213" s="114" t="str">
        <f t="shared" si="173"/>
        <v>Questionnaire</v>
      </c>
      <c r="P213" s="48" t="s">
        <v>17591</v>
      </c>
      <c r="Q213" s="60" t="s">
        <v>528</v>
      </c>
      <c r="R213" s="48" t="s">
        <v>17592</v>
      </c>
      <c r="S213" s="48" t="s">
        <v>238</v>
      </c>
      <c r="T213" s="49" t="s">
        <v>63</v>
      </c>
      <c r="U213" s="6" t="s">
        <v>4316</v>
      </c>
      <c r="V213" s="49"/>
      <c r="W213" s="65">
        <v>3.4</v>
      </c>
      <c r="X213" s="49" t="s">
        <v>3614</v>
      </c>
      <c r="Y213" s="49" t="s">
        <v>252</v>
      </c>
      <c r="Z213" s="49" t="s">
        <v>357</v>
      </c>
      <c r="AA213" s="65">
        <v>0.52</v>
      </c>
      <c r="AB213" s="39">
        <v>40284</v>
      </c>
      <c r="AC213" s="84" t="s">
        <v>17591</v>
      </c>
      <c r="AD213" s="53" t="str">
        <f t="shared" si="174"/>
        <v>Link</v>
      </c>
      <c r="AE213" s="42">
        <v>1309</v>
      </c>
      <c r="AF213" s="55"/>
      <c r="AG213" s="85"/>
      <c r="AH213" s="56">
        <v>155520</v>
      </c>
      <c r="AI213" s="85"/>
    </row>
    <row r="214" spans="1:41" ht="13" x14ac:dyDescent="0.15">
      <c r="A214" s="7"/>
      <c r="B214" s="31" t="s">
        <v>2730</v>
      </c>
      <c r="C214" s="2" t="s">
        <v>15218</v>
      </c>
      <c r="D214" s="7" t="s">
        <v>17601</v>
      </c>
      <c r="E214" s="37">
        <v>5</v>
      </c>
      <c r="F214" s="48"/>
      <c r="G214" s="48"/>
      <c r="H214" s="2" t="s">
        <v>17602</v>
      </c>
      <c r="I214" s="2" t="s">
        <v>2772</v>
      </c>
      <c r="J214" s="2" t="s">
        <v>17604</v>
      </c>
      <c r="K214" s="2" t="s">
        <v>48</v>
      </c>
      <c r="L214" s="2" t="s">
        <v>17605</v>
      </c>
      <c r="M214" s="6" t="s">
        <v>17606</v>
      </c>
      <c r="N214" s="48"/>
      <c r="O214" s="114" t="str">
        <f t="shared" ref="O214:O216" si="175">HYPERLINK("http://www.ottawabraves.com/recruiting.php","Questionnaire")</f>
        <v>Questionnaire</v>
      </c>
      <c r="P214" s="48" t="s">
        <v>17607</v>
      </c>
      <c r="Q214" s="60" t="s">
        <v>528</v>
      </c>
      <c r="R214" s="48" t="s">
        <v>17608</v>
      </c>
      <c r="S214" s="48" t="s">
        <v>172</v>
      </c>
      <c r="T214" s="49" t="s">
        <v>63</v>
      </c>
      <c r="U214" s="6" t="s">
        <v>2715</v>
      </c>
      <c r="V214" s="49"/>
      <c r="W214" s="65">
        <v>3.28</v>
      </c>
      <c r="X214" s="49" t="s">
        <v>214</v>
      </c>
      <c r="Y214" s="49" t="s">
        <v>214</v>
      </c>
      <c r="Z214" s="49" t="s">
        <v>214</v>
      </c>
      <c r="AA214" s="65">
        <v>0.5</v>
      </c>
      <c r="AB214" s="39">
        <v>41084</v>
      </c>
      <c r="AC214" s="84" t="s">
        <v>17607</v>
      </c>
      <c r="AD214" s="53" t="str">
        <f t="shared" ref="AD214:AD216" si="176">HYPERLINK("http://ottawa.smartcatalogiq.com/en/2014-2015/Catalog/Undergraduate-Offerings/Majors","Link")</f>
        <v>Link</v>
      </c>
      <c r="AE214" s="42">
        <v>643</v>
      </c>
      <c r="AF214" s="55"/>
      <c r="AG214" s="85"/>
      <c r="AH214" s="56">
        <v>155627</v>
      </c>
      <c r="AI214" s="85"/>
    </row>
    <row r="215" spans="1:41" ht="13" x14ac:dyDescent="0.15">
      <c r="A215" s="7"/>
      <c r="B215" s="31" t="s">
        <v>2730</v>
      </c>
      <c r="C215" s="2" t="s">
        <v>15218</v>
      </c>
      <c r="D215" s="7" t="s">
        <v>17614</v>
      </c>
      <c r="E215" s="37">
        <v>5</v>
      </c>
      <c r="F215" s="48"/>
      <c r="G215" s="48"/>
      <c r="H215" s="2" t="s">
        <v>17602</v>
      </c>
      <c r="I215" s="2" t="s">
        <v>2289</v>
      </c>
      <c r="J215" s="2" t="s">
        <v>8306</v>
      </c>
      <c r="K215" s="2" t="s">
        <v>55</v>
      </c>
      <c r="L215" s="130" t="s">
        <v>17615</v>
      </c>
      <c r="M215" s="6" t="s">
        <v>17616</v>
      </c>
      <c r="N215" s="48"/>
      <c r="O215" s="114" t="str">
        <f t="shared" si="175"/>
        <v>Questionnaire</v>
      </c>
      <c r="P215" s="48" t="s">
        <v>17607</v>
      </c>
      <c r="Q215" s="60" t="s">
        <v>528</v>
      </c>
      <c r="R215" s="48" t="s">
        <v>17608</v>
      </c>
      <c r="S215" s="48" t="s">
        <v>172</v>
      </c>
      <c r="T215" s="49" t="s">
        <v>63</v>
      </c>
      <c r="U215" s="6" t="s">
        <v>2715</v>
      </c>
      <c r="V215" s="49"/>
      <c r="W215" s="65">
        <v>3.28</v>
      </c>
      <c r="X215" s="49" t="s">
        <v>214</v>
      </c>
      <c r="Y215" s="49" t="s">
        <v>214</v>
      </c>
      <c r="Z215" s="49" t="s">
        <v>214</v>
      </c>
      <c r="AA215" s="65">
        <v>0.5</v>
      </c>
      <c r="AB215" s="39">
        <v>41084</v>
      </c>
      <c r="AC215" s="84" t="s">
        <v>17607</v>
      </c>
      <c r="AD215" s="53" t="str">
        <f t="shared" si="176"/>
        <v>Link</v>
      </c>
      <c r="AE215" s="42">
        <v>643</v>
      </c>
      <c r="AF215" s="55"/>
      <c r="AG215" s="85"/>
      <c r="AH215" s="56">
        <v>155627</v>
      </c>
      <c r="AI215" s="85"/>
    </row>
    <row r="216" spans="1:41" ht="13" x14ac:dyDescent="0.15">
      <c r="A216" s="7"/>
      <c r="B216" s="31" t="s">
        <v>2730</v>
      </c>
      <c r="C216" s="2" t="s">
        <v>15218</v>
      </c>
      <c r="D216" s="7" t="s">
        <v>17614</v>
      </c>
      <c r="E216" s="37">
        <v>5</v>
      </c>
      <c r="F216" s="48" t="s">
        <v>116</v>
      </c>
      <c r="G216" s="48"/>
      <c r="H216" s="2" t="s">
        <v>17602</v>
      </c>
      <c r="I216" s="2" t="s">
        <v>17620</v>
      </c>
      <c r="J216" s="2" t="s">
        <v>3813</v>
      </c>
      <c r="K216" s="2" t="s">
        <v>120</v>
      </c>
      <c r="L216" s="130" t="s">
        <v>17622</v>
      </c>
      <c r="M216" s="6" t="s">
        <v>17623</v>
      </c>
      <c r="N216" s="48"/>
      <c r="O216" s="114" t="str">
        <f t="shared" si="175"/>
        <v>Questionnaire</v>
      </c>
      <c r="P216" s="48" t="s">
        <v>17607</v>
      </c>
      <c r="Q216" s="60" t="s">
        <v>528</v>
      </c>
      <c r="R216" s="48" t="s">
        <v>17608</v>
      </c>
      <c r="S216" s="48" t="s">
        <v>172</v>
      </c>
      <c r="T216" s="49" t="s">
        <v>63</v>
      </c>
      <c r="U216" s="6" t="s">
        <v>2715</v>
      </c>
      <c r="V216" s="49"/>
      <c r="W216" s="65">
        <v>3.28</v>
      </c>
      <c r="X216" s="49" t="s">
        <v>214</v>
      </c>
      <c r="Y216" s="49" t="s">
        <v>214</v>
      </c>
      <c r="Z216" s="49" t="s">
        <v>214</v>
      </c>
      <c r="AA216" s="65">
        <v>0.5</v>
      </c>
      <c r="AB216" s="39">
        <v>41084</v>
      </c>
      <c r="AC216" s="84" t="s">
        <v>17607</v>
      </c>
      <c r="AD216" s="53" t="str">
        <f t="shared" si="176"/>
        <v>Link</v>
      </c>
      <c r="AE216" s="42">
        <v>643</v>
      </c>
      <c r="AF216" s="55"/>
      <c r="AG216" s="85"/>
      <c r="AH216" s="56">
        <v>155627</v>
      </c>
      <c r="AI216" s="85"/>
    </row>
    <row r="217" spans="1:41" ht="15" x14ac:dyDescent="0.2">
      <c r="A217" s="7"/>
      <c r="B217" s="31" t="s">
        <v>2730</v>
      </c>
      <c r="C217" s="2" t="s">
        <v>15218</v>
      </c>
      <c r="D217" s="7"/>
      <c r="E217" s="37">
        <v>5</v>
      </c>
      <c r="F217" s="7"/>
      <c r="G217" s="7"/>
      <c r="H217" s="2" t="s">
        <v>17625</v>
      </c>
      <c r="I217" s="2" t="s">
        <v>4599</v>
      </c>
      <c r="J217" s="2" t="s">
        <v>17627</v>
      </c>
      <c r="K217" s="2" t="s">
        <v>48</v>
      </c>
      <c r="L217" s="2" t="s">
        <v>17629</v>
      </c>
      <c r="M217" s="6" t="s">
        <v>17631</v>
      </c>
      <c r="N217" s="45" t="str">
        <f>HYPERLINK("twitter.com/builderssb","@builderssb")</f>
        <v>@builderssb</v>
      </c>
      <c r="O217" s="114" t="str">
        <f>HYPERLINK("http://www.buildersports.com/recruitme","Questionnaire")</f>
        <v>Questionnaire</v>
      </c>
      <c r="P217" s="108" t="s">
        <v>17637</v>
      </c>
      <c r="Q217" s="60" t="s">
        <v>528</v>
      </c>
      <c r="R217" s="48" t="s">
        <v>17638</v>
      </c>
      <c r="S217" s="48" t="s">
        <v>172</v>
      </c>
      <c r="T217" s="49" t="s">
        <v>63</v>
      </c>
      <c r="U217" s="6" t="s">
        <v>65</v>
      </c>
      <c r="V217" s="49"/>
      <c r="W217" s="65">
        <v>3.33</v>
      </c>
      <c r="X217" s="49" t="s">
        <v>3892</v>
      </c>
      <c r="Y217" s="49" t="s">
        <v>1785</v>
      </c>
      <c r="Z217" s="49" t="s">
        <v>449</v>
      </c>
      <c r="AA217" s="65">
        <v>0.92</v>
      </c>
      <c r="AB217" s="39">
        <v>40864</v>
      </c>
      <c r="AC217" s="52" t="s">
        <v>17637</v>
      </c>
      <c r="AD217" s="53" t="str">
        <f>HYPERLINK("https://www.sckans.edu/undergraduate/","Link")</f>
        <v>Link</v>
      </c>
      <c r="AE217" s="42">
        <v>1226</v>
      </c>
      <c r="AF217" s="55"/>
      <c r="AG217" s="85"/>
      <c r="AH217" s="56">
        <v>155900</v>
      </c>
      <c r="AI217" s="85" t="s">
        <v>2459</v>
      </c>
      <c r="AJ217" s="7"/>
      <c r="AK217" s="7"/>
      <c r="AL217" s="7"/>
      <c r="AM217" s="7"/>
      <c r="AN217" s="7"/>
      <c r="AO217" s="7"/>
    </row>
    <row r="218" spans="1:41" ht="13" x14ac:dyDescent="0.15">
      <c r="A218" s="7"/>
      <c r="B218" s="31" t="s">
        <v>2730</v>
      </c>
      <c r="C218" s="2" t="s">
        <v>15218</v>
      </c>
      <c r="D218" s="7"/>
      <c r="E218" s="37">
        <v>5</v>
      </c>
      <c r="F218" s="7"/>
      <c r="G218" s="7"/>
      <c r="H218" s="2" t="s">
        <v>17646</v>
      </c>
      <c r="I218" s="2" t="s">
        <v>17647</v>
      </c>
      <c r="J218" s="2" t="s">
        <v>17648</v>
      </c>
      <c r="K218" s="2" t="s">
        <v>48</v>
      </c>
      <c r="L218" s="2" t="s">
        <v>17649</v>
      </c>
      <c r="M218" s="6" t="s">
        <v>17650</v>
      </c>
      <c r="N218" s="45" t="str">
        <f t="shared" ref="N218:N219" si="177">HYPERLINK("twitter.com/usmsoftball","@usmsoftball")</f>
        <v>@usmsoftball</v>
      </c>
      <c r="O218" s="114" t="str">
        <f t="shared" ref="O218:O219" si="178">HYPERLINK("http://www.gospires.com/recruit-me","Questionnaire")</f>
        <v>Questionnaire</v>
      </c>
      <c r="P218" s="48" t="s">
        <v>17653</v>
      </c>
      <c r="Q218" s="60" t="s">
        <v>528</v>
      </c>
      <c r="R218" s="48" t="s">
        <v>13615</v>
      </c>
      <c r="S218" s="48" t="s">
        <v>468</v>
      </c>
      <c r="T218" s="49" t="s">
        <v>63</v>
      </c>
      <c r="U218" s="6" t="s">
        <v>343</v>
      </c>
      <c r="V218" s="49"/>
      <c r="W218" s="65">
        <v>3.31</v>
      </c>
      <c r="X218" s="49" t="s">
        <v>1453</v>
      </c>
      <c r="Y218" s="49" t="s">
        <v>1144</v>
      </c>
      <c r="Z218" s="49" t="s">
        <v>125</v>
      </c>
      <c r="AA218" s="65">
        <v>0.49</v>
      </c>
      <c r="AB218" s="39">
        <v>39043</v>
      </c>
      <c r="AC218" s="84" t="s">
        <v>17653</v>
      </c>
      <c r="AD218" s="53" t="str">
        <f t="shared" ref="AD218:AD219" si="179">HYPERLINK("http://www.stmary.edu/undergraduateprograms-alphabetically","Link")</f>
        <v>Link</v>
      </c>
      <c r="AE218" s="42">
        <v>1810</v>
      </c>
      <c r="AF218" s="55"/>
      <c r="AG218" s="85"/>
      <c r="AH218" s="56">
        <v>155812</v>
      </c>
      <c r="AI218" s="85" t="s">
        <v>2459</v>
      </c>
      <c r="AJ218" s="7"/>
      <c r="AK218" s="7"/>
      <c r="AL218" s="7"/>
      <c r="AM218" s="7"/>
      <c r="AN218" s="7"/>
      <c r="AO218" s="7"/>
    </row>
    <row r="219" spans="1:41" ht="13" x14ac:dyDescent="0.15">
      <c r="A219" s="7"/>
      <c r="B219" s="31" t="s">
        <v>2730</v>
      </c>
      <c r="C219" s="2" t="s">
        <v>15218</v>
      </c>
      <c r="D219" s="7"/>
      <c r="E219" s="37">
        <v>5</v>
      </c>
      <c r="F219" s="7"/>
      <c r="G219" s="7"/>
      <c r="H219" s="2" t="s">
        <v>17646</v>
      </c>
      <c r="I219" s="2" t="s">
        <v>8467</v>
      </c>
      <c r="J219" s="2" t="s">
        <v>8372</v>
      </c>
      <c r="K219" s="2" t="s">
        <v>55</v>
      </c>
      <c r="L219" s="2"/>
      <c r="M219" s="6"/>
      <c r="N219" s="45" t="str">
        <f t="shared" si="177"/>
        <v>@usmsoftball</v>
      </c>
      <c r="O219" s="114" t="str">
        <f t="shared" si="178"/>
        <v>Questionnaire</v>
      </c>
      <c r="P219" s="48" t="s">
        <v>17653</v>
      </c>
      <c r="Q219" s="60" t="s">
        <v>528</v>
      </c>
      <c r="R219" s="48" t="s">
        <v>13615</v>
      </c>
      <c r="S219" s="48" t="s">
        <v>468</v>
      </c>
      <c r="T219" s="49" t="s">
        <v>63</v>
      </c>
      <c r="U219" s="6" t="s">
        <v>343</v>
      </c>
      <c r="V219" s="49"/>
      <c r="W219" s="65">
        <v>3.31</v>
      </c>
      <c r="X219" s="49" t="s">
        <v>1453</v>
      </c>
      <c r="Y219" s="49" t="s">
        <v>1144</v>
      </c>
      <c r="Z219" s="49" t="s">
        <v>125</v>
      </c>
      <c r="AA219" s="65">
        <v>0.49</v>
      </c>
      <c r="AB219" s="39">
        <v>39043</v>
      </c>
      <c r="AC219" s="84" t="s">
        <v>17653</v>
      </c>
      <c r="AD219" s="53" t="str">
        <f t="shared" si="179"/>
        <v>Link</v>
      </c>
      <c r="AE219" s="42">
        <v>1810</v>
      </c>
      <c r="AF219" s="55"/>
      <c r="AG219" s="85"/>
      <c r="AH219" s="56">
        <v>155812</v>
      </c>
      <c r="AI219" s="85" t="s">
        <v>2459</v>
      </c>
      <c r="AJ219" s="7"/>
      <c r="AK219" s="7"/>
      <c r="AL219" s="7"/>
      <c r="AM219" s="7"/>
      <c r="AN219" s="7"/>
      <c r="AO219" s="7"/>
    </row>
    <row r="220" spans="1:41" ht="15" x14ac:dyDescent="0.2">
      <c r="A220" s="7"/>
      <c r="B220" s="31" t="s">
        <v>2730</v>
      </c>
      <c r="C220" s="2" t="s">
        <v>15218</v>
      </c>
      <c r="D220" s="7"/>
      <c r="E220" s="37">
        <v>5</v>
      </c>
      <c r="F220" s="7"/>
      <c r="G220" s="7"/>
      <c r="H220" s="2" t="s">
        <v>17668</v>
      </c>
      <c r="I220" s="2" t="s">
        <v>421</v>
      </c>
      <c r="J220" s="2"/>
      <c r="K220" s="2" t="s">
        <v>48</v>
      </c>
      <c r="L220" s="2"/>
      <c r="M220" s="6"/>
      <c r="N220" s="45" t="str">
        <f t="shared" ref="N220:N222" si="180">HYPERLINK("twitter.com/SCWarrior_SB","@SCWarrior_SB")</f>
        <v>@SCWarrior_SB</v>
      </c>
      <c r="O220" s="114" t="str">
        <f t="shared" ref="O220:O222" si="181">HYPERLINK("http://www.scwarriors.com/recruiting_home","Questionnaire")</f>
        <v>Questionnaire</v>
      </c>
      <c r="P220" s="48" t="s">
        <v>17674</v>
      </c>
      <c r="Q220" s="60" t="s">
        <v>528</v>
      </c>
      <c r="R220" s="48" t="s">
        <v>14394</v>
      </c>
      <c r="S220" s="60" t="s">
        <v>205</v>
      </c>
      <c r="T220" s="49" t="s">
        <v>63</v>
      </c>
      <c r="U220" s="48" t="s">
        <v>75</v>
      </c>
      <c r="V220" s="49"/>
      <c r="W220" s="65">
        <v>3.14</v>
      </c>
      <c r="X220" s="49" t="s">
        <v>778</v>
      </c>
      <c r="Y220" s="49" t="s">
        <v>1145</v>
      </c>
      <c r="Z220" s="49" t="s">
        <v>449</v>
      </c>
      <c r="AA220" s="80">
        <v>0.37</v>
      </c>
      <c r="AB220" s="39">
        <v>35330</v>
      </c>
      <c r="AC220" s="84" t="s">
        <v>17674</v>
      </c>
      <c r="AD220" s="53" t="str">
        <f t="shared" ref="AD220:AD222" si="182">HYPERLINK("https://www.sterling.edu/academics/majors","Link")</f>
        <v>Link</v>
      </c>
      <c r="AE220" s="42">
        <v>678</v>
      </c>
      <c r="AF220" s="55"/>
      <c r="AG220" s="85"/>
      <c r="AH220" s="56">
        <v>155937</v>
      </c>
      <c r="AI220" s="85" t="s">
        <v>2459</v>
      </c>
      <c r="AJ220" s="7"/>
      <c r="AK220" s="7"/>
      <c r="AL220" s="7"/>
      <c r="AM220" s="7"/>
      <c r="AN220" s="7"/>
      <c r="AO220" s="7"/>
    </row>
    <row r="221" spans="1:41" ht="15" x14ac:dyDescent="0.2">
      <c r="A221" s="7"/>
      <c r="B221" s="31" t="s">
        <v>2730</v>
      </c>
      <c r="C221" s="2" t="s">
        <v>15218</v>
      </c>
      <c r="D221" s="7"/>
      <c r="E221" s="37">
        <v>5</v>
      </c>
      <c r="F221" s="7"/>
      <c r="G221" s="7"/>
      <c r="H221" s="2" t="s">
        <v>17668</v>
      </c>
      <c r="I221" s="2" t="s">
        <v>201</v>
      </c>
      <c r="J221" s="2" t="s">
        <v>17680</v>
      </c>
      <c r="K221" s="2" t="s">
        <v>1423</v>
      </c>
      <c r="L221" s="2" t="s">
        <v>17681</v>
      </c>
      <c r="M221" s="6" t="s">
        <v>17682</v>
      </c>
      <c r="N221" s="45" t="str">
        <f t="shared" si="180"/>
        <v>@SCWarrior_SB</v>
      </c>
      <c r="O221" s="114" t="str">
        <f t="shared" si="181"/>
        <v>Questionnaire</v>
      </c>
      <c r="P221" s="48" t="s">
        <v>17674</v>
      </c>
      <c r="Q221" s="60" t="s">
        <v>528</v>
      </c>
      <c r="R221" s="48" t="s">
        <v>14394</v>
      </c>
      <c r="S221" s="60" t="s">
        <v>205</v>
      </c>
      <c r="T221" s="49" t="s">
        <v>63</v>
      </c>
      <c r="U221" s="48" t="s">
        <v>75</v>
      </c>
      <c r="V221" s="49"/>
      <c r="W221" s="65">
        <v>3.14</v>
      </c>
      <c r="X221" s="49" t="s">
        <v>778</v>
      </c>
      <c r="Y221" s="49" t="s">
        <v>1145</v>
      </c>
      <c r="Z221" s="49" t="s">
        <v>449</v>
      </c>
      <c r="AA221" s="80">
        <v>0.37</v>
      </c>
      <c r="AB221" s="39">
        <v>35330</v>
      </c>
      <c r="AC221" s="84" t="s">
        <v>17674</v>
      </c>
      <c r="AD221" s="53" t="str">
        <f t="shared" si="182"/>
        <v>Link</v>
      </c>
      <c r="AE221" s="42">
        <v>678</v>
      </c>
      <c r="AF221" s="55"/>
      <c r="AG221" s="85"/>
      <c r="AH221" s="56">
        <v>155937</v>
      </c>
      <c r="AI221" s="7" t="s">
        <v>2459</v>
      </c>
      <c r="AJ221" s="7"/>
      <c r="AK221" s="7"/>
      <c r="AL221" s="7"/>
      <c r="AM221" s="7"/>
      <c r="AN221" s="7"/>
      <c r="AO221" s="7"/>
    </row>
    <row r="222" spans="1:41" ht="15" x14ac:dyDescent="0.2">
      <c r="A222" s="7"/>
      <c r="B222" s="31" t="s">
        <v>2730</v>
      </c>
      <c r="C222" s="2" t="s">
        <v>15218</v>
      </c>
      <c r="D222" s="7"/>
      <c r="E222" s="37">
        <v>5</v>
      </c>
      <c r="F222" s="7"/>
      <c r="G222" s="7"/>
      <c r="H222" s="2" t="s">
        <v>17668</v>
      </c>
      <c r="I222" s="2" t="s">
        <v>17685</v>
      </c>
      <c r="J222" s="2" t="s">
        <v>17686</v>
      </c>
      <c r="K222" s="2" t="s">
        <v>55</v>
      </c>
      <c r="L222" s="2"/>
      <c r="M222" s="6"/>
      <c r="N222" s="45" t="str">
        <f t="shared" si="180"/>
        <v>@SCWarrior_SB</v>
      </c>
      <c r="O222" s="114" t="str">
        <f t="shared" si="181"/>
        <v>Questionnaire</v>
      </c>
      <c r="P222" s="48" t="s">
        <v>17674</v>
      </c>
      <c r="Q222" s="60" t="s">
        <v>528</v>
      </c>
      <c r="R222" s="48" t="s">
        <v>14394</v>
      </c>
      <c r="S222" s="60" t="s">
        <v>205</v>
      </c>
      <c r="T222" s="49" t="s">
        <v>63</v>
      </c>
      <c r="U222" s="48" t="s">
        <v>75</v>
      </c>
      <c r="V222" s="49"/>
      <c r="W222" s="65">
        <v>3.14</v>
      </c>
      <c r="X222" s="49" t="s">
        <v>778</v>
      </c>
      <c r="Y222" s="49" t="s">
        <v>1145</v>
      </c>
      <c r="Z222" s="49" t="s">
        <v>449</v>
      </c>
      <c r="AA222" s="80">
        <v>0.37</v>
      </c>
      <c r="AB222" s="39">
        <v>35330</v>
      </c>
      <c r="AC222" s="84" t="s">
        <v>17674</v>
      </c>
      <c r="AD222" s="53" t="str">
        <f t="shared" si="182"/>
        <v>Link</v>
      </c>
      <c r="AE222" s="42">
        <v>678</v>
      </c>
      <c r="AF222" s="55"/>
      <c r="AG222" s="85"/>
      <c r="AH222" s="56">
        <v>155937</v>
      </c>
      <c r="AI222" s="7" t="s">
        <v>2459</v>
      </c>
      <c r="AJ222" s="7"/>
      <c r="AK222" s="7"/>
      <c r="AL222" s="7"/>
      <c r="AM222" s="7"/>
      <c r="AN222" s="7"/>
      <c r="AO222" s="7"/>
    </row>
    <row r="223" spans="1:41" ht="13" x14ac:dyDescent="0.15">
      <c r="A223" s="7"/>
      <c r="B223" s="31" t="s">
        <v>2730</v>
      </c>
      <c r="C223" s="2" t="s">
        <v>15218</v>
      </c>
      <c r="D223" s="7" t="s">
        <v>17692</v>
      </c>
      <c r="E223" s="37">
        <v>5</v>
      </c>
      <c r="F223" s="48"/>
      <c r="G223" s="48"/>
      <c r="H223" s="2" t="s">
        <v>17695</v>
      </c>
      <c r="I223" s="2" t="s">
        <v>94</v>
      </c>
      <c r="J223" s="2" t="s">
        <v>17696</v>
      </c>
      <c r="K223" s="2" t="s">
        <v>48</v>
      </c>
      <c r="L223" s="2" t="s">
        <v>17697</v>
      </c>
      <c r="M223" s="6" t="s">
        <v>17698</v>
      </c>
      <c r="N223" s="45" t="str">
        <f>HYPERLINK("twitter.com/tabor_softball","@tabor_softball")</f>
        <v>@tabor_softball</v>
      </c>
      <c r="O223" s="114" t="str">
        <f>HYPERLINK("http://www.taborbluejays.com/recruiting/0/5.php","Questionnaire")</f>
        <v>Questionnaire</v>
      </c>
      <c r="P223" s="48" t="s">
        <v>17703</v>
      </c>
      <c r="Q223" s="60" t="s">
        <v>528</v>
      </c>
      <c r="R223" s="48" t="s">
        <v>17704</v>
      </c>
      <c r="S223" s="60" t="s">
        <v>205</v>
      </c>
      <c r="T223" s="49" t="s">
        <v>63</v>
      </c>
      <c r="U223" s="6" t="s">
        <v>1769</v>
      </c>
      <c r="V223" s="49"/>
      <c r="W223" s="65">
        <v>3.27</v>
      </c>
      <c r="X223" s="49" t="s">
        <v>8538</v>
      </c>
      <c r="Y223" s="49" t="s">
        <v>1785</v>
      </c>
      <c r="Z223" s="49" t="s">
        <v>841</v>
      </c>
      <c r="AA223" s="65">
        <v>0.56000000000000005</v>
      </c>
      <c r="AB223" s="39">
        <v>41520</v>
      </c>
      <c r="AC223" s="84" t="s">
        <v>17703</v>
      </c>
      <c r="AD223" s="53" t="str">
        <f>HYPERLINK("https://tabor.edu/undergraduate/undergraduate-academic-programs/","Link")</f>
        <v>Link</v>
      </c>
      <c r="AE223" s="42">
        <v>670</v>
      </c>
      <c r="AF223" s="55"/>
      <c r="AG223" s="85"/>
      <c r="AH223" s="56">
        <v>155973</v>
      </c>
      <c r="AI223" s="85"/>
    </row>
    <row r="224" spans="1:41" ht="15" x14ac:dyDescent="0.2">
      <c r="A224" s="7"/>
      <c r="B224" s="31" t="s">
        <v>3417</v>
      </c>
      <c r="C224" s="2" t="s">
        <v>15218</v>
      </c>
      <c r="D224" s="7" t="s">
        <v>17707</v>
      </c>
      <c r="E224" s="37">
        <v>5</v>
      </c>
      <c r="F224" s="48"/>
      <c r="G224" s="48"/>
      <c r="H224" s="2" t="s">
        <v>17708</v>
      </c>
      <c r="I224" s="2" t="s">
        <v>2536</v>
      </c>
      <c r="J224" s="2" t="s">
        <v>1267</v>
      </c>
      <c r="K224" s="2" t="s">
        <v>48</v>
      </c>
      <c r="L224" s="2" t="s">
        <v>17709</v>
      </c>
      <c r="M224" s="6" t="s">
        <v>17710</v>
      </c>
      <c r="N224" s="48"/>
      <c r="O224" s="114" t="str">
        <f>HYPERLINK("https://www.alc.edu/athletics/recruit-me/","Questionnaire")</f>
        <v>Questionnaire</v>
      </c>
      <c r="P224" s="108" t="s">
        <v>17711</v>
      </c>
      <c r="Q224" s="60" t="s">
        <v>935</v>
      </c>
      <c r="R224" s="48" t="s">
        <v>17712</v>
      </c>
      <c r="S224" s="60" t="s">
        <v>205</v>
      </c>
      <c r="T224" s="49" t="s">
        <v>63</v>
      </c>
      <c r="U224" s="48" t="s">
        <v>75</v>
      </c>
      <c r="V224" s="49"/>
      <c r="W224" s="65">
        <v>3.57</v>
      </c>
      <c r="X224" s="49" t="s">
        <v>5423</v>
      </c>
      <c r="Y224" s="49" t="s">
        <v>8683</v>
      </c>
      <c r="Z224" s="49" t="s">
        <v>357</v>
      </c>
      <c r="AA224" s="38">
        <v>0.2218</v>
      </c>
      <c r="AB224" s="39">
        <v>24290</v>
      </c>
      <c r="AC224" s="52" t="s">
        <v>17711</v>
      </c>
      <c r="AD224" s="53" t="str">
        <f>HYPERLINK("http://www.alc.edu/academics/degrees-majors/","Link")</f>
        <v>Link</v>
      </c>
      <c r="AE224" s="42">
        <v>605</v>
      </c>
      <c r="AF224" s="55"/>
      <c r="AG224" s="85"/>
      <c r="AH224" s="56">
        <v>156189</v>
      </c>
      <c r="AI224" s="85"/>
    </row>
    <row r="225" spans="1:41" ht="15" x14ac:dyDescent="0.2">
      <c r="A225" s="7"/>
      <c r="B225" s="31" t="s">
        <v>3417</v>
      </c>
      <c r="C225" s="2" t="s">
        <v>15218</v>
      </c>
      <c r="D225" s="7" t="s">
        <v>17718</v>
      </c>
      <c r="E225" s="37">
        <v>5</v>
      </c>
      <c r="F225" s="48"/>
      <c r="G225" s="48"/>
      <c r="H225" s="2" t="s">
        <v>17719</v>
      </c>
      <c r="I225" s="2" t="s">
        <v>17720</v>
      </c>
      <c r="J225" s="2" t="s">
        <v>12723</v>
      </c>
      <c r="K225" s="2" t="s">
        <v>48</v>
      </c>
      <c r="L225" s="89" t="s">
        <v>17722</v>
      </c>
      <c r="M225" s="6"/>
      <c r="N225" s="45" t="str">
        <f t="shared" ref="N225:N227" si="183">HYPERLINK("twitter.com/asburysoftball1","@asburysoftball1")</f>
        <v>@asburysoftball1</v>
      </c>
      <c r="O225" s="114" t="str">
        <f t="shared" ref="O225:O227" si="184">HYPERLINK("https://www.asburyeagles.com/recruiting_asbury","Questionnaire")</f>
        <v>Questionnaire</v>
      </c>
      <c r="P225" s="48" t="s">
        <v>17723</v>
      </c>
      <c r="Q225" s="60" t="s">
        <v>935</v>
      </c>
      <c r="R225" s="48" t="s">
        <v>17724</v>
      </c>
      <c r="S225" s="60" t="s">
        <v>205</v>
      </c>
      <c r="T225" s="49" t="s">
        <v>63</v>
      </c>
      <c r="U225" s="48" t="s">
        <v>75</v>
      </c>
      <c r="V225" s="49"/>
      <c r="W225" s="65">
        <v>3.61</v>
      </c>
      <c r="X225" s="49" t="s">
        <v>1490</v>
      </c>
      <c r="Y225" s="49" t="s">
        <v>17726</v>
      </c>
      <c r="Z225" s="49" t="s">
        <v>803</v>
      </c>
      <c r="AA225" s="38">
        <v>0.69589999999999996</v>
      </c>
      <c r="AB225" s="39">
        <v>39388</v>
      </c>
      <c r="AC225" s="149" t="s">
        <v>17723</v>
      </c>
      <c r="AD225" s="53" t="str">
        <f t="shared" ref="AD225:AD227" si="185">HYPERLINK("https://www.asbury.edu/academics/majors-minors-emphases","Link")</f>
        <v>Link</v>
      </c>
      <c r="AE225" s="42">
        <v>1640</v>
      </c>
      <c r="AF225" s="55"/>
      <c r="AG225" s="85"/>
      <c r="AH225" s="56">
        <v>156213</v>
      </c>
      <c r="AI225" s="85"/>
    </row>
    <row r="226" spans="1:41" ht="15" x14ac:dyDescent="0.2">
      <c r="A226" s="7"/>
      <c r="B226" s="31" t="s">
        <v>3417</v>
      </c>
      <c r="C226" s="2" t="s">
        <v>15218</v>
      </c>
      <c r="D226" s="7" t="s">
        <v>17727</v>
      </c>
      <c r="E226" s="37">
        <v>5</v>
      </c>
      <c r="F226" s="48"/>
      <c r="G226" s="48"/>
      <c r="H226" s="2" t="s">
        <v>17719</v>
      </c>
      <c r="I226" s="2" t="s">
        <v>93</v>
      </c>
      <c r="J226" s="2" t="s">
        <v>17729</v>
      </c>
      <c r="K226" s="2" t="s">
        <v>55</v>
      </c>
      <c r="L226" s="2"/>
      <c r="M226" s="6"/>
      <c r="N226" s="45" t="str">
        <f t="shared" si="183"/>
        <v>@asburysoftball1</v>
      </c>
      <c r="O226" s="114" t="str">
        <f t="shared" si="184"/>
        <v>Questionnaire</v>
      </c>
      <c r="P226" s="48" t="s">
        <v>17723</v>
      </c>
      <c r="Q226" s="60" t="s">
        <v>935</v>
      </c>
      <c r="R226" s="48" t="s">
        <v>17724</v>
      </c>
      <c r="S226" s="60" t="s">
        <v>205</v>
      </c>
      <c r="T226" s="49" t="s">
        <v>63</v>
      </c>
      <c r="U226" s="48" t="s">
        <v>75</v>
      </c>
      <c r="V226" s="49"/>
      <c r="W226" s="65">
        <v>3.61</v>
      </c>
      <c r="X226" s="49" t="s">
        <v>1490</v>
      </c>
      <c r="Y226" s="49" t="s">
        <v>17726</v>
      </c>
      <c r="Z226" s="49" t="s">
        <v>803</v>
      </c>
      <c r="AA226" s="38">
        <v>0.69589999999999996</v>
      </c>
      <c r="AB226" s="39">
        <v>39388</v>
      </c>
      <c r="AC226" s="149" t="s">
        <v>17723</v>
      </c>
      <c r="AD226" s="53" t="str">
        <f t="shared" si="185"/>
        <v>Link</v>
      </c>
      <c r="AE226" s="42">
        <v>1640</v>
      </c>
      <c r="AF226" s="55"/>
      <c r="AG226" s="85"/>
      <c r="AH226" s="56">
        <v>156213</v>
      </c>
      <c r="AI226" s="85"/>
    </row>
    <row r="227" spans="1:41" ht="15" x14ac:dyDescent="0.2">
      <c r="A227" s="7"/>
      <c r="B227" s="31" t="s">
        <v>3417</v>
      </c>
      <c r="C227" s="2" t="s">
        <v>15218</v>
      </c>
      <c r="D227" s="7" t="s">
        <v>17733</v>
      </c>
      <c r="E227" s="37">
        <v>5</v>
      </c>
      <c r="F227" s="48"/>
      <c r="G227" s="48"/>
      <c r="H227" s="2" t="s">
        <v>17719</v>
      </c>
      <c r="I227" s="2" t="s">
        <v>8872</v>
      </c>
      <c r="J227" s="2" t="s">
        <v>12723</v>
      </c>
      <c r="K227" s="2" t="s">
        <v>55</v>
      </c>
      <c r="L227" s="2"/>
      <c r="M227" s="6"/>
      <c r="N227" s="45" t="str">
        <f t="shared" si="183"/>
        <v>@asburysoftball1</v>
      </c>
      <c r="O227" s="114" t="str">
        <f t="shared" si="184"/>
        <v>Questionnaire</v>
      </c>
      <c r="P227" s="48" t="s">
        <v>17723</v>
      </c>
      <c r="Q227" s="60" t="s">
        <v>935</v>
      </c>
      <c r="R227" s="48" t="s">
        <v>17724</v>
      </c>
      <c r="S227" s="60" t="s">
        <v>205</v>
      </c>
      <c r="T227" s="49" t="s">
        <v>63</v>
      </c>
      <c r="U227" s="48" t="s">
        <v>75</v>
      </c>
      <c r="V227" s="49"/>
      <c r="W227" s="65">
        <v>3.61</v>
      </c>
      <c r="X227" s="49" t="s">
        <v>1490</v>
      </c>
      <c r="Y227" s="49" t="s">
        <v>17726</v>
      </c>
      <c r="Z227" s="49" t="s">
        <v>803</v>
      </c>
      <c r="AA227" s="38">
        <v>0.69589999999999996</v>
      </c>
      <c r="AB227" s="39">
        <v>39388</v>
      </c>
      <c r="AC227" s="149" t="s">
        <v>17723</v>
      </c>
      <c r="AD227" s="53" t="str">
        <f t="shared" si="185"/>
        <v>Link</v>
      </c>
      <c r="AE227" s="42">
        <v>1640</v>
      </c>
      <c r="AF227" s="55"/>
      <c r="AG227" s="85"/>
      <c r="AH227" s="56">
        <v>156213</v>
      </c>
      <c r="AI227" s="85"/>
    </row>
    <row r="228" spans="1:41" ht="13" x14ac:dyDescent="0.15">
      <c r="A228" s="7"/>
      <c r="B228" s="31" t="s">
        <v>3417</v>
      </c>
      <c r="C228" s="2" t="s">
        <v>15218</v>
      </c>
      <c r="D228" s="7"/>
      <c r="E228" s="37">
        <v>5</v>
      </c>
      <c r="F228" s="7"/>
      <c r="G228" s="7"/>
      <c r="H228" s="2" t="s">
        <v>17741</v>
      </c>
      <c r="I228" s="2" t="s">
        <v>11766</v>
      </c>
      <c r="J228" s="2" t="s">
        <v>2919</v>
      </c>
      <c r="K228" s="2" t="s">
        <v>48</v>
      </c>
      <c r="L228" s="2" t="s">
        <v>17742</v>
      </c>
      <c r="M228" s="6" t="s">
        <v>17743</v>
      </c>
      <c r="N228" s="45" t="str">
        <f>HYPERLINK("twitter.com/bresciasoftball","@bresciasoftball")</f>
        <v>@bresciasoftball</v>
      </c>
      <c r="O228" s="114" t="str">
        <f>HYPERLINK("https://brescia.radiusbycampusmgmt.com/ssc/aform/G00x82C0zx6G0x670c870l.ssc","Questionnaire")</f>
        <v>Questionnaire</v>
      </c>
      <c r="P228" s="60" t="s">
        <v>17750</v>
      </c>
      <c r="Q228" s="60" t="s">
        <v>935</v>
      </c>
      <c r="R228" s="48" t="s">
        <v>5106</v>
      </c>
      <c r="S228" s="48" t="s">
        <v>186</v>
      </c>
      <c r="T228" s="49" t="s">
        <v>63</v>
      </c>
      <c r="U228" s="6" t="s">
        <v>343</v>
      </c>
      <c r="V228" s="49"/>
      <c r="W228" s="65">
        <v>3.02</v>
      </c>
      <c r="X228" s="49" t="s">
        <v>17751</v>
      </c>
      <c r="Y228" s="49" t="s">
        <v>17752</v>
      </c>
      <c r="Z228" s="49" t="s">
        <v>278</v>
      </c>
      <c r="AA228" s="38">
        <v>0.46760000000000002</v>
      </c>
      <c r="AB228" s="39">
        <v>32650</v>
      </c>
      <c r="AC228" s="90" t="s">
        <v>17750</v>
      </c>
      <c r="AD228" s="53" t="str">
        <f>HYPERLINK("https://www.brescia.edu/undergraduate-programs","Link")</f>
        <v>Link</v>
      </c>
      <c r="AE228" s="42">
        <v>977</v>
      </c>
      <c r="AF228" s="55"/>
      <c r="AG228" s="55"/>
      <c r="AH228" s="56">
        <v>156356</v>
      </c>
      <c r="AI228" s="7" t="s">
        <v>2459</v>
      </c>
      <c r="AJ228" s="7"/>
      <c r="AK228" s="7"/>
      <c r="AL228" s="7"/>
      <c r="AM228" s="7"/>
      <c r="AN228" s="7"/>
      <c r="AO228" s="7"/>
    </row>
    <row r="229" spans="1:41" ht="15" x14ac:dyDescent="0.2">
      <c r="A229" s="7"/>
      <c r="B229" s="31" t="s">
        <v>3417</v>
      </c>
      <c r="C229" s="2" t="s">
        <v>15218</v>
      </c>
      <c r="D229" s="7" t="s">
        <v>17755</v>
      </c>
      <c r="E229" s="37">
        <v>5</v>
      </c>
      <c r="F229" s="48"/>
      <c r="G229" s="48"/>
      <c r="H229" s="2" t="s">
        <v>17756</v>
      </c>
      <c r="I229" s="2" t="s">
        <v>1307</v>
      </c>
      <c r="J229" s="2" t="s">
        <v>17757</v>
      </c>
      <c r="K229" s="2" t="s">
        <v>48</v>
      </c>
      <c r="L229" s="2" t="s">
        <v>17758</v>
      </c>
      <c r="M229" s="6" t="s">
        <v>17759</v>
      </c>
      <c r="N229" s="45" t="str">
        <f t="shared" ref="N229:N230" si="186">HYPERLINK("twitter.com/CVilleLTS","@CVilleLTS")</f>
        <v>@CVilleLTS</v>
      </c>
      <c r="O229" s="114" t="str">
        <f t="shared" ref="O229:O231" si="187">HYPERLINK("https://campbellsvilletigers.com/sb_output.aspx?form=8","Questionnaire")</f>
        <v>Questionnaire</v>
      </c>
      <c r="P229" s="108" t="s">
        <v>17763</v>
      </c>
      <c r="Q229" s="60" t="s">
        <v>935</v>
      </c>
      <c r="R229" s="48" t="s">
        <v>17763</v>
      </c>
      <c r="S229" s="48" t="s">
        <v>172</v>
      </c>
      <c r="T229" s="49" t="s">
        <v>63</v>
      </c>
      <c r="U229" s="6" t="s">
        <v>800</v>
      </c>
      <c r="V229" s="49"/>
      <c r="W229" s="65">
        <v>3.35</v>
      </c>
      <c r="X229" s="49" t="s">
        <v>3428</v>
      </c>
      <c r="Y229" s="49" t="s">
        <v>17764</v>
      </c>
      <c r="Z229" s="49" t="s">
        <v>125</v>
      </c>
      <c r="AA229" s="38">
        <v>0.69789999999999996</v>
      </c>
      <c r="AB229" s="39">
        <v>38272</v>
      </c>
      <c r="AC229" s="52" t="s">
        <v>17763</v>
      </c>
      <c r="AD229" s="53" t="str">
        <f t="shared" ref="AD229:AD231" si="188">HYPERLINK("https://www.campbellsville.edu/academics/academic-affairs/academic-programs/","Link")</f>
        <v>Link</v>
      </c>
      <c r="AE229" s="42">
        <v>2732</v>
      </c>
      <c r="AF229" s="55"/>
      <c r="AG229" s="85"/>
      <c r="AH229" s="56">
        <v>156365</v>
      </c>
      <c r="AI229" s="85"/>
    </row>
    <row r="230" spans="1:41" ht="15" x14ac:dyDescent="0.2">
      <c r="A230" s="7"/>
      <c r="B230" s="31" t="s">
        <v>3417</v>
      </c>
      <c r="C230" s="2" t="s">
        <v>15218</v>
      </c>
      <c r="D230" s="7" t="s">
        <v>17772</v>
      </c>
      <c r="E230" s="37">
        <v>5</v>
      </c>
      <c r="F230" s="48"/>
      <c r="G230" s="48"/>
      <c r="H230" s="2" t="s">
        <v>17756</v>
      </c>
      <c r="I230" s="2" t="s">
        <v>1159</v>
      </c>
      <c r="J230" s="2" t="s">
        <v>17773</v>
      </c>
      <c r="K230" s="2" t="s">
        <v>919</v>
      </c>
      <c r="L230" s="2" t="s">
        <v>17775</v>
      </c>
      <c r="M230" s="6" t="s">
        <v>17776</v>
      </c>
      <c r="N230" s="45" t="str">
        <f t="shared" si="186"/>
        <v>@CVilleLTS</v>
      </c>
      <c r="O230" s="114" t="str">
        <f t="shared" si="187"/>
        <v>Questionnaire</v>
      </c>
      <c r="P230" s="108" t="s">
        <v>17763</v>
      </c>
      <c r="Q230" s="60" t="s">
        <v>935</v>
      </c>
      <c r="R230" s="48" t="s">
        <v>17763</v>
      </c>
      <c r="S230" s="48" t="s">
        <v>172</v>
      </c>
      <c r="T230" s="49" t="s">
        <v>63</v>
      </c>
      <c r="U230" s="6" t="s">
        <v>800</v>
      </c>
      <c r="V230" s="49"/>
      <c r="W230" s="65">
        <v>3.35</v>
      </c>
      <c r="X230" s="49" t="s">
        <v>3428</v>
      </c>
      <c r="Y230" s="49" t="s">
        <v>17764</v>
      </c>
      <c r="Z230" s="49" t="s">
        <v>125</v>
      </c>
      <c r="AA230" s="38">
        <v>0.69789999999999996</v>
      </c>
      <c r="AB230" s="39">
        <v>38272</v>
      </c>
      <c r="AC230" s="52" t="s">
        <v>17763</v>
      </c>
      <c r="AD230" s="53" t="str">
        <f t="shared" si="188"/>
        <v>Link</v>
      </c>
      <c r="AE230" s="42">
        <v>2732</v>
      </c>
      <c r="AF230" s="55"/>
      <c r="AG230" s="85"/>
      <c r="AH230" s="56">
        <v>156365</v>
      </c>
      <c r="AI230" s="85"/>
    </row>
    <row r="231" spans="1:41" ht="13" x14ac:dyDescent="0.15">
      <c r="A231" s="7" t="s">
        <v>17779</v>
      </c>
      <c r="B231" s="31" t="s">
        <v>3417</v>
      </c>
      <c r="C231" s="2" t="s">
        <v>15218</v>
      </c>
      <c r="D231" s="7" t="s">
        <v>17780</v>
      </c>
      <c r="E231" s="44">
        <v>5</v>
      </c>
      <c r="F231" s="48" t="s">
        <v>116</v>
      </c>
      <c r="G231" s="48"/>
      <c r="H231" s="2" t="s">
        <v>17756</v>
      </c>
      <c r="I231" s="7" t="s">
        <v>8467</v>
      </c>
      <c r="J231" s="7" t="s">
        <v>977</v>
      </c>
      <c r="K231" s="7" t="s">
        <v>55</v>
      </c>
      <c r="L231" s="7" t="s">
        <v>17781</v>
      </c>
      <c r="M231" s="48" t="s">
        <v>17782</v>
      </c>
      <c r="N231" s="48"/>
      <c r="O231" s="114" t="str">
        <f t="shared" si="187"/>
        <v>Questionnaire</v>
      </c>
      <c r="P231" s="60" t="s">
        <v>17763</v>
      </c>
      <c r="Q231" s="60" t="s">
        <v>935</v>
      </c>
      <c r="R231" s="48" t="s">
        <v>17763</v>
      </c>
      <c r="S231" s="48" t="s">
        <v>172</v>
      </c>
      <c r="T231" s="4" t="s">
        <v>63</v>
      </c>
      <c r="U231" s="6" t="s">
        <v>800</v>
      </c>
      <c r="V231" s="49"/>
      <c r="W231" s="65">
        <v>3.35</v>
      </c>
      <c r="X231" s="49" t="s">
        <v>3428</v>
      </c>
      <c r="Y231" s="49" t="s">
        <v>17764</v>
      </c>
      <c r="Z231" s="4" t="s">
        <v>125</v>
      </c>
      <c r="AA231" s="38">
        <v>0.69789999999999996</v>
      </c>
      <c r="AB231" s="39">
        <v>38272</v>
      </c>
      <c r="AC231" s="84" t="s">
        <v>17763</v>
      </c>
      <c r="AD231" s="67" t="str">
        <f t="shared" si="188"/>
        <v>Link</v>
      </c>
      <c r="AE231" s="42">
        <v>2732</v>
      </c>
      <c r="AF231" s="55"/>
      <c r="AG231" s="55"/>
      <c r="AH231" s="56">
        <v>156365</v>
      </c>
      <c r="AI231" s="55"/>
    </row>
    <row r="232" spans="1:41" ht="13" x14ac:dyDescent="0.15">
      <c r="A232" s="7"/>
      <c r="B232" s="31" t="s">
        <v>3417</v>
      </c>
      <c r="C232" s="2" t="s">
        <v>15218</v>
      </c>
      <c r="D232" s="7" t="s">
        <v>17786</v>
      </c>
      <c r="E232" s="37">
        <v>5</v>
      </c>
      <c r="F232" s="48"/>
      <c r="G232" s="48"/>
      <c r="H232" s="2" t="s">
        <v>17787</v>
      </c>
      <c r="I232" s="2" t="s">
        <v>852</v>
      </c>
      <c r="J232" s="2" t="s">
        <v>17788</v>
      </c>
      <c r="K232" s="2" t="s">
        <v>48</v>
      </c>
      <c r="L232" s="2" t="s">
        <v>17790</v>
      </c>
      <c r="M232" s="6" t="s">
        <v>17792</v>
      </c>
      <c r="N232" s="48"/>
      <c r="O232" s="114" t="str">
        <f t="shared" ref="O232:O233" si="189">HYPERLINK("https://cumberlandspatriots.com/sb_output.aspx?form=3","Questionnaire")</f>
        <v>Questionnaire</v>
      </c>
      <c r="P232" s="48" t="s">
        <v>17794</v>
      </c>
      <c r="Q232" s="60" t="s">
        <v>935</v>
      </c>
      <c r="R232" s="48" t="s">
        <v>17795</v>
      </c>
      <c r="S232" s="60" t="s">
        <v>205</v>
      </c>
      <c r="T232" s="49" t="s">
        <v>63</v>
      </c>
      <c r="U232" s="6" t="s">
        <v>2619</v>
      </c>
      <c r="V232" s="49"/>
      <c r="W232" s="65">
        <v>3.47</v>
      </c>
      <c r="X232" s="49" t="s">
        <v>447</v>
      </c>
      <c r="Y232" s="49" t="s">
        <v>10385</v>
      </c>
      <c r="Z232" s="49" t="s">
        <v>746</v>
      </c>
      <c r="AA232" s="65">
        <v>0.71</v>
      </c>
      <c r="AB232" s="39">
        <v>38200</v>
      </c>
      <c r="AC232" s="84" t="s">
        <v>17794</v>
      </c>
      <c r="AD232" s="53" t="str">
        <f t="shared" ref="AD232:AD233" si="190">HYPERLINK("https://www.ucumberlands.edu/academics/programs","Link")</f>
        <v>Link</v>
      </c>
      <c r="AE232" s="42">
        <v>3041</v>
      </c>
      <c r="AF232" s="55"/>
      <c r="AG232" s="85"/>
      <c r="AH232" s="56">
        <v>156541</v>
      </c>
      <c r="AI232" s="85"/>
    </row>
    <row r="233" spans="1:41" ht="13" x14ac:dyDescent="0.15">
      <c r="A233" s="7"/>
      <c r="B233" s="31" t="s">
        <v>3417</v>
      </c>
      <c r="C233" s="2" t="s">
        <v>15218</v>
      </c>
      <c r="D233" s="7" t="s">
        <v>17801</v>
      </c>
      <c r="E233" s="37">
        <v>5</v>
      </c>
      <c r="F233" s="48"/>
      <c r="G233" s="48"/>
      <c r="H233" s="2" t="s">
        <v>17787</v>
      </c>
      <c r="I233" s="2" t="s">
        <v>2402</v>
      </c>
      <c r="J233" s="2" t="s">
        <v>17805</v>
      </c>
      <c r="K233" s="2" t="s">
        <v>55</v>
      </c>
      <c r="L233" s="2" t="s">
        <v>17807</v>
      </c>
      <c r="M233" s="6" t="s">
        <v>17792</v>
      </c>
      <c r="N233" s="48"/>
      <c r="O233" s="114" t="str">
        <f t="shared" si="189"/>
        <v>Questionnaire</v>
      </c>
      <c r="P233" s="48" t="s">
        <v>17794</v>
      </c>
      <c r="Q233" s="60" t="s">
        <v>935</v>
      </c>
      <c r="R233" s="48" t="s">
        <v>17795</v>
      </c>
      <c r="S233" s="60" t="s">
        <v>205</v>
      </c>
      <c r="T233" s="49" t="s">
        <v>63</v>
      </c>
      <c r="U233" s="6" t="s">
        <v>2619</v>
      </c>
      <c r="V233" s="49"/>
      <c r="W233" s="65">
        <v>3.47</v>
      </c>
      <c r="X233" s="49" t="s">
        <v>447</v>
      </c>
      <c r="Y233" s="49" t="s">
        <v>10385</v>
      </c>
      <c r="Z233" s="49" t="s">
        <v>746</v>
      </c>
      <c r="AA233" s="65">
        <v>0.71</v>
      </c>
      <c r="AB233" s="39">
        <v>38200</v>
      </c>
      <c r="AC233" s="84" t="s">
        <v>17794</v>
      </c>
      <c r="AD233" s="53" t="str">
        <f t="shared" si="190"/>
        <v>Link</v>
      </c>
      <c r="AE233" s="42">
        <v>3041</v>
      </c>
      <c r="AF233" s="55"/>
      <c r="AG233" s="85"/>
      <c r="AH233" s="56">
        <v>156541</v>
      </c>
      <c r="AI233" s="85"/>
    </row>
    <row r="234" spans="1:41" ht="15" x14ac:dyDescent="0.2">
      <c r="A234" s="7"/>
      <c r="B234" s="31" t="s">
        <v>3417</v>
      </c>
      <c r="C234" s="2" t="s">
        <v>15218</v>
      </c>
      <c r="D234" s="7"/>
      <c r="E234" s="37">
        <v>5</v>
      </c>
      <c r="F234" s="7"/>
      <c r="G234" s="7"/>
      <c r="H234" s="2" t="s">
        <v>17813</v>
      </c>
      <c r="I234" s="2" t="s">
        <v>4003</v>
      </c>
      <c r="J234" s="2" t="s">
        <v>2583</v>
      </c>
      <c r="K234" s="2" t="s">
        <v>48</v>
      </c>
      <c r="L234" s="2" t="s">
        <v>17814</v>
      </c>
      <c r="M234" s="2" t="s">
        <v>17815</v>
      </c>
      <c r="N234" s="45" t="str">
        <f t="shared" ref="N234:N237" si="191">HYPERLINK("twitter.com/GC_SoftballTeam","@GC_SoftballTeam")</f>
        <v>@GC_SoftballTeam</v>
      </c>
      <c r="O234" s="114" t="str">
        <f t="shared" ref="O234:O237" si="192">HYPERLINK("https://questionnaires.armssoftware.com/f3383ffb93c5","Questionnaire")</f>
        <v>Questionnaire</v>
      </c>
      <c r="P234" s="108" t="s">
        <v>17822</v>
      </c>
      <c r="Q234" s="60" t="s">
        <v>935</v>
      </c>
      <c r="R234" s="48" t="s">
        <v>15110</v>
      </c>
      <c r="S234" s="48" t="s">
        <v>468</v>
      </c>
      <c r="T234" s="49" t="s">
        <v>63</v>
      </c>
      <c r="U234" s="6" t="s">
        <v>2619</v>
      </c>
      <c r="V234" s="49"/>
      <c r="W234" s="65">
        <v>3.5</v>
      </c>
      <c r="X234" s="49" t="s">
        <v>1688</v>
      </c>
      <c r="Y234" s="49" t="s">
        <v>1338</v>
      </c>
      <c r="Z234" s="49" t="s">
        <v>278</v>
      </c>
      <c r="AA234" s="65">
        <v>0.66</v>
      </c>
      <c r="AB234" s="39">
        <v>48310</v>
      </c>
      <c r="AC234" s="52" t="s">
        <v>17822</v>
      </c>
      <c r="AD234" s="53" t="str">
        <f t="shared" ref="AD234:AD237" si="193">HYPERLINK("https://college.georgetown.edu/academics/majors-minors-and-certificates","Link")</f>
        <v>Link</v>
      </c>
      <c r="AE234" s="42">
        <v>986</v>
      </c>
      <c r="AF234" s="55"/>
      <c r="AG234" s="55"/>
      <c r="AH234" s="56">
        <v>156745</v>
      </c>
      <c r="AI234" s="85" t="s">
        <v>2459</v>
      </c>
      <c r="AJ234" s="7"/>
      <c r="AK234" s="7"/>
      <c r="AL234" s="7"/>
      <c r="AM234" s="7"/>
      <c r="AN234" s="7"/>
      <c r="AO234" s="7"/>
    </row>
    <row r="235" spans="1:41" ht="15" x14ac:dyDescent="0.2">
      <c r="A235" s="7"/>
      <c r="B235" s="31" t="s">
        <v>3417</v>
      </c>
      <c r="C235" s="2" t="s">
        <v>15218</v>
      </c>
      <c r="D235" s="7"/>
      <c r="E235" s="37">
        <v>5</v>
      </c>
      <c r="F235" s="7"/>
      <c r="G235" s="7"/>
      <c r="H235" s="2" t="s">
        <v>17813</v>
      </c>
      <c r="I235" s="2" t="s">
        <v>2080</v>
      </c>
      <c r="J235" s="2" t="s">
        <v>2335</v>
      </c>
      <c r="K235" s="2" t="s">
        <v>55</v>
      </c>
      <c r="L235" s="2"/>
      <c r="M235" s="6"/>
      <c r="N235" s="45" t="str">
        <f t="shared" si="191"/>
        <v>@GC_SoftballTeam</v>
      </c>
      <c r="O235" s="114" t="str">
        <f t="shared" si="192"/>
        <v>Questionnaire</v>
      </c>
      <c r="P235" s="108" t="s">
        <v>17822</v>
      </c>
      <c r="Q235" s="60" t="s">
        <v>935</v>
      </c>
      <c r="R235" s="48" t="s">
        <v>15110</v>
      </c>
      <c r="S235" s="48" t="s">
        <v>468</v>
      </c>
      <c r="T235" s="49" t="s">
        <v>63</v>
      </c>
      <c r="U235" s="6" t="s">
        <v>2619</v>
      </c>
      <c r="V235" s="49"/>
      <c r="W235" s="65">
        <v>3.5</v>
      </c>
      <c r="X235" s="49" t="s">
        <v>1688</v>
      </c>
      <c r="Y235" s="49" t="s">
        <v>1338</v>
      </c>
      <c r="Z235" s="49" t="s">
        <v>278</v>
      </c>
      <c r="AA235" s="65">
        <v>0.66</v>
      </c>
      <c r="AB235" s="39">
        <v>48310</v>
      </c>
      <c r="AC235" s="52" t="s">
        <v>17822</v>
      </c>
      <c r="AD235" s="53" t="str">
        <f t="shared" si="193"/>
        <v>Link</v>
      </c>
      <c r="AE235" s="42">
        <v>986</v>
      </c>
      <c r="AF235" s="55"/>
      <c r="AG235" s="55"/>
      <c r="AH235" s="56">
        <v>156745</v>
      </c>
      <c r="AI235" s="85" t="s">
        <v>2459</v>
      </c>
      <c r="AJ235" s="7"/>
      <c r="AK235" s="7"/>
      <c r="AL235" s="7"/>
      <c r="AM235" s="7"/>
      <c r="AN235" s="7"/>
      <c r="AO235" s="7"/>
    </row>
    <row r="236" spans="1:41" ht="15" x14ac:dyDescent="0.2">
      <c r="A236" s="7"/>
      <c r="B236" s="31" t="s">
        <v>3417</v>
      </c>
      <c r="C236" s="2" t="s">
        <v>15218</v>
      </c>
      <c r="D236" s="7"/>
      <c r="E236" s="37">
        <v>5</v>
      </c>
      <c r="F236" s="7"/>
      <c r="G236" s="7"/>
      <c r="H236" s="2" t="s">
        <v>17813</v>
      </c>
      <c r="I236" s="2" t="s">
        <v>4746</v>
      </c>
      <c r="J236" s="2" t="s">
        <v>5433</v>
      </c>
      <c r="K236" s="2" t="s">
        <v>55</v>
      </c>
      <c r="L236" s="2"/>
      <c r="M236" s="6"/>
      <c r="N236" s="45" t="str">
        <f t="shared" si="191"/>
        <v>@GC_SoftballTeam</v>
      </c>
      <c r="O236" s="114" t="str">
        <f t="shared" si="192"/>
        <v>Questionnaire</v>
      </c>
      <c r="P236" s="108" t="s">
        <v>17822</v>
      </c>
      <c r="Q236" s="60" t="s">
        <v>935</v>
      </c>
      <c r="R236" s="48" t="s">
        <v>15110</v>
      </c>
      <c r="S236" s="48" t="s">
        <v>468</v>
      </c>
      <c r="T236" s="49" t="s">
        <v>63</v>
      </c>
      <c r="U236" s="6" t="s">
        <v>2619</v>
      </c>
      <c r="V236" s="49"/>
      <c r="W236" s="65">
        <v>3.5</v>
      </c>
      <c r="X236" s="49" t="s">
        <v>1688</v>
      </c>
      <c r="Y236" s="49" t="s">
        <v>1338</v>
      </c>
      <c r="Z236" s="49" t="s">
        <v>278</v>
      </c>
      <c r="AA236" s="65">
        <v>0.66</v>
      </c>
      <c r="AB236" s="39">
        <v>48310</v>
      </c>
      <c r="AC236" s="52" t="s">
        <v>17822</v>
      </c>
      <c r="AD236" s="53" t="str">
        <f t="shared" si="193"/>
        <v>Link</v>
      </c>
      <c r="AE236" s="42">
        <v>986</v>
      </c>
      <c r="AF236" s="55"/>
      <c r="AG236" s="55"/>
      <c r="AH236" s="56">
        <v>156745</v>
      </c>
      <c r="AI236" s="85" t="s">
        <v>2459</v>
      </c>
      <c r="AJ236" s="7"/>
      <c r="AK236" s="7"/>
      <c r="AL236" s="7"/>
      <c r="AM236" s="7"/>
      <c r="AN236" s="7"/>
      <c r="AO236" s="7"/>
    </row>
    <row r="237" spans="1:41" ht="15" x14ac:dyDescent="0.2">
      <c r="A237" s="7"/>
      <c r="B237" s="31" t="s">
        <v>3417</v>
      </c>
      <c r="C237" s="2" t="s">
        <v>15218</v>
      </c>
      <c r="D237" s="7"/>
      <c r="E237" s="37">
        <v>5</v>
      </c>
      <c r="F237" s="7"/>
      <c r="G237" s="7"/>
      <c r="H237" s="2" t="s">
        <v>17813</v>
      </c>
      <c r="I237" s="2" t="s">
        <v>3279</v>
      </c>
      <c r="J237" s="2" t="s">
        <v>3793</v>
      </c>
      <c r="K237" s="2" t="s">
        <v>17840</v>
      </c>
      <c r="L237" s="2"/>
      <c r="M237" s="6"/>
      <c r="N237" s="45" t="str">
        <f t="shared" si="191"/>
        <v>@GC_SoftballTeam</v>
      </c>
      <c r="O237" s="114" t="str">
        <f t="shared" si="192"/>
        <v>Questionnaire</v>
      </c>
      <c r="P237" s="108" t="s">
        <v>17822</v>
      </c>
      <c r="Q237" s="60" t="s">
        <v>935</v>
      </c>
      <c r="R237" s="48" t="s">
        <v>15110</v>
      </c>
      <c r="S237" s="48" t="s">
        <v>468</v>
      </c>
      <c r="T237" s="49" t="s">
        <v>63</v>
      </c>
      <c r="U237" s="6" t="s">
        <v>2619</v>
      </c>
      <c r="V237" s="49"/>
      <c r="W237" s="65">
        <v>3.5</v>
      </c>
      <c r="X237" s="49" t="s">
        <v>1688</v>
      </c>
      <c r="Y237" s="49" t="s">
        <v>1338</v>
      </c>
      <c r="Z237" s="49" t="s">
        <v>278</v>
      </c>
      <c r="AA237" s="65">
        <v>0.66</v>
      </c>
      <c r="AB237" s="39">
        <v>48310</v>
      </c>
      <c r="AC237" s="52" t="s">
        <v>17822</v>
      </c>
      <c r="AD237" s="53" t="str">
        <f t="shared" si="193"/>
        <v>Link</v>
      </c>
      <c r="AE237" s="42">
        <v>986</v>
      </c>
      <c r="AF237" s="55"/>
      <c r="AG237" s="55"/>
      <c r="AH237" s="56">
        <v>156745</v>
      </c>
      <c r="AI237" s="85" t="s">
        <v>2459</v>
      </c>
      <c r="AJ237" s="7"/>
      <c r="AK237" s="7"/>
      <c r="AL237" s="7"/>
      <c r="AM237" s="7"/>
      <c r="AN237" s="7"/>
      <c r="AO237" s="7"/>
    </row>
    <row r="238" spans="1:41" ht="15" x14ac:dyDescent="0.2">
      <c r="A238" s="7"/>
      <c r="B238" s="31" t="s">
        <v>3417</v>
      </c>
      <c r="C238" s="2" t="s">
        <v>15218</v>
      </c>
      <c r="D238" s="7"/>
      <c r="E238" s="37">
        <v>5</v>
      </c>
      <c r="F238" s="7"/>
      <c r="G238" s="7"/>
      <c r="H238" s="2" t="s">
        <v>17845</v>
      </c>
      <c r="I238" s="2" t="s">
        <v>329</v>
      </c>
      <c r="J238" s="2" t="s">
        <v>977</v>
      </c>
      <c r="K238" s="2" t="s">
        <v>48</v>
      </c>
      <c r="L238" s="2" t="s">
        <v>17846</v>
      </c>
      <c r="M238" s="6" t="s">
        <v>17847</v>
      </c>
      <c r="N238" s="45" t="str">
        <f t="shared" ref="N238:N241" si="194">HYPERLINK("twitter.com/goknightssb","@goknightssb")</f>
        <v>@goknightssb</v>
      </c>
      <c r="O238" s="114" t="str">
        <f t="shared" ref="O238:O241" si="195">HYPERLINK("http://www.kcuknights.com/recruiting","Questionnaire")</f>
        <v>Questionnaire</v>
      </c>
      <c r="P238" s="108" t="s">
        <v>17851</v>
      </c>
      <c r="Q238" s="60" t="s">
        <v>935</v>
      </c>
      <c r="R238" s="48" t="s">
        <v>17852</v>
      </c>
      <c r="S238" s="60" t="s">
        <v>205</v>
      </c>
      <c r="T238" s="5" t="s">
        <v>63</v>
      </c>
      <c r="U238" s="6" t="s">
        <v>686</v>
      </c>
      <c r="V238" s="49"/>
      <c r="W238" s="65">
        <v>3.16</v>
      </c>
      <c r="X238" s="49" t="s">
        <v>252</v>
      </c>
      <c r="Y238" s="49" t="s">
        <v>17853</v>
      </c>
      <c r="Z238" s="49" t="s">
        <v>449</v>
      </c>
      <c r="AA238" s="65">
        <v>0.39</v>
      </c>
      <c r="AB238" s="39">
        <v>32502</v>
      </c>
      <c r="AC238" s="52" t="s">
        <v>17851</v>
      </c>
      <c r="AD238" s="53" t="str">
        <f t="shared" ref="AD238:AD241" si="196">HYPERLINK("https://www.kcu.edu/admissions/majors-minors/","Link")</f>
        <v>Link</v>
      </c>
      <c r="AE238" s="42">
        <v>479</v>
      </c>
      <c r="AF238" s="55"/>
      <c r="AG238" s="55"/>
      <c r="AH238" s="56">
        <v>157100</v>
      </c>
      <c r="AI238" s="85" t="s">
        <v>2459</v>
      </c>
      <c r="AJ238" s="7"/>
      <c r="AK238" s="7"/>
      <c r="AL238" s="7"/>
      <c r="AM238" s="7"/>
      <c r="AN238" s="7"/>
      <c r="AO238" s="7"/>
    </row>
    <row r="239" spans="1:41" ht="15" x14ac:dyDescent="0.2">
      <c r="A239" s="7"/>
      <c r="B239" s="31" t="s">
        <v>3417</v>
      </c>
      <c r="C239" s="2" t="s">
        <v>15218</v>
      </c>
      <c r="D239" s="7"/>
      <c r="E239" s="37">
        <v>5</v>
      </c>
      <c r="F239" s="7"/>
      <c r="G239" s="7"/>
      <c r="H239" s="2" t="s">
        <v>17845</v>
      </c>
      <c r="I239" s="2" t="s">
        <v>11103</v>
      </c>
      <c r="J239" s="2" t="s">
        <v>7021</v>
      </c>
      <c r="K239" s="2" t="s">
        <v>55</v>
      </c>
      <c r="L239" s="95" t="s">
        <v>17855</v>
      </c>
      <c r="M239" s="6" t="s">
        <v>17856</v>
      </c>
      <c r="N239" s="45" t="str">
        <f t="shared" si="194"/>
        <v>@goknightssb</v>
      </c>
      <c r="O239" s="114" t="str">
        <f t="shared" si="195"/>
        <v>Questionnaire</v>
      </c>
      <c r="P239" s="108" t="s">
        <v>17851</v>
      </c>
      <c r="Q239" s="60" t="s">
        <v>935</v>
      </c>
      <c r="R239" s="48" t="s">
        <v>17852</v>
      </c>
      <c r="S239" s="60" t="s">
        <v>205</v>
      </c>
      <c r="T239" s="5" t="s">
        <v>63</v>
      </c>
      <c r="U239" s="6" t="s">
        <v>686</v>
      </c>
      <c r="V239" s="49"/>
      <c r="W239" s="65">
        <v>3.16</v>
      </c>
      <c r="X239" s="49" t="s">
        <v>252</v>
      </c>
      <c r="Y239" s="49" t="s">
        <v>17853</v>
      </c>
      <c r="Z239" s="49" t="s">
        <v>449</v>
      </c>
      <c r="AA239" s="65">
        <v>0.39</v>
      </c>
      <c r="AB239" s="39">
        <v>32502</v>
      </c>
      <c r="AC239" s="52" t="s">
        <v>17851</v>
      </c>
      <c r="AD239" s="53" t="str">
        <f t="shared" si="196"/>
        <v>Link</v>
      </c>
      <c r="AE239" s="42">
        <v>479</v>
      </c>
      <c r="AF239" s="55"/>
      <c r="AG239" s="55"/>
      <c r="AH239" s="56">
        <v>157100</v>
      </c>
      <c r="AI239" s="85" t="s">
        <v>2459</v>
      </c>
      <c r="AJ239" s="7"/>
      <c r="AK239" s="7"/>
      <c r="AL239" s="7"/>
      <c r="AM239" s="7"/>
      <c r="AN239" s="7"/>
      <c r="AO239" s="7"/>
    </row>
    <row r="240" spans="1:41" ht="15" x14ac:dyDescent="0.2">
      <c r="A240" s="7"/>
      <c r="B240" s="31" t="s">
        <v>3417</v>
      </c>
      <c r="C240" s="2" t="s">
        <v>15218</v>
      </c>
      <c r="D240" s="7"/>
      <c r="E240" s="37">
        <v>5</v>
      </c>
      <c r="F240" s="7"/>
      <c r="G240" s="7"/>
      <c r="H240" s="2" t="s">
        <v>17845</v>
      </c>
      <c r="I240" s="2" t="s">
        <v>363</v>
      </c>
      <c r="J240" s="2" t="s">
        <v>295</v>
      </c>
      <c r="K240" s="2" t="s">
        <v>55</v>
      </c>
      <c r="L240" s="2" t="s">
        <v>17861</v>
      </c>
      <c r="M240" s="6" t="s">
        <v>17862</v>
      </c>
      <c r="N240" s="45" t="str">
        <f t="shared" si="194"/>
        <v>@goknightssb</v>
      </c>
      <c r="O240" s="114" t="str">
        <f t="shared" si="195"/>
        <v>Questionnaire</v>
      </c>
      <c r="P240" s="108" t="s">
        <v>17851</v>
      </c>
      <c r="Q240" s="60" t="s">
        <v>935</v>
      </c>
      <c r="R240" s="48" t="s">
        <v>17852</v>
      </c>
      <c r="S240" s="60" t="s">
        <v>205</v>
      </c>
      <c r="T240" s="5" t="s">
        <v>63</v>
      </c>
      <c r="U240" s="6" t="s">
        <v>686</v>
      </c>
      <c r="V240" s="49"/>
      <c r="W240" s="65">
        <v>3.16</v>
      </c>
      <c r="X240" s="49" t="s">
        <v>252</v>
      </c>
      <c r="Y240" s="49" t="s">
        <v>17853</v>
      </c>
      <c r="Z240" s="49" t="s">
        <v>449</v>
      </c>
      <c r="AA240" s="65">
        <v>0.39</v>
      </c>
      <c r="AB240" s="39">
        <v>32502</v>
      </c>
      <c r="AC240" s="52" t="s">
        <v>17851</v>
      </c>
      <c r="AD240" s="53" t="str">
        <f t="shared" si="196"/>
        <v>Link</v>
      </c>
      <c r="AE240" s="42">
        <v>479</v>
      </c>
      <c r="AF240" s="55"/>
      <c r="AG240" s="55"/>
      <c r="AH240" s="56">
        <v>157100</v>
      </c>
      <c r="AI240" s="85" t="s">
        <v>2459</v>
      </c>
      <c r="AJ240" s="7"/>
      <c r="AK240" s="7"/>
      <c r="AL240" s="7"/>
      <c r="AM240" s="7"/>
      <c r="AN240" s="7"/>
      <c r="AO240" s="7"/>
    </row>
    <row r="241" spans="1:41" ht="15" x14ac:dyDescent="0.2">
      <c r="A241" s="7"/>
      <c r="B241" s="31" t="s">
        <v>3417</v>
      </c>
      <c r="C241" s="2" t="s">
        <v>15218</v>
      </c>
      <c r="D241" s="7"/>
      <c r="E241" s="37">
        <v>5</v>
      </c>
      <c r="F241" s="7"/>
      <c r="G241" s="7"/>
      <c r="H241" s="2" t="s">
        <v>17845</v>
      </c>
      <c r="I241" s="2" t="s">
        <v>17866</v>
      </c>
      <c r="J241" s="2" t="s">
        <v>3902</v>
      </c>
      <c r="K241" s="2" t="s">
        <v>55</v>
      </c>
      <c r="L241" s="159" t="s">
        <v>17867</v>
      </c>
      <c r="M241" s="6" t="s">
        <v>17870</v>
      </c>
      <c r="N241" s="45" t="str">
        <f t="shared" si="194"/>
        <v>@goknightssb</v>
      </c>
      <c r="O241" s="114" t="str">
        <f t="shared" si="195"/>
        <v>Questionnaire</v>
      </c>
      <c r="P241" s="108" t="s">
        <v>17851</v>
      </c>
      <c r="Q241" s="60" t="s">
        <v>935</v>
      </c>
      <c r="R241" s="48" t="s">
        <v>17852</v>
      </c>
      <c r="S241" s="60" t="s">
        <v>205</v>
      </c>
      <c r="T241" s="5" t="s">
        <v>63</v>
      </c>
      <c r="U241" s="6" t="s">
        <v>686</v>
      </c>
      <c r="V241" s="49"/>
      <c r="W241" s="65">
        <v>3.16</v>
      </c>
      <c r="X241" s="49" t="s">
        <v>252</v>
      </c>
      <c r="Y241" s="49" t="s">
        <v>17853</v>
      </c>
      <c r="Z241" s="49" t="s">
        <v>449</v>
      </c>
      <c r="AA241" s="65">
        <v>0.39</v>
      </c>
      <c r="AB241" s="39">
        <v>32502</v>
      </c>
      <c r="AC241" s="52" t="s">
        <v>17851</v>
      </c>
      <c r="AD241" s="53" t="str">
        <f t="shared" si="196"/>
        <v>Link</v>
      </c>
      <c r="AE241" s="42">
        <v>479</v>
      </c>
      <c r="AF241" s="55"/>
      <c r="AG241" s="55"/>
      <c r="AH241" s="56">
        <v>157100</v>
      </c>
      <c r="AI241" s="85" t="s">
        <v>2459</v>
      </c>
      <c r="AJ241" s="7"/>
      <c r="AK241" s="7"/>
      <c r="AL241" s="7"/>
      <c r="AM241" s="7"/>
      <c r="AN241" s="7"/>
      <c r="AO241" s="7"/>
    </row>
    <row r="242" spans="1:41" ht="13" x14ac:dyDescent="0.15">
      <c r="A242" s="7"/>
      <c r="B242" s="31" t="s">
        <v>3417</v>
      </c>
      <c r="C242" s="2" t="s">
        <v>15218</v>
      </c>
      <c r="D242" s="7" t="s">
        <v>17874</v>
      </c>
      <c r="E242" s="37">
        <v>5</v>
      </c>
      <c r="F242" s="48"/>
      <c r="G242" s="48"/>
      <c r="H242" s="2" t="s">
        <v>17875</v>
      </c>
      <c r="I242" s="2" t="s">
        <v>728</v>
      </c>
      <c r="J242" s="2" t="s">
        <v>17876</v>
      </c>
      <c r="K242" s="2" t="s">
        <v>48</v>
      </c>
      <c r="L242" s="2" t="s">
        <v>17877</v>
      </c>
      <c r="M242" s="6" t="s">
        <v>17878</v>
      </c>
      <c r="N242" s="45" t="str">
        <f t="shared" ref="N242:N243" si="197">HYPERLINK("twitter.com/lwcsoftball","@lwcsoftball")</f>
        <v>@lwcsoftball</v>
      </c>
      <c r="O242" s="114" t="str">
        <f t="shared" ref="O242:O243" si="198">HYPERLINK("http://www.lindseyathletics.com/SIDHelp.php?action=form&amp;parameters=19","Questionnaire")</f>
        <v>Questionnaire</v>
      </c>
      <c r="P242" s="48" t="s">
        <v>17882</v>
      </c>
      <c r="Q242" s="60" t="s">
        <v>935</v>
      </c>
      <c r="R242" s="48" t="s">
        <v>10106</v>
      </c>
      <c r="S242" s="60" t="s">
        <v>205</v>
      </c>
      <c r="T242" s="49" t="s">
        <v>63</v>
      </c>
      <c r="U242" s="6" t="s">
        <v>65</v>
      </c>
      <c r="V242" s="49"/>
      <c r="W242" s="65">
        <v>3.27</v>
      </c>
      <c r="X242" s="49" t="s">
        <v>214</v>
      </c>
      <c r="Y242" s="49" t="s">
        <v>214</v>
      </c>
      <c r="Z242" s="49" t="s">
        <v>214</v>
      </c>
      <c r="AA242" s="55" t="s">
        <v>214</v>
      </c>
      <c r="AB242" s="39">
        <v>39125</v>
      </c>
      <c r="AC242" s="84" t="s">
        <v>17882</v>
      </c>
      <c r="AD242" s="53" t="str">
        <f t="shared" ref="AD242:AD243" si="199">HYPERLINK("http://www.lindsey.edu/academics/All-Majors-Programs.cfm","Link")</f>
        <v>Link</v>
      </c>
      <c r="AE242" s="42">
        <v>2143</v>
      </c>
      <c r="AF242" s="55"/>
      <c r="AG242" s="85"/>
      <c r="AH242" s="56">
        <v>157216</v>
      </c>
      <c r="AI242" s="85"/>
    </row>
    <row r="243" spans="1:41" ht="13" x14ac:dyDescent="0.15">
      <c r="A243" s="7"/>
      <c r="B243" s="31" t="s">
        <v>3417</v>
      </c>
      <c r="C243" s="2" t="s">
        <v>15218</v>
      </c>
      <c r="D243" s="7" t="s">
        <v>17889</v>
      </c>
      <c r="E243" s="37">
        <v>5</v>
      </c>
      <c r="F243" s="48"/>
      <c r="G243" s="48"/>
      <c r="H243" s="2" t="s">
        <v>17875</v>
      </c>
      <c r="I243" s="2" t="s">
        <v>577</v>
      </c>
      <c r="J243" s="2" t="s">
        <v>267</v>
      </c>
      <c r="K243" s="2" t="s">
        <v>55</v>
      </c>
      <c r="L243" s="130" t="s">
        <v>17893</v>
      </c>
      <c r="M243" s="6" t="s">
        <v>17894</v>
      </c>
      <c r="N243" s="45" t="str">
        <f t="shared" si="197"/>
        <v>@lwcsoftball</v>
      </c>
      <c r="O243" s="114" t="str">
        <f t="shared" si="198"/>
        <v>Questionnaire</v>
      </c>
      <c r="P243" s="48" t="s">
        <v>17882</v>
      </c>
      <c r="Q243" s="60" t="s">
        <v>935</v>
      </c>
      <c r="R243" s="48" t="s">
        <v>10106</v>
      </c>
      <c r="S243" s="60" t="s">
        <v>205</v>
      </c>
      <c r="T243" s="49" t="s">
        <v>63</v>
      </c>
      <c r="U243" s="6" t="s">
        <v>65</v>
      </c>
      <c r="V243" s="49"/>
      <c r="W243" s="65">
        <v>3.27</v>
      </c>
      <c r="X243" s="49" t="s">
        <v>214</v>
      </c>
      <c r="Y243" s="49" t="s">
        <v>214</v>
      </c>
      <c r="Z243" s="49" t="s">
        <v>214</v>
      </c>
      <c r="AA243" s="55" t="s">
        <v>214</v>
      </c>
      <c r="AB243" s="39">
        <v>39125</v>
      </c>
      <c r="AC243" s="84" t="s">
        <v>17882</v>
      </c>
      <c r="AD243" s="53" t="str">
        <f t="shared" si="199"/>
        <v>Link</v>
      </c>
      <c r="AE243" s="42">
        <v>2143</v>
      </c>
      <c r="AF243" s="55"/>
      <c r="AG243" s="85"/>
      <c r="AH243" s="56">
        <v>157216</v>
      </c>
      <c r="AI243" s="85"/>
    </row>
    <row r="244" spans="1:41" ht="13" x14ac:dyDescent="0.15">
      <c r="A244" s="7"/>
      <c r="B244" s="31" t="s">
        <v>3417</v>
      </c>
      <c r="C244" s="2" t="s">
        <v>15218</v>
      </c>
      <c r="D244" s="7" t="s">
        <v>17897</v>
      </c>
      <c r="E244" s="37">
        <v>5</v>
      </c>
      <c r="F244" s="48"/>
      <c r="G244" s="48"/>
      <c r="H244" s="2" t="s">
        <v>17898</v>
      </c>
      <c r="I244" s="2" t="s">
        <v>2390</v>
      </c>
      <c r="J244" s="2" t="s">
        <v>17899</v>
      </c>
      <c r="K244" s="2" t="s">
        <v>48</v>
      </c>
      <c r="L244" s="2" t="s">
        <v>17901</v>
      </c>
      <c r="M244" s="6" t="s">
        <v>17902</v>
      </c>
      <c r="N244" s="45" t="str">
        <f t="shared" ref="N244:N245" si="200">HYPERLINK("twitter.com/midwayusoftball","@midwayusoftball")</f>
        <v>@midwayusoftball</v>
      </c>
      <c r="O244" s="114" t="str">
        <f t="shared" ref="O244:O248" si="201">HYPERLINK("http://www.gomidwayeagles.com/recruiting.php","Questionnaire")</f>
        <v>Questionnaire</v>
      </c>
      <c r="P244" s="48" t="s">
        <v>17904</v>
      </c>
      <c r="Q244" s="60" t="s">
        <v>935</v>
      </c>
      <c r="R244" s="48" t="s">
        <v>17906</v>
      </c>
      <c r="S244" s="60" t="s">
        <v>205</v>
      </c>
      <c r="T244" s="49" t="s">
        <v>63</v>
      </c>
      <c r="U244" s="6" t="s">
        <v>410</v>
      </c>
      <c r="V244" s="49"/>
      <c r="W244" s="65">
        <v>3.19</v>
      </c>
      <c r="X244" s="49" t="s">
        <v>6818</v>
      </c>
      <c r="Y244" s="49" t="s">
        <v>17909</v>
      </c>
      <c r="Z244" s="49" t="s">
        <v>449</v>
      </c>
      <c r="AA244" s="65">
        <v>0.6</v>
      </c>
      <c r="AB244" s="39">
        <v>39650</v>
      </c>
      <c r="AC244" s="84" t="s">
        <v>17904</v>
      </c>
      <c r="AD244" s="53" t="str">
        <f t="shared" ref="AD244:AD248" si="202">HYPERLINK("https://www.midway.edu/majors-programs/","Link")</f>
        <v>Link</v>
      </c>
      <c r="AE244" s="42">
        <v>1005</v>
      </c>
      <c r="AF244" s="55"/>
      <c r="AG244" s="85"/>
      <c r="AH244" s="56">
        <v>157377</v>
      </c>
      <c r="AI244" s="85"/>
    </row>
    <row r="245" spans="1:41" ht="13" x14ac:dyDescent="0.15">
      <c r="A245" s="7" t="s">
        <v>17912</v>
      </c>
      <c r="B245" s="31" t="s">
        <v>3417</v>
      </c>
      <c r="C245" s="2" t="s">
        <v>15218</v>
      </c>
      <c r="D245" s="7" t="s">
        <v>17913</v>
      </c>
      <c r="E245" s="37">
        <v>5</v>
      </c>
      <c r="F245" s="48" t="s">
        <v>116</v>
      </c>
      <c r="G245" s="48"/>
      <c r="H245" s="2" t="s">
        <v>17898</v>
      </c>
      <c r="I245" s="7" t="s">
        <v>92</v>
      </c>
      <c r="J245" s="7" t="s">
        <v>17914</v>
      </c>
      <c r="K245" s="7" t="s">
        <v>55</v>
      </c>
      <c r="L245" s="7" t="s">
        <v>17915</v>
      </c>
      <c r="M245" s="6"/>
      <c r="N245" s="45" t="str">
        <f t="shared" si="200"/>
        <v>@midwayusoftball</v>
      </c>
      <c r="O245" s="114" t="str">
        <f t="shared" si="201"/>
        <v>Questionnaire</v>
      </c>
      <c r="P245" s="48" t="s">
        <v>17904</v>
      </c>
      <c r="Q245" s="60" t="s">
        <v>935</v>
      </c>
      <c r="R245" s="48" t="s">
        <v>17906</v>
      </c>
      <c r="S245" s="60" t="s">
        <v>205</v>
      </c>
      <c r="T245" s="49" t="s">
        <v>63</v>
      </c>
      <c r="U245" s="6" t="s">
        <v>410</v>
      </c>
      <c r="V245" s="49"/>
      <c r="W245" s="65">
        <v>3.19</v>
      </c>
      <c r="X245" s="49" t="s">
        <v>6818</v>
      </c>
      <c r="Y245" s="49" t="s">
        <v>17909</v>
      </c>
      <c r="Z245" s="49" t="s">
        <v>449</v>
      </c>
      <c r="AA245" s="65">
        <v>0.6</v>
      </c>
      <c r="AB245" s="39">
        <v>39650</v>
      </c>
      <c r="AC245" s="84" t="s">
        <v>17904</v>
      </c>
      <c r="AD245" s="53" t="str">
        <f t="shared" si="202"/>
        <v>Link</v>
      </c>
      <c r="AE245" s="42">
        <v>1005</v>
      </c>
      <c r="AF245" s="55"/>
      <c r="AG245" s="85"/>
      <c r="AH245" s="56">
        <v>157377</v>
      </c>
      <c r="AI245" s="85"/>
    </row>
    <row r="246" spans="1:41" ht="13" x14ac:dyDescent="0.15">
      <c r="A246" s="7" t="s">
        <v>17912</v>
      </c>
      <c r="B246" s="110" t="s">
        <v>3417</v>
      </c>
      <c r="C246" s="2" t="s">
        <v>15218</v>
      </c>
      <c r="D246" s="7" t="s">
        <v>17920</v>
      </c>
      <c r="E246" s="44">
        <v>5</v>
      </c>
      <c r="F246" s="48" t="s">
        <v>116</v>
      </c>
      <c r="G246" s="48"/>
      <c r="H246" s="2" t="s">
        <v>17898</v>
      </c>
      <c r="I246" s="7" t="s">
        <v>17921</v>
      </c>
      <c r="J246" s="7" t="s">
        <v>4184</v>
      </c>
      <c r="K246" s="7" t="s">
        <v>55</v>
      </c>
      <c r="L246" s="7" t="s">
        <v>17922</v>
      </c>
      <c r="M246" s="48"/>
      <c r="N246" s="48"/>
      <c r="O246" s="114" t="str">
        <f t="shared" si="201"/>
        <v>Questionnaire</v>
      </c>
      <c r="P246" s="48" t="s">
        <v>17904</v>
      </c>
      <c r="Q246" s="60" t="s">
        <v>935</v>
      </c>
      <c r="R246" s="48" t="s">
        <v>17906</v>
      </c>
      <c r="S246" s="60" t="s">
        <v>205</v>
      </c>
      <c r="T246" s="49" t="s">
        <v>63</v>
      </c>
      <c r="U246" s="6" t="s">
        <v>410</v>
      </c>
      <c r="V246" s="49"/>
      <c r="W246" s="65">
        <v>3.19</v>
      </c>
      <c r="X246" s="49" t="s">
        <v>6818</v>
      </c>
      <c r="Y246" s="49" t="s">
        <v>17909</v>
      </c>
      <c r="Z246" s="49" t="s">
        <v>449</v>
      </c>
      <c r="AA246" s="65">
        <v>0.6</v>
      </c>
      <c r="AB246" s="39">
        <v>39650</v>
      </c>
      <c r="AC246" s="84" t="s">
        <v>17904</v>
      </c>
      <c r="AD246" s="67" t="str">
        <f t="shared" si="202"/>
        <v>Link</v>
      </c>
      <c r="AE246" s="42">
        <v>1005</v>
      </c>
      <c r="AF246" s="55"/>
      <c r="AG246" s="55"/>
      <c r="AH246" s="56">
        <v>157377</v>
      </c>
      <c r="AI246" s="55"/>
    </row>
    <row r="247" spans="1:41" ht="13" x14ac:dyDescent="0.15">
      <c r="A247" s="7" t="s">
        <v>17912</v>
      </c>
      <c r="B247" s="110" t="s">
        <v>3417</v>
      </c>
      <c r="C247" s="2" t="s">
        <v>15218</v>
      </c>
      <c r="D247" s="7" t="s">
        <v>17926</v>
      </c>
      <c r="E247" s="44">
        <v>5</v>
      </c>
      <c r="F247" s="48" t="s">
        <v>116</v>
      </c>
      <c r="G247" s="48"/>
      <c r="H247" s="2" t="s">
        <v>17898</v>
      </c>
      <c r="I247" s="7" t="s">
        <v>537</v>
      </c>
      <c r="J247" s="7" t="s">
        <v>4019</v>
      </c>
      <c r="K247" s="7" t="s">
        <v>55</v>
      </c>
      <c r="L247" s="7" t="s">
        <v>17927</v>
      </c>
      <c r="M247" s="48"/>
      <c r="N247" s="48"/>
      <c r="O247" s="114" t="str">
        <f t="shared" si="201"/>
        <v>Questionnaire</v>
      </c>
      <c r="P247" s="48" t="s">
        <v>17904</v>
      </c>
      <c r="Q247" s="60" t="s">
        <v>935</v>
      </c>
      <c r="R247" s="48" t="s">
        <v>17906</v>
      </c>
      <c r="S247" s="60" t="s">
        <v>205</v>
      </c>
      <c r="T247" s="49" t="s">
        <v>63</v>
      </c>
      <c r="U247" s="6" t="s">
        <v>410</v>
      </c>
      <c r="V247" s="49"/>
      <c r="W247" s="65">
        <v>3.19</v>
      </c>
      <c r="X247" s="49" t="s">
        <v>6818</v>
      </c>
      <c r="Y247" s="49" t="s">
        <v>17909</v>
      </c>
      <c r="Z247" s="49" t="s">
        <v>449</v>
      </c>
      <c r="AA247" s="65">
        <v>0.6</v>
      </c>
      <c r="AB247" s="39">
        <v>39650</v>
      </c>
      <c r="AC247" s="84" t="s">
        <v>17904</v>
      </c>
      <c r="AD247" s="67" t="str">
        <f t="shared" si="202"/>
        <v>Link</v>
      </c>
      <c r="AE247" s="42">
        <v>1005</v>
      </c>
      <c r="AF247" s="55"/>
      <c r="AG247" s="55"/>
      <c r="AH247" s="56">
        <v>157377</v>
      </c>
      <c r="AI247" s="55"/>
    </row>
    <row r="248" spans="1:41" ht="13" x14ac:dyDescent="0.15">
      <c r="A248" s="7" t="s">
        <v>17912</v>
      </c>
      <c r="B248" s="110" t="s">
        <v>3417</v>
      </c>
      <c r="C248" s="2" t="s">
        <v>15218</v>
      </c>
      <c r="D248" s="7" t="s">
        <v>17929</v>
      </c>
      <c r="E248" s="44">
        <v>5</v>
      </c>
      <c r="F248" s="48" t="s">
        <v>116</v>
      </c>
      <c r="G248" s="48"/>
      <c r="H248" s="2" t="s">
        <v>17898</v>
      </c>
      <c r="I248" s="7" t="s">
        <v>2031</v>
      </c>
      <c r="J248" s="7" t="s">
        <v>17930</v>
      </c>
      <c r="K248" s="7" t="s">
        <v>55</v>
      </c>
      <c r="L248" s="7" t="s">
        <v>17931</v>
      </c>
      <c r="M248" s="48"/>
      <c r="N248" s="48"/>
      <c r="O248" s="114" t="str">
        <f t="shared" si="201"/>
        <v>Questionnaire</v>
      </c>
      <c r="P248" s="48" t="s">
        <v>17904</v>
      </c>
      <c r="Q248" s="60" t="s">
        <v>935</v>
      </c>
      <c r="R248" s="48" t="s">
        <v>17906</v>
      </c>
      <c r="S248" s="60" t="s">
        <v>205</v>
      </c>
      <c r="T248" s="49" t="s">
        <v>63</v>
      </c>
      <c r="U248" s="6" t="s">
        <v>410</v>
      </c>
      <c r="V248" s="49"/>
      <c r="W248" s="65">
        <v>3.19</v>
      </c>
      <c r="X248" s="49" t="s">
        <v>6818</v>
      </c>
      <c r="Y248" s="49" t="s">
        <v>17909</v>
      </c>
      <c r="Z248" s="49" t="s">
        <v>449</v>
      </c>
      <c r="AA248" s="65">
        <v>0.6</v>
      </c>
      <c r="AB248" s="39">
        <v>39650</v>
      </c>
      <c r="AC248" s="84" t="s">
        <v>17904</v>
      </c>
      <c r="AD248" s="67" t="str">
        <f t="shared" si="202"/>
        <v>Link</v>
      </c>
      <c r="AE248" s="42">
        <v>1005</v>
      </c>
      <c r="AF248" s="55"/>
      <c r="AG248" s="55"/>
      <c r="AH248" s="56">
        <v>157377</v>
      </c>
      <c r="AI248" s="55"/>
    </row>
    <row r="249" spans="1:41" ht="13" x14ac:dyDescent="0.15">
      <c r="A249" s="7"/>
      <c r="B249" s="31" t="s">
        <v>3417</v>
      </c>
      <c r="C249" s="2" t="s">
        <v>15218</v>
      </c>
      <c r="D249" s="7" t="s">
        <v>17933</v>
      </c>
      <c r="E249" s="37">
        <v>5</v>
      </c>
      <c r="F249" s="48"/>
      <c r="G249" s="48"/>
      <c r="H249" s="2" t="s">
        <v>17934</v>
      </c>
      <c r="I249" s="2" t="s">
        <v>135</v>
      </c>
      <c r="J249" s="2" t="s">
        <v>17935</v>
      </c>
      <c r="K249" s="2" t="s">
        <v>48</v>
      </c>
      <c r="L249" s="2" t="s">
        <v>17936</v>
      </c>
      <c r="M249" s="6" t="s">
        <v>17937</v>
      </c>
      <c r="N249" s="45" t="str">
        <f>HYPERLINK("twitter.com/rstaggs","@rstaggs")</f>
        <v>@rstaggs</v>
      </c>
      <c r="O249" s="114" t="str">
        <f t="shared" ref="O249:O250" si="203">HYPERLINK("https://upikebears.com/sb_output.aspx?form=3","Questionnaire")</f>
        <v>Questionnaire</v>
      </c>
      <c r="P249" s="48" t="s">
        <v>17941</v>
      </c>
      <c r="Q249" s="60" t="s">
        <v>935</v>
      </c>
      <c r="R249" s="48" t="s">
        <v>17941</v>
      </c>
      <c r="S249" s="60" t="s">
        <v>205</v>
      </c>
      <c r="T249" s="49" t="s">
        <v>63</v>
      </c>
      <c r="U249" s="6" t="s">
        <v>248</v>
      </c>
      <c r="V249" s="49"/>
      <c r="W249" s="65">
        <v>3.1</v>
      </c>
      <c r="X249" s="49" t="s">
        <v>8538</v>
      </c>
      <c r="Y249" s="49" t="s">
        <v>3151</v>
      </c>
      <c r="Z249" s="49" t="s">
        <v>1948</v>
      </c>
      <c r="AA249" s="65">
        <v>1</v>
      </c>
      <c r="AB249" s="39">
        <v>37700</v>
      </c>
      <c r="AC249" s="84" t="s">
        <v>17941</v>
      </c>
      <c r="AD249" s="53" t="str">
        <f t="shared" ref="AD249:AD250" si="204">HYPERLINK("http://www.upike.edu/Admissions/majors","Link")</f>
        <v>Link</v>
      </c>
      <c r="AE249" s="42">
        <v>1658</v>
      </c>
      <c r="AF249" s="55"/>
      <c r="AG249" s="85"/>
      <c r="AH249" s="56">
        <v>157535</v>
      </c>
      <c r="AI249" s="85"/>
    </row>
    <row r="250" spans="1:41" ht="13" x14ac:dyDescent="0.15">
      <c r="A250" s="7"/>
      <c r="B250" s="31" t="s">
        <v>3417</v>
      </c>
      <c r="C250" s="2" t="s">
        <v>15218</v>
      </c>
      <c r="D250" s="7" t="s">
        <v>17946</v>
      </c>
      <c r="E250" s="37">
        <v>5</v>
      </c>
      <c r="F250" s="48"/>
      <c r="G250" s="48"/>
      <c r="H250" s="2" t="s">
        <v>17934</v>
      </c>
      <c r="I250" s="2" t="s">
        <v>4804</v>
      </c>
      <c r="J250" s="2" t="s">
        <v>10730</v>
      </c>
      <c r="K250" s="2" t="s">
        <v>55</v>
      </c>
      <c r="L250" s="2" t="s">
        <v>17947</v>
      </c>
      <c r="M250" s="6" t="s">
        <v>17948</v>
      </c>
      <c r="N250" s="48"/>
      <c r="O250" s="114" t="str">
        <f t="shared" si="203"/>
        <v>Questionnaire</v>
      </c>
      <c r="P250" s="48" t="s">
        <v>17941</v>
      </c>
      <c r="Q250" s="60" t="s">
        <v>935</v>
      </c>
      <c r="R250" s="48" t="s">
        <v>17941</v>
      </c>
      <c r="S250" s="60" t="s">
        <v>205</v>
      </c>
      <c r="T250" s="49" t="s">
        <v>63</v>
      </c>
      <c r="U250" s="6" t="s">
        <v>248</v>
      </c>
      <c r="V250" s="49"/>
      <c r="W250" s="65">
        <v>3.1</v>
      </c>
      <c r="X250" s="49" t="s">
        <v>8538</v>
      </c>
      <c r="Y250" s="49" t="s">
        <v>3151</v>
      </c>
      <c r="Z250" s="49" t="s">
        <v>1948</v>
      </c>
      <c r="AA250" s="65">
        <v>1</v>
      </c>
      <c r="AB250" s="39">
        <v>37700</v>
      </c>
      <c r="AC250" s="84" t="s">
        <v>17941</v>
      </c>
      <c r="AD250" s="53" t="str">
        <f t="shared" si="204"/>
        <v>Link</v>
      </c>
      <c r="AE250" s="42">
        <v>1658</v>
      </c>
      <c r="AF250" s="55"/>
      <c r="AG250" s="85"/>
      <c r="AH250" s="56">
        <v>157535</v>
      </c>
      <c r="AI250" s="85"/>
    </row>
    <row r="251" spans="1:41" ht="13" x14ac:dyDescent="0.15">
      <c r="A251" s="7"/>
      <c r="B251" s="31" t="s">
        <v>3417</v>
      </c>
      <c r="C251" s="2" t="s">
        <v>15218</v>
      </c>
      <c r="D251" s="7"/>
      <c r="E251" s="37">
        <v>5</v>
      </c>
      <c r="F251" s="7"/>
      <c r="G251" s="7"/>
      <c r="H251" s="2" t="s">
        <v>17950</v>
      </c>
      <c r="I251" s="2" t="s">
        <v>2402</v>
      </c>
      <c r="J251" s="2" t="s">
        <v>2470</v>
      </c>
      <c r="K251" s="2" t="s">
        <v>48</v>
      </c>
      <c r="L251" s="2" t="s">
        <v>17952</v>
      </c>
      <c r="M251" s="6" t="s">
        <v>17953</v>
      </c>
      <c r="N251" s="45" t="str">
        <f t="shared" ref="N251:N252" si="205">HYPERLINK("twitter.com/unionkysoftball","@unionkysoftball")</f>
        <v>@unionkysoftball</v>
      </c>
      <c r="O251" s="114" t="str">
        <f t="shared" ref="O251:O252" si="206">HYPERLINK("http://www.gounionbulldogs.com/recruiting","Questionnaire")</f>
        <v>Questionnaire</v>
      </c>
      <c r="P251" s="48" t="s">
        <v>17957</v>
      </c>
      <c r="Q251" s="60" t="s">
        <v>935</v>
      </c>
      <c r="R251" s="48" t="s">
        <v>17959</v>
      </c>
      <c r="S251" s="60" t="s">
        <v>205</v>
      </c>
      <c r="T251" s="49" t="s">
        <v>63</v>
      </c>
      <c r="U251" s="6" t="s">
        <v>65</v>
      </c>
      <c r="V251" s="49"/>
      <c r="W251" s="65">
        <v>3.15</v>
      </c>
      <c r="X251" s="49" t="s">
        <v>214</v>
      </c>
      <c r="Y251" s="49" t="s">
        <v>214</v>
      </c>
      <c r="Z251" s="49" t="s">
        <v>2307</v>
      </c>
      <c r="AA251" s="65">
        <v>0.67</v>
      </c>
      <c r="AB251" s="39">
        <v>37810</v>
      </c>
      <c r="AC251" s="84" t="s">
        <v>17957</v>
      </c>
      <c r="AD251" s="53" t="str">
        <f t="shared" ref="AD251:AD252" si="207">HYPERLINK("https://www.unionky.edu/academics/undergraduate-departments-programs-0","Link")</f>
        <v>Link</v>
      </c>
      <c r="AE251" s="42">
        <v>976</v>
      </c>
      <c r="AF251" s="55"/>
      <c r="AG251" s="55"/>
      <c r="AH251" s="56">
        <v>157863</v>
      </c>
      <c r="AI251" s="85" t="s">
        <v>2459</v>
      </c>
      <c r="AJ251" s="7"/>
      <c r="AK251" s="7"/>
      <c r="AL251" s="7"/>
      <c r="AM251" s="7"/>
      <c r="AN251" s="7"/>
      <c r="AO251" s="7"/>
    </row>
    <row r="252" spans="1:41" ht="13" x14ac:dyDescent="0.15">
      <c r="A252" s="7"/>
      <c r="B252" s="31" t="s">
        <v>3417</v>
      </c>
      <c r="C252" s="2" t="s">
        <v>15218</v>
      </c>
      <c r="D252" s="7"/>
      <c r="E252" s="37">
        <v>5</v>
      </c>
      <c r="F252" s="7"/>
      <c r="G252" s="7"/>
      <c r="H252" s="2" t="s">
        <v>17950</v>
      </c>
      <c r="I252" s="2" t="s">
        <v>161</v>
      </c>
      <c r="J252" s="2" t="s">
        <v>1380</v>
      </c>
      <c r="K252" s="2" t="s">
        <v>120</v>
      </c>
      <c r="L252" s="2" t="s">
        <v>17965</v>
      </c>
      <c r="M252" s="6"/>
      <c r="N252" s="45" t="str">
        <f t="shared" si="205"/>
        <v>@unionkysoftball</v>
      </c>
      <c r="O252" s="114" t="str">
        <f t="shared" si="206"/>
        <v>Questionnaire</v>
      </c>
      <c r="P252" s="48" t="s">
        <v>17957</v>
      </c>
      <c r="Q252" s="60" t="s">
        <v>935</v>
      </c>
      <c r="R252" s="48" t="s">
        <v>17959</v>
      </c>
      <c r="S252" s="60" t="s">
        <v>205</v>
      </c>
      <c r="T252" s="49" t="s">
        <v>63</v>
      </c>
      <c r="U252" s="6" t="s">
        <v>65</v>
      </c>
      <c r="V252" s="49"/>
      <c r="W252" s="65">
        <v>3.15</v>
      </c>
      <c r="X252" s="49" t="s">
        <v>214</v>
      </c>
      <c r="Y252" s="49" t="s">
        <v>214</v>
      </c>
      <c r="Z252" s="49" t="s">
        <v>2307</v>
      </c>
      <c r="AA252" s="65">
        <v>0.67</v>
      </c>
      <c r="AB252" s="39">
        <v>37810</v>
      </c>
      <c r="AC252" s="84" t="s">
        <v>17957</v>
      </c>
      <c r="AD252" s="53" t="str">
        <f t="shared" si="207"/>
        <v>Link</v>
      </c>
      <c r="AE252" s="42">
        <v>976</v>
      </c>
      <c r="AF252" s="55"/>
      <c r="AG252" s="55"/>
      <c r="AH252" s="56">
        <v>157863</v>
      </c>
      <c r="AI252" s="85" t="s">
        <v>2459</v>
      </c>
      <c r="AJ252" s="7"/>
      <c r="AK252" s="7"/>
      <c r="AL252" s="7"/>
      <c r="AM252" s="7"/>
      <c r="AN252" s="7"/>
      <c r="AO252" s="7"/>
    </row>
    <row r="253" spans="1:41" ht="13" x14ac:dyDescent="0.15">
      <c r="A253" s="7"/>
      <c r="B253" s="31" t="s">
        <v>3601</v>
      </c>
      <c r="C253" s="2" t="s">
        <v>15218</v>
      </c>
      <c r="D253" s="7"/>
      <c r="E253" s="37">
        <v>5</v>
      </c>
      <c r="F253" s="7"/>
      <c r="G253" s="7"/>
      <c r="H253" s="2" t="s">
        <v>17967</v>
      </c>
      <c r="I253" s="2" t="s">
        <v>6836</v>
      </c>
      <c r="J253" s="2" t="s">
        <v>10400</v>
      </c>
      <c r="K253" s="2" t="s">
        <v>2331</v>
      </c>
      <c r="L253" s="2" t="s">
        <v>17969</v>
      </c>
      <c r="M253" s="6" t="s">
        <v>17971</v>
      </c>
      <c r="N253" s="45" t="str">
        <f t="shared" ref="N253:N255" si="208">HYPERLINK("twitter.com/lsuasoftball","@lsuasoftball")</f>
        <v>@lsuasoftball</v>
      </c>
      <c r="O253" s="114" t="str">
        <f t="shared" ref="O253:O255" si="209">HYPERLINK("http://www.lsuagenerals.com/recruit","Questionnaire")</f>
        <v>Questionnaire</v>
      </c>
      <c r="P253" s="48" t="s">
        <v>17972</v>
      </c>
      <c r="Q253" s="60" t="s">
        <v>3623</v>
      </c>
      <c r="R253" s="48" t="s">
        <v>17974</v>
      </c>
      <c r="S253" s="48" t="s">
        <v>468</v>
      </c>
      <c r="T253" s="5" t="s">
        <v>74</v>
      </c>
      <c r="U253" s="48" t="s">
        <v>75</v>
      </c>
      <c r="V253" s="49"/>
      <c r="W253" s="65">
        <v>3.16</v>
      </c>
      <c r="X253" s="49" t="s">
        <v>17978</v>
      </c>
      <c r="Y253" s="49" t="s">
        <v>17980</v>
      </c>
      <c r="Z253" s="49" t="s">
        <v>449</v>
      </c>
      <c r="AA253" s="65">
        <v>0.33</v>
      </c>
      <c r="AB253" s="48" t="s">
        <v>17981</v>
      </c>
      <c r="AC253" s="84" t="s">
        <v>17972</v>
      </c>
      <c r="AD253" s="53" t="str">
        <f t="shared" ref="AD253:AD255" si="210">HYPERLINK("http://www.lsua.edu/academic/Departments","Link")</f>
        <v>Link</v>
      </c>
      <c r="AE253" s="42">
        <v>3276</v>
      </c>
      <c r="AF253" s="55"/>
      <c r="AG253" s="55"/>
      <c r="AH253" s="56">
        <v>159382</v>
      </c>
      <c r="AI253" s="7" t="s">
        <v>2459</v>
      </c>
      <c r="AJ253" s="7"/>
      <c r="AK253" s="7"/>
      <c r="AL253" s="7"/>
      <c r="AM253" s="7"/>
      <c r="AN253" s="7"/>
      <c r="AO253" s="7"/>
    </row>
    <row r="254" spans="1:41" ht="13" x14ac:dyDescent="0.15">
      <c r="A254" s="7"/>
      <c r="B254" s="31" t="s">
        <v>3601</v>
      </c>
      <c r="C254" s="2" t="s">
        <v>15218</v>
      </c>
      <c r="D254" s="7"/>
      <c r="E254" s="37">
        <v>5</v>
      </c>
      <c r="F254" s="7"/>
      <c r="G254" s="7"/>
      <c r="H254" s="2" t="s">
        <v>17967</v>
      </c>
      <c r="I254" s="2" t="s">
        <v>17982</v>
      </c>
      <c r="J254" s="2" t="s">
        <v>10400</v>
      </c>
      <c r="K254" s="2" t="s">
        <v>2331</v>
      </c>
      <c r="L254" s="2" t="s">
        <v>17983</v>
      </c>
      <c r="M254" s="6" t="s">
        <v>17971</v>
      </c>
      <c r="N254" s="45" t="str">
        <f t="shared" si="208"/>
        <v>@lsuasoftball</v>
      </c>
      <c r="O254" s="114" t="str">
        <f t="shared" si="209"/>
        <v>Questionnaire</v>
      </c>
      <c r="P254" s="48" t="s">
        <v>17972</v>
      </c>
      <c r="Q254" s="60" t="s">
        <v>3623</v>
      </c>
      <c r="R254" s="48" t="s">
        <v>17974</v>
      </c>
      <c r="S254" s="48" t="s">
        <v>468</v>
      </c>
      <c r="T254" s="5" t="s">
        <v>74</v>
      </c>
      <c r="U254" s="48" t="s">
        <v>75</v>
      </c>
      <c r="V254" s="49"/>
      <c r="W254" s="65">
        <v>3.16</v>
      </c>
      <c r="X254" s="49" t="s">
        <v>17978</v>
      </c>
      <c r="Y254" s="49" t="s">
        <v>17980</v>
      </c>
      <c r="Z254" s="49" t="s">
        <v>449</v>
      </c>
      <c r="AA254" s="65">
        <v>0.33</v>
      </c>
      <c r="AB254" s="48" t="s">
        <v>17981</v>
      </c>
      <c r="AC254" s="84" t="s">
        <v>17972</v>
      </c>
      <c r="AD254" s="53" t="str">
        <f t="shared" si="210"/>
        <v>Link</v>
      </c>
      <c r="AE254" s="42">
        <v>3276</v>
      </c>
      <c r="AF254" s="55"/>
      <c r="AG254" s="55"/>
      <c r="AH254" s="56">
        <v>159382</v>
      </c>
      <c r="AI254" s="7" t="s">
        <v>2459</v>
      </c>
      <c r="AJ254" s="7"/>
      <c r="AK254" s="7"/>
      <c r="AL254" s="7"/>
      <c r="AM254" s="7"/>
      <c r="AN254" s="7"/>
      <c r="AO254" s="7"/>
    </row>
    <row r="255" spans="1:41" ht="13" x14ac:dyDescent="0.15">
      <c r="A255" s="7"/>
      <c r="B255" s="31" t="s">
        <v>3601</v>
      </c>
      <c r="C255" s="2" t="s">
        <v>15218</v>
      </c>
      <c r="D255" s="7"/>
      <c r="E255" s="37">
        <v>5</v>
      </c>
      <c r="F255" s="7"/>
      <c r="G255" s="7"/>
      <c r="H255" s="2" t="s">
        <v>17967</v>
      </c>
      <c r="I255" s="2" t="s">
        <v>17987</v>
      </c>
      <c r="J255" s="2" t="s">
        <v>578</v>
      </c>
      <c r="K255" s="2" t="s">
        <v>55</v>
      </c>
      <c r="L255" s="2"/>
      <c r="M255" s="6" t="s">
        <v>17971</v>
      </c>
      <c r="N255" s="45" t="str">
        <f t="shared" si="208"/>
        <v>@lsuasoftball</v>
      </c>
      <c r="O255" s="114" t="str">
        <f t="shared" si="209"/>
        <v>Questionnaire</v>
      </c>
      <c r="P255" s="48" t="s">
        <v>17972</v>
      </c>
      <c r="Q255" s="60" t="s">
        <v>3623</v>
      </c>
      <c r="R255" s="48" t="s">
        <v>17974</v>
      </c>
      <c r="S255" s="48" t="s">
        <v>468</v>
      </c>
      <c r="T255" s="5" t="s">
        <v>74</v>
      </c>
      <c r="U255" s="48" t="s">
        <v>75</v>
      </c>
      <c r="V255" s="49"/>
      <c r="W255" s="65">
        <v>3.16</v>
      </c>
      <c r="X255" s="49" t="s">
        <v>17978</v>
      </c>
      <c r="Y255" s="49" t="s">
        <v>17980</v>
      </c>
      <c r="Z255" s="49" t="s">
        <v>449</v>
      </c>
      <c r="AA255" s="65">
        <v>0.33</v>
      </c>
      <c r="AB255" s="48" t="s">
        <v>17981</v>
      </c>
      <c r="AC255" s="84" t="s">
        <v>17972</v>
      </c>
      <c r="AD255" s="53" t="str">
        <f t="shared" si="210"/>
        <v>Link</v>
      </c>
      <c r="AE255" s="42">
        <v>3276</v>
      </c>
      <c r="AF255" s="55"/>
      <c r="AG255" s="55"/>
      <c r="AH255" s="56">
        <v>159382</v>
      </c>
      <c r="AI255" s="85" t="s">
        <v>2459</v>
      </c>
      <c r="AJ255" s="7"/>
      <c r="AK255" s="7"/>
      <c r="AL255" s="7"/>
      <c r="AM255" s="7"/>
      <c r="AN255" s="7"/>
      <c r="AO255" s="7"/>
    </row>
    <row r="256" spans="1:41" ht="13" x14ac:dyDescent="0.15">
      <c r="A256" s="7"/>
      <c r="B256" s="31" t="s">
        <v>4127</v>
      </c>
      <c r="C256" s="2" t="s">
        <v>15218</v>
      </c>
      <c r="D256" s="7" t="s">
        <v>17992</v>
      </c>
      <c r="E256" s="37">
        <v>5</v>
      </c>
      <c r="F256" s="48"/>
      <c r="G256" s="48"/>
      <c r="H256" s="2" t="s">
        <v>17993</v>
      </c>
      <c r="I256" s="2" t="s">
        <v>17994</v>
      </c>
      <c r="J256" s="2" t="s">
        <v>773</v>
      </c>
      <c r="K256" s="2" t="s">
        <v>48</v>
      </c>
      <c r="L256" s="2" t="s">
        <v>17995</v>
      </c>
      <c r="M256" s="6" t="s">
        <v>17996</v>
      </c>
      <c r="N256" s="48"/>
      <c r="O256" s="114" t="str">
        <f>HYPERLINK("http://www.wauathletics.com/recruiting.php","Questionnaire")</f>
        <v>Questionnaire</v>
      </c>
      <c r="P256" s="60" t="s">
        <v>17998</v>
      </c>
      <c r="Q256" s="60" t="s">
        <v>1668</v>
      </c>
      <c r="R256" s="48" t="s">
        <v>17999</v>
      </c>
      <c r="S256" s="48" t="s">
        <v>172</v>
      </c>
      <c r="T256" s="49" t="s">
        <v>63</v>
      </c>
      <c r="U256" s="6" t="s">
        <v>15724</v>
      </c>
      <c r="V256" s="49"/>
      <c r="W256" s="49" t="s">
        <v>14626</v>
      </c>
      <c r="X256" s="49" t="s">
        <v>18000</v>
      </c>
      <c r="Y256" s="49" t="s">
        <v>18001</v>
      </c>
      <c r="Z256" s="49" t="s">
        <v>18002</v>
      </c>
      <c r="AA256" s="65">
        <v>0.33</v>
      </c>
      <c r="AB256" s="39">
        <v>34630</v>
      </c>
      <c r="AC256" s="90" t="s">
        <v>17998</v>
      </c>
      <c r="AD256" s="53" t="str">
        <f>HYPERLINK("https://www.wau.edu/academics/undergraduate-programs/","Link")</f>
        <v>Link</v>
      </c>
      <c r="AE256" s="42">
        <v>911</v>
      </c>
      <c r="AF256" s="55"/>
      <c r="AG256" s="85"/>
      <c r="AH256" s="85"/>
      <c r="AI256" s="85"/>
    </row>
    <row r="257" spans="1:35" ht="13" x14ac:dyDescent="0.15">
      <c r="A257" s="7"/>
      <c r="B257" s="31" t="s">
        <v>4463</v>
      </c>
      <c r="C257" s="2" t="s">
        <v>15218</v>
      </c>
      <c r="D257" s="7" t="s">
        <v>18004</v>
      </c>
      <c r="E257" s="37">
        <v>5</v>
      </c>
      <c r="F257" s="48"/>
      <c r="G257" s="48" t="s">
        <v>126</v>
      </c>
      <c r="H257" s="2" t="s">
        <v>18005</v>
      </c>
      <c r="I257" s="2" t="s">
        <v>18006</v>
      </c>
      <c r="J257" s="2"/>
      <c r="K257" s="2"/>
      <c r="L257" s="95"/>
      <c r="M257" s="6"/>
      <c r="N257" s="45" t="str">
        <f t="shared" ref="N257:N259" si="211">HYPERLINK("twitter.com/fisherfalcons","@fisherfalcons")</f>
        <v>@fisherfalcons</v>
      </c>
      <c r="O257" s="114" t="str">
        <f t="shared" ref="O257:O259" si="212">HYPERLINK("https://www.fisherfalcons.com/sports/sball/Recruiting_Questionnaire-FR","Questionnaire")</f>
        <v>Questionnaire</v>
      </c>
      <c r="P257" s="48" t="s">
        <v>18010</v>
      </c>
      <c r="Q257" s="60" t="s">
        <v>595</v>
      </c>
      <c r="R257" s="48" t="s">
        <v>614</v>
      </c>
      <c r="S257" s="48" t="s">
        <v>354</v>
      </c>
      <c r="T257" s="49" t="s">
        <v>63</v>
      </c>
      <c r="U257" s="48" t="s">
        <v>75</v>
      </c>
      <c r="V257" s="49"/>
      <c r="W257" s="65">
        <v>2.23</v>
      </c>
      <c r="X257" s="49" t="s">
        <v>5637</v>
      </c>
      <c r="Y257" s="49" t="s">
        <v>8963</v>
      </c>
      <c r="Z257" s="49" t="s">
        <v>8942</v>
      </c>
      <c r="AA257" s="65">
        <v>0.68</v>
      </c>
      <c r="AB257" s="39">
        <v>50299</v>
      </c>
      <c r="AC257" s="84" t="s">
        <v>18010</v>
      </c>
      <c r="AD257" s="53" t="str">
        <f t="shared" ref="AD257:AD259" si="213">HYPERLINK("http://www.fisher.edu/academics/majors","Link")</f>
        <v>Link</v>
      </c>
      <c r="AE257" s="42">
        <v>1996</v>
      </c>
      <c r="AF257" s="55"/>
      <c r="AG257" s="85"/>
      <c r="AH257" s="56">
        <v>165802</v>
      </c>
      <c r="AI257" s="85"/>
    </row>
    <row r="258" spans="1:35" ht="13" x14ac:dyDescent="0.15">
      <c r="A258" s="7"/>
      <c r="B258" s="31" t="s">
        <v>4463</v>
      </c>
      <c r="C258" s="2" t="s">
        <v>15218</v>
      </c>
      <c r="D258" s="7" t="s">
        <v>18004</v>
      </c>
      <c r="E258" s="37">
        <v>5</v>
      </c>
      <c r="F258" s="48" t="s">
        <v>116</v>
      </c>
      <c r="G258" s="48"/>
      <c r="H258" s="2" t="s">
        <v>18005</v>
      </c>
      <c r="I258" s="2" t="s">
        <v>421</v>
      </c>
      <c r="J258" s="2"/>
      <c r="K258" s="2" t="s">
        <v>48</v>
      </c>
      <c r="L258" s="95"/>
      <c r="M258" s="6"/>
      <c r="N258" s="45" t="str">
        <f t="shared" si="211"/>
        <v>@fisherfalcons</v>
      </c>
      <c r="O258" s="114" t="str">
        <f t="shared" si="212"/>
        <v>Questionnaire</v>
      </c>
      <c r="P258" s="48" t="s">
        <v>18010</v>
      </c>
      <c r="Q258" s="60" t="s">
        <v>595</v>
      </c>
      <c r="R258" s="48" t="s">
        <v>614</v>
      </c>
      <c r="S258" s="48" t="s">
        <v>354</v>
      </c>
      <c r="T258" s="49" t="s">
        <v>63</v>
      </c>
      <c r="U258" s="48" t="s">
        <v>75</v>
      </c>
      <c r="V258" s="49"/>
      <c r="W258" s="65">
        <v>2.23</v>
      </c>
      <c r="X258" s="49" t="s">
        <v>5637</v>
      </c>
      <c r="Y258" s="49" t="s">
        <v>8963</v>
      </c>
      <c r="Z258" s="49" t="s">
        <v>8942</v>
      </c>
      <c r="AA258" s="65">
        <v>0.68</v>
      </c>
      <c r="AB258" s="39">
        <v>50299</v>
      </c>
      <c r="AC258" s="84" t="s">
        <v>18010</v>
      </c>
      <c r="AD258" s="53" t="str">
        <f t="shared" si="213"/>
        <v>Link</v>
      </c>
      <c r="AE258" s="42">
        <v>1996</v>
      </c>
      <c r="AF258" s="55"/>
      <c r="AG258" s="85"/>
      <c r="AH258" s="56">
        <v>165802</v>
      </c>
      <c r="AI258" s="85"/>
    </row>
    <row r="259" spans="1:35" ht="13" x14ac:dyDescent="0.15">
      <c r="A259" s="7"/>
      <c r="B259" s="31" t="s">
        <v>4463</v>
      </c>
      <c r="C259" s="2" t="s">
        <v>15218</v>
      </c>
      <c r="D259" s="7" t="s">
        <v>18015</v>
      </c>
      <c r="E259" s="37">
        <v>5</v>
      </c>
      <c r="F259" s="48" t="s">
        <v>116</v>
      </c>
      <c r="G259" s="48"/>
      <c r="H259" s="2" t="s">
        <v>18005</v>
      </c>
      <c r="I259" s="7" t="s">
        <v>3492</v>
      </c>
      <c r="J259" s="7" t="s">
        <v>5083</v>
      </c>
      <c r="K259" s="7" t="s">
        <v>1423</v>
      </c>
      <c r="L259" s="7" t="s">
        <v>18019</v>
      </c>
      <c r="M259" s="48"/>
      <c r="N259" s="45" t="str">
        <f t="shared" si="211"/>
        <v>@fisherfalcons</v>
      </c>
      <c r="O259" s="114" t="str">
        <f t="shared" si="212"/>
        <v>Questionnaire</v>
      </c>
      <c r="P259" s="48" t="s">
        <v>18010</v>
      </c>
      <c r="Q259" s="60" t="s">
        <v>595</v>
      </c>
      <c r="R259" s="48" t="s">
        <v>614</v>
      </c>
      <c r="S259" s="48" t="s">
        <v>354</v>
      </c>
      <c r="T259" s="49" t="s">
        <v>63</v>
      </c>
      <c r="U259" s="48" t="s">
        <v>75</v>
      </c>
      <c r="V259" s="49"/>
      <c r="W259" s="65">
        <v>2.23</v>
      </c>
      <c r="X259" s="49" t="s">
        <v>5637</v>
      </c>
      <c r="Y259" s="49" t="s">
        <v>8963</v>
      </c>
      <c r="Z259" s="49" t="s">
        <v>8942</v>
      </c>
      <c r="AA259" s="65">
        <v>0.68</v>
      </c>
      <c r="AB259" s="39">
        <v>50299</v>
      </c>
      <c r="AC259" s="84" t="s">
        <v>18010</v>
      </c>
      <c r="AD259" s="53" t="str">
        <f t="shared" si="213"/>
        <v>Link</v>
      </c>
      <c r="AE259" s="42">
        <v>1996</v>
      </c>
      <c r="AF259" s="55"/>
      <c r="AG259" s="85"/>
      <c r="AH259" s="56">
        <v>165802</v>
      </c>
      <c r="AI259" s="85"/>
    </row>
    <row r="260" spans="1:35" ht="13" x14ac:dyDescent="0.15">
      <c r="A260" s="7"/>
      <c r="B260" s="31" t="s">
        <v>4553</v>
      </c>
      <c r="C260" s="2" t="s">
        <v>15218</v>
      </c>
      <c r="D260" s="7" t="s">
        <v>18021</v>
      </c>
      <c r="E260" s="37">
        <v>5</v>
      </c>
      <c r="F260" s="48"/>
      <c r="G260" s="48"/>
      <c r="H260" s="2" t="s">
        <v>18022</v>
      </c>
      <c r="I260" s="2" t="s">
        <v>2705</v>
      </c>
      <c r="J260" s="2" t="s">
        <v>18023</v>
      </c>
      <c r="K260" s="2" t="s">
        <v>48</v>
      </c>
      <c r="L260" s="2" t="s">
        <v>18024</v>
      </c>
      <c r="M260" s="6" t="s">
        <v>18025</v>
      </c>
      <c r="N260" s="114" t="str">
        <f t="shared" ref="N260:N267" si="214">HYPERLINK("twitter.com/aqsoftball","@aqsoftball")</f>
        <v>@aqsoftball</v>
      </c>
      <c r="O260" s="45" t="str">
        <f t="shared" ref="O260:O267" si="215">HYPERLINK("https://aqsaints.com/sports/2019/8/28/recruit-questionnaires.aspx","Questionnaire")</f>
        <v>Questionnaire</v>
      </c>
      <c r="P260" s="60" t="s">
        <v>18032</v>
      </c>
      <c r="Q260" s="60" t="s">
        <v>4538</v>
      </c>
      <c r="R260" s="48" t="s">
        <v>5360</v>
      </c>
      <c r="S260" s="48" t="s">
        <v>62</v>
      </c>
      <c r="T260" s="49" t="s">
        <v>63</v>
      </c>
      <c r="U260" s="6" t="s">
        <v>343</v>
      </c>
      <c r="V260" s="49"/>
      <c r="W260" s="65">
        <v>3.48</v>
      </c>
      <c r="X260" s="49" t="s">
        <v>214</v>
      </c>
      <c r="Y260" s="49" t="s">
        <v>214</v>
      </c>
      <c r="Z260" s="49" t="s">
        <v>1650</v>
      </c>
      <c r="AA260" s="38">
        <v>0.91320000000000001</v>
      </c>
      <c r="AB260" s="39">
        <v>41472</v>
      </c>
      <c r="AC260" s="90" t="s">
        <v>18032</v>
      </c>
      <c r="AD260" s="53" t="str">
        <f t="shared" ref="AD260:AD267" si="216">HYPERLINK("https://www.aquinas.edu/academics/undergraduate","Link")</f>
        <v>Link</v>
      </c>
      <c r="AE260" s="42">
        <v>1654</v>
      </c>
      <c r="AF260" s="55"/>
      <c r="AG260" s="55"/>
      <c r="AH260" s="56">
        <v>168786</v>
      </c>
      <c r="AI260" s="55"/>
    </row>
    <row r="261" spans="1:35" ht="13" x14ac:dyDescent="0.15">
      <c r="A261" s="7"/>
      <c r="B261" s="31" t="s">
        <v>4553</v>
      </c>
      <c r="C261" s="2" t="s">
        <v>15218</v>
      </c>
      <c r="D261" s="7" t="s">
        <v>18034</v>
      </c>
      <c r="E261" s="37">
        <v>5</v>
      </c>
      <c r="F261" s="48"/>
      <c r="G261" s="48"/>
      <c r="H261" s="2" t="s">
        <v>18022</v>
      </c>
      <c r="I261" s="2" t="s">
        <v>18035</v>
      </c>
      <c r="J261" s="2" t="s">
        <v>18036</v>
      </c>
      <c r="K261" s="2" t="s">
        <v>55</v>
      </c>
      <c r="L261" s="2" t="s">
        <v>18037</v>
      </c>
      <c r="M261" s="6"/>
      <c r="N261" s="114" t="str">
        <f t="shared" si="214"/>
        <v>@aqsoftball</v>
      </c>
      <c r="O261" s="45" t="str">
        <f t="shared" si="215"/>
        <v>Questionnaire</v>
      </c>
      <c r="P261" s="60" t="s">
        <v>18032</v>
      </c>
      <c r="Q261" s="60" t="s">
        <v>4538</v>
      </c>
      <c r="R261" s="48" t="s">
        <v>5360</v>
      </c>
      <c r="S261" s="48" t="s">
        <v>62</v>
      </c>
      <c r="T261" s="49" t="s">
        <v>63</v>
      </c>
      <c r="U261" s="6" t="s">
        <v>343</v>
      </c>
      <c r="V261" s="49"/>
      <c r="W261" s="65">
        <v>3.48</v>
      </c>
      <c r="X261" s="49" t="s">
        <v>214</v>
      </c>
      <c r="Y261" s="49" t="s">
        <v>214</v>
      </c>
      <c r="Z261" s="49" t="s">
        <v>1650</v>
      </c>
      <c r="AA261" s="38">
        <v>0.91320000000000001</v>
      </c>
      <c r="AB261" s="39">
        <v>41472</v>
      </c>
      <c r="AC261" s="90" t="s">
        <v>18032</v>
      </c>
      <c r="AD261" s="53" t="str">
        <f t="shared" si="216"/>
        <v>Link</v>
      </c>
      <c r="AE261" s="42">
        <v>1654</v>
      </c>
      <c r="AF261" s="55"/>
      <c r="AG261" s="55"/>
      <c r="AH261" s="56">
        <v>168786</v>
      </c>
      <c r="AI261" s="55"/>
    </row>
    <row r="262" spans="1:35" ht="13" x14ac:dyDescent="0.15">
      <c r="A262" s="7"/>
      <c r="B262" s="31" t="s">
        <v>4553</v>
      </c>
      <c r="C262" s="2" t="s">
        <v>15218</v>
      </c>
      <c r="D262" s="7" t="s">
        <v>18038</v>
      </c>
      <c r="E262" s="37">
        <v>5</v>
      </c>
      <c r="F262" s="48"/>
      <c r="G262" s="48" t="s">
        <v>126</v>
      </c>
      <c r="H262" s="2" t="s">
        <v>18022</v>
      </c>
      <c r="I262" s="2" t="s">
        <v>12547</v>
      </c>
      <c r="J262" s="2"/>
      <c r="K262" s="2"/>
      <c r="L262" s="2"/>
      <c r="M262" s="6"/>
      <c r="N262" s="114" t="str">
        <f t="shared" si="214"/>
        <v>@aqsoftball</v>
      </c>
      <c r="O262" s="45" t="str">
        <f t="shared" si="215"/>
        <v>Questionnaire</v>
      </c>
      <c r="P262" s="60" t="s">
        <v>18032</v>
      </c>
      <c r="Q262" s="60" t="s">
        <v>4538</v>
      </c>
      <c r="R262" s="48" t="s">
        <v>5360</v>
      </c>
      <c r="S262" s="48" t="s">
        <v>62</v>
      </c>
      <c r="T262" s="49" t="s">
        <v>63</v>
      </c>
      <c r="U262" s="6" t="s">
        <v>343</v>
      </c>
      <c r="V262" s="49"/>
      <c r="W262" s="65">
        <v>3.48</v>
      </c>
      <c r="X262" s="49" t="s">
        <v>214</v>
      </c>
      <c r="Y262" s="49" t="s">
        <v>214</v>
      </c>
      <c r="Z262" s="49" t="s">
        <v>1650</v>
      </c>
      <c r="AA262" s="38">
        <v>0.91320000000000001</v>
      </c>
      <c r="AB262" s="39">
        <v>41472</v>
      </c>
      <c r="AC262" s="90" t="s">
        <v>18032</v>
      </c>
      <c r="AD262" s="53" t="str">
        <f t="shared" si="216"/>
        <v>Link</v>
      </c>
      <c r="AE262" s="42">
        <v>1654</v>
      </c>
      <c r="AF262" s="55"/>
      <c r="AG262" s="55"/>
      <c r="AH262" s="56">
        <v>168786</v>
      </c>
      <c r="AI262" s="55"/>
    </row>
    <row r="263" spans="1:35" ht="13" x14ac:dyDescent="0.15">
      <c r="A263" s="7"/>
      <c r="B263" s="31" t="s">
        <v>4553</v>
      </c>
      <c r="C263" s="2" t="s">
        <v>15218</v>
      </c>
      <c r="D263" s="7" t="s">
        <v>18043</v>
      </c>
      <c r="E263" s="37">
        <v>5</v>
      </c>
      <c r="F263" s="48"/>
      <c r="G263" s="48"/>
      <c r="H263" s="2" t="s">
        <v>18022</v>
      </c>
      <c r="I263" s="2" t="s">
        <v>991</v>
      </c>
      <c r="J263" s="2" t="s">
        <v>9409</v>
      </c>
      <c r="K263" s="2" t="s">
        <v>55</v>
      </c>
      <c r="L263" s="2"/>
      <c r="M263" s="6"/>
      <c r="N263" s="114" t="str">
        <f t="shared" si="214"/>
        <v>@aqsoftball</v>
      </c>
      <c r="O263" s="45" t="str">
        <f t="shared" si="215"/>
        <v>Questionnaire</v>
      </c>
      <c r="P263" s="60" t="s">
        <v>18032</v>
      </c>
      <c r="Q263" s="60" t="s">
        <v>4538</v>
      </c>
      <c r="R263" s="48" t="s">
        <v>5360</v>
      </c>
      <c r="S263" s="48" t="s">
        <v>62</v>
      </c>
      <c r="T263" s="49" t="s">
        <v>63</v>
      </c>
      <c r="U263" s="6" t="s">
        <v>343</v>
      </c>
      <c r="V263" s="49"/>
      <c r="W263" s="65">
        <v>3.48</v>
      </c>
      <c r="X263" s="49" t="s">
        <v>214</v>
      </c>
      <c r="Y263" s="49" t="s">
        <v>214</v>
      </c>
      <c r="Z263" s="49" t="s">
        <v>1650</v>
      </c>
      <c r="AA263" s="38">
        <v>0.91320000000000001</v>
      </c>
      <c r="AB263" s="39">
        <v>41472</v>
      </c>
      <c r="AC263" s="90" t="s">
        <v>18032</v>
      </c>
      <c r="AD263" s="53" t="str">
        <f t="shared" si="216"/>
        <v>Link</v>
      </c>
      <c r="AE263" s="42">
        <v>1654</v>
      </c>
      <c r="AF263" s="55"/>
      <c r="AG263" s="55"/>
      <c r="AH263" s="56">
        <v>168786</v>
      </c>
      <c r="AI263" s="55"/>
    </row>
    <row r="264" spans="1:35" ht="13" x14ac:dyDescent="0.15">
      <c r="A264" s="7"/>
      <c r="B264" s="31" t="s">
        <v>4553</v>
      </c>
      <c r="C264" s="2" t="s">
        <v>15218</v>
      </c>
      <c r="D264" s="7" t="s">
        <v>18050</v>
      </c>
      <c r="E264" s="37">
        <v>5</v>
      </c>
      <c r="F264" s="48"/>
      <c r="G264" s="48"/>
      <c r="H264" s="2" t="s">
        <v>18022</v>
      </c>
      <c r="I264" s="2" t="s">
        <v>1239</v>
      </c>
      <c r="J264" s="2" t="s">
        <v>18052</v>
      </c>
      <c r="K264" s="2" t="s">
        <v>55</v>
      </c>
      <c r="L264" s="2"/>
      <c r="M264" s="6"/>
      <c r="N264" s="114" t="str">
        <f t="shared" si="214"/>
        <v>@aqsoftball</v>
      </c>
      <c r="O264" s="45" t="str">
        <f t="shared" si="215"/>
        <v>Questionnaire</v>
      </c>
      <c r="P264" s="60" t="s">
        <v>18032</v>
      </c>
      <c r="Q264" s="60" t="s">
        <v>4538</v>
      </c>
      <c r="R264" s="48" t="s">
        <v>5360</v>
      </c>
      <c r="S264" s="48" t="s">
        <v>62</v>
      </c>
      <c r="T264" s="49" t="s">
        <v>63</v>
      </c>
      <c r="U264" s="6" t="s">
        <v>343</v>
      </c>
      <c r="V264" s="49"/>
      <c r="W264" s="65">
        <v>3.48</v>
      </c>
      <c r="X264" s="49" t="s">
        <v>214</v>
      </c>
      <c r="Y264" s="49" t="s">
        <v>214</v>
      </c>
      <c r="Z264" s="49" t="s">
        <v>1650</v>
      </c>
      <c r="AA264" s="38">
        <v>0.91320000000000001</v>
      </c>
      <c r="AB264" s="39">
        <v>41472</v>
      </c>
      <c r="AC264" s="90" t="s">
        <v>18032</v>
      </c>
      <c r="AD264" s="53" t="str">
        <f t="shared" si="216"/>
        <v>Link</v>
      </c>
      <c r="AE264" s="42">
        <v>1654</v>
      </c>
      <c r="AF264" s="55"/>
      <c r="AG264" s="55"/>
      <c r="AH264" s="56">
        <v>168786</v>
      </c>
      <c r="AI264" s="55"/>
    </row>
    <row r="265" spans="1:35" ht="13" x14ac:dyDescent="0.15">
      <c r="A265" s="7"/>
      <c r="B265" s="31" t="s">
        <v>4553</v>
      </c>
      <c r="C265" s="2" t="s">
        <v>15218</v>
      </c>
      <c r="D265" s="7" t="s">
        <v>18054</v>
      </c>
      <c r="E265" s="37">
        <v>5</v>
      </c>
      <c r="F265" s="48"/>
      <c r="G265" s="48"/>
      <c r="H265" s="2" t="s">
        <v>18022</v>
      </c>
      <c r="I265" s="2" t="s">
        <v>2150</v>
      </c>
      <c r="J265" s="2" t="s">
        <v>18056</v>
      </c>
      <c r="K265" s="2" t="s">
        <v>55</v>
      </c>
      <c r="L265" s="2"/>
      <c r="M265" s="6"/>
      <c r="N265" s="114" t="str">
        <f t="shared" si="214"/>
        <v>@aqsoftball</v>
      </c>
      <c r="O265" s="45" t="str">
        <f t="shared" si="215"/>
        <v>Questionnaire</v>
      </c>
      <c r="P265" s="60" t="s">
        <v>18032</v>
      </c>
      <c r="Q265" s="60" t="s">
        <v>4538</v>
      </c>
      <c r="R265" s="48" t="s">
        <v>5360</v>
      </c>
      <c r="S265" s="48" t="s">
        <v>62</v>
      </c>
      <c r="T265" s="49" t="s">
        <v>63</v>
      </c>
      <c r="U265" s="6" t="s">
        <v>343</v>
      </c>
      <c r="V265" s="49"/>
      <c r="W265" s="65">
        <v>3.48</v>
      </c>
      <c r="X265" s="49" t="s">
        <v>214</v>
      </c>
      <c r="Y265" s="49" t="s">
        <v>214</v>
      </c>
      <c r="Z265" s="49" t="s">
        <v>1650</v>
      </c>
      <c r="AA265" s="38">
        <v>0.91320000000000001</v>
      </c>
      <c r="AB265" s="39">
        <v>41472</v>
      </c>
      <c r="AC265" s="90" t="s">
        <v>18032</v>
      </c>
      <c r="AD265" s="53" t="str">
        <f t="shared" si="216"/>
        <v>Link</v>
      </c>
      <c r="AE265" s="42">
        <v>1654</v>
      </c>
      <c r="AF265" s="55"/>
      <c r="AG265" s="55"/>
      <c r="AH265" s="56">
        <v>168786</v>
      </c>
      <c r="AI265" s="55"/>
    </row>
    <row r="266" spans="1:35" ht="13" x14ac:dyDescent="0.15">
      <c r="A266" s="7"/>
      <c r="B266" s="31" t="s">
        <v>4553</v>
      </c>
      <c r="C266" s="2" t="s">
        <v>15218</v>
      </c>
      <c r="D266" s="7" t="s">
        <v>18062</v>
      </c>
      <c r="E266" s="37">
        <v>5</v>
      </c>
      <c r="F266" s="48"/>
      <c r="G266" s="48"/>
      <c r="H266" s="2" t="s">
        <v>18022</v>
      </c>
      <c r="I266" s="2" t="s">
        <v>255</v>
      </c>
      <c r="J266" s="2" t="s">
        <v>4045</v>
      </c>
      <c r="K266" s="2" t="s">
        <v>55</v>
      </c>
      <c r="L266" s="2"/>
      <c r="M266" s="6"/>
      <c r="N266" s="160" t="str">
        <f t="shared" si="214"/>
        <v>@aqsoftball</v>
      </c>
      <c r="O266" s="45" t="str">
        <f t="shared" si="215"/>
        <v>Questionnaire</v>
      </c>
      <c r="P266" s="60" t="s">
        <v>18032</v>
      </c>
      <c r="Q266" s="60" t="s">
        <v>4538</v>
      </c>
      <c r="R266" s="48" t="s">
        <v>5360</v>
      </c>
      <c r="S266" s="48" t="s">
        <v>62</v>
      </c>
      <c r="T266" s="49" t="s">
        <v>63</v>
      </c>
      <c r="U266" s="6" t="s">
        <v>343</v>
      </c>
      <c r="V266" s="49"/>
      <c r="W266" s="65">
        <v>3.48</v>
      </c>
      <c r="X266" s="49" t="s">
        <v>214</v>
      </c>
      <c r="Y266" s="49" t="s">
        <v>214</v>
      </c>
      <c r="Z266" s="49" t="s">
        <v>1650</v>
      </c>
      <c r="AA266" s="38">
        <v>0.91320000000000001</v>
      </c>
      <c r="AB266" s="39">
        <v>41472</v>
      </c>
      <c r="AC266" s="90" t="s">
        <v>18032</v>
      </c>
      <c r="AD266" s="53" t="str">
        <f t="shared" si="216"/>
        <v>Link</v>
      </c>
      <c r="AE266" s="42">
        <v>1654</v>
      </c>
      <c r="AF266" s="55"/>
      <c r="AG266" s="55"/>
      <c r="AH266" s="56">
        <v>168786</v>
      </c>
      <c r="AI266" s="55"/>
    </row>
    <row r="267" spans="1:35" ht="13" x14ac:dyDescent="0.15">
      <c r="A267" s="7" t="s">
        <v>17020</v>
      </c>
      <c r="B267" s="110" t="s">
        <v>4553</v>
      </c>
      <c r="C267" s="2" t="s">
        <v>15218</v>
      </c>
      <c r="D267" s="7" t="s">
        <v>18073</v>
      </c>
      <c r="E267" s="44">
        <v>5</v>
      </c>
      <c r="F267" s="48" t="s">
        <v>116</v>
      </c>
      <c r="G267" s="48"/>
      <c r="H267" s="2" t="s">
        <v>18022</v>
      </c>
      <c r="I267" s="7" t="s">
        <v>2806</v>
      </c>
      <c r="J267" s="7" t="s">
        <v>18074</v>
      </c>
      <c r="K267" s="7" t="s">
        <v>55</v>
      </c>
      <c r="L267" s="7"/>
      <c r="M267" s="48"/>
      <c r="N267" s="114" t="str">
        <f t="shared" si="214"/>
        <v>@aqsoftball</v>
      </c>
      <c r="O267" s="45" t="str">
        <f t="shared" si="215"/>
        <v>Questionnaire</v>
      </c>
      <c r="P267" s="60" t="s">
        <v>18032</v>
      </c>
      <c r="Q267" s="60" t="s">
        <v>4538</v>
      </c>
      <c r="R267" s="48" t="s">
        <v>5360</v>
      </c>
      <c r="S267" s="48" t="s">
        <v>62</v>
      </c>
      <c r="T267" s="49" t="s">
        <v>63</v>
      </c>
      <c r="U267" s="6" t="s">
        <v>343</v>
      </c>
      <c r="V267" s="49"/>
      <c r="W267" s="65">
        <v>3.48</v>
      </c>
      <c r="X267" s="49" t="s">
        <v>214</v>
      </c>
      <c r="Y267" s="49" t="s">
        <v>214</v>
      </c>
      <c r="Z267" s="49" t="s">
        <v>1650</v>
      </c>
      <c r="AA267" s="38">
        <v>0.91320000000000001</v>
      </c>
      <c r="AB267" s="39">
        <v>41472</v>
      </c>
      <c r="AC267" s="90" t="s">
        <v>18032</v>
      </c>
      <c r="AD267" s="67" t="str">
        <f t="shared" si="216"/>
        <v>Link</v>
      </c>
      <c r="AE267" s="42">
        <v>1654</v>
      </c>
      <c r="AF267" s="55"/>
      <c r="AG267" s="55"/>
      <c r="AH267" s="56">
        <v>168786</v>
      </c>
      <c r="AI267" s="55"/>
    </row>
    <row r="268" spans="1:35" ht="15" x14ac:dyDescent="0.2">
      <c r="A268" s="7"/>
      <c r="B268" s="31" t="s">
        <v>4553</v>
      </c>
      <c r="C268" s="2" t="s">
        <v>15218</v>
      </c>
      <c r="D268" s="7" t="s">
        <v>18079</v>
      </c>
      <c r="E268" s="37">
        <v>5</v>
      </c>
      <c r="F268" s="48"/>
      <c r="G268" s="48"/>
      <c r="H268" s="2" t="s">
        <v>18080</v>
      </c>
      <c r="I268" s="2" t="s">
        <v>4659</v>
      </c>
      <c r="J268" s="2" t="s">
        <v>852</v>
      </c>
      <c r="K268" s="2" t="s">
        <v>48</v>
      </c>
      <c r="L268" s="2" t="s">
        <v>18081</v>
      </c>
      <c r="M268" s="6" t="s">
        <v>18082</v>
      </c>
      <c r="N268" s="45" t="str">
        <f t="shared" ref="N268:N271" si="217">HYPERLINK("twitter.com/clearysoftball","@clearysoftball")</f>
        <v>@clearysoftball</v>
      </c>
      <c r="O268" s="45" t="str">
        <f t="shared" ref="O268:O271" si="218">HYPERLINK("http://www.clearycougars.com/recruiting.php","Questionnaire")</f>
        <v>Questionnaire</v>
      </c>
      <c r="P268" s="108" t="s">
        <v>18088</v>
      </c>
      <c r="Q268" s="60" t="s">
        <v>4538</v>
      </c>
      <c r="R268" s="48" t="s">
        <v>18089</v>
      </c>
      <c r="S268" s="60" t="s">
        <v>205</v>
      </c>
      <c r="T268" s="49" t="s">
        <v>63</v>
      </c>
      <c r="U268" s="48" t="s">
        <v>75</v>
      </c>
      <c r="V268" s="49"/>
      <c r="W268" s="65">
        <v>3</v>
      </c>
      <c r="X268" s="49" t="s">
        <v>214</v>
      </c>
      <c r="Y268" s="49" t="s">
        <v>214</v>
      </c>
      <c r="Z268" s="49" t="s">
        <v>3842</v>
      </c>
      <c r="AA268" s="38">
        <v>0.46820000000000001</v>
      </c>
      <c r="AB268" s="39">
        <v>31160</v>
      </c>
      <c r="AC268" s="52" t="s">
        <v>18088</v>
      </c>
      <c r="AD268" s="53" t="str">
        <f t="shared" ref="AD268:AD271" si="219">HYPERLINK("https://www.cleary.edu/programs/","Link")</f>
        <v>Link</v>
      </c>
      <c r="AE268" s="42">
        <v>473</v>
      </c>
      <c r="AF268" s="55"/>
      <c r="AG268" s="55"/>
      <c r="AH268" s="56">
        <v>169327</v>
      </c>
      <c r="AI268" s="55"/>
    </row>
    <row r="269" spans="1:35" ht="15" x14ac:dyDescent="0.2">
      <c r="A269" s="7"/>
      <c r="B269" s="31" t="s">
        <v>4553</v>
      </c>
      <c r="C269" s="2" t="s">
        <v>15218</v>
      </c>
      <c r="D269" s="7" t="s">
        <v>18093</v>
      </c>
      <c r="E269" s="37">
        <v>5</v>
      </c>
      <c r="F269" s="48"/>
      <c r="G269" s="48"/>
      <c r="H269" s="2" t="s">
        <v>18080</v>
      </c>
      <c r="I269" s="95" t="s">
        <v>18094</v>
      </c>
      <c r="J269" s="2" t="s">
        <v>12774</v>
      </c>
      <c r="K269" s="2" t="s">
        <v>55</v>
      </c>
      <c r="L269" s="89" t="s">
        <v>18095</v>
      </c>
      <c r="M269" s="6"/>
      <c r="N269" s="45" t="str">
        <f t="shared" si="217"/>
        <v>@clearysoftball</v>
      </c>
      <c r="O269" s="45" t="str">
        <f t="shared" si="218"/>
        <v>Questionnaire</v>
      </c>
      <c r="P269" s="108" t="s">
        <v>18088</v>
      </c>
      <c r="Q269" s="60" t="s">
        <v>4538</v>
      </c>
      <c r="R269" s="48" t="s">
        <v>18089</v>
      </c>
      <c r="S269" s="60" t="s">
        <v>205</v>
      </c>
      <c r="T269" s="49" t="s">
        <v>63</v>
      </c>
      <c r="U269" s="48" t="s">
        <v>75</v>
      </c>
      <c r="V269" s="49"/>
      <c r="W269" s="65">
        <v>3</v>
      </c>
      <c r="X269" s="49" t="s">
        <v>214</v>
      </c>
      <c r="Y269" s="49" t="s">
        <v>214</v>
      </c>
      <c r="Z269" s="49" t="s">
        <v>3842</v>
      </c>
      <c r="AA269" s="38">
        <v>0.46820000000000001</v>
      </c>
      <c r="AB269" s="39">
        <v>31160</v>
      </c>
      <c r="AC269" s="52" t="s">
        <v>18088</v>
      </c>
      <c r="AD269" s="53" t="str">
        <f t="shared" si="219"/>
        <v>Link</v>
      </c>
      <c r="AE269" s="42">
        <v>473</v>
      </c>
      <c r="AF269" s="55"/>
      <c r="AG269" s="55"/>
      <c r="AH269" s="56">
        <v>169327</v>
      </c>
      <c r="AI269" s="55"/>
    </row>
    <row r="270" spans="1:35" ht="15" x14ac:dyDescent="0.2">
      <c r="A270" s="7"/>
      <c r="B270" s="31" t="s">
        <v>4553</v>
      </c>
      <c r="C270" s="2" t="s">
        <v>15218</v>
      </c>
      <c r="D270" s="7" t="s">
        <v>18099</v>
      </c>
      <c r="E270" s="37">
        <v>5</v>
      </c>
      <c r="F270" s="48"/>
      <c r="G270" s="48"/>
      <c r="H270" s="2" t="s">
        <v>18080</v>
      </c>
      <c r="I270" s="95" t="s">
        <v>658</v>
      </c>
      <c r="J270" s="2" t="s">
        <v>18102</v>
      </c>
      <c r="K270" s="2" t="s">
        <v>55</v>
      </c>
      <c r="L270" s="161" t="s">
        <v>18103</v>
      </c>
      <c r="M270" s="6"/>
      <c r="N270" s="45" t="str">
        <f t="shared" si="217"/>
        <v>@clearysoftball</v>
      </c>
      <c r="O270" s="45" t="str">
        <f t="shared" si="218"/>
        <v>Questionnaire</v>
      </c>
      <c r="P270" s="108" t="s">
        <v>18088</v>
      </c>
      <c r="Q270" s="60" t="s">
        <v>4538</v>
      </c>
      <c r="R270" s="48" t="s">
        <v>18089</v>
      </c>
      <c r="S270" s="60" t="s">
        <v>205</v>
      </c>
      <c r="T270" s="49" t="s">
        <v>63</v>
      </c>
      <c r="U270" s="48" t="s">
        <v>75</v>
      </c>
      <c r="V270" s="49"/>
      <c r="W270" s="65">
        <v>3</v>
      </c>
      <c r="X270" s="49" t="s">
        <v>214</v>
      </c>
      <c r="Y270" s="49" t="s">
        <v>214</v>
      </c>
      <c r="Z270" s="49" t="s">
        <v>3842</v>
      </c>
      <c r="AA270" s="38">
        <v>0.46820000000000001</v>
      </c>
      <c r="AB270" s="39">
        <v>31160</v>
      </c>
      <c r="AC270" s="52" t="s">
        <v>18088</v>
      </c>
      <c r="AD270" s="53" t="str">
        <f t="shared" si="219"/>
        <v>Link</v>
      </c>
      <c r="AE270" s="42">
        <v>473</v>
      </c>
      <c r="AF270" s="55"/>
      <c r="AG270" s="55"/>
      <c r="AH270" s="56">
        <v>169327</v>
      </c>
      <c r="AI270" s="55"/>
    </row>
    <row r="271" spans="1:35" ht="15" x14ac:dyDescent="0.2">
      <c r="A271" s="7"/>
      <c r="B271" s="31" t="s">
        <v>4553</v>
      </c>
      <c r="C271" s="2" t="s">
        <v>15218</v>
      </c>
      <c r="D271" s="7" t="s">
        <v>18106</v>
      </c>
      <c r="E271" s="37">
        <v>5</v>
      </c>
      <c r="F271" s="48" t="s">
        <v>116</v>
      </c>
      <c r="G271" s="48"/>
      <c r="H271" s="2" t="s">
        <v>18080</v>
      </c>
      <c r="I271" s="95" t="s">
        <v>6526</v>
      </c>
      <c r="J271" s="2" t="s">
        <v>18107</v>
      </c>
      <c r="K271" s="2" t="s">
        <v>120</v>
      </c>
      <c r="L271" s="89" t="s">
        <v>18108</v>
      </c>
      <c r="M271" s="6"/>
      <c r="N271" s="45" t="str">
        <f t="shared" si="217"/>
        <v>@clearysoftball</v>
      </c>
      <c r="O271" s="45" t="str">
        <f t="shared" si="218"/>
        <v>Questionnaire</v>
      </c>
      <c r="P271" s="108" t="s">
        <v>18088</v>
      </c>
      <c r="Q271" s="60" t="s">
        <v>4538</v>
      </c>
      <c r="R271" s="48" t="s">
        <v>18089</v>
      </c>
      <c r="S271" s="60" t="s">
        <v>205</v>
      </c>
      <c r="T271" s="49" t="s">
        <v>63</v>
      </c>
      <c r="U271" s="48" t="s">
        <v>75</v>
      </c>
      <c r="V271" s="49"/>
      <c r="W271" s="65">
        <v>3</v>
      </c>
      <c r="X271" s="49" t="s">
        <v>214</v>
      </c>
      <c r="Y271" s="49" t="s">
        <v>214</v>
      </c>
      <c r="Z271" s="49" t="s">
        <v>3842</v>
      </c>
      <c r="AA271" s="38">
        <v>0.46820000000000001</v>
      </c>
      <c r="AB271" s="39">
        <v>31160</v>
      </c>
      <c r="AC271" s="52" t="s">
        <v>18088</v>
      </c>
      <c r="AD271" s="53" t="str">
        <f t="shared" si="219"/>
        <v>Link</v>
      </c>
      <c r="AE271" s="42">
        <v>473</v>
      </c>
      <c r="AF271" s="55"/>
      <c r="AG271" s="55"/>
      <c r="AH271" s="56">
        <v>169327</v>
      </c>
      <c r="AI271" s="55"/>
    </row>
    <row r="272" spans="1:35" ht="13" x14ac:dyDescent="0.15">
      <c r="A272" s="7"/>
      <c r="B272" s="31" t="s">
        <v>4553</v>
      </c>
      <c r="C272" s="2" t="s">
        <v>15218</v>
      </c>
      <c r="D272" s="7" t="s">
        <v>18111</v>
      </c>
      <c r="E272" s="37">
        <v>5</v>
      </c>
      <c r="F272" s="48"/>
      <c r="G272" s="48"/>
      <c r="H272" s="2" t="s">
        <v>18112</v>
      </c>
      <c r="I272" s="2" t="s">
        <v>10136</v>
      </c>
      <c r="J272" s="2" t="s">
        <v>18113</v>
      </c>
      <c r="K272" s="2" t="s">
        <v>48</v>
      </c>
      <c r="L272" s="2" t="s">
        <v>18114</v>
      </c>
      <c r="M272" s="6" t="s">
        <v>18115</v>
      </c>
      <c r="N272" s="45" t="str">
        <f>HYPERLINK("twitter.com/cuaa_softball","@cuaa_softball")</f>
        <v>@cuaa_softball</v>
      </c>
      <c r="O272" s="45" t="str">
        <f>HYPERLINK("http://www.concordiacardinals.com/recruiting.php","Questionnaire")</f>
        <v>Questionnaire</v>
      </c>
      <c r="P272" s="48" t="s">
        <v>18120</v>
      </c>
      <c r="Q272" s="60" t="s">
        <v>4538</v>
      </c>
      <c r="R272" s="48" t="s">
        <v>4554</v>
      </c>
      <c r="S272" s="48" t="s">
        <v>238</v>
      </c>
      <c r="T272" s="49" t="s">
        <v>63</v>
      </c>
      <c r="U272" s="6" t="s">
        <v>1620</v>
      </c>
      <c r="V272" s="49"/>
      <c r="W272" s="65">
        <v>3.1</v>
      </c>
      <c r="X272" s="49" t="s">
        <v>214</v>
      </c>
      <c r="Y272" s="49" t="s">
        <v>214</v>
      </c>
      <c r="Z272" s="49" t="s">
        <v>125</v>
      </c>
      <c r="AA272" s="65">
        <v>0.6</v>
      </c>
      <c r="AB272" s="39">
        <v>41690</v>
      </c>
      <c r="AC272" s="84" t="s">
        <v>18120</v>
      </c>
      <c r="AD272" s="53" t="str">
        <f>HYPERLINK("https://www.cuaa.edu/academics/programs/index.html","Link")</f>
        <v>Link</v>
      </c>
      <c r="AE272" s="42">
        <v>851</v>
      </c>
      <c r="AF272" s="55"/>
      <c r="AG272" s="55"/>
      <c r="AH272" s="56">
        <v>169363</v>
      </c>
      <c r="AI272" s="55"/>
    </row>
    <row r="273" spans="1:41" ht="13" x14ac:dyDescent="0.15">
      <c r="A273" s="7"/>
      <c r="B273" s="31" t="s">
        <v>4553</v>
      </c>
      <c r="C273" s="2" t="s">
        <v>15218</v>
      </c>
      <c r="D273" s="7" t="s">
        <v>18124</v>
      </c>
      <c r="E273" s="37">
        <v>5</v>
      </c>
      <c r="F273" s="48"/>
      <c r="G273" s="48"/>
      <c r="H273" s="2" t="s">
        <v>18125</v>
      </c>
      <c r="I273" s="2" t="s">
        <v>991</v>
      </c>
      <c r="J273" s="2" t="s">
        <v>6396</v>
      </c>
      <c r="K273" s="2" t="s">
        <v>48</v>
      </c>
      <c r="L273" s="2" t="s">
        <v>18126</v>
      </c>
      <c r="M273" s="6" t="s">
        <v>18127</v>
      </c>
      <c r="N273" s="45" t="str">
        <f t="shared" ref="N273:N275" si="220">HYPERLINK("twitter.com/cornerstone_sb","@cornerstone_sb")</f>
        <v>@cornerstone_sb</v>
      </c>
      <c r="O273" s="45" t="str">
        <f t="shared" ref="O273:O275" si="221">HYPERLINK("https://cugoldeneagles.com/sports/2016/6/20/recruiting-forms.aspx","Questionnaire")</f>
        <v>Questionnaire</v>
      </c>
      <c r="P273" s="48" t="s">
        <v>18133</v>
      </c>
      <c r="Q273" s="60" t="s">
        <v>4538</v>
      </c>
      <c r="R273" s="48" t="s">
        <v>5360</v>
      </c>
      <c r="S273" s="48" t="s">
        <v>62</v>
      </c>
      <c r="T273" s="49" t="s">
        <v>63</v>
      </c>
      <c r="U273" s="6" t="s">
        <v>3252</v>
      </c>
      <c r="V273" s="49"/>
      <c r="W273" s="65">
        <v>3.46</v>
      </c>
      <c r="X273" s="49" t="s">
        <v>3520</v>
      </c>
      <c r="Y273" s="49" t="s">
        <v>2375</v>
      </c>
      <c r="Z273" s="49" t="s">
        <v>357</v>
      </c>
      <c r="AA273" s="65">
        <v>0.63</v>
      </c>
      <c r="AB273" s="39">
        <v>39560</v>
      </c>
      <c r="AC273" s="84" t="s">
        <v>18133</v>
      </c>
      <c r="AD273" s="53" t="str">
        <f t="shared" ref="AD273:AD275" si="222">HYPERLINK("https://www.cornerstone.edu/academics/undergrad/all-majors-and-programs/","Link")</f>
        <v>Link</v>
      </c>
      <c r="AE273" s="42">
        <v>1856</v>
      </c>
      <c r="AF273" s="55"/>
      <c r="AG273" s="55"/>
      <c r="AH273" s="56">
        <v>170037</v>
      </c>
      <c r="AI273" s="55"/>
    </row>
    <row r="274" spans="1:41" ht="13" x14ac:dyDescent="0.15">
      <c r="A274" s="7"/>
      <c r="B274" s="31" t="s">
        <v>4553</v>
      </c>
      <c r="C274" s="2" t="s">
        <v>15218</v>
      </c>
      <c r="D274" s="7" t="s">
        <v>18137</v>
      </c>
      <c r="E274" s="37">
        <v>5</v>
      </c>
      <c r="F274" s="48"/>
      <c r="G274" s="48"/>
      <c r="H274" s="2" t="s">
        <v>18125</v>
      </c>
      <c r="I274" s="2" t="s">
        <v>1159</v>
      </c>
      <c r="J274" s="2" t="s">
        <v>18138</v>
      </c>
      <c r="K274" s="2" t="s">
        <v>55</v>
      </c>
      <c r="L274" s="2" t="s">
        <v>18139</v>
      </c>
      <c r="M274" s="6" t="s">
        <v>18141</v>
      </c>
      <c r="N274" s="45" t="str">
        <f t="shared" si="220"/>
        <v>@cornerstone_sb</v>
      </c>
      <c r="O274" s="45" t="str">
        <f t="shared" si="221"/>
        <v>Questionnaire</v>
      </c>
      <c r="P274" s="48" t="s">
        <v>18133</v>
      </c>
      <c r="Q274" s="60" t="s">
        <v>4538</v>
      </c>
      <c r="R274" s="48" t="s">
        <v>5360</v>
      </c>
      <c r="S274" s="48" t="s">
        <v>62</v>
      </c>
      <c r="T274" s="49" t="s">
        <v>63</v>
      </c>
      <c r="U274" s="6" t="s">
        <v>3252</v>
      </c>
      <c r="V274" s="49"/>
      <c r="W274" s="65">
        <v>3.46</v>
      </c>
      <c r="X274" s="49" t="s">
        <v>3520</v>
      </c>
      <c r="Y274" s="49" t="s">
        <v>2375</v>
      </c>
      <c r="Z274" s="49" t="s">
        <v>357</v>
      </c>
      <c r="AA274" s="65">
        <v>0.63</v>
      </c>
      <c r="AB274" s="39">
        <v>39560</v>
      </c>
      <c r="AC274" s="84" t="s">
        <v>18133</v>
      </c>
      <c r="AD274" s="53" t="str">
        <f t="shared" si="222"/>
        <v>Link</v>
      </c>
      <c r="AE274" s="42">
        <v>1856</v>
      </c>
      <c r="AF274" s="55"/>
      <c r="AG274" s="55"/>
      <c r="AH274" s="56">
        <v>170037</v>
      </c>
      <c r="AI274" s="55"/>
    </row>
    <row r="275" spans="1:41" ht="13" x14ac:dyDescent="0.15">
      <c r="A275" s="7"/>
      <c r="B275" s="31" t="s">
        <v>4553</v>
      </c>
      <c r="C275" s="2" t="s">
        <v>15218</v>
      </c>
      <c r="D275" s="7" t="s">
        <v>18144</v>
      </c>
      <c r="E275" s="37">
        <v>5</v>
      </c>
      <c r="F275" s="48"/>
      <c r="G275" s="48"/>
      <c r="H275" s="2" t="s">
        <v>18125</v>
      </c>
      <c r="I275" s="2" t="s">
        <v>18146</v>
      </c>
      <c r="J275" s="2" t="s">
        <v>18147</v>
      </c>
      <c r="K275" s="2" t="s">
        <v>55</v>
      </c>
      <c r="L275" s="2" t="s">
        <v>18149</v>
      </c>
      <c r="M275" s="6"/>
      <c r="N275" s="45" t="str">
        <f t="shared" si="220"/>
        <v>@cornerstone_sb</v>
      </c>
      <c r="O275" s="45" t="str">
        <f t="shared" si="221"/>
        <v>Questionnaire</v>
      </c>
      <c r="P275" s="48" t="s">
        <v>18133</v>
      </c>
      <c r="Q275" s="60" t="s">
        <v>4538</v>
      </c>
      <c r="R275" s="48" t="s">
        <v>5360</v>
      </c>
      <c r="S275" s="48" t="s">
        <v>62</v>
      </c>
      <c r="T275" s="49" t="s">
        <v>63</v>
      </c>
      <c r="U275" s="6" t="s">
        <v>3252</v>
      </c>
      <c r="V275" s="49"/>
      <c r="W275" s="65">
        <v>3.46</v>
      </c>
      <c r="X275" s="49" t="s">
        <v>3520</v>
      </c>
      <c r="Y275" s="49" t="s">
        <v>2375</v>
      </c>
      <c r="Z275" s="49" t="s">
        <v>357</v>
      </c>
      <c r="AA275" s="65">
        <v>0.63</v>
      </c>
      <c r="AB275" s="39">
        <v>39560</v>
      </c>
      <c r="AC275" s="84" t="s">
        <v>18133</v>
      </c>
      <c r="AD275" s="53" t="str">
        <f t="shared" si="222"/>
        <v>Link</v>
      </c>
      <c r="AE275" s="42">
        <v>1856</v>
      </c>
      <c r="AF275" s="55"/>
      <c r="AG275" s="55"/>
      <c r="AH275" s="56">
        <v>170037</v>
      </c>
      <c r="AI275" s="55"/>
    </row>
    <row r="276" spans="1:41" ht="13" x14ac:dyDescent="0.15">
      <c r="A276" s="7"/>
      <c r="B276" s="31" t="s">
        <v>4553</v>
      </c>
      <c r="C276" s="2" t="s">
        <v>15218</v>
      </c>
      <c r="D276" s="7" t="s">
        <v>18151</v>
      </c>
      <c r="E276" s="37">
        <v>5</v>
      </c>
      <c r="F276" s="48"/>
      <c r="G276" s="48"/>
      <c r="H276" s="2" t="s">
        <v>18152</v>
      </c>
      <c r="I276" s="2" t="s">
        <v>6745</v>
      </c>
      <c r="J276" s="2" t="s">
        <v>5328</v>
      </c>
      <c r="K276" s="2" t="s">
        <v>48</v>
      </c>
      <c r="L276" s="2" t="s">
        <v>18154</v>
      </c>
      <c r="M276" s="6" t="s">
        <v>18155</v>
      </c>
      <c r="N276" s="45" t="str">
        <f t="shared" ref="N276:N278" si="223">HYPERLINK("twitter.com/ltusoftball","@ltusoftball")</f>
        <v>@ltusoftball</v>
      </c>
      <c r="O276" s="45" t="str">
        <f t="shared" ref="O276:O279" si="224">HYPERLINK("https://www.ltuathletics.com/recruiting/be_recruited","Questionnaire")</f>
        <v>Questionnaire</v>
      </c>
      <c r="P276" s="60" t="s">
        <v>18157</v>
      </c>
      <c r="Q276" s="60" t="s">
        <v>4538</v>
      </c>
      <c r="R276" s="48" t="s">
        <v>18158</v>
      </c>
      <c r="S276" s="48" t="s">
        <v>186</v>
      </c>
      <c r="T276" s="49" t="s">
        <v>63</v>
      </c>
      <c r="U276" s="48" t="s">
        <v>75</v>
      </c>
      <c r="V276" s="49"/>
      <c r="W276" s="65">
        <v>3.5</v>
      </c>
      <c r="X276" s="49" t="s">
        <v>1649</v>
      </c>
      <c r="Y276" s="49" t="s">
        <v>677</v>
      </c>
      <c r="Z276" s="49" t="s">
        <v>958</v>
      </c>
      <c r="AA276" s="65">
        <v>0.69</v>
      </c>
      <c r="AB276" s="39">
        <v>46948</v>
      </c>
      <c r="AC276" s="90" t="s">
        <v>18157</v>
      </c>
      <c r="AD276" s="53" t="str">
        <f t="shared" ref="AD276:AD279" si="225">HYPERLINK("https://www.ltu.edu/academicsandmajors/","Link")</f>
        <v>Link</v>
      </c>
      <c r="AE276" s="42">
        <v>2164</v>
      </c>
      <c r="AF276" s="55"/>
      <c r="AG276" s="55"/>
      <c r="AH276" s="56">
        <v>170675</v>
      </c>
      <c r="AI276" s="55"/>
    </row>
    <row r="277" spans="1:41" ht="13" x14ac:dyDescent="0.15">
      <c r="A277" s="7"/>
      <c r="B277" s="31" t="s">
        <v>4553</v>
      </c>
      <c r="C277" s="2" t="s">
        <v>15218</v>
      </c>
      <c r="D277" s="7" t="s">
        <v>18161</v>
      </c>
      <c r="E277" s="37">
        <v>5</v>
      </c>
      <c r="F277" s="48"/>
      <c r="G277" s="48"/>
      <c r="H277" s="2" t="s">
        <v>18152</v>
      </c>
      <c r="I277" s="2" t="s">
        <v>2037</v>
      </c>
      <c r="J277" s="2" t="s">
        <v>18163</v>
      </c>
      <c r="K277" s="2" t="s">
        <v>55</v>
      </c>
      <c r="L277" s="2" t="s">
        <v>18164</v>
      </c>
      <c r="M277" s="6"/>
      <c r="N277" s="45" t="str">
        <f t="shared" si="223"/>
        <v>@ltusoftball</v>
      </c>
      <c r="O277" s="45" t="str">
        <f t="shared" si="224"/>
        <v>Questionnaire</v>
      </c>
      <c r="P277" s="60" t="s">
        <v>18157</v>
      </c>
      <c r="Q277" s="60" t="s">
        <v>4538</v>
      </c>
      <c r="R277" s="48" t="s">
        <v>18158</v>
      </c>
      <c r="S277" s="48" t="s">
        <v>186</v>
      </c>
      <c r="T277" s="49" t="s">
        <v>63</v>
      </c>
      <c r="U277" s="48" t="s">
        <v>75</v>
      </c>
      <c r="V277" s="49"/>
      <c r="W277" s="65">
        <v>3.5</v>
      </c>
      <c r="X277" s="49" t="s">
        <v>1649</v>
      </c>
      <c r="Y277" s="49" t="s">
        <v>677</v>
      </c>
      <c r="Z277" s="49" t="s">
        <v>958</v>
      </c>
      <c r="AA277" s="65">
        <v>0.69</v>
      </c>
      <c r="AB277" s="39">
        <v>46948</v>
      </c>
      <c r="AC277" s="90" t="s">
        <v>18157</v>
      </c>
      <c r="AD277" s="53" t="str">
        <f t="shared" si="225"/>
        <v>Link</v>
      </c>
      <c r="AE277" s="42">
        <v>2164</v>
      </c>
      <c r="AF277" s="55"/>
      <c r="AG277" s="55"/>
      <c r="AH277" s="56">
        <v>170675</v>
      </c>
      <c r="AI277" s="55"/>
    </row>
    <row r="278" spans="1:41" ht="13" x14ac:dyDescent="0.15">
      <c r="A278" s="7"/>
      <c r="B278" s="31" t="s">
        <v>4553</v>
      </c>
      <c r="C278" s="2" t="s">
        <v>15218</v>
      </c>
      <c r="D278" s="7" t="s">
        <v>18171</v>
      </c>
      <c r="E278" s="37">
        <v>5</v>
      </c>
      <c r="F278" s="48"/>
      <c r="G278" s="48"/>
      <c r="H278" s="2" t="s">
        <v>18152</v>
      </c>
      <c r="I278" s="2" t="s">
        <v>991</v>
      </c>
      <c r="J278" s="2" t="s">
        <v>18173</v>
      </c>
      <c r="K278" s="2" t="s">
        <v>55</v>
      </c>
      <c r="L278" s="2" t="s">
        <v>18175</v>
      </c>
      <c r="M278" s="6"/>
      <c r="N278" s="45" t="str">
        <f t="shared" si="223"/>
        <v>@ltusoftball</v>
      </c>
      <c r="O278" s="45" t="str">
        <f t="shared" si="224"/>
        <v>Questionnaire</v>
      </c>
      <c r="P278" s="60" t="s">
        <v>18157</v>
      </c>
      <c r="Q278" s="60" t="s">
        <v>4538</v>
      </c>
      <c r="R278" s="48" t="s">
        <v>18158</v>
      </c>
      <c r="S278" s="48" t="s">
        <v>186</v>
      </c>
      <c r="T278" s="49" t="s">
        <v>63</v>
      </c>
      <c r="U278" s="48" t="s">
        <v>75</v>
      </c>
      <c r="V278" s="49"/>
      <c r="W278" s="65">
        <v>3.5</v>
      </c>
      <c r="X278" s="49" t="s">
        <v>1649</v>
      </c>
      <c r="Y278" s="49" t="s">
        <v>677</v>
      </c>
      <c r="Z278" s="49" t="s">
        <v>958</v>
      </c>
      <c r="AA278" s="65">
        <v>0.69</v>
      </c>
      <c r="AB278" s="39">
        <v>46948</v>
      </c>
      <c r="AC278" s="90" t="s">
        <v>18157</v>
      </c>
      <c r="AD278" s="53" t="str">
        <f t="shared" si="225"/>
        <v>Link</v>
      </c>
      <c r="AE278" s="42">
        <v>2164</v>
      </c>
      <c r="AF278" s="55"/>
      <c r="AG278" s="55"/>
      <c r="AH278" s="56">
        <v>170675</v>
      </c>
      <c r="AI278" s="55"/>
    </row>
    <row r="279" spans="1:41" ht="13" x14ac:dyDescent="0.15">
      <c r="A279" s="7" t="s">
        <v>17020</v>
      </c>
      <c r="B279" s="110" t="s">
        <v>4553</v>
      </c>
      <c r="C279" s="2" t="s">
        <v>15218</v>
      </c>
      <c r="D279" s="7" t="s">
        <v>18181</v>
      </c>
      <c r="E279" s="44">
        <v>5</v>
      </c>
      <c r="F279" s="48" t="s">
        <v>116</v>
      </c>
      <c r="G279" s="48"/>
      <c r="H279" s="2" t="s">
        <v>18152</v>
      </c>
      <c r="I279" s="7" t="s">
        <v>161</v>
      </c>
      <c r="J279" s="7" t="s">
        <v>4655</v>
      </c>
      <c r="K279" s="7" t="s">
        <v>919</v>
      </c>
      <c r="L279" s="7" t="s">
        <v>18182</v>
      </c>
      <c r="M279" s="48"/>
      <c r="N279" s="48"/>
      <c r="O279" s="45" t="str">
        <f t="shared" si="224"/>
        <v>Questionnaire</v>
      </c>
      <c r="P279" s="60" t="s">
        <v>18157</v>
      </c>
      <c r="Q279" s="60" t="s">
        <v>4538</v>
      </c>
      <c r="R279" s="48" t="s">
        <v>18158</v>
      </c>
      <c r="S279" s="48" t="s">
        <v>186</v>
      </c>
      <c r="T279" s="49" t="s">
        <v>63</v>
      </c>
      <c r="U279" s="48" t="s">
        <v>75</v>
      </c>
      <c r="V279" s="49"/>
      <c r="W279" s="65">
        <v>3.5</v>
      </c>
      <c r="X279" s="49" t="s">
        <v>1649</v>
      </c>
      <c r="Y279" s="49" t="s">
        <v>677</v>
      </c>
      <c r="Z279" s="49" t="s">
        <v>958</v>
      </c>
      <c r="AA279" s="65">
        <v>0.69</v>
      </c>
      <c r="AB279" s="39">
        <v>46948</v>
      </c>
      <c r="AC279" s="90" t="s">
        <v>18157</v>
      </c>
      <c r="AD279" s="67" t="str">
        <f t="shared" si="225"/>
        <v>Link</v>
      </c>
      <c r="AE279" s="42">
        <v>2164</v>
      </c>
      <c r="AF279" s="55"/>
      <c r="AG279" s="55"/>
      <c r="AH279" s="56">
        <v>170675</v>
      </c>
      <c r="AI279" s="55"/>
    </row>
    <row r="280" spans="1:41" ht="13" x14ac:dyDescent="0.15">
      <c r="A280" s="7"/>
      <c r="B280" s="31" t="s">
        <v>4553</v>
      </c>
      <c r="C280" s="2" t="s">
        <v>15218</v>
      </c>
      <c r="D280" s="7" t="s">
        <v>18186</v>
      </c>
      <c r="E280" s="37">
        <v>5</v>
      </c>
      <c r="F280" s="48"/>
      <c r="G280" s="48"/>
      <c r="H280" s="2" t="s">
        <v>18187</v>
      </c>
      <c r="I280" s="2" t="s">
        <v>6305</v>
      </c>
      <c r="J280" s="2" t="s">
        <v>7787</v>
      </c>
      <c r="K280" s="6" t="s">
        <v>48</v>
      </c>
      <c r="L280" s="2" t="s">
        <v>18188</v>
      </c>
      <c r="M280" s="6" t="s">
        <v>18189</v>
      </c>
      <c r="N280" s="45" t="str">
        <f t="shared" ref="N280:N283" si="226">HYPERLINK("twitter.com/mucrusaderssb","@mucrusaderssb")</f>
        <v>@mucrusaderssb</v>
      </c>
      <c r="O280" s="45" t="str">
        <f t="shared" ref="O280:O283" si="227">HYPERLINK("https://mucrusaders.com/sb_output.aspx?form=3","Questionnaire")</f>
        <v>Questionnaire</v>
      </c>
      <c r="P280" s="48" t="s">
        <v>18195</v>
      </c>
      <c r="Q280" s="60" t="s">
        <v>4538</v>
      </c>
      <c r="R280" s="48" t="s">
        <v>18196</v>
      </c>
      <c r="S280" s="48" t="s">
        <v>238</v>
      </c>
      <c r="T280" s="49" t="s">
        <v>63</v>
      </c>
      <c r="U280" s="6" t="s">
        <v>343</v>
      </c>
      <c r="V280" s="49"/>
      <c r="W280" s="65">
        <v>3.1</v>
      </c>
      <c r="X280" s="49" t="s">
        <v>214</v>
      </c>
      <c r="Y280" s="49" t="s">
        <v>214</v>
      </c>
      <c r="Z280" s="49" t="s">
        <v>449</v>
      </c>
      <c r="AA280" s="65">
        <v>0.75</v>
      </c>
      <c r="AB280" s="39">
        <v>32712</v>
      </c>
      <c r="AC280" s="84" t="s">
        <v>18195</v>
      </c>
      <c r="AD280" s="53" t="str">
        <f t="shared" ref="AD280:AD283" si="228">HYPERLINK("https://www.madonna.edu/academics","Link")</f>
        <v>Link</v>
      </c>
      <c r="AE280" s="42">
        <v>2629</v>
      </c>
      <c r="AF280" s="55"/>
      <c r="AG280" s="55"/>
      <c r="AH280" s="56">
        <v>170806</v>
      </c>
      <c r="AI280" s="55"/>
    </row>
    <row r="281" spans="1:41" ht="13" x14ac:dyDescent="0.15">
      <c r="A281" s="7"/>
      <c r="B281" s="31" t="s">
        <v>4553</v>
      </c>
      <c r="C281" s="2" t="s">
        <v>15218</v>
      </c>
      <c r="D281" s="7" t="s">
        <v>18200</v>
      </c>
      <c r="E281" s="37">
        <v>5</v>
      </c>
      <c r="F281" s="48"/>
      <c r="G281" s="48"/>
      <c r="H281" s="2" t="s">
        <v>18187</v>
      </c>
      <c r="I281" s="2" t="s">
        <v>1791</v>
      </c>
      <c r="J281" s="2" t="s">
        <v>18202</v>
      </c>
      <c r="K281" s="2" t="s">
        <v>55</v>
      </c>
      <c r="L281" s="2"/>
      <c r="M281" s="6"/>
      <c r="N281" s="45" t="str">
        <f t="shared" si="226"/>
        <v>@mucrusaderssb</v>
      </c>
      <c r="O281" s="45" t="str">
        <f t="shared" si="227"/>
        <v>Questionnaire</v>
      </c>
      <c r="P281" s="48" t="s">
        <v>18195</v>
      </c>
      <c r="Q281" s="60" t="s">
        <v>4538</v>
      </c>
      <c r="R281" s="48" t="s">
        <v>18196</v>
      </c>
      <c r="S281" s="48" t="s">
        <v>238</v>
      </c>
      <c r="T281" s="49" t="s">
        <v>63</v>
      </c>
      <c r="U281" s="6" t="s">
        <v>343</v>
      </c>
      <c r="V281" s="49"/>
      <c r="W281" s="65">
        <v>3.1</v>
      </c>
      <c r="X281" s="49" t="s">
        <v>214</v>
      </c>
      <c r="Y281" s="49" t="s">
        <v>214</v>
      </c>
      <c r="Z281" s="49" t="s">
        <v>449</v>
      </c>
      <c r="AA281" s="65">
        <v>0.75</v>
      </c>
      <c r="AB281" s="39">
        <v>32712</v>
      </c>
      <c r="AC281" s="84" t="s">
        <v>18195</v>
      </c>
      <c r="AD281" s="53" t="str">
        <f t="shared" si="228"/>
        <v>Link</v>
      </c>
      <c r="AE281" s="42">
        <v>2629</v>
      </c>
      <c r="AF281" s="55"/>
      <c r="AG281" s="55"/>
      <c r="AH281" s="56">
        <v>170806</v>
      </c>
      <c r="AI281" s="55"/>
    </row>
    <row r="282" spans="1:41" ht="13" x14ac:dyDescent="0.15">
      <c r="A282" s="7"/>
      <c r="B282" s="31" t="s">
        <v>4553</v>
      </c>
      <c r="C282" s="2" t="s">
        <v>15218</v>
      </c>
      <c r="D282" s="7" t="s">
        <v>18207</v>
      </c>
      <c r="E282" s="37">
        <v>5</v>
      </c>
      <c r="F282" s="48"/>
      <c r="G282" s="48"/>
      <c r="H282" s="2" t="s">
        <v>18187</v>
      </c>
      <c r="I282" s="2" t="s">
        <v>754</v>
      </c>
      <c r="J282" s="2" t="s">
        <v>18208</v>
      </c>
      <c r="K282" s="2" t="s">
        <v>55</v>
      </c>
      <c r="L282" s="2"/>
      <c r="M282" s="6"/>
      <c r="N282" s="45" t="str">
        <f t="shared" si="226"/>
        <v>@mucrusaderssb</v>
      </c>
      <c r="O282" s="45" t="str">
        <f t="shared" si="227"/>
        <v>Questionnaire</v>
      </c>
      <c r="P282" s="48" t="s">
        <v>18195</v>
      </c>
      <c r="Q282" s="60" t="s">
        <v>4538</v>
      </c>
      <c r="R282" s="48" t="s">
        <v>18196</v>
      </c>
      <c r="S282" s="48" t="s">
        <v>238</v>
      </c>
      <c r="T282" s="49" t="s">
        <v>63</v>
      </c>
      <c r="U282" s="6" t="s">
        <v>343</v>
      </c>
      <c r="V282" s="49"/>
      <c r="W282" s="65">
        <v>3.1</v>
      </c>
      <c r="X282" s="49" t="s">
        <v>214</v>
      </c>
      <c r="Y282" s="49" t="s">
        <v>214</v>
      </c>
      <c r="Z282" s="49" t="s">
        <v>449</v>
      </c>
      <c r="AA282" s="65">
        <v>0.75</v>
      </c>
      <c r="AB282" s="39">
        <v>32712</v>
      </c>
      <c r="AC282" s="84" t="s">
        <v>18195</v>
      </c>
      <c r="AD282" s="53" t="str">
        <f t="shared" si="228"/>
        <v>Link</v>
      </c>
      <c r="AE282" s="42">
        <v>2629</v>
      </c>
      <c r="AF282" s="55"/>
      <c r="AG282" s="55"/>
      <c r="AH282" s="56">
        <v>170806</v>
      </c>
      <c r="AI282" s="55"/>
    </row>
    <row r="283" spans="1:41" ht="13" x14ac:dyDescent="0.15">
      <c r="A283" s="7"/>
      <c r="B283" s="31" t="s">
        <v>4553</v>
      </c>
      <c r="C283" s="2" t="s">
        <v>15218</v>
      </c>
      <c r="D283" s="7" t="s">
        <v>18213</v>
      </c>
      <c r="E283" s="37">
        <v>5</v>
      </c>
      <c r="F283" s="48"/>
      <c r="G283" s="48"/>
      <c r="H283" s="2" t="s">
        <v>18187</v>
      </c>
      <c r="I283" s="2" t="s">
        <v>1610</v>
      </c>
      <c r="J283" s="2" t="s">
        <v>7787</v>
      </c>
      <c r="K283" s="2" t="s">
        <v>55</v>
      </c>
      <c r="L283" s="2"/>
      <c r="M283" s="6"/>
      <c r="N283" s="45" t="str">
        <f t="shared" si="226"/>
        <v>@mucrusaderssb</v>
      </c>
      <c r="O283" s="45" t="str">
        <f t="shared" si="227"/>
        <v>Questionnaire</v>
      </c>
      <c r="P283" s="48" t="s">
        <v>18195</v>
      </c>
      <c r="Q283" s="60" t="s">
        <v>4538</v>
      </c>
      <c r="R283" s="48" t="s">
        <v>18196</v>
      </c>
      <c r="S283" s="48" t="s">
        <v>238</v>
      </c>
      <c r="T283" s="49" t="s">
        <v>63</v>
      </c>
      <c r="U283" s="6" t="s">
        <v>343</v>
      </c>
      <c r="V283" s="49"/>
      <c r="W283" s="65">
        <v>3.1</v>
      </c>
      <c r="X283" s="49" t="s">
        <v>214</v>
      </c>
      <c r="Y283" s="49" t="s">
        <v>214</v>
      </c>
      <c r="Z283" s="49" t="s">
        <v>449</v>
      </c>
      <c r="AA283" s="65">
        <v>0.75</v>
      </c>
      <c r="AB283" s="39">
        <v>32712</v>
      </c>
      <c r="AC283" s="84" t="s">
        <v>18195</v>
      </c>
      <c r="AD283" s="53" t="str">
        <f t="shared" si="228"/>
        <v>Link</v>
      </c>
      <c r="AE283" s="42">
        <v>2629</v>
      </c>
      <c r="AF283" s="55"/>
      <c r="AG283" s="55"/>
      <c r="AH283" s="56">
        <v>170806</v>
      </c>
      <c r="AI283" s="55"/>
    </row>
    <row r="284" spans="1:41" ht="13" x14ac:dyDescent="0.15">
      <c r="A284" s="7"/>
      <c r="B284" s="31" t="s">
        <v>4553</v>
      </c>
      <c r="C284" s="2" t="s">
        <v>15218</v>
      </c>
      <c r="D284" s="7" t="s">
        <v>18222</v>
      </c>
      <c r="E284" s="37">
        <v>5</v>
      </c>
      <c r="F284" s="48"/>
      <c r="G284" s="48"/>
      <c r="H284" s="2" t="s">
        <v>18223</v>
      </c>
      <c r="I284" s="2" t="s">
        <v>18224</v>
      </c>
      <c r="J284" s="2" t="s">
        <v>18225</v>
      </c>
      <c r="K284" s="2" t="s">
        <v>48</v>
      </c>
      <c r="L284" s="2" t="s">
        <v>18226</v>
      </c>
      <c r="M284" s="6" t="s">
        <v>18227</v>
      </c>
      <c r="N284" s="45" t="str">
        <f t="shared" ref="N284:N287" si="229">HYPERLINK("twitter.com/umdearbornsb","@umdearbornsb")</f>
        <v>@umdearbornsb</v>
      </c>
      <c r="O284" s="45" t="str">
        <f t="shared" ref="O284:O287" si="230">HYPERLINK("http://athletics.umdearborn.edu/information/student_athlete_information_form","Questionnaire")</f>
        <v>Questionnaire</v>
      </c>
      <c r="P284" s="48" t="s">
        <v>18232</v>
      </c>
      <c r="Q284" s="60" t="s">
        <v>4538</v>
      </c>
      <c r="R284" s="48" t="s">
        <v>18233</v>
      </c>
      <c r="S284" s="48" t="s">
        <v>238</v>
      </c>
      <c r="T284" s="49" t="s">
        <v>74</v>
      </c>
      <c r="U284" s="48" t="s">
        <v>75</v>
      </c>
      <c r="V284" s="49"/>
      <c r="W284" s="65">
        <v>3.55</v>
      </c>
      <c r="X284" s="49" t="s">
        <v>214</v>
      </c>
      <c r="Y284" s="49" t="s">
        <v>18234</v>
      </c>
      <c r="Z284" s="49" t="s">
        <v>320</v>
      </c>
      <c r="AA284" s="65">
        <v>0.65</v>
      </c>
      <c r="AB284" s="48" t="s">
        <v>18235</v>
      </c>
      <c r="AC284" s="84" t="s">
        <v>18232</v>
      </c>
      <c r="AD284" s="53" t="str">
        <f t="shared" ref="AD284:AD287" si="231">HYPERLINK("https://umdearborn.edu/academics/undergraduate-studies","Link")</f>
        <v>Link</v>
      </c>
      <c r="AE284" s="42">
        <v>7141</v>
      </c>
      <c r="AF284" s="55"/>
      <c r="AG284" s="55"/>
      <c r="AH284" s="56">
        <v>171137</v>
      </c>
      <c r="AI284" s="55"/>
    </row>
    <row r="285" spans="1:41" ht="13" x14ac:dyDescent="0.15">
      <c r="A285" s="7"/>
      <c r="B285" s="31" t="s">
        <v>4553</v>
      </c>
      <c r="C285" s="2" t="s">
        <v>15218</v>
      </c>
      <c r="D285" s="7" t="s">
        <v>18240</v>
      </c>
      <c r="E285" s="37">
        <v>5</v>
      </c>
      <c r="F285" s="48"/>
      <c r="G285" s="48"/>
      <c r="H285" s="2" t="s">
        <v>18223</v>
      </c>
      <c r="I285" s="2" t="s">
        <v>1132</v>
      </c>
      <c r="J285" s="2" t="s">
        <v>2031</v>
      </c>
      <c r="K285" s="2" t="s">
        <v>55</v>
      </c>
      <c r="L285" s="2"/>
      <c r="M285" s="6"/>
      <c r="N285" s="45" t="str">
        <f t="shared" si="229"/>
        <v>@umdearbornsb</v>
      </c>
      <c r="O285" s="45" t="str">
        <f t="shared" si="230"/>
        <v>Questionnaire</v>
      </c>
      <c r="P285" s="48" t="s">
        <v>18232</v>
      </c>
      <c r="Q285" s="60" t="s">
        <v>4538</v>
      </c>
      <c r="R285" s="48" t="s">
        <v>18233</v>
      </c>
      <c r="S285" s="48" t="s">
        <v>238</v>
      </c>
      <c r="T285" s="49" t="s">
        <v>74</v>
      </c>
      <c r="U285" s="48" t="s">
        <v>75</v>
      </c>
      <c r="V285" s="49"/>
      <c r="W285" s="65">
        <v>3.55</v>
      </c>
      <c r="X285" s="49" t="s">
        <v>214</v>
      </c>
      <c r="Y285" s="49" t="s">
        <v>18234</v>
      </c>
      <c r="Z285" s="49" t="s">
        <v>320</v>
      </c>
      <c r="AA285" s="65">
        <v>0.65</v>
      </c>
      <c r="AB285" s="48" t="s">
        <v>18235</v>
      </c>
      <c r="AC285" s="84" t="s">
        <v>18232</v>
      </c>
      <c r="AD285" s="53" t="str">
        <f t="shared" si="231"/>
        <v>Link</v>
      </c>
      <c r="AE285" s="42">
        <v>7141</v>
      </c>
      <c r="AF285" s="55"/>
      <c r="AG285" s="55"/>
      <c r="AH285" s="56">
        <v>171137</v>
      </c>
      <c r="AI285" s="55"/>
    </row>
    <row r="286" spans="1:41" ht="13" x14ac:dyDescent="0.15">
      <c r="A286" s="7"/>
      <c r="B286" s="31" t="s">
        <v>4553</v>
      </c>
      <c r="C286" s="2" t="s">
        <v>15218</v>
      </c>
      <c r="D286" s="7" t="s">
        <v>18244</v>
      </c>
      <c r="E286" s="37">
        <v>5</v>
      </c>
      <c r="F286" s="48"/>
      <c r="G286" s="48"/>
      <c r="H286" s="2" t="s">
        <v>18223</v>
      </c>
      <c r="I286" s="2" t="s">
        <v>1875</v>
      </c>
      <c r="J286" s="2" t="s">
        <v>18246</v>
      </c>
      <c r="K286" s="2" t="s">
        <v>55</v>
      </c>
      <c r="L286" s="2" t="s">
        <v>18249</v>
      </c>
      <c r="M286" s="6"/>
      <c r="N286" s="45" t="str">
        <f t="shared" si="229"/>
        <v>@umdearbornsb</v>
      </c>
      <c r="O286" s="45" t="str">
        <f t="shared" si="230"/>
        <v>Questionnaire</v>
      </c>
      <c r="P286" s="48" t="s">
        <v>18232</v>
      </c>
      <c r="Q286" s="60" t="s">
        <v>4538</v>
      </c>
      <c r="R286" s="48" t="s">
        <v>18233</v>
      </c>
      <c r="S286" s="48" t="s">
        <v>238</v>
      </c>
      <c r="T286" s="49" t="s">
        <v>74</v>
      </c>
      <c r="U286" s="48" t="s">
        <v>75</v>
      </c>
      <c r="V286" s="49"/>
      <c r="W286" s="65">
        <v>3.55</v>
      </c>
      <c r="X286" s="49" t="s">
        <v>214</v>
      </c>
      <c r="Y286" s="49" t="s">
        <v>18234</v>
      </c>
      <c r="Z286" s="49" t="s">
        <v>320</v>
      </c>
      <c r="AA286" s="65">
        <v>0.65</v>
      </c>
      <c r="AB286" s="48" t="s">
        <v>18235</v>
      </c>
      <c r="AC286" s="84" t="s">
        <v>18232</v>
      </c>
      <c r="AD286" s="53" t="str">
        <f t="shared" si="231"/>
        <v>Link</v>
      </c>
      <c r="AE286" s="42">
        <v>7141</v>
      </c>
      <c r="AF286" s="55"/>
      <c r="AG286" s="55"/>
      <c r="AH286" s="56">
        <v>171137</v>
      </c>
      <c r="AI286" s="55"/>
    </row>
    <row r="287" spans="1:41" ht="13" x14ac:dyDescent="0.15">
      <c r="A287" s="7"/>
      <c r="B287" s="31" t="s">
        <v>4553</v>
      </c>
      <c r="C287" s="2" t="s">
        <v>15218</v>
      </c>
      <c r="D287" s="7" t="s">
        <v>18254</v>
      </c>
      <c r="E287" s="37">
        <v>5</v>
      </c>
      <c r="F287" s="48"/>
      <c r="G287" s="48"/>
      <c r="H287" s="2" t="s">
        <v>18223</v>
      </c>
      <c r="I287" s="2" t="s">
        <v>18255</v>
      </c>
      <c r="J287" s="2" t="s">
        <v>1267</v>
      </c>
      <c r="K287" s="2" t="s">
        <v>55</v>
      </c>
      <c r="L287" s="95" t="s">
        <v>18256</v>
      </c>
      <c r="M287" s="6"/>
      <c r="N287" s="45" t="str">
        <f t="shared" si="229"/>
        <v>@umdearbornsb</v>
      </c>
      <c r="O287" s="45" t="str">
        <f t="shared" si="230"/>
        <v>Questionnaire</v>
      </c>
      <c r="P287" s="48" t="s">
        <v>18232</v>
      </c>
      <c r="Q287" s="60" t="s">
        <v>4538</v>
      </c>
      <c r="R287" s="48" t="s">
        <v>18233</v>
      </c>
      <c r="S287" s="48" t="s">
        <v>238</v>
      </c>
      <c r="T287" s="49" t="s">
        <v>74</v>
      </c>
      <c r="U287" s="48" t="s">
        <v>75</v>
      </c>
      <c r="V287" s="49"/>
      <c r="W287" s="65">
        <v>3.55</v>
      </c>
      <c r="X287" s="49" t="s">
        <v>214</v>
      </c>
      <c r="Y287" s="49" t="s">
        <v>18234</v>
      </c>
      <c r="Z287" s="49" t="s">
        <v>320</v>
      </c>
      <c r="AA287" s="65">
        <v>0.65</v>
      </c>
      <c r="AB287" s="48" t="s">
        <v>18235</v>
      </c>
      <c r="AC287" s="84" t="s">
        <v>18232</v>
      </c>
      <c r="AD287" s="53" t="str">
        <f t="shared" si="231"/>
        <v>Link</v>
      </c>
      <c r="AE287" s="42">
        <v>7141</v>
      </c>
      <c r="AF287" s="55"/>
      <c r="AG287" s="55"/>
      <c r="AH287" s="56">
        <v>171137</v>
      </c>
      <c r="AI287" s="55"/>
    </row>
    <row r="288" spans="1:41" ht="15" x14ac:dyDescent="0.2">
      <c r="A288" s="7"/>
      <c r="B288" s="110" t="s">
        <v>4553</v>
      </c>
      <c r="C288" s="2" t="s">
        <v>15218</v>
      </c>
      <c r="D288" s="7"/>
      <c r="E288" s="37">
        <v>5</v>
      </c>
      <c r="F288" s="7"/>
      <c r="G288" s="7"/>
      <c r="H288" s="2" t="s">
        <v>9528</v>
      </c>
      <c r="I288" s="2" t="s">
        <v>18260</v>
      </c>
      <c r="J288" s="2" t="s">
        <v>18262</v>
      </c>
      <c r="K288" s="2" t="s">
        <v>48</v>
      </c>
      <c r="L288" s="2" t="s">
        <v>18265</v>
      </c>
      <c r="M288" s="6" t="s">
        <v>18266</v>
      </c>
      <c r="N288" s="48"/>
      <c r="O288" s="114" t="s">
        <v>22</v>
      </c>
      <c r="P288" s="48" t="s">
        <v>18267</v>
      </c>
      <c r="Q288" s="47" t="s">
        <v>4538</v>
      </c>
      <c r="R288" s="48" t="s">
        <v>18268</v>
      </c>
      <c r="S288" s="60" t="s">
        <v>186</v>
      </c>
      <c r="T288" s="48" t="s">
        <v>63</v>
      </c>
      <c r="U288" s="49" t="s">
        <v>686</v>
      </c>
      <c r="V288" s="49"/>
      <c r="W288" s="61">
        <v>3</v>
      </c>
      <c r="X288" s="49" t="s">
        <v>18269</v>
      </c>
      <c r="Y288" s="49" t="s">
        <v>18270</v>
      </c>
      <c r="Z288" s="55" t="s">
        <v>841</v>
      </c>
      <c r="AA288" s="80">
        <v>0.56999999999999995</v>
      </c>
      <c r="AB288" s="71">
        <v>31170</v>
      </c>
      <c r="AC288" s="62" t="s">
        <v>18267</v>
      </c>
      <c r="AD288" s="53" t="s">
        <v>16902</v>
      </c>
      <c r="AE288" s="54">
        <v>1155</v>
      </c>
      <c r="AF288" s="55"/>
      <c r="AG288" s="55"/>
      <c r="AH288" s="56">
        <v>170967</v>
      </c>
      <c r="AI288" s="85" t="s">
        <v>2459</v>
      </c>
      <c r="AJ288" s="7"/>
      <c r="AK288" s="7"/>
      <c r="AL288" s="7"/>
      <c r="AM288" s="7"/>
      <c r="AN288" s="7"/>
      <c r="AO288" s="7"/>
    </row>
    <row r="289" spans="1:41" ht="15" x14ac:dyDescent="0.2">
      <c r="A289" s="7"/>
      <c r="B289" s="110" t="s">
        <v>4553</v>
      </c>
      <c r="C289" s="2" t="s">
        <v>15218</v>
      </c>
      <c r="D289" s="7"/>
      <c r="E289" s="37">
        <v>5</v>
      </c>
      <c r="F289" s="7"/>
      <c r="G289" s="7"/>
      <c r="H289" s="2" t="s">
        <v>9528</v>
      </c>
      <c r="I289" s="2" t="s">
        <v>3385</v>
      </c>
      <c r="J289" s="2" t="s">
        <v>17415</v>
      </c>
      <c r="K289" s="2" t="s">
        <v>55</v>
      </c>
      <c r="L289" s="2"/>
      <c r="M289" s="6"/>
      <c r="N289" s="48"/>
      <c r="O289" s="114" t="s">
        <v>22</v>
      </c>
      <c r="P289" s="48" t="s">
        <v>18267</v>
      </c>
      <c r="Q289" s="47" t="s">
        <v>4538</v>
      </c>
      <c r="R289" s="48" t="s">
        <v>18268</v>
      </c>
      <c r="S289" s="60" t="s">
        <v>186</v>
      </c>
      <c r="T289" s="48" t="s">
        <v>63</v>
      </c>
      <c r="U289" s="49" t="s">
        <v>686</v>
      </c>
      <c r="V289" s="49"/>
      <c r="W289" s="61">
        <v>3</v>
      </c>
      <c r="X289" s="49" t="s">
        <v>18269</v>
      </c>
      <c r="Y289" s="49" t="s">
        <v>18270</v>
      </c>
      <c r="Z289" s="55" t="s">
        <v>841</v>
      </c>
      <c r="AA289" s="80">
        <v>0.56999999999999995</v>
      </c>
      <c r="AB289" s="71">
        <v>31170</v>
      </c>
      <c r="AC289" s="62" t="s">
        <v>18267</v>
      </c>
      <c r="AD289" s="53" t="s">
        <v>16902</v>
      </c>
      <c r="AE289" s="54">
        <v>1155</v>
      </c>
      <c r="AF289" s="55"/>
      <c r="AG289" s="55"/>
      <c r="AH289" s="56">
        <v>170967</v>
      </c>
      <c r="AI289" s="7" t="s">
        <v>2459</v>
      </c>
      <c r="AJ289" s="7"/>
      <c r="AK289" s="7"/>
      <c r="AL289" s="7"/>
      <c r="AM289" s="7"/>
      <c r="AN289" s="7"/>
      <c r="AO289" s="7"/>
    </row>
    <row r="290" spans="1:41" ht="15" x14ac:dyDescent="0.2">
      <c r="A290" s="7"/>
      <c r="B290" s="110" t="s">
        <v>4553</v>
      </c>
      <c r="C290" s="2" t="s">
        <v>15218</v>
      </c>
      <c r="D290" s="7"/>
      <c r="E290" s="37">
        <v>5</v>
      </c>
      <c r="F290" s="7"/>
      <c r="G290" s="7"/>
      <c r="H290" s="2" t="s">
        <v>9528</v>
      </c>
      <c r="I290" s="2" t="s">
        <v>18255</v>
      </c>
      <c r="J290" s="2" t="s">
        <v>1267</v>
      </c>
      <c r="K290" s="2" t="s">
        <v>55</v>
      </c>
      <c r="L290" s="2"/>
      <c r="M290" s="6"/>
      <c r="N290" s="48"/>
      <c r="O290" s="114" t="s">
        <v>22</v>
      </c>
      <c r="P290" s="48" t="s">
        <v>18267</v>
      </c>
      <c r="Q290" s="47" t="s">
        <v>4538</v>
      </c>
      <c r="R290" s="48" t="s">
        <v>18268</v>
      </c>
      <c r="S290" s="60" t="s">
        <v>186</v>
      </c>
      <c r="T290" s="48" t="s">
        <v>63</v>
      </c>
      <c r="U290" s="49" t="s">
        <v>686</v>
      </c>
      <c r="V290" s="49"/>
      <c r="W290" s="61">
        <v>3</v>
      </c>
      <c r="X290" s="49" t="s">
        <v>18269</v>
      </c>
      <c r="Y290" s="49" t="s">
        <v>18270</v>
      </c>
      <c r="Z290" s="55" t="s">
        <v>841</v>
      </c>
      <c r="AA290" s="80">
        <v>0.56999999999999995</v>
      </c>
      <c r="AB290" s="71">
        <v>31170</v>
      </c>
      <c r="AC290" s="62" t="s">
        <v>18267</v>
      </c>
      <c r="AD290" s="53" t="s">
        <v>16902</v>
      </c>
      <c r="AE290" s="54">
        <v>1155</v>
      </c>
      <c r="AF290" s="55"/>
      <c r="AG290" s="55"/>
      <c r="AH290" s="56">
        <v>170967</v>
      </c>
      <c r="AI290" s="7" t="s">
        <v>2459</v>
      </c>
      <c r="AJ290" s="7"/>
      <c r="AK290" s="7"/>
      <c r="AL290" s="7"/>
      <c r="AM290" s="7"/>
      <c r="AN290" s="7"/>
      <c r="AO290" s="7"/>
    </row>
    <row r="291" spans="1:41" ht="13" x14ac:dyDescent="0.15">
      <c r="A291" s="7"/>
      <c r="B291" s="31" t="s">
        <v>4553</v>
      </c>
      <c r="C291" s="2" t="s">
        <v>15218</v>
      </c>
      <c r="D291" s="7" t="s">
        <v>18279</v>
      </c>
      <c r="E291" s="37">
        <v>5</v>
      </c>
      <c r="F291" s="48"/>
      <c r="G291" s="48"/>
      <c r="H291" s="2" t="s">
        <v>18280</v>
      </c>
      <c r="I291" s="2" t="s">
        <v>161</v>
      </c>
      <c r="J291" s="2" t="s">
        <v>18281</v>
      </c>
      <c r="K291" s="2" t="s">
        <v>48</v>
      </c>
      <c r="L291" s="2" t="s">
        <v>18282</v>
      </c>
      <c r="M291" s="6" t="s">
        <v>18283</v>
      </c>
      <c r="N291" s="48"/>
      <c r="O291" s="45" t="str">
        <f t="shared" ref="O291:O293" si="232">HYPERLINK("http://shusaints.com/recruiting/index","Questionnaire")</f>
        <v>Questionnaire</v>
      </c>
      <c r="P291" s="6" t="s">
        <v>18288</v>
      </c>
      <c r="Q291" s="60" t="s">
        <v>4538</v>
      </c>
      <c r="R291" s="48" t="s">
        <v>2998</v>
      </c>
      <c r="S291" s="48" t="s">
        <v>172</v>
      </c>
      <c r="T291" s="49" t="s">
        <v>63</v>
      </c>
      <c r="U291" s="6" t="s">
        <v>343</v>
      </c>
      <c r="V291" s="49"/>
      <c r="W291" s="65">
        <v>3.2</v>
      </c>
      <c r="X291" s="49" t="s">
        <v>214</v>
      </c>
      <c r="Y291" s="49" t="s">
        <v>214</v>
      </c>
      <c r="Z291" s="49" t="s">
        <v>746</v>
      </c>
      <c r="AA291" s="65">
        <v>0.72</v>
      </c>
      <c r="AB291" s="39">
        <v>37452</v>
      </c>
      <c r="AC291" s="84" t="s">
        <v>18288</v>
      </c>
      <c r="AD291" s="53" t="str">
        <f t="shared" ref="AD291:AD293" si="233">HYPERLINK("http://sienaheights.edu/Academics/Majors-Programs","Link")</f>
        <v>Link</v>
      </c>
      <c r="AE291" s="42">
        <v>2407</v>
      </c>
      <c r="AF291" s="55"/>
      <c r="AG291" s="55"/>
      <c r="AH291" s="56">
        <v>172264</v>
      </c>
      <c r="AI291" s="55"/>
    </row>
    <row r="292" spans="1:41" ht="13" x14ac:dyDescent="0.15">
      <c r="A292" s="7"/>
      <c r="B292" s="31" t="s">
        <v>4553</v>
      </c>
      <c r="C292" s="2" t="s">
        <v>15218</v>
      </c>
      <c r="D292" s="7" t="s">
        <v>18294</v>
      </c>
      <c r="E292" s="37">
        <v>5</v>
      </c>
      <c r="F292" s="48"/>
      <c r="G292" s="48"/>
      <c r="H292" s="2" t="s">
        <v>18280</v>
      </c>
      <c r="I292" s="2" t="s">
        <v>4419</v>
      </c>
      <c r="J292" s="2" t="s">
        <v>729</v>
      </c>
      <c r="K292" s="2" t="s">
        <v>55</v>
      </c>
      <c r="L292" s="2" t="s">
        <v>18295</v>
      </c>
      <c r="M292" s="6" t="s">
        <v>18296</v>
      </c>
      <c r="N292" s="48"/>
      <c r="O292" s="45" t="str">
        <f t="shared" si="232"/>
        <v>Questionnaire</v>
      </c>
      <c r="P292" s="6" t="s">
        <v>18288</v>
      </c>
      <c r="Q292" s="60" t="s">
        <v>4538</v>
      </c>
      <c r="R292" s="48" t="s">
        <v>2998</v>
      </c>
      <c r="S292" s="48" t="s">
        <v>172</v>
      </c>
      <c r="T292" s="49" t="s">
        <v>63</v>
      </c>
      <c r="U292" s="6" t="s">
        <v>343</v>
      </c>
      <c r="V292" s="49"/>
      <c r="W292" s="65">
        <v>3.2</v>
      </c>
      <c r="X292" s="49" t="s">
        <v>214</v>
      </c>
      <c r="Y292" s="49" t="s">
        <v>214</v>
      </c>
      <c r="Z292" s="49" t="s">
        <v>746</v>
      </c>
      <c r="AA292" s="65">
        <v>0.72</v>
      </c>
      <c r="AB292" s="39">
        <v>37452</v>
      </c>
      <c r="AC292" s="84" t="s">
        <v>18288</v>
      </c>
      <c r="AD292" s="53" t="str">
        <f t="shared" si="233"/>
        <v>Link</v>
      </c>
      <c r="AE292" s="42">
        <v>2407</v>
      </c>
      <c r="AF292" s="55"/>
      <c r="AG292" s="55"/>
      <c r="AH292" s="56">
        <v>172264</v>
      </c>
      <c r="AI292" s="55"/>
    </row>
    <row r="293" spans="1:41" ht="13" x14ac:dyDescent="0.15">
      <c r="A293" s="7"/>
      <c r="B293" s="31" t="s">
        <v>4553</v>
      </c>
      <c r="C293" s="2" t="s">
        <v>15218</v>
      </c>
      <c r="D293" s="7" t="s">
        <v>18300</v>
      </c>
      <c r="E293" s="37">
        <v>5</v>
      </c>
      <c r="F293" s="48"/>
      <c r="G293" s="48"/>
      <c r="H293" s="2" t="s">
        <v>18280</v>
      </c>
      <c r="I293" s="2" t="s">
        <v>234</v>
      </c>
      <c r="J293" s="2" t="s">
        <v>18302</v>
      </c>
      <c r="K293" s="2" t="s">
        <v>139</v>
      </c>
      <c r="L293" s="2"/>
      <c r="M293" s="6"/>
      <c r="N293" s="48"/>
      <c r="O293" s="45" t="str">
        <f t="shared" si="232"/>
        <v>Questionnaire</v>
      </c>
      <c r="P293" s="6" t="s">
        <v>18288</v>
      </c>
      <c r="Q293" s="60" t="s">
        <v>4538</v>
      </c>
      <c r="R293" s="48" t="s">
        <v>2998</v>
      </c>
      <c r="S293" s="48" t="s">
        <v>172</v>
      </c>
      <c r="T293" s="49" t="s">
        <v>63</v>
      </c>
      <c r="U293" s="6" t="s">
        <v>343</v>
      </c>
      <c r="V293" s="49"/>
      <c r="W293" s="65">
        <v>3.2</v>
      </c>
      <c r="X293" s="49" t="s">
        <v>214</v>
      </c>
      <c r="Y293" s="49" t="s">
        <v>214</v>
      </c>
      <c r="Z293" s="49" t="s">
        <v>746</v>
      </c>
      <c r="AA293" s="65">
        <v>0.72</v>
      </c>
      <c r="AB293" s="39">
        <v>37452</v>
      </c>
      <c r="AC293" s="84" t="s">
        <v>18288</v>
      </c>
      <c r="AD293" s="53" t="str">
        <f t="shared" si="233"/>
        <v>Link</v>
      </c>
      <c r="AE293" s="42">
        <v>2407</v>
      </c>
      <c r="AF293" s="55"/>
      <c r="AG293" s="55"/>
      <c r="AH293" s="56">
        <v>172264</v>
      </c>
      <c r="AI293" s="55"/>
    </row>
    <row r="294" spans="1:41" ht="13" x14ac:dyDescent="0.15">
      <c r="A294" s="7"/>
      <c r="B294" s="31" t="s">
        <v>4553</v>
      </c>
      <c r="C294" s="2" t="s">
        <v>15218</v>
      </c>
      <c r="D294" s="7" t="s">
        <v>18307</v>
      </c>
      <c r="E294" s="37">
        <v>5</v>
      </c>
      <c r="F294" s="48"/>
      <c r="G294" s="48"/>
      <c r="H294" s="2" t="s">
        <v>18308</v>
      </c>
      <c r="I294" s="2" t="s">
        <v>6947</v>
      </c>
      <c r="J294" s="2" t="s">
        <v>2482</v>
      </c>
      <c r="K294" s="2" t="s">
        <v>48</v>
      </c>
      <c r="L294" s="2" t="s">
        <v>18309</v>
      </c>
      <c r="M294" s="6" t="s">
        <v>18310</v>
      </c>
      <c r="N294" s="45" t="str">
        <f t="shared" ref="N294:N295" si="234">HYPERLINK("twitter.com/saucougarssb","@saucougarssb")</f>
        <v>@saucougarssb</v>
      </c>
      <c r="O294" s="45" t="str">
        <f t="shared" ref="O294:O295" si="235">HYPERLINK("https://www.arbor.edu/admissions/undergrad-admissions/undergraduate-documents-and-forms/athletic-recruit-forms/","Questionnaire")</f>
        <v>Questionnaire</v>
      </c>
      <c r="P294" s="6" t="s">
        <v>18314</v>
      </c>
      <c r="Q294" s="60" t="s">
        <v>4538</v>
      </c>
      <c r="R294" s="48" t="s">
        <v>18314</v>
      </c>
      <c r="S294" s="60" t="s">
        <v>205</v>
      </c>
      <c r="T294" s="49" t="s">
        <v>63</v>
      </c>
      <c r="U294" s="6" t="s">
        <v>2100</v>
      </c>
      <c r="V294" s="49"/>
      <c r="W294" s="65">
        <v>3.46</v>
      </c>
      <c r="X294" s="49" t="s">
        <v>18320</v>
      </c>
      <c r="Y294" s="49" t="s">
        <v>15313</v>
      </c>
      <c r="Z294" s="49" t="s">
        <v>746</v>
      </c>
      <c r="AA294" s="65">
        <v>0.71</v>
      </c>
      <c r="AB294" s="39">
        <v>38556</v>
      </c>
      <c r="AC294" s="84" t="s">
        <v>18314</v>
      </c>
      <c r="AD294" s="53" t="str">
        <f t="shared" ref="AD294:AD295" si="236">HYPERLINK("https://www.arbor.edu/academics/majors-and-programs/","Link")</f>
        <v>Link</v>
      </c>
      <c r="AE294" s="42">
        <v>2203</v>
      </c>
      <c r="AF294" s="55"/>
      <c r="AG294" s="55"/>
      <c r="AH294" s="56">
        <v>172334</v>
      </c>
      <c r="AI294" s="55"/>
    </row>
    <row r="295" spans="1:41" ht="13" x14ac:dyDescent="0.15">
      <c r="A295" s="7"/>
      <c r="B295" s="31" t="s">
        <v>4553</v>
      </c>
      <c r="C295" s="2" t="s">
        <v>15218</v>
      </c>
      <c r="D295" s="7" t="s">
        <v>18324</v>
      </c>
      <c r="E295" s="37">
        <v>5</v>
      </c>
      <c r="F295" s="48"/>
      <c r="G295" s="48"/>
      <c r="H295" s="2" t="s">
        <v>18308</v>
      </c>
      <c r="I295" s="2" t="s">
        <v>6721</v>
      </c>
      <c r="J295" s="2" t="s">
        <v>18325</v>
      </c>
      <c r="K295" s="2" t="s">
        <v>55</v>
      </c>
      <c r="L295" s="2" t="s">
        <v>18326</v>
      </c>
      <c r="M295" s="6" t="s">
        <v>18310</v>
      </c>
      <c r="N295" s="45" t="str">
        <f t="shared" si="234"/>
        <v>@saucougarssb</v>
      </c>
      <c r="O295" s="45" t="str">
        <f t="shared" si="235"/>
        <v>Questionnaire</v>
      </c>
      <c r="P295" s="6" t="s">
        <v>18314</v>
      </c>
      <c r="Q295" s="60" t="s">
        <v>4538</v>
      </c>
      <c r="R295" s="48" t="s">
        <v>18314</v>
      </c>
      <c r="S295" s="60" t="s">
        <v>205</v>
      </c>
      <c r="T295" s="49" t="s">
        <v>63</v>
      </c>
      <c r="U295" s="6" t="s">
        <v>2100</v>
      </c>
      <c r="V295" s="49"/>
      <c r="W295" s="65">
        <v>3.46</v>
      </c>
      <c r="X295" s="49" t="s">
        <v>18320</v>
      </c>
      <c r="Y295" s="49" t="s">
        <v>15313</v>
      </c>
      <c r="Z295" s="49" t="s">
        <v>746</v>
      </c>
      <c r="AA295" s="65">
        <v>0.71</v>
      </c>
      <c r="AB295" s="39">
        <v>38556</v>
      </c>
      <c r="AC295" s="84" t="s">
        <v>18314</v>
      </c>
      <c r="AD295" s="53" t="str">
        <f t="shared" si="236"/>
        <v>Link</v>
      </c>
      <c r="AE295" s="42">
        <v>2203</v>
      </c>
      <c r="AF295" s="55"/>
      <c r="AG295" s="55"/>
      <c r="AH295" s="56">
        <v>172334</v>
      </c>
      <c r="AI295" s="55"/>
    </row>
    <row r="296" spans="1:41" ht="15" x14ac:dyDescent="0.2">
      <c r="A296" s="7"/>
      <c r="B296" s="110" t="s">
        <v>6135</v>
      </c>
      <c r="C296" s="2" t="s">
        <v>15218</v>
      </c>
      <c r="D296" s="7"/>
      <c r="E296" s="37">
        <v>5</v>
      </c>
      <c r="F296" s="7"/>
      <c r="G296" s="7"/>
      <c r="H296" s="2" t="s">
        <v>18336</v>
      </c>
      <c r="I296" s="2" t="s">
        <v>402</v>
      </c>
      <c r="J296" s="2" t="s">
        <v>18337</v>
      </c>
      <c r="K296" s="2" t="s">
        <v>48</v>
      </c>
      <c r="L296" s="2" t="s">
        <v>18338</v>
      </c>
      <c r="M296" s="6"/>
      <c r="N296" s="114" t="str">
        <f t="shared" ref="N296:N298" si="237">HYPERLINK("@bmcsoftball","@bmcsoftball")</f>
        <v>@bmcsoftball</v>
      </c>
      <c r="O296" s="114" t="s">
        <v>22</v>
      </c>
      <c r="P296" s="48" t="s">
        <v>18342</v>
      </c>
      <c r="Q296" s="47" t="s">
        <v>6149</v>
      </c>
      <c r="R296" s="48" t="s">
        <v>18343</v>
      </c>
      <c r="S296" s="60" t="s">
        <v>205</v>
      </c>
      <c r="T296" s="48" t="s">
        <v>63</v>
      </c>
      <c r="U296" s="49" t="s">
        <v>800</v>
      </c>
      <c r="V296" s="49"/>
      <c r="W296" s="61">
        <v>3.47</v>
      </c>
      <c r="X296" s="49" t="s">
        <v>18344</v>
      </c>
      <c r="Y296" s="49" t="s">
        <v>18345</v>
      </c>
      <c r="Z296" s="55" t="s">
        <v>449</v>
      </c>
      <c r="AA296" s="80">
        <v>0.96850000000000003</v>
      </c>
      <c r="AB296" s="71">
        <v>20951</v>
      </c>
      <c r="AC296" s="62" t="s">
        <v>18342</v>
      </c>
      <c r="AD296" s="53" t="s">
        <v>16902</v>
      </c>
      <c r="AE296" s="54">
        <v>546</v>
      </c>
      <c r="AF296" s="55"/>
      <c r="AG296" s="55"/>
      <c r="AH296" s="56">
        <v>175430</v>
      </c>
      <c r="AI296" s="85" t="s">
        <v>2459</v>
      </c>
      <c r="AJ296" s="7"/>
      <c r="AK296" s="7"/>
      <c r="AL296" s="7"/>
      <c r="AM296" s="7"/>
      <c r="AN296" s="7"/>
      <c r="AO296" s="7"/>
    </row>
    <row r="297" spans="1:41" ht="15" x14ac:dyDescent="0.2">
      <c r="A297" s="7"/>
      <c r="B297" s="110" t="s">
        <v>6135</v>
      </c>
      <c r="C297" s="2" t="s">
        <v>15218</v>
      </c>
      <c r="D297" s="7"/>
      <c r="E297" s="37">
        <v>5</v>
      </c>
      <c r="F297" s="7"/>
      <c r="G297" s="7"/>
      <c r="H297" s="2" t="s">
        <v>18336</v>
      </c>
      <c r="I297" s="2" t="s">
        <v>3293</v>
      </c>
      <c r="J297" s="2" t="s">
        <v>13413</v>
      </c>
      <c r="K297" s="2" t="s">
        <v>55</v>
      </c>
      <c r="L297" s="2" t="s">
        <v>18349</v>
      </c>
      <c r="M297" s="6" t="s">
        <v>18350</v>
      </c>
      <c r="N297" s="114" t="str">
        <f t="shared" si="237"/>
        <v>@bmcsoftball</v>
      </c>
      <c r="O297" s="114" t="s">
        <v>22</v>
      </c>
      <c r="P297" s="48" t="s">
        <v>18342</v>
      </c>
      <c r="Q297" s="47" t="s">
        <v>6149</v>
      </c>
      <c r="R297" s="48" t="s">
        <v>18343</v>
      </c>
      <c r="S297" s="60" t="s">
        <v>205</v>
      </c>
      <c r="T297" s="48" t="s">
        <v>63</v>
      </c>
      <c r="U297" s="49" t="s">
        <v>800</v>
      </c>
      <c r="V297" s="49"/>
      <c r="W297" s="61">
        <v>3.47</v>
      </c>
      <c r="X297" s="49" t="s">
        <v>18344</v>
      </c>
      <c r="Y297" s="49" t="s">
        <v>18345</v>
      </c>
      <c r="Z297" s="55" t="s">
        <v>449</v>
      </c>
      <c r="AA297" s="80">
        <v>0.96850000000000003</v>
      </c>
      <c r="AB297" s="71">
        <v>20951</v>
      </c>
      <c r="AC297" s="62" t="s">
        <v>18342</v>
      </c>
      <c r="AD297" s="53" t="s">
        <v>16902</v>
      </c>
      <c r="AE297" s="54">
        <v>546</v>
      </c>
      <c r="AF297" s="55"/>
      <c r="AG297" s="55"/>
      <c r="AH297" s="56">
        <v>175430</v>
      </c>
      <c r="AI297" s="85" t="s">
        <v>2459</v>
      </c>
      <c r="AJ297" s="7"/>
      <c r="AK297" s="7"/>
      <c r="AL297" s="7"/>
      <c r="AM297" s="7"/>
      <c r="AN297" s="7"/>
      <c r="AO297" s="7"/>
    </row>
    <row r="298" spans="1:41" ht="15" x14ac:dyDescent="0.2">
      <c r="A298" s="7"/>
      <c r="B298" s="110" t="s">
        <v>6135</v>
      </c>
      <c r="C298" s="2" t="s">
        <v>15218</v>
      </c>
      <c r="D298" s="7"/>
      <c r="E298" s="37">
        <v>5</v>
      </c>
      <c r="F298" s="7"/>
      <c r="G298" s="7"/>
      <c r="H298" s="2" t="s">
        <v>18336</v>
      </c>
      <c r="I298" s="2" t="s">
        <v>18358</v>
      </c>
      <c r="J298" s="2" t="s">
        <v>6218</v>
      </c>
      <c r="K298" s="2" t="s">
        <v>55</v>
      </c>
      <c r="L298" s="2" t="s">
        <v>18360</v>
      </c>
      <c r="M298" s="6" t="s">
        <v>18350</v>
      </c>
      <c r="N298" s="114" t="str">
        <f t="shared" si="237"/>
        <v>@bmcsoftball</v>
      </c>
      <c r="O298" s="114" t="s">
        <v>22</v>
      </c>
      <c r="P298" s="48" t="s">
        <v>18342</v>
      </c>
      <c r="Q298" s="47" t="s">
        <v>6149</v>
      </c>
      <c r="R298" s="48" t="s">
        <v>18343</v>
      </c>
      <c r="S298" s="60" t="s">
        <v>205</v>
      </c>
      <c r="T298" s="48" t="s">
        <v>63</v>
      </c>
      <c r="U298" s="49" t="s">
        <v>800</v>
      </c>
      <c r="V298" s="49"/>
      <c r="W298" s="61">
        <v>3.47</v>
      </c>
      <c r="X298" s="49" t="s">
        <v>18344</v>
      </c>
      <c r="Y298" s="49" t="s">
        <v>18345</v>
      </c>
      <c r="Z298" s="49" t="s">
        <v>449</v>
      </c>
      <c r="AA298" s="80">
        <v>0.96850000000000003</v>
      </c>
      <c r="AB298" s="71">
        <v>20951</v>
      </c>
      <c r="AC298" s="62" t="s">
        <v>18342</v>
      </c>
      <c r="AD298" s="53" t="s">
        <v>16902</v>
      </c>
      <c r="AE298" s="54">
        <v>546</v>
      </c>
      <c r="AF298" s="55"/>
      <c r="AG298" s="55"/>
      <c r="AH298" s="56">
        <v>175430</v>
      </c>
      <c r="AI298" s="85" t="s">
        <v>2459</v>
      </c>
      <c r="AJ298" s="7"/>
      <c r="AK298" s="7"/>
      <c r="AL298" s="7"/>
      <c r="AM298" s="7"/>
      <c r="AN298" s="7"/>
      <c r="AO298" s="7"/>
    </row>
    <row r="299" spans="1:41" ht="15" x14ac:dyDescent="0.2">
      <c r="A299" s="7"/>
      <c r="B299" s="110" t="s">
        <v>6135</v>
      </c>
      <c r="C299" s="2" t="s">
        <v>15218</v>
      </c>
      <c r="D299" s="7"/>
      <c r="E299" s="37">
        <v>5</v>
      </c>
      <c r="F299" s="7"/>
      <c r="G299" s="7"/>
      <c r="H299" s="2" t="s">
        <v>18365</v>
      </c>
      <c r="I299" s="2" t="s">
        <v>1421</v>
      </c>
      <c r="J299" s="2" t="s">
        <v>18366</v>
      </c>
      <c r="K299" s="2" t="s">
        <v>48</v>
      </c>
      <c r="L299" s="2" t="s">
        <v>18367</v>
      </c>
      <c r="M299" s="6" t="s">
        <v>18368</v>
      </c>
      <c r="N299" s="48"/>
      <c r="O299" s="114" t="s">
        <v>22</v>
      </c>
      <c r="P299" s="48" t="s">
        <v>18365</v>
      </c>
      <c r="Q299" s="47" t="s">
        <v>6149</v>
      </c>
      <c r="R299" s="48" t="s">
        <v>18369</v>
      </c>
      <c r="S299" s="60" t="s">
        <v>205</v>
      </c>
      <c r="T299" s="48" t="s">
        <v>63</v>
      </c>
      <c r="U299" s="49" t="s">
        <v>65</v>
      </c>
      <c r="V299" s="7" t="s">
        <v>212</v>
      </c>
      <c r="W299" s="61">
        <v>2.66</v>
      </c>
      <c r="X299" s="49" t="s">
        <v>214</v>
      </c>
      <c r="Y299" s="49" t="s">
        <v>214</v>
      </c>
      <c r="Z299" s="49" t="s">
        <v>8038</v>
      </c>
      <c r="AA299" s="80">
        <v>0.47</v>
      </c>
      <c r="AB299" s="71">
        <v>16100</v>
      </c>
      <c r="AC299" s="62" t="s">
        <v>18372</v>
      </c>
      <c r="AD299" s="53" t="s">
        <v>16902</v>
      </c>
      <c r="AE299" s="54">
        <v>1005</v>
      </c>
      <c r="AF299" s="55"/>
      <c r="AG299" s="55"/>
      <c r="AH299" s="56">
        <v>176318</v>
      </c>
      <c r="AI299" s="85" t="s">
        <v>2459</v>
      </c>
      <c r="AJ299" s="7"/>
      <c r="AK299" s="7"/>
      <c r="AL299" s="7"/>
      <c r="AM299" s="7"/>
      <c r="AN299" s="7"/>
      <c r="AO299" s="7"/>
    </row>
    <row r="300" spans="1:41" ht="15" x14ac:dyDescent="0.2">
      <c r="A300" s="7"/>
      <c r="B300" s="110" t="s">
        <v>6135</v>
      </c>
      <c r="C300" s="2" t="s">
        <v>15218</v>
      </c>
      <c r="D300" s="7"/>
      <c r="E300" s="37">
        <v>5</v>
      </c>
      <c r="F300" s="7"/>
      <c r="G300" s="7"/>
      <c r="H300" s="2" t="s">
        <v>18373</v>
      </c>
      <c r="I300" s="2" t="s">
        <v>6721</v>
      </c>
      <c r="J300" s="2" t="s">
        <v>12076</v>
      </c>
      <c r="K300" s="2" t="s">
        <v>48</v>
      </c>
      <c r="L300" s="2" t="s">
        <v>18374</v>
      </c>
      <c r="M300" s="6" t="s">
        <v>18375</v>
      </c>
      <c r="N300" s="114" t="str">
        <f t="shared" ref="N300:N301" si="238">HYPERLINK("@wmcareysoftball","@wmcareysoftball")</f>
        <v>@wmcareysoftball</v>
      </c>
      <c r="O300" s="114" t="s">
        <v>22</v>
      </c>
      <c r="P300" s="48" t="s">
        <v>18380</v>
      </c>
      <c r="Q300" s="47" t="s">
        <v>6149</v>
      </c>
      <c r="R300" s="48" t="s">
        <v>6427</v>
      </c>
      <c r="S300" s="60" t="s">
        <v>468</v>
      </c>
      <c r="T300" s="48" t="s">
        <v>63</v>
      </c>
      <c r="U300" s="49" t="s">
        <v>2619</v>
      </c>
      <c r="V300" s="49"/>
      <c r="W300" s="61">
        <v>3.31</v>
      </c>
      <c r="X300" s="49" t="s">
        <v>1452</v>
      </c>
      <c r="Y300" s="49" t="s">
        <v>1628</v>
      </c>
      <c r="Z300" s="55" t="s">
        <v>545</v>
      </c>
      <c r="AA300" s="80">
        <v>0.51</v>
      </c>
      <c r="AB300" s="71">
        <v>26985</v>
      </c>
      <c r="AC300" s="62" t="s">
        <v>18380</v>
      </c>
      <c r="AD300" s="53" t="s">
        <v>16902</v>
      </c>
      <c r="AE300" s="54">
        <v>2808</v>
      </c>
      <c r="AF300" s="55"/>
      <c r="AG300" s="55"/>
      <c r="AH300" s="56">
        <v>176479</v>
      </c>
      <c r="AI300" s="85" t="s">
        <v>2459</v>
      </c>
      <c r="AJ300" s="7"/>
      <c r="AK300" s="7"/>
      <c r="AL300" s="7"/>
      <c r="AM300" s="7"/>
      <c r="AN300" s="7"/>
      <c r="AO300" s="7"/>
    </row>
    <row r="301" spans="1:41" ht="15" x14ac:dyDescent="0.2">
      <c r="A301" s="7"/>
      <c r="B301" s="110" t="s">
        <v>6135</v>
      </c>
      <c r="C301" s="2" t="s">
        <v>15218</v>
      </c>
      <c r="D301" s="7"/>
      <c r="E301" s="37">
        <v>5</v>
      </c>
      <c r="F301" s="7"/>
      <c r="G301" s="7"/>
      <c r="H301" s="2" t="s">
        <v>18373</v>
      </c>
      <c r="I301" s="2" t="s">
        <v>6345</v>
      </c>
      <c r="J301" s="2" t="s">
        <v>1906</v>
      </c>
      <c r="K301" s="2" t="s">
        <v>55</v>
      </c>
      <c r="L301" s="2" t="s">
        <v>18386</v>
      </c>
      <c r="M301" s="6" t="s">
        <v>18387</v>
      </c>
      <c r="N301" s="114" t="str">
        <f t="shared" si="238"/>
        <v>@wmcareysoftball</v>
      </c>
      <c r="O301" s="114" t="s">
        <v>22</v>
      </c>
      <c r="P301" s="48" t="s">
        <v>18380</v>
      </c>
      <c r="Q301" s="47" t="s">
        <v>6149</v>
      </c>
      <c r="R301" s="48" t="s">
        <v>6427</v>
      </c>
      <c r="S301" s="60" t="s">
        <v>468</v>
      </c>
      <c r="T301" s="48" t="s">
        <v>63</v>
      </c>
      <c r="U301" s="49" t="s">
        <v>2619</v>
      </c>
      <c r="V301" s="49"/>
      <c r="W301" s="61">
        <v>3.31</v>
      </c>
      <c r="X301" s="49" t="s">
        <v>1452</v>
      </c>
      <c r="Y301" s="49" t="s">
        <v>1628</v>
      </c>
      <c r="Z301" s="55" t="s">
        <v>545</v>
      </c>
      <c r="AA301" s="80">
        <v>0.51</v>
      </c>
      <c r="AB301" s="71">
        <v>26985</v>
      </c>
      <c r="AC301" s="62" t="s">
        <v>18380</v>
      </c>
      <c r="AD301" s="53" t="s">
        <v>16902</v>
      </c>
      <c r="AE301" s="54">
        <v>2808</v>
      </c>
      <c r="AF301" s="55"/>
      <c r="AG301" s="55"/>
      <c r="AH301" s="56">
        <v>176479</v>
      </c>
      <c r="AI301" s="85" t="s">
        <v>2459</v>
      </c>
      <c r="AJ301" s="7"/>
      <c r="AK301" s="7"/>
      <c r="AL301" s="7"/>
      <c r="AM301" s="7"/>
      <c r="AN301" s="7"/>
      <c r="AO301" s="7"/>
    </row>
    <row r="302" spans="1:41" ht="15" x14ac:dyDescent="0.2">
      <c r="A302" s="7"/>
      <c r="B302" s="110" t="s">
        <v>6237</v>
      </c>
      <c r="C302" s="2" t="s">
        <v>15218</v>
      </c>
      <c r="D302" s="7"/>
      <c r="E302" s="37">
        <v>5</v>
      </c>
      <c r="F302" s="7"/>
      <c r="G302" s="7"/>
      <c r="H302" s="2" t="s">
        <v>18391</v>
      </c>
      <c r="I302" s="2" t="s">
        <v>847</v>
      </c>
      <c r="J302" s="2" t="s">
        <v>17415</v>
      </c>
      <c r="K302" s="2" t="s">
        <v>48</v>
      </c>
      <c r="L302" s="2" t="s">
        <v>18392</v>
      </c>
      <c r="M302" s="6" t="s">
        <v>18393</v>
      </c>
      <c r="N302" s="114" t="str">
        <f t="shared" ref="N302:N304" si="239">HYPERLINK("@Avila_Softball","@Avila_Softball")</f>
        <v>@Avila_Softball</v>
      </c>
      <c r="O302" s="114" t="s">
        <v>22</v>
      </c>
      <c r="P302" s="48" t="s">
        <v>18399</v>
      </c>
      <c r="Q302" s="47" t="s">
        <v>2246</v>
      </c>
      <c r="R302" s="48" t="s">
        <v>18400</v>
      </c>
      <c r="S302" s="60" t="s">
        <v>354</v>
      </c>
      <c r="T302" s="48" t="s">
        <v>63</v>
      </c>
      <c r="U302" s="49" t="s">
        <v>343</v>
      </c>
      <c r="V302" s="49"/>
      <c r="W302" s="61">
        <v>3.25</v>
      </c>
      <c r="X302" s="49" t="s">
        <v>448</v>
      </c>
      <c r="Y302" s="49" t="s">
        <v>17752</v>
      </c>
      <c r="Z302" s="55" t="s">
        <v>3842</v>
      </c>
      <c r="AA302" s="80">
        <v>0.56289999999999996</v>
      </c>
      <c r="AB302" s="71">
        <v>38646</v>
      </c>
      <c r="AC302" s="62" t="s">
        <v>18399</v>
      </c>
      <c r="AD302" s="53" t="s">
        <v>16902</v>
      </c>
      <c r="AE302" s="54">
        <v>1333</v>
      </c>
      <c r="AF302" s="55"/>
      <c r="AG302" s="55"/>
      <c r="AH302" s="56">
        <v>176628</v>
      </c>
      <c r="AI302" s="7" t="s">
        <v>2459</v>
      </c>
      <c r="AJ302" s="7"/>
      <c r="AK302" s="7"/>
      <c r="AL302" s="7"/>
      <c r="AM302" s="7"/>
      <c r="AN302" s="7"/>
      <c r="AO302" s="7"/>
    </row>
    <row r="303" spans="1:41" ht="15" x14ac:dyDescent="0.2">
      <c r="A303" s="7"/>
      <c r="B303" s="110" t="s">
        <v>6237</v>
      </c>
      <c r="C303" s="2" t="s">
        <v>15218</v>
      </c>
      <c r="D303" s="7"/>
      <c r="E303" s="37">
        <v>5</v>
      </c>
      <c r="F303" s="7"/>
      <c r="G303" s="7"/>
      <c r="H303" s="2" t="s">
        <v>18391</v>
      </c>
      <c r="I303" s="2" t="s">
        <v>18404</v>
      </c>
      <c r="J303" s="2" t="s">
        <v>18405</v>
      </c>
      <c r="K303" s="2" t="s">
        <v>55</v>
      </c>
      <c r="L303" s="2" t="s">
        <v>18406</v>
      </c>
      <c r="M303" s="6"/>
      <c r="N303" s="114" t="str">
        <f t="shared" si="239"/>
        <v>@Avila_Softball</v>
      </c>
      <c r="O303" s="114" t="s">
        <v>22</v>
      </c>
      <c r="P303" s="48" t="s">
        <v>18399</v>
      </c>
      <c r="Q303" s="47" t="s">
        <v>2246</v>
      </c>
      <c r="R303" s="48" t="s">
        <v>18400</v>
      </c>
      <c r="S303" s="60" t="s">
        <v>354</v>
      </c>
      <c r="T303" s="48" t="s">
        <v>63</v>
      </c>
      <c r="U303" s="49" t="s">
        <v>343</v>
      </c>
      <c r="V303" s="49"/>
      <c r="W303" s="61">
        <v>3.25</v>
      </c>
      <c r="X303" s="49" t="s">
        <v>448</v>
      </c>
      <c r="Y303" s="49" t="s">
        <v>17752</v>
      </c>
      <c r="Z303" s="55" t="s">
        <v>3842</v>
      </c>
      <c r="AA303" s="80">
        <v>0.56289999999999996</v>
      </c>
      <c r="AB303" s="71">
        <v>38646</v>
      </c>
      <c r="AC303" s="62" t="s">
        <v>18399</v>
      </c>
      <c r="AD303" s="53" t="s">
        <v>16902</v>
      </c>
      <c r="AE303" s="54">
        <v>1333</v>
      </c>
      <c r="AF303" s="55"/>
      <c r="AG303" s="55"/>
      <c r="AH303" s="56">
        <v>176628</v>
      </c>
      <c r="AI303" s="7" t="s">
        <v>2459</v>
      </c>
      <c r="AJ303" s="7"/>
      <c r="AK303" s="7"/>
      <c r="AL303" s="7"/>
      <c r="AM303" s="7"/>
      <c r="AN303" s="7"/>
      <c r="AO303" s="7"/>
    </row>
    <row r="304" spans="1:41" ht="15" x14ac:dyDescent="0.2">
      <c r="A304" s="7"/>
      <c r="B304" s="110" t="s">
        <v>6237</v>
      </c>
      <c r="C304" s="2" t="s">
        <v>15218</v>
      </c>
      <c r="D304" s="7"/>
      <c r="E304" s="37">
        <v>5</v>
      </c>
      <c r="F304" s="7"/>
      <c r="G304" s="7"/>
      <c r="H304" s="2" t="s">
        <v>18391</v>
      </c>
      <c r="I304" s="2" t="s">
        <v>7674</v>
      </c>
      <c r="J304" s="2" t="s">
        <v>701</v>
      </c>
      <c r="K304" s="2" t="s">
        <v>55</v>
      </c>
      <c r="L304" s="2" t="s">
        <v>18410</v>
      </c>
      <c r="M304" s="6"/>
      <c r="N304" s="114" t="str">
        <f t="shared" si="239"/>
        <v>@Avila_Softball</v>
      </c>
      <c r="O304" s="114" t="s">
        <v>22</v>
      </c>
      <c r="P304" s="48" t="s">
        <v>18399</v>
      </c>
      <c r="Q304" s="47" t="s">
        <v>2246</v>
      </c>
      <c r="R304" s="48" t="s">
        <v>18400</v>
      </c>
      <c r="S304" s="60" t="s">
        <v>354</v>
      </c>
      <c r="T304" s="48" t="s">
        <v>63</v>
      </c>
      <c r="U304" s="49" t="s">
        <v>343</v>
      </c>
      <c r="V304" s="49"/>
      <c r="W304" s="61">
        <v>3.25</v>
      </c>
      <c r="X304" s="49" t="s">
        <v>448</v>
      </c>
      <c r="Y304" s="49" t="s">
        <v>17752</v>
      </c>
      <c r="Z304" s="55" t="s">
        <v>3842</v>
      </c>
      <c r="AA304" s="80">
        <v>0.56289999999999996</v>
      </c>
      <c r="AB304" s="71">
        <v>38646</v>
      </c>
      <c r="AC304" s="62" t="s">
        <v>18399</v>
      </c>
      <c r="AD304" s="53" t="s">
        <v>16902</v>
      </c>
      <c r="AE304" s="54">
        <v>1333</v>
      </c>
      <c r="AF304" s="55"/>
      <c r="AG304" s="55"/>
      <c r="AH304" s="56">
        <v>176628</v>
      </c>
      <c r="AI304" s="7" t="s">
        <v>2459</v>
      </c>
      <c r="AJ304" s="7"/>
      <c r="AK304" s="7"/>
      <c r="AL304" s="7"/>
      <c r="AM304" s="7"/>
      <c r="AN304" s="7"/>
      <c r="AO304" s="7"/>
    </row>
    <row r="305" spans="1:41" ht="15" x14ac:dyDescent="0.2">
      <c r="A305" s="7"/>
      <c r="B305" s="31" t="s">
        <v>6237</v>
      </c>
      <c r="C305" s="2" t="s">
        <v>15218</v>
      </c>
      <c r="D305" s="7" t="s">
        <v>18416</v>
      </c>
      <c r="E305" s="37">
        <v>5</v>
      </c>
      <c r="F305" s="48"/>
      <c r="G305" s="48"/>
      <c r="H305" s="2" t="s">
        <v>18419</v>
      </c>
      <c r="I305" s="2" t="s">
        <v>2608</v>
      </c>
      <c r="J305" s="2" t="s">
        <v>1542</v>
      </c>
      <c r="K305" s="2" t="s">
        <v>48</v>
      </c>
      <c r="L305" s="2" t="s">
        <v>18421</v>
      </c>
      <c r="M305" s="6" t="s">
        <v>18422</v>
      </c>
      <c r="N305" s="45" t="str">
        <f t="shared" ref="N305:N307" si="240">HYPERLINK("twitter.com/cmueaglessbb","@cmueaglessbb")</f>
        <v>@cmueaglessbb</v>
      </c>
      <c r="O305" s="45" t="str">
        <f t="shared" ref="O305:O309" si="241">HYPERLINK("http://www.cmueagles.com/recruiting.php","Questionnaire")</f>
        <v>Questionnaire</v>
      </c>
      <c r="P305" s="108" t="s">
        <v>18426</v>
      </c>
      <c r="Q305" s="60" t="s">
        <v>2246</v>
      </c>
      <c r="R305" s="48" t="s">
        <v>4737</v>
      </c>
      <c r="S305" s="60" t="s">
        <v>205</v>
      </c>
      <c r="T305" s="49" t="s">
        <v>63</v>
      </c>
      <c r="U305" s="6" t="s">
        <v>65</v>
      </c>
      <c r="V305" s="49"/>
      <c r="W305" s="65">
        <v>3.45</v>
      </c>
      <c r="X305" s="49" t="s">
        <v>18432</v>
      </c>
      <c r="Y305" s="49" t="s">
        <v>2257</v>
      </c>
      <c r="Z305" s="49" t="s">
        <v>240</v>
      </c>
      <c r="AA305" s="38">
        <v>0.61019999999999996</v>
      </c>
      <c r="AB305" s="39">
        <v>36760</v>
      </c>
      <c r="AC305" s="52" t="s">
        <v>18426</v>
      </c>
      <c r="AD305" s="53" t="str">
        <f t="shared" ref="AD305:AD309" si="242">HYPERLINK("https://www.centralmethodist.edu/academics/undergraduate/index.php","Link")</f>
        <v>Link</v>
      </c>
      <c r="AE305" s="42">
        <v>1094</v>
      </c>
      <c r="AF305" s="55"/>
      <c r="AG305" s="55"/>
      <c r="AH305" s="56">
        <v>176947</v>
      </c>
      <c r="AI305" s="55"/>
    </row>
    <row r="306" spans="1:41" ht="15" x14ac:dyDescent="0.2">
      <c r="A306" s="7"/>
      <c r="B306" s="31" t="s">
        <v>6237</v>
      </c>
      <c r="C306" s="2" t="s">
        <v>15218</v>
      </c>
      <c r="D306" s="7" t="s">
        <v>18436</v>
      </c>
      <c r="E306" s="37">
        <v>5</v>
      </c>
      <c r="F306" s="48"/>
      <c r="G306" s="48"/>
      <c r="H306" s="2" t="s">
        <v>18419</v>
      </c>
      <c r="I306" s="2" t="s">
        <v>18439</v>
      </c>
      <c r="J306" s="2" t="s">
        <v>1542</v>
      </c>
      <c r="K306" s="2" t="s">
        <v>1558</v>
      </c>
      <c r="L306" s="2" t="s">
        <v>18441</v>
      </c>
      <c r="M306" s="6" t="s">
        <v>18442</v>
      </c>
      <c r="N306" s="45" t="str">
        <f t="shared" si="240"/>
        <v>@cmueaglessbb</v>
      </c>
      <c r="O306" s="45" t="str">
        <f t="shared" si="241"/>
        <v>Questionnaire</v>
      </c>
      <c r="P306" s="108" t="s">
        <v>18426</v>
      </c>
      <c r="Q306" s="60" t="s">
        <v>2246</v>
      </c>
      <c r="R306" s="48" t="s">
        <v>4737</v>
      </c>
      <c r="S306" s="60" t="s">
        <v>205</v>
      </c>
      <c r="T306" s="49" t="s">
        <v>63</v>
      </c>
      <c r="U306" s="6" t="s">
        <v>65</v>
      </c>
      <c r="V306" s="49"/>
      <c r="W306" s="65">
        <v>3.45</v>
      </c>
      <c r="X306" s="49" t="s">
        <v>18432</v>
      </c>
      <c r="Y306" s="49" t="s">
        <v>2257</v>
      </c>
      <c r="Z306" s="49" t="s">
        <v>240</v>
      </c>
      <c r="AA306" s="38">
        <v>0.61019999999999996</v>
      </c>
      <c r="AB306" s="39">
        <v>36760</v>
      </c>
      <c r="AC306" s="52" t="s">
        <v>18426</v>
      </c>
      <c r="AD306" s="53" t="str">
        <f t="shared" si="242"/>
        <v>Link</v>
      </c>
      <c r="AE306" s="42">
        <v>1094</v>
      </c>
      <c r="AF306" s="55"/>
      <c r="AG306" s="55"/>
      <c r="AH306" s="56">
        <v>176947</v>
      </c>
      <c r="AI306" s="55"/>
    </row>
    <row r="307" spans="1:41" ht="15" x14ac:dyDescent="0.2">
      <c r="A307" s="7"/>
      <c r="B307" s="31" t="s">
        <v>6237</v>
      </c>
      <c r="C307" s="2" t="s">
        <v>15218</v>
      </c>
      <c r="D307" s="7" t="s">
        <v>18447</v>
      </c>
      <c r="E307" s="37">
        <v>5</v>
      </c>
      <c r="F307" s="48"/>
      <c r="G307" s="48"/>
      <c r="H307" s="2" t="s">
        <v>18419</v>
      </c>
      <c r="I307" s="2" t="s">
        <v>1696</v>
      </c>
      <c r="J307" s="2" t="s">
        <v>108</v>
      </c>
      <c r="K307" s="2" t="s">
        <v>18448</v>
      </c>
      <c r="L307" s="2" t="s">
        <v>18449</v>
      </c>
      <c r="M307" s="6"/>
      <c r="N307" s="45" t="str">
        <f t="shared" si="240"/>
        <v>@cmueaglessbb</v>
      </c>
      <c r="O307" s="45" t="str">
        <f t="shared" si="241"/>
        <v>Questionnaire</v>
      </c>
      <c r="P307" s="108" t="s">
        <v>18426</v>
      </c>
      <c r="Q307" s="60" t="s">
        <v>2246</v>
      </c>
      <c r="R307" s="48" t="s">
        <v>4737</v>
      </c>
      <c r="S307" s="60" t="s">
        <v>205</v>
      </c>
      <c r="T307" s="49" t="s">
        <v>63</v>
      </c>
      <c r="U307" s="6" t="s">
        <v>65</v>
      </c>
      <c r="V307" s="49"/>
      <c r="W307" s="65">
        <v>3.45</v>
      </c>
      <c r="X307" s="49" t="s">
        <v>18432</v>
      </c>
      <c r="Y307" s="49" t="s">
        <v>2257</v>
      </c>
      <c r="Z307" s="49" t="s">
        <v>240</v>
      </c>
      <c r="AA307" s="38">
        <v>0.61019999999999996</v>
      </c>
      <c r="AB307" s="39">
        <v>36760</v>
      </c>
      <c r="AC307" s="52" t="s">
        <v>18426</v>
      </c>
      <c r="AD307" s="53" t="str">
        <f t="shared" si="242"/>
        <v>Link</v>
      </c>
      <c r="AE307" s="42">
        <v>1094</v>
      </c>
      <c r="AF307" s="55"/>
      <c r="AG307" s="55"/>
      <c r="AH307" s="56">
        <v>176947</v>
      </c>
      <c r="AI307" s="55"/>
    </row>
    <row r="308" spans="1:41" ht="13" x14ac:dyDescent="0.15">
      <c r="A308" s="7" t="s">
        <v>18451</v>
      </c>
      <c r="B308" s="31" t="s">
        <v>6237</v>
      </c>
      <c r="C308" s="2" t="s">
        <v>15218</v>
      </c>
      <c r="D308" s="7" t="s">
        <v>18452</v>
      </c>
      <c r="E308" s="44">
        <v>5</v>
      </c>
      <c r="F308" s="48" t="s">
        <v>116</v>
      </c>
      <c r="G308" s="48"/>
      <c r="H308" s="2" t="s">
        <v>18419</v>
      </c>
      <c r="I308" s="7" t="s">
        <v>2402</v>
      </c>
      <c r="J308" s="7" t="s">
        <v>18453</v>
      </c>
      <c r="K308" s="7" t="s">
        <v>120</v>
      </c>
      <c r="L308" s="7" t="s">
        <v>18454</v>
      </c>
      <c r="M308" s="48"/>
      <c r="N308" s="48"/>
      <c r="O308" s="45" t="str">
        <f t="shared" si="241"/>
        <v>Questionnaire</v>
      </c>
      <c r="P308" s="60" t="s">
        <v>18426</v>
      </c>
      <c r="Q308" s="60" t="s">
        <v>2246</v>
      </c>
      <c r="R308" s="48" t="s">
        <v>4737</v>
      </c>
      <c r="S308" s="60" t="s">
        <v>205</v>
      </c>
      <c r="T308" s="49" t="s">
        <v>63</v>
      </c>
      <c r="U308" s="6" t="s">
        <v>65</v>
      </c>
      <c r="V308" s="49"/>
      <c r="W308" s="65">
        <v>3.45</v>
      </c>
      <c r="X308" s="49" t="s">
        <v>18432</v>
      </c>
      <c r="Y308" s="49" t="s">
        <v>2257</v>
      </c>
      <c r="Z308" s="49" t="s">
        <v>240</v>
      </c>
      <c r="AA308" s="38">
        <v>0.61019999999999996</v>
      </c>
      <c r="AB308" s="39">
        <v>36760</v>
      </c>
      <c r="AC308" s="90" t="s">
        <v>18426</v>
      </c>
      <c r="AD308" s="67" t="str">
        <f t="shared" si="242"/>
        <v>Link</v>
      </c>
      <c r="AE308" s="42">
        <v>1094</v>
      </c>
      <c r="AF308" s="55"/>
      <c r="AG308" s="55"/>
      <c r="AH308" s="56">
        <v>176947</v>
      </c>
      <c r="AI308" s="55"/>
    </row>
    <row r="309" spans="1:41" ht="13" x14ac:dyDescent="0.15">
      <c r="A309" s="7" t="s">
        <v>18451</v>
      </c>
      <c r="B309" s="31" t="s">
        <v>6237</v>
      </c>
      <c r="C309" s="2" t="s">
        <v>15218</v>
      </c>
      <c r="D309" s="7" t="s">
        <v>18459</v>
      </c>
      <c r="E309" s="44">
        <v>5</v>
      </c>
      <c r="F309" s="48" t="s">
        <v>116</v>
      </c>
      <c r="G309" s="48"/>
      <c r="H309" s="2" t="s">
        <v>18419</v>
      </c>
      <c r="I309" s="7" t="s">
        <v>3332</v>
      </c>
      <c r="J309" s="7" t="s">
        <v>1542</v>
      </c>
      <c r="K309" s="7" t="s">
        <v>120</v>
      </c>
      <c r="L309" s="7" t="s">
        <v>18460</v>
      </c>
      <c r="M309" s="48"/>
      <c r="N309" s="48"/>
      <c r="O309" s="45" t="str">
        <f t="shared" si="241"/>
        <v>Questionnaire</v>
      </c>
      <c r="P309" s="60" t="s">
        <v>18426</v>
      </c>
      <c r="Q309" s="60" t="s">
        <v>2246</v>
      </c>
      <c r="R309" s="48" t="s">
        <v>4737</v>
      </c>
      <c r="S309" s="60" t="s">
        <v>205</v>
      </c>
      <c r="T309" s="49" t="s">
        <v>63</v>
      </c>
      <c r="U309" s="6" t="s">
        <v>65</v>
      </c>
      <c r="V309" s="49"/>
      <c r="W309" s="65">
        <v>3.45</v>
      </c>
      <c r="X309" s="49" t="s">
        <v>18432</v>
      </c>
      <c r="Y309" s="49" t="s">
        <v>2257</v>
      </c>
      <c r="Z309" s="49" t="s">
        <v>240</v>
      </c>
      <c r="AA309" s="38">
        <v>0.61019999999999996</v>
      </c>
      <c r="AB309" s="39">
        <v>36760</v>
      </c>
      <c r="AC309" s="90" t="s">
        <v>18426</v>
      </c>
      <c r="AD309" s="67" t="str">
        <f t="shared" si="242"/>
        <v>Link</v>
      </c>
      <c r="AE309" s="42">
        <v>1094</v>
      </c>
      <c r="AF309" s="55"/>
      <c r="AG309" s="55"/>
      <c r="AH309" s="56">
        <v>176947</v>
      </c>
      <c r="AI309" s="55"/>
    </row>
    <row r="310" spans="1:41" ht="13" x14ac:dyDescent="0.15">
      <c r="A310" s="7"/>
      <c r="B310" s="31" t="s">
        <v>6237</v>
      </c>
      <c r="C310" s="2" t="s">
        <v>15218</v>
      </c>
      <c r="D310" s="7" t="s">
        <v>18465</v>
      </c>
      <c r="E310" s="37">
        <v>5</v>
      </c>
      <c r="F310" s="48"/>
      <c r="G310" s="48"/>
      <c r="H310" s="2" t="s">
        <v>18466</v>
      </c>
      <c r="I310" s="2" t="s">
        <v>18467</v>
      </c>
      <c r="J310" s="2" t="s">
        <v>18468</v>
      </c>
      <c r="K310" s="2" t="s">
        <v>48</v>
      </c>
      <c r="L310" s="2" t="s">
        <v>18469</v>
      </c>
      <c r="M310" s="6" t="s">
        <v>18470</v>
      </c>
      <c r="N310" s="48"/>
      <c r="O310" s="45" t="str">
        <f t="shared" ref="O310:O311" si="243">HYPERLINK("https://columbiacougars.com/sb_output.aspx?form=3","Questionnaire")</f>
        <v>Questionnaire</v>
      </c>
      <c r="P310" s="6" t="s">
        <v>18473</v>
      </c>
      <c r="Q310" s="60" t="s">
        <v>2246</v>
      </c>
      <c r="R310" s="48" t="s">
        <v>10106</v>
      </c>
      <c r="S310" s="48" t="s">
        <v>238</v>
      </c>
      <c r="T310" s="49" t="s">
        <v>63</v>
      </c>
      <c r="U310" s="6" t="s">
        <v>410</v>
      </c>
      <c r="V310" s="49"/>
      <c r="W310" s="65">
        <v>3.49</v>
      </c>
      <c r="X310" s="49" t="s">
        <v>18474</v>
      </c>
      <c r="Y310" s="49" t="s">
        <v>7386</v>
      </c>
      <c r="Z310" s="49" t="s">
        <v>1650</v>
      </c>
      <c r="AA310" s="65">
        <v>0.51</v>
      </c>
      <c r="AB310" s="39">
        <v>21152</v>
      </c>
      <c r="AC310" s="84" t="s">
        <v>18473</v>
      </c>
      <c r="AD310" s="53" t="str">
        <f t="shared" ref="AD310:AD311" si="244">HYPERLINK("http://www.ccis.edu/degrees/all.aspx","Link")</f>
        <v>Link</v>
      </c>
      <c r="AE310" s="42">
        <v>936</v>
      </c>
      <c r="AF310" s="55"/>
      <c r="AG310" s="55"/>
      <c r="AH310" s="56">
        <v>177065</v>
      </c>
      <c r="AI310" s="55"/>
    </row>
    <row r="311" spans="1:41" ht="13" x14ac:dyDescent="0.15">
      <c r="A311" s="7"/>
      <c r="B311" s="31" t="s">
        <v>6237</v>
      </c>
      <c r="C311" s="2" t="s">
        <v>15218</v>
      </c>
      <c r="D311" s="7" t="s">
        <v>18477</v>
      </c>
      <c r="E311" s="37">
        <v>5</v>
      </c>
      <c r="F311" s="48"/>
      <c r="G311" s="48"/>
      <c r="H311" s="2" t="s">
        <v>18466</v>
      </c>
      <c r="I311" s="2" t="s">
        <v>18478</v>
      </c>
      <c r="J311" s="2" t="s">
        <v>18479</v>
      </c>
      <c r="K311" s="2" t="s">
        <v>55</v>
      </c>
      <c r="L311" s="2" t="s">
        <v>18480</v>
      </c>
      <c r="M311" s="6" t="s">
        <v>18481</v>
      </c>
      <c r="N311" s="48"/>
      <c r="O311" s="45" t="str">
        <f t="shared" si="243"/>
        <v>Questionnaire</v>
      </c>
      <c r="P311" s="6" t="s">
        <v>18473</v>
      </c>
      <c r="Q311" s="60" t="s">
        <v>2246</v>
      </c>
      <c r="R311" s="48" t="s">
        <v>10106</v>
      </c>
      <c r="S311" s="48" t="s">
        <v>238</v>
      </c>
      <c r="T311" s="49" t="s">
        <v>63</v>
      </c>
      <c r="U311" s="6" t="s">
        <v>410</v>
      </c>
      <c r="V311" s="49"/>
      <c r="W311" s="65">
        <v>3.49</v>
      </c>
      <c r="X311" s="49" t="s">
        <v>18474</v>
      </c>
      <c r="Y311" s="49" t="s">
        <v>7386</v>
      </c>
      <c r="Z311" s="49" t="s">
        <v>1650</v>
      </c>
      <c r="AA311" s="65">
        <v>0.51</v>
      </c>
      <c r="AB311" s="39">
        <v>21152</v>
      </c>
      <c r="AC311" s="84" t="s">
        <v>18473</v>
      </c>
      <c r="AD311" s="53" t="str">
        <f t="shared" si="244"/>
        <v>Link</v>
      </c>
      <c r="AE311" s="42">
        <v>936</v>
      </c>
      <c r="AF311" s="55"/>
      <c r="AG311" s="55"/>
      <c r="AH311" s="56">
        <v>177065</v>
      </c>
      <c r="AI311" s="55"/>
    </row>
    <row r="312" spans="1:41" ht="13" x14ac:dyDescent="0.15">
      <c r="A312" s="7"/>
      <c r="B312" s="31" t="s">
        <v>6237</v>
      </c>
      <c r="C312" s="2" t="s">
        <v>15218</v>
      </c>
      <c r="D312" s="7"/>
      <c r="E312" s="37">
        <v>5</v>
      </c>
      <c r="F312" s="7"/>
      <c r="G312" s="7"/>
      <c r="H312" s="2" t="s">
        <v>18486</v>
      </c>
      <c r="I312" s="2" t="s">
        <v>904</v>
      </c>
      <c r="J312" s="2" t="s">
        <v>18487</v>
      </c>
      <c r="K312" s="2" t="s">
        <v>48</v>
      </c>
      <c r="L312" s="95" t="s">
        <v>18488</v>
      </c>
      <c r="M312" s="6" t="s">
        <v>18489</v>
      </c>
      <c r="N312" s="48"/>
      <c r="O312" s="48" t="s">
        <v>22</v>
      </c>
      <c r="P312" s="6" t="s">
        <v>18490</v>
      </c>
      <c r="Q312" s="60" t="s">
        <v>2246</v>
      </c>
      <c r="R312" s="6" t="s">
        <v>18491</v>
      </c>
      <c r="S312" s="60" t="s">
        <v>205</v>
      </c>
      <c r="T312" s="4" t="s">
        <v>63</v>
      </c>
      <c r="U312" s="49" t="s">
        <v>75</v>
      </c>
      <c r="V312" s="4" t="s">
        <v>1006</v>
      </c>
      <c r="W312" s="4" t="s">
        <v>18492</v>
      </c>
      <c r="X312" s="4" t="s">
        <v>15313</v>
      </c>
      <c r="Y312" s="4" t="s">
        <v>4906</v>
      </c>
      <c r="Z312" s="4" t="s">
        <v>1650</v>
      </c>
      <c r="AA312" s="65">
        <v>0.69</v>
      </c>
      <c r="AB312" s="39">
        <v>30100</v>
      </c>
      <c r="AC312" s="84" t="s">
        <v>18490</v>
      </c>
      <c r="AD312" s="67" t="str">
        <f t="shared" ref="AD312:AD313" si="245">HYPERLINK("http://www.cottey.edu/academics/bachelor-degrees/","Link")</f>
        <v>Link</v>
      </c>
      <c r="AE312" s="42">
        <v>288</v>
      </c>
      <c r="AF312" s="55"/>
      <c r="AG312" s="55"/>
      <c r="AH312" s="56">
        <v>177117</v>
      </c>
      <c r="AI312" s="85" t="s">
        <v>2459</v>
      </c>
      <c r="AJ312" s="7"/>
      <c r="AK312" s="7"/>
      <c r="AL312" s="7"/>
      <c r="AM312" s="7"/>
      <c r="AN312" s="7"/>
      <c r="AO312" s="7"/>
    </row>
    <row r="313" spans="1:41" ht="13" x14ac:dyDescent="0.15">
      <c r="A313" s="7"/>
      <c r="B313" s="31" t="s">
        <v>6237</v>
      </c>
      <c r="C313" s="2" t="s">
        <v>15218</v>
      </c>
      <c r="D313" s="7"/>
      <c r="E313" s="37">
        <v>5</v>
      </c>
      <c r="F313" s="7"/>
      <c r="G313" s="7"/>
      <c r="H313" s="2" t="s">
        <v>18486</v>
      </c>
      <c r="I313" s="2" t="s">
        <v>15653</v>
      </c>
      <c r="J313" s="2" t="s">
        <v>5980</v>
      </c>
      <c r="K313" s="2" t="s">
        <v>55</v>
      </c>
      <c r="L313" s="95" t="s">
        <v>18495</v>
      </c>
      <c r="M313" s="6" t="s">
        <v>18489</v>
      </c>
      <c r="N313" s="48"/>
      <c r="O313" s="48" t="s">
        <v>22</v>
      </c>
      <c r="P313" s="6" t="s">
        <v>18490</v>
      </c>
      <c r="Q313" s="60" t="s">
        <v>2246</v>
      </c>
      <c r="R313" s="6" t="s">
        <v>18491</v>
      </c>
      <c r="S313" s="60" t="s">
        <v>205</v>
      </c>
      <c r="T313" s="4" t="s">
        <v>63</v>
      </c>
      <c r="U313" s="49" t="s">
        <v>75</v>
      </c>
      <c r="V313" s="4" t="s">
        <v>1006</v>
      </c>
      <c r="W313" s="4" t="s">
        <v>18492</v>
      </c>
      <c r="X313" s="4" t="s">
        <v>15313</v>
      </c>
      <c r="Y313" s="4" t="s">
        <v>4906</v>
      </c>
      <c r="Z313" s="4" t="s">
        <v>1650</v>
      </c>
      <c r="AA313" s="65">
        <v>0.69</v>
      </c>
      <c r="AB313" s="39">
        <v>30100</v>
      </c>
      <c r="AC313" s="84" t="s">
        <v>18490</v>
      </c>
      <c r="AD313" s="67" t="str">
        <f t="shared" si="245"/>
        <v>Link</v>
      </c>
      <c r="AE313" s="42">
        <v>288</v>
      </c>
      <c r="AF313" s="55"/>
      <c r="AG313" s="55"/>
      <c r="AH313" s="56">
        <v>177117</v>
      </c>
      <c r="AI313" s="85" t="s">
        <v>2459</v>
      </c>
      <c r="AJ313" s="7"/>
      <c r="AK313" s="7"/>
      <c r="AL313" s="7"/>
      <c r="AM313" s="7"/>
      <c r="AN313" s="7"/>
      <c r="AO313" s="7"/>
    </row>
    <row r="314" spans="1:41" ht="13" x14ac:dyDescent="0.15">
      <c r="A314" s="7"/>
      <c r="B314" s="31" t="s">
        <v>6237</v>
      </c>
      <c r="C314" s="2" t="s">
        <v>15218</v>
      </c>
      <c r="D314" s="7" t="s">
        <v>18499</v>
      </c>
      <c r="E314" s="37">
        <v>5</v>
      </c>
      <c r="F314" s="48"/>
      <c r="G314" s="48"/>
      <c r="H314" s="2" t="s">
        <v>18500</v>
      </c>
      <c r="I314" s="2" t="s">
        <v>421</v>
      </c>
      <c r="J314" s="2"/>
      <c r="K314" s="2" t="s">
        <v>48</v>
      </c>
      <c r="L314" s="2"/>
      <c r="M314" s="6"/>
      <c r="N314" s="45" t="str">
        <f t="shared" ref="N314:N315" si="246">HYPERLINK("twitter.com/cscwildcatsb","@cscwildcatsb")</f>
        <v>@cscwildcatsb</v>
      </c>
      <c r="O314" s="45" t="str">
        <f t="shared" ref="O314:O315" si="247">HYPERLINK("http://www.cscwildcats.com/recruiting.php","Questionnaire")</f>
        <v>Questionnaire</v>
      </c>
      <c r="P314" s="6" t="s">
        <v>18504</v>
      </c>
      <c r="Q314" s="60" t="s">
        <v>2246</v>
      </c>
      <c r="R314" s="48" t="s">
        <v>8508</v>
      </c>
      <c r="S314" s="60" t="s">
        <v>205</v>
      </c>
      <c r="T314" s="49" t="s">
        <v>63</v>
      </c>
      <c r="U314" s="6" t="s">
        <v>410</v>
      </c>
      <c r="V314" s="49"/>
      <c r="W314" s="65">
        <v>3.24</v>
      </c>
      <c r="X314" s="49" t="s">
        <v>3613</v>
      </c>
      <c r="Y314" s="49" t="s">
        <v>2878</v>
      </c>
      <c r="Z314" s="49" t="s">
        <v>449</v>
      </c>
      <c r="AA314" s="65">
        <v>0.57999999999999996</v>
      </c>
      <c r="AB314" s="39">
        <v>37579</v>
      </c>
      <c r="AC314" s="84" t="s">
        <v>18504</v>
      </c>
      <c r="AD314" s="53" t="str">
        <f t="shared" ref="AD314:AD315" si="248">HYPERLINK("http://www.culver.edu/future-students/undergraduate/majors/","Link")</f>
        <v>Link</v>
      </c>
      <c r="AE314" s="42">
        <v>1058</v>
      </c>
      <c r="AF314" s="55"/>
      <c r="AG314" s="55"/>
      <c r="AH314" s="56">
        <v>177144</v>
      </c>
      <c r="AI314" s="55"/>
    </row>
    <row r="315" spans="1:41" ht="13" x14ac:dyDescent="0.15">
      <c r="A315" s="7"/>
      <c r="B315" s="31" t="s">
        <v>6237</v>
      </c>
      <c r="C315" s="2" t="s">
        <v>15218</v>
      </c>
      <c r="D315" s="7" t="s">
        <v>18508</v>
      </c>
      <c r="E315" s="37">
        <v>5</v>
      </c>
      <c r="F315" s="48"/>
      <c r="G315" s="48"/>
      <c r="H315" s="2" t="s">
        <v>18500</v>
      </c>
      <c r="I315" s="2" t="s">
        <v>18509</v>
      </c>
      <c r="J315" s="2" t="s">
        <v>3498</v>
      </c>
      <c r="K315" s="2" t="s">
        <v>1423</v>
      </c>
      <c r="L315" s="2" t="s">
        <v>18510</v>
      </c>
      <c r="M315" s="6"/>
      <c r="N315" s="45" t="str">
        <f t="shared" si="246"/>
        <v>@cscwildcatsb</v>
      </c>
      <c r="O315" s="45" t="str">
        <f t="shared" si="247"/>
        <v>Questionnaire</v>
      </c>
      <c r="P315" s="6" t="s">
        <v>18504</v>
      </c>
      <c r="Q315" s="60" t="s">
        <v>2246</v>
      </c>
      <c r="R315" s="48" t="s">
        <v>8508</v>
      </c>
      <c r="S315" s="60" t="s">
        <v>205</v>
      </c>
      <c r="T315" s="49" t="s">
        <v>63</v>
      </c>
      <c r="U315" s="6" t="s">
        <v>410</v>
      </c>
      <c r="V315" s="49"/>
      <c r="W315" s="65">
        <v>3.24</v>
      </c>
      <c r="X315" s="49" t="s">
        <v>3613</v>
      </c>
      <c r="Y315" s="49" t="s">
        <v>2878</v>
      </c>
      <c r="Z315" s="49" t="s">
        <v>449</v>
      </c>
      <c r="AA315" s="65">
        <v>0.57999999999999996</v>
      </c>
      <c r="AB315" s="39">
        <v>37579</v>
      </c>
      <c r="AC315" s="84" t="s">
        <v>18504</v>
      </c>
      <c r="AD315" s="53" t="str">
        <f t="shared" si="248"/>
        <v>Link</v>
      </c>
      <c r="AE315" s="42">
        <v>1058</v>
      </c>
      <c r="AF315" s="55"/>
      <c r="AG315" s="55"/>
      <c r="AH315" s="56">
        <v>177144</v>
      </c>
      <c r="AI315" s="55"/>
    </row>
    <row r="316" spans="1:41" ht="13" x14ac:dyDescent="0.15">
      <c r="A316" s="7"/>
      <c r="B316" s="31" t="s">
        <v>6237</v>
      </c>
      <c r="C316" s="2" t="s">
        <v>15218</v>
      </c>
      <c r="D316" s="7" t="s">
        <v>18514</v>
      </c>
      <c r="E316" s="37">
        <v>5</v>
      </c>
      <c r="F316" s="48"/>
      <c r="G316" s="48"/>
      <c r="H316" s="2" t="s">
        <v>18515</v>
      </c>
      <c r="I316" s="2" t="s">
        <v>2772</v>
      </c>
      <c r="J316" s="2" t="s">
        <v>18516</v>
      </c>
      <c r="K316" s="2" t="s">
        <v>48</v>
      </c>
      <c r="L316" s="2" t="s">
        <v>18517</v>
      </c>
      <c r="M316" s="6" t="s">
        <v>18519</v>
      </c>
      <c r="N316" s="45" t="str">
        <f t="shared" ref="N316:N318" si="249">HYPERLINK("twitter.com/eusoftball","@eusoftball")</f>
        <v>@eusoftball</v>
      </c>
      <c r="O316" s="48" t="s">
        <v>22</v>
      </c>
      <c r="P316" s="60" t="s">
        <v>18525</v>
      </c>
      <c r="Q316" s="60" t="s">
        <v>2246</v>
      </c>
      <c r="R316" s="48" t="s">
        <v>4357</v>
      </c>
      <c r="S316" s="48" t="s">
        <v>62</v>
      </c>
      <c r="T316" s="49" t="s">
        <v>63</v>
      </c>
      <c r="U316" s="6" t="s">
        <v>7034</v>
      </c>
      <c r="V316" s="49"/>
      <c r="W316" s="65">
        <v>3.34</v>
      </c>
      <c r="X316" s="49" t="s">
        <v>1648</v>
      </c>
      <c r="Y316" s="49" t="s">
        <v>1145</v>
      </c>
      <c r="Z316" s="49" t="s">
        <v>278</v>
      </c>
      <c r="AA316" s="65">
        <v>0.75</v>
      </c>
      <c r="AB316" s="39">
        <v>34771</v>
      </c>
      <c r="AC316" s="90" t="s">
        <v>18525</v>
      </c>
      <c r="AD316" s="53" t="str">
        <f t="shared" ref="AD316:AD318" si="250">HYPERLINK("https://www.evangel.edu/academics/undergraduate/programs-list/","Link")</f>
        <v>Link</v>
      </c>
      <c r="AE316" s="42">
        <v>1627</v>
      </c>
      <c r="AF316" s="55"/>
      <c r="AG316" s="55"/>
      <c r="AH316" s="56">
        <v>177339</v>
      </c>
      <c r="AI316" s="55"/>
    </row>
    <row r="317" spans="1:41" ht="13" x14ac:dyDescent="0.15">
      <c r="A317" s="7"/>
      <c r="B317" s="31" t="s">
        <v>6237</v>
      </c>
      <c r="C317" s="2" t="s">
        <v>15218</v>
      </c>
      <c r="D317" s="7" t="s">
        <v>18529</v>
      </c>
      <c r="E317" s="37">
        <v>5</v>
      </c>
      <c r="F317" s="48"/>
      <c r="G317" s="48"/>
      <c r="H317" s="2" t="s">
        <v>18515</v>
      </c>
      <c r="I317" s="2" t="s">
        <v>93</v>
      </c>
      <c r="J317" s="2" t="s">
        <v>6801</v>
      </c>
      <c r="K317" s="2" t="s">
        <v>55</v>
      </c>
      <c r="L317" s="2"/>
      <c r="M317" s="6"/>
      <c r="N317" s="45" t="str">
        <f t="shared" si="249"/>
        <v>@eusoftball</v>
      </c>
      <c r="O317" s="48" t="s">
        <v>22</v>
      </c>
      <c r="P317" s="60" t="s">
        <v>18525</v>
      </c>
      <c r="Q317" s="60" t="s">
        <v>2246</v>
      </c>
      <c r="R317" s="48" t="s">
        <v>4357</v>
      </c>
      <c r="S317" s="48" t="s">
        <v>62</v>
      </c>
      <c r="T317" s="49" t="s">
        <v>63</v>
      </c>
      <c r="U317" s="6" t="s">
        <v>7034</v>
      </c>
      <c r="V317" s="49"/>
      <c r="W317" s="65">
        <v>3.34</v>
      </c>
      <c r="X317" s="49" t="s">
        <v>1648</v>
      </c>
      <c r="Y317" s="49" t="s">
        <v>1145</v>
      </c>
      <c r="Z317" s="49" t="s">
        <v>278</v>
      </c>
      <c r="AA317" s="65">
        <v>0.75</v>
      </c>
      <c r="AB317" s="39">
        <v>34771</v>
      </c>
      <c r="AC317" s="90" t="s">
        <v>18525</v>
      </c>
      <c r="AD317" s="53" t="str">
        <f t="shared" si="250"/>
        <v>Link</v>
      </c>
      <c r="AE317" s="42">
        <v>1627</v>
      </c>
      <c r="AF317" s="55"/>
      <c r="AG317" s="55"/>
      <c r="AH317" s="56">
        <v>177339</v>
      </c>
      <c r="AI317" s="55"/>
    </row>
    <row r="318" spans="1:41" ht="13" x14ac:dyDescent="0.15">
      <c r="A318" s="7"/>
      <c r="B318" s="31" t="s">
        <v>6237</v>
      </c>
      <c r="C318" s="2" t="s">
        <v>15218</v>
      </c>
      <c r="D318" s="7" t="s">
        <v>18533</v>
      </c>
      <c r="E318" s="37">
        <v>5</v>
      </c>
      <c r="F318" s="48"/>
      <c r="G318" s="48"/>
      <c r="H318" s="2" t="s">
        <v>18515</v>
      </c>
      <c r="I318" s="2" t="s">
        <v>1217</v>
      </c>
      <c r="J318" s="2" t="s">
        <v>18516</v>
      </c>
      <c r="K318" s="2" t="s">
        <v>14606</v>
      </c>
      <c r="L318" s="2" t="s">
        <v>18535</v>
      </c>
      <c r="M318" s="6" t="s">
        <v>18536</v>
      </c>
      <c r="N318" s="45" t="str">
        <f t="shared" si="249"/>
        <v>@eusoftball</v>
      </c>
      <c r="O318" s="48" t="s">
        <v>22</v>
      </c>
      <c r="P318" s="60" t="s">
        <v>18525</v>
      </c>
      <c r="Q318" s="60" t="s">
        <v>2246</v>
      </c>
      <c r="R318" s="48" t="s">
        <v>4357</v>
      </c>
      <c r="S318" s="48" t="s">
        <v>62</v>
      </c>
      <c r="T318" s="49" t="s">
        <v>63</v>
      </c>
      <c r="U318" s="6" t="s">
        <v>7034</v>
      </c>
      <c r="V318" s="49"/>
      <c r="W318" s="65">
        <v>3.34</v>
      </c>
      <c r="X318" s="49" t="s">
        <v>1648</v>
      </c>
      <c r="Y318" s="49" t="s">
        <v>1145</v>
      </c>
      <c r="Z318" s="49" t="s">
        <v>278</v>
      </c>
      <c r="AA318" s="65">
        <v>0.75</v>
      </c>
      <c r="AB318" s="39">
        <v>34771</v>
      </c>
      <c r="AC318" s="90" t="s">
        <v>18525</v>
      </c>
      <c r="AD318" s="53" t="str">
        <f t="shared" si="250"/>
        <v>Link</v>
      </c>
      <c r="AE318" s="42">
        <v>1627</v>
      </c>
      <c r="AF318" s="55"/>
      <c r="AG318" s="55"/>
      <c r="AH318" s="56">
        <v>177339</v>
      </c>
      <c r="AI318" s="55"/>
    </row>
    <row r="319" spans="1:41" ht="13" x14ac:dyDescent="0.15">
      <c r="A319" s="7"/>
      <c r="B319" s="31" t="s">
        <v>6237</v>
      </c>
      <c r="C319" s="2" t="s">
        <v>15218</v>
      </c>
      <c r="D319" s="7"/>
      <c r="E319" s="37">
        <v>5</v>
      </c>
      <c r="F319" s="7"/>
      <c r="G319" s="7"/>
      <c r="H319" s="2" t="s">
        <v>18541</v>
      </c>
      <c r="I319" s="2" t="s">
        <v>2465</v>
      </c>
      <c r="J319" s="2" t="s">
        <v>18543</v>
      </c>
      <c r="K319" s="2" t="s">
        <v>48</v>
      </c>
      <c r="L319" s="2" t="s">
        <v>18545</v>
      </c>
      <c r="M319" s="6" t="s">
        <v>18546</v>
      </c>
      <c r="N319" s="48"/>
      <c r="O319" s="45" t="str">
        <f t="shared" ref="O319:O320" si="251">HYPERLINK("http://www.hlgtrojans.com/Recruiting_Page","Questionnaire")</f>
        <v>Questionnaire</v>
      </c>
      <c r="P319" s="6" t="s">
        <v>18549</v>
      </c>
      <c r="Q319" s="60" t="s">
        <v>2246</v>
      </c>
      <c r="R319" s="48" t="s">
        <v>18550</v>
      </c>
      <c r="S319" s="48" t="s">
        <v>172</v>
      </c>
      <c r="T319" s="49" t="s">
        <v>63</v>
      </c>
      <c r="U319" s="6" t="s">
        <v>800</v>
      </c>
      <c r="V319" s="49"/>
      <c r="W319" s="65">
        <v>3.25</v>
      </c>
      <c r="X319" s="49" t="s">
        <v>18552</v>
      </c>
      <c r="Y319" s="49" t="s">
        <v>1452</v>
      </c>
      <c r="Z319" s="49" t="s">
        <v>746</v>
      </c>
      <c r="AA319" s="65">
        <v>0.62</v>
      </c>
      <c r="AB319" s="39">
        <v>33276</v>
      </c>
      <c r="AC319" s="84" t="s">
        <v>18549</v>
      </c>
      <c r="AD319" s="53" t="str">
        <f t="shared" ref="AD319:AD320" si="252">HYPERLINK("https://www.hlg.edu/academics/undergraduate-majors/","Link")</f>
        <v>Link</v>
      </c>
      <c r="AE319" s="42">
        <v>1043</v>
      </c>
      <c r="AF319" s="55"/>
      <c r="AG319" s="55"/>
      <c r="AH319" s="56">
        <v>177542</v>
      </c>
      <c r="AI319" s="7" t="s">
        <v>2459</v>
      </c>
      <c r="AJ319" s="7"/>
      <c r="AK319" s="7"/>
      <c r="AL319" s="7"/>
      <c r="AM319" s="7"/>
      <c r="AN319" s="7"/>
      <c r="AO319" s="7"/>
    </row>
    <row r="320" spans="1:41" ht="13" x14ac:dyDescent="0.15">
      <c r="A320" s="7"/>
      <c r="B320" s="31" t="s">
        <v>6237</v>
      </c>
      <c r="C320" s="2" t="s">
        <v>15218</v>
      </c>
      <c r="D320" s="7"/>
      <c r="E320" s="37">
        <v>5</v>
      </c>
      <c r="F320" s="7"/>
      <c r="G320" s="7"/>
      <c r="H320" s="2" t="s">
        <v>18541</v>
      </c>
      <c r="I320" s="2" t="s">
        <v>3385</v>
      </c>
      <c r="J320" s="2" t="s">
        <v>18555</v>
      </c>
      <c r="K320" s="2" t="s">
        <v>55</v>
      </c>
      <c r="L320" s="2"/>
      <c r="M320" s="6"/>
      <c r="N320" s="48"/>
      <c r="O320" s="45" t="str">
        <f t="shared" si="251"/>
        <v>Questionnaire</v>
      </c>
      <c r="P320" s="6" t="s">
        <v>18549</v>
      </c>
      <c r="Q320" s="60" t="s">
        <v>2246</v>
      </c>
      <c r="R320" s="48" t="s">
        <v>18550</v>
      </c>
      <c r="S320" s="48" t="s">
        <v>172</v>
      </c>
      <c r="T320" s="49" t="s">
        <v>63</v>
      </c>
      <c r="U320" s="6" t="s">
        <v>800</v>
      </c>
      <c r="V320" s="49"/>
      <c r="W320" s="65">
        <v>3.25</v>
      </c>
      <c r="X320" s="49" t="s">
        <v>18552</v>
      </c>
      <c r="Y320" s="49" t="s">
        <v>1452</v>
      </c>
      <c r="Z320" s="49" t="s">
        <v>746</v>
      </c>
      <c r="AA320" s="65">
        <v>0.62</v>
      </c>
      <c r="AB320" s="39">
        <v>33276</v>
      </c>
      <c r="AC320" s="84" t="s">
        <v>18549</v>
      </c>
      <c r="AD320" s="53" t="str">
        <f t="shared" si="252"/>
        <v>Link</v>
      </c>
      <c r="AE320" s="42">
        <v>1043</v>
      </c>
      <c r="AF320" s="55"/>
      <c r="AG320" s="55"/>
      <c r="AH320" s="56">
        <v>177542</v>
      </c>
      <c r="AI320" s="7" t="s">
        <v>2459</v>
      </c>
      <c r="AJ320" s="7"/>
      <c r="AK320" s="7"/>
      <c r="AL320" s="7"/>
      <c r="AM320" s="7"/>
      <c r="AN320" s="7"/>
      <c r="AO320" s="7"/>
    </row>
    <row r="321" spans="1:41" ht="13" x14ac:dyDescent="0.15">
      <c r="A321" s="7"/>
      <c r="B321" s="31" t="s">
        <v>6237</v>
      </c>
      <c r="C321" s="2" t="s">
        <v>15218</v>
      </c>
      <c r="D321" s="7"/>
      <c r="E321" s="37">
        <v>5</v>
      </c>
      <c r="F321" s="7"/>
      <c r="G321" s="7"/>
      <c r="H321" s="2" t="s">
        <v>18559</v>
      </c>
      <c r="I321" s="2" t="s">
        <v>18560</v>
      </c>
      <c r="J321" s="2" t="s">
        <v>378</v>
      </c>
      <c r="K321" s="2" t="s">
        <v>48</v>
      </c>
      <c r="L321" s="114" t="s">
        <v>18561</v>
      </c>
      <c r="M321" s="48" t="s">
        <v>18573</v>
      </c>
      <c r="N321" s="48"/>
      <c r="O321" s="45" t="str">
        <f>HYPERLINK("http://www.hornetsathletics.com/recruiting","Questionnaire")</f>
        <v>Questionnaire</v>
      </c>
      <c r="P321" s="6" t="s">
        <v>18577</v>
      </c>
      <c r="Q321" s="60" t="s">
        <v>2246</v>
      </c>
      <c r="R321" s="48" t="s">
        <v>2259</v>
      </c>
      <c r="S321" s="48" t="s">
        <v>354</v>
      </c>
      <c r="T321" s="49" t="s">
        <v>74</v>
      </c>
      <c r="U321" s="48" t="s">
        <v>75</v>
      </c>
      <c r="V321" s="49" t="s">
        <v>212</v>
      </c>
      <c r="W321" s="65">
        <v>2.6</v>
      </c>
      <c r="X321" s="49" t="s">
        <v>18579</v>
      </c>
      <c r="Y321" s="49" t="s">
        <v>18580</v>
      </c>
      <c r="Z321" s="49" t="s">
        <v>18581</v>
      </c>
      <c r="AA321" s="65">
        <v>0.55000000000000004</v>
      </c>
      <c r="AB321" s="48" t="s">
        <v>18582</v>
      </c>
      <c r="AC321" s="84" t="s">
        <v>18577</v>
      </c>
      <c r="AD321" s="53" t="str">
        <f>HYPERLINK("http://go.hssu.edu/rsp_content.cfm?wid=50&amp;pid=473","Link")</f>
        <v>Link</v>
      </c>
      <c r="AE321" s="42">
        <v>1464</v>
      </c>
      <c r="AF321" s="55"/>
      <c r="AG321" s="55"/>
      <c r="AH321" s="56">
        <v>177551</v>
      </c>
      <c r="AI321" s="7" t="s">
        <v>2459</v>
      </c>
      <c r="AJ321" s="7"/>
      <c r="AK321" s="7"/>
      <c r="AL321" s="7"/>
      <c r="AM321" s="7"/>
      <c r="AN321" s="7"/>
      <c r="AO321" s="7"/>
    </row>
    <row r="322" spans="1:41" ht="15" x14ac:dyDescent="0.2">
      <c r="A322" s="7"/>
      <c r="B322" s="31" t="s">
        <v>6237</v>
      </c>
      <c r="C322" s="2" t="s">
        <v>15218</v>
      </c>
      <c r="D322" s="7" t="s">
        <v>18590</v>
      </c>
      <c r="E322" s="37">
        <v>5</v>
      </c>
      <c r="F322" s="48"/>
      <c r="G322" s="48"/>
      <c r="H322" s="2" t="s">
        <v>18591</v>
      </c>
      <c r="I322" s="2" t="s">
        <v>402</v>
      </c>
      <c r="J322" s="2" t="s">
        <v>18592</v>
      </c>
      <c r="K322" s="2" t="s">
        <v>48</v>
      </c>
      <c r="L322" s="2" t="s">
        <v>18593</v>
      </c>
      <c r="M322" s="6" t="s">
        <v>18594</v>
      </c>
      <c r="N322" s="45" t="str">
        <f>HYPERLINK("twitter.com/mbu_softball","@mbu_softball")</f>
        <v>@mbu_softball</v>
      </c>
      <c r="O322" s="45" t="str">
        <f>HYPERLINK("https://mbuspartans.com/sb_output.aspx?form=3","Questionnaire")</f>
        <v>Questionnaire</v>
      </c>
      <c r="P322" s="108" t="s">
        <v>18598</v>
      </c>
      <c r="Q322" s="60" t="s">
        <v>2246</v>
      </c>
      <c r="R322" s="48" t="s">
        <v>2259</v>
      </c>
      <c r="S322" s="48" t="s">
        <v>354</v>
      </c>
      <c r="T322" s="5" t="s">
        <v>63</v>
      </c>
      <c r="U322" s="6" t="s">
        <v>2619</v>
      </c>
      <c r="V322" s="49"/>
      <c r="W322" s="65">
        <v>3.2</v>
      </c>
      <c r="X322" s="49" t="s">
        <v>3484</v>
      </c>
      <c r="Y322" s="49" t="s">
        <v>3428</v>
      </c>
      <c r="Z322" s="49" t="s">
        <v>449</v>
      </c>
      <c r="AA322" s="65">
        <v>0.51</v>
      </c>
      <c r="AB322" s="39">
        <v>37645</v>
      </c>
      <c r="AC322" s="52" t="s">
        <v>18598</v>
      </c>
      <c r="AD322" s="53" t="str">
        <f>HYPERLINK("https://www.mobap.edu/academics-overview/academics-undergraduate-academic-divisions/","Link")</f>
        <v>Link</v>
      </c>
      <c r="AE322" s="42">
        <v>4632</v>
      </c>
      <c r="AF322" s="55"/>
      <c r="AG322" s="55"/>
      <c r="AH322" s="56">
        <v>178244</v>
      </c>
      <c r="AI322" s="55"/>
    </row>
    <row r="323" spans="1:41" ht="13" x14ac:dyDescent="0.15">
      <c r="A323" s="7"/>
      <c r="B323" s="31" t="s">
        <v>6237</v>
      </c>
      <c r="C323" s="2" t="s">
        <v>15218</v>
      </c>
      <c r="D323" s="7" t="s">
        <v>18604</v>
      </c>
      <c r="E323" s="37">
        <v>5</v>
      </c>
      <c r="F323" s="48"/>
      <c r="G323" s="48"/>
      <c r="H323" s="2" t="s">
        <v>18606</v>
      </c>
      <c r="I323" s="2" t="s">
        <v>361</v>
      </c>
      <c r="J323" s="2" t="s">
        <v>18607</v>
      </c>
      <c r="K323" s="2" t="s">
        <v>48</v>
      </c>
      <c r="L323" s="2" t="s">
        <v>18608</v>
      </c>
      <c r="M323" s="6" t="s">
        <v>18609</v>
      </c>
      <c r="N323" s="48"/>
      <c r="O323" s="45" t="str">
        <f t="shared" ref="O323:O324" si="253">HYPERLINK("https://www.valleywillroll.com/recruiting.php","Questionnaire")</f>
        <v>Questionnaire</v>
      </c>
      <c r="P323" s="6" t="s">
        <v>8993</v>
      </c>
      <c r="Q323" s="60" t="s">
        <v>2246</v>
      </c>
      <c r="R323" s="48" t="s">
        <v>18179</v>
      </c>
      <c r="S323" s="48" t="s">
        <v>172</v>
      </c>
      <c r="T323" s="49" t="s">
        <v>63</v>
      </c>
      <c r="U323" s="6" t="s">
        <v>248</v>
      </c>
      <c r="V323" s="49"/>
      <c r="W323" s="65">
        <v>2.9</v>
      </c>
      <c r="X323" s="49" t="s">
        <v>3012</v>
      </c>
      <c r="Y323" s="49" t="s">
        <v>252</v>
      </c>
      <c r="Z323" s="49" t="s">
        <v>3230</v>
      </c>
      <c r="AA323" s="65">
        <v>0.46</v>
      </c>
      <c r="AB323" s="39">
        <v>32280</v>
      </c>
      <c r="AC323" s="84" t="s">
        <v>8993</v>
      </c>
      <c r="AD323" s="53" t="str">
        <f t="shared" ref="AD323:AD324" si="254">HYPERLINK("http://www.moval.edu/academics/divisions.php","Link")</f>
        <v>Link</v>
      </c>
      <c r="AE323" s="42">
        <v>1787</v>
      </c>
      <c r="AF323" s="55"/>
      <c r="AG323" s="55"/>
      <c r="AH323" s="56">
        <v>178369</v>
      </c>
      <c r="AI323" s="55"/>
    </row>
    <row r="324" spans="1:41" ht="13" x14ac:dyDescent="0.15">
      <c r="A324" s="7"/>
      <c r="B324" s="31" t="s">
        <v>6237</v>
      </c>
      <c r="C324" s="2" t="s">
        <v>15218</v>
      </c>
      <c r="D324" s="7" t="s">
        <v>18615</v>
      </c>
      <c r="E324" s="37">
        <v>5</v>
      </c>
      <c r="F324" s="48"/>
      <c r="G324" s="48"/>
      <c r="H324" s="2" t="s">
        <v>18606</v>
      </c>
      <c r="I324" s="2" t="s">
        <v>3279</v>
      </c>
      <c r="J324" s="2" t="s">
        <v>18618</v>
      </c>
      <c r="K324" s="2" t="s">
        <v>55</v>
      </c>
      <c r="L324" s="2" t="s">
        <v>18620</v>
      </c>
      <c r="M324" s="6" t="s">
        <v>18622</v>
      </c>
      <c r="N324" s="48"/>
      <c r="O324" s="45" t="str">
        <f t="shared" si="253"/>
        <v>Questionnaire</v>
      </c>
      <c r="P324" s="6" t="s">
        <v>8993</v>
      </c>
      <c r="Q324" s="60" t="s">
        <v>2246</v>
      </c>
      <c r="R324" s="48" t="s">
        <v>18179</v>
      </c>
      <c r="S324" s="48" t="s">
        <v>172</v>
      </c>
      <c r="T324" s="49" t="s">
        <v>63</v>
      </c>
      <c r="U324" s="6" t="s">
        <v>248</v>
      </c>
      <c r="V324" s="49"/>
      <c r="W324" s="65">
        <v>2.9</v>
      </c>
      <c r="X324" s="49" t="s">
        <v>3012</v>
      </c>
      <c r="Y324" s="49" t="s">
        <v>252</v>
      </c>
      <c r="Z324" s="49" t="s">
        <v>3230</v>
      </c>
      <c r="AA324" s="65">
        <v>0.46</v>
      </c>
      <c r="AB324" s="39">
        <v>32280</v>
      </c>
      <c r="AC324" s="84" t="s">
        <v>8993</v>
      </c>
      <c r="AD324" s="53" t="str">
        <f t="shared" si="254"/>
        <v>Link</v>
      </c>
      <c r="AE324" s="42">
        <v>1787</v>
      </c>
      <c r="AF324" s="55"/>
      <c r="AG324" s="55"/>
      <c r="AH324" s="56">
        <v>178369</v>
      </c>
      <c r="AI324" s="55"/>
    </row>
    <row r="325" spans="1:41" ht="13" x14ac:dyDescent="0.15">
      <c r="A325" s="7"/>
      <c r="B325" s="31" t="s">
        <v>6237</v>
      </c>
      <c r="C325" s="2" t="s">
        <v>15218</v>
      </c>
      <c r="D325" s="7"/>
      <c r="E325" s="37">
        <v>5</v>
      </c>
      <c r="F325" s="7"/>
      <c r="G325" s="7"/>
      <c r="H325" s="2" t="s">
        <v>18626</v>
      </c>
      <c r="I325" s="2" t="s">
        <v>1447</v>
      </c>
      <c r="J325" s="2" t="s">
        <v>18627</v>
      </c>
      <c r="K325" s="2" t="s">
        <v>48</v>
      </c>
      <c r="L325" s="2" t="s">
        <v>18628</v>
      </c>
      <c r="M325" s="6" t="s">
        <v>18629</v>
      </c>
      <c r="N325" s="45" t="str">
        <f t="shared" ref="N325:N327" si="255">HYPERLINK("twitter.com/parksoftball1","@parksoftball1")</f>
        <v>@parksoftball1</v>
      </c>
      <c r="O325" s="45" t="str">
        <f t="shared" ref="O325:O327" si="256">HYPERLINK("http://www.parkathletics.com/recruiting","Questionnaire")</f>
        <v>Questionnaire</v>
      </c>
      <c r="P325" s="6" t="s">
        <v>18632</v>
      </c>
      <c r="Q325" s="60" t="s">
        <v>2246</v>
      </c>
      <c r="R325" s="48" t="s">
        <v>18635</v>
      </c>
      <c r="S325" s="60" t="s">
        <v>205</v>
      </c>
      <c r="T325" s="49" t="s">
        <v>63</v>
      </c>
      <c r="U325" s="48" t="s">
        <v>75</v>
      </c>
      <c r="V325" s="49"/>
      <c r="W325" s="65">
        <v>3.2</v>
      </c>
      <c r="X325" s="49" t="s">
        <v>214</v>
      </c>
      <c r="Y325" s="49" t="s">
        <v>214</v>
      </c>
      <c r="Z325" s="49" t="s">
        <v>214</v>
      </c>
      <c r="AA325" s="65">
        <v>0.85</v>
      </c>
      <c r="AB325" s="39">
        <v>25450</v>
      </c>
      <c r="AC325" s="84" t="s">
        <v>18632</v>
      </c>
      <c r="AD325" s="53" t="str">
        <f t="shared" ref="AD325:AD327" si="257">HYPERLINK("https://www.park.edu/academics/explore-majors-programs/","Link")</f>
        <v>Link</v>
      </c>
      <c r="AE325" s="42">
        <v>9857</v>
      </c>
      <c r="AF325" s="55"/>
      <c r="AG325" s="55"/>
      <c r="AH325" s="56">
        <v>178721</v>
      </c>
      <c r="AI325" s="7" t="s">
        <v>2459</v>
      </c>
      <c r="AJ325" s="7"/>
      <c r="AK325" s="7"/>
      <c r="AL325" s="7"/>
      <c r="AM325" s="7"/>
      <c r="AN325" s="7"/>
      <c r="AO325" s="7"/>
    </row>
    <row r="326" spans="1:41" ht="13" x14ac:dyDescent="0.15">
      <c r="A326" s="7"/>
      <c r="B326" s="31" t="s">
        <v>6237</v>
      </c>
      <c r="C326" s="2" t="s">
        <v>15218</v>
      </c>
      <c r="D326" s="7"/>
      <c r="E326" s="37">
        <v>5</v>
      </c>
      <c r="F326" s="7"/>
      <c r="G326" s="7"/>
      <c r="H326" s="2" t="s">
        <v>18626</v>
      </c>
      <c r="I326" s="2" t="s">
        <v>4434</v>
      </c>
      <c r="J326" s="2" t="s">
        <v>12129</v>
      </c>
      <c r="K326" s="2" t="s">
        <v>55</v>
      </c>
      <c r="L326" s="95" t="s">
        <v>18640</v>
      </c>
      <c r="M326" s="6" t="s">
        <v>18641</v>
      </c>
      <c r="N326" s="45" t="str">
        <f t="shared" si="255"/>
        <v>@parksoftball1</v>
      </c>
      <c r="O326" s="45" t="str">
        <f t="shared" si="256"/>
        <v>Questionnaire</v>
      </c>
      <c r="P326" s="6" t="s">
        <v>18632</v>
      </c>
      <c r="Q326" s="60" t="s">
        <v>2246</v>
      </c>
      <c r="R326" s="48" t="s">
        <v>18635</v>
      </c>
      <c r="S326" s="60" t="s">
        <v>205</v>
      </c>
      <c r="T326" s="49" t="s">
        <v>63</v>
      </c>
      <c r="U326" s="48" t="s">
        <v>75</v>
      </c>
      <c r="V326" s="49"/>
      <c r="W326" s="65">
        <v>3.2</v>
      </c>
      <c r="X326" s="49" t="s">
        <v>214</v>
      </c>
      <c r="Y326" s="49" t="s">
        <v>214</v>
      </c>
      <c r="Z326" s="49" t="s">
        <v>214</v>
      </c>
      <c r="AA326" s="65">
        <v>0.85</v>
      </c>
      <c r="AB326" s="39">
        <v>25450</v>
      </c>
      <c r="AC326" s="84" t="s">
        <v>18632</v>
      </c>
      <c r="AD326" s="53" t="str">
        <f t="shared" si="257"/>
        <v>Link</v>
      </c>
      <c r="AE326" s="42">
        <v>9857</v>
      </c>
      <c r="AF326" s="55"/>
      <c r="AG326" s="55"/>
      <c r="AH326" s="56">
        <v>178721</v>
      </c>
      <c r="AI326" s="7" t="s">
        <v>2459</v>
      </c>
      <c r="AJ326" s="7"/>
      <c r="AK326" s="7"/>
      <c r="AL326" s="7"/>
      <c r="AM326" s="7"/>
      <c r="AN326" s="7"/>
      <c r="AO326" s="7"/>
    </row>
    <row r="327" spans="1:41" ht="13" x14ac:dyDescent="0.15">
      <c r="A327" s="7"/>
      <c r="B327" s="31" t="s">
        <v>6237</v>
      </c>
      <c r="C327" s="2" t="s">
        <v>15218</v>
      </c>
      <c r="D327" s="7"/>
      <c r="E327" s="37">
        <v>5</v>
      </c>
      <c r="F327" s="7"/>
      <c r="G327" s="7"/>
      <c r="H327" s="2" t="s">
        <v>18626</v>
      </c>
      <c r="I327" s="2" t="s">
        <v>11103</v>
      </c>
      <c r="J327" s="2" t="s">
        <v>18647</v>
      </c>
      <c r="K327" s="2" t="s">
        <v>55</v>
      </c>
      <c r="L327" s="2"/>
      <c r="M327" s="6"/>
      <c r="N327" s="45" t="str">
        <f t="shared" si="255"/>
        <v>@parksoftball1</v>
      </c>
      <c r="O327" s="45" t="str">
        <f t="shared" si="256"/>
        <v>Questionnaire</v>
      </c>
      <c r="P327" s="6" t="s">
        <v>18632</v>
      </c>
      <c r="Q327" s="60" t="s">
        <v>2246</v>
      </c>
      <c r="R327" s="48" t="s">
        <v>18635</v>
      </c>
      <c r="S327" s="60" t="s">
        <v>205</v>
      </c>
      <c r="T327" s="49" t="s">
        <v>63</v>
      </c>
      <c r="U327" s="48" t="s">
        <v>75</v>
      </c>
      <c r="V327" s="49"/>
      <c r="W327" s="65">
        <v>3.2</v>
      </c>
      <c r="X327" s="49" t="s">
        <v>214</v>
      </c>
      <c r="Y327" s="49" t="s">
        <v>214</v>
      </c>
      <c r="Z327" s="49" t="s">
        <v>214</v>
      </c>
      <c r="AA327" s="65">
        <v>0.85</v>
      </c>
      <c r="AB327" s="39">
        <v>25450</v>
      </c>
      <c r="AC327" s="84" t="s">
        <v>18632</v>
      </c>
      <c r="AD327" s="53" t="str">
        <f t="shared" si="257"/>
        <v>Link</v>
      </c>
      <c r="AE327" s="42">
        <v>9857</v>
      </c>
      <c r="AF327" s="55"/>
      <c r="AG327" s="55"/>
      <c r="AH327" s="56">
        <v>178721</v>
      </c>
      <c r="AI327" s="85" t="s">
        <v>2459</v>
      </c>
      <c r="AJ327" s="7"/>
      <c r="AK327" s="7"/>
      <c r="AL327" s="7"/>
      <c r="AM327" s="7"/>
      <c r="AN327" s="7"/>
      <c r="AO327" s="7"/>
    </row>
    <row r="328" spans="1:41" ht="13" x14ac:dyDescent="0.15">
      <c r="A328" s="7"/>
      <c r="B328" s="31" t="s">
        <v>6237</v>
      </c>
      <c r="C328" s="2" t="s">
        <v>15218</v>
      </c>
      <c r="D328" s="7"/>
      <c r="E328" s="37">
        <v>5</v>
      </c>
      <c r="F328" s="7"/>
      <c r="G328" s="7"/>
      <c r="H328" s="2" t="s">
        <v>18650</v>
      </c>
      <c r="I328" s="2" t="s">
        <v>1280</v>
      </c>
      <c r="J328" s="2" t="s">
        <v>18651</v>
      </c>
      <c r="K328" s="2" t="s">
        <v>48</v>
      </c>
      <c r="L328" s="95" t="s">
        <v>18652</v>
      </c>
      <c r="M328" s="6" t="s">
        <v>18653</v>
      </c>
      <c r="N328" s="48"/>
      <c r="O328" s="45" t="str">
        <f t="shared" ref="O328:O329" si="258">HYPERLINK("http://www.eutecticsports.com/recruiting","Questionnaire")</f>
        <v>Questionnaire</v>
      </c>
      <c r="P328" s="6" t="s">
        <v>18650</v>
      </c>
      <c r="Q328" s="60" t="s">
        <v>2246</v>
      </c>
      <c r="R328" s="48" t="s">
        <v>2259</v>
      </c>
      <c r="S328" s="48" t="s">
        <v>354</v>
      </c>
      <c r="T328" s="49" t="s">
        <v>63</v>
      </c>
      <c r="U328" s="48" t="s">
        <v>75</v>
      </c>
      <c r="V328" s="49"/>
      <c r="W328" s="65">
        <v>3.74</v>
      </c>
      <c r="X328" s="49" t="s">
        <v>18656</v>
      </c>
      <c r="Y328" s="49" t="s">
        <v>18657</v>
      </c>
      <c r="Z328" s="49" t="s">
        <v>87</v>
      </c>
      <c r="AA328" s="65">
        <v>0.71</v>
      </c>
      <c r="AB328" s="39">
        <v>44643</v>
      </c>
      <c r="AC328" s="84" t="s">
        <v>18650</v>
      </c>
      <c r="AD328" s="53" t="str">
        <f t="shared" ref="AD328:AD329" si="259">HYPERLINK("https://stlcop.edu/academics/","Link")</f>
        <v>Link</v>
      </c>
      <c r="AE328" s="42">
        <v>539</v>
      </c>
      <c r="AF328" s="55"/>
      <c r="AG328" s="55"/>
      <c r="AH328" s="56">
        <v>179265</v>
      </c>
      <c r="AI328" s="85" t="s">
        <v>2459</v>
      </c>
      <c r="AJ328" s="7"/>
      <c r="AK328" s="7"/>
      <c r="AL328" s="7"/>
      <c r="AM328" s="7"/>
      <c r="AN328" s="7"/>
      <c r="AO328" s="7"/>
    </row>
    <row r="329" spans="1:41" ht="13" x14ac:dyDescent="0.15">
      <c r="A329" s="7"/>
      <c r="B329" s="31" t="s">
        <v>6237</v>
      </c>
      <c r="C329" s="2" t="s">
        <v>15218</v>
      </c>
      <c r="D329" s="7"/>
      <c r="E329" s="37">
        <v>5</v>
      </c>
      <c r="F329" s="7" t="s">
        <v>116</v>
      </c>
      <c r="G329" s="7"/>
      <c r="H329" s="2" t="s">
        <v>18650</v>
      </c>
      <c r="I329" s="2" t="s">
        <v>2031</v>
      </c>
      <c r="J329" s="2" t="s">
        <v>18661</v>
      </c>
      <c r="K329" s="2" t="s">
        <v>55</v>
      </c>
      <c r="L329" s="89" t="s">
        <v>18663</v>
      </c>
      <c r="M329" s="6"/>
      <c r="N329" s="48"/>
      <c r="O329" s="45" t="str">
        <f t="shared" si="258"/>
        <v>Questionnaire</v>
      </c>
      <c r="P329" s="6" t="s">
        <v>18650</v>
      </c>
      <c r="Q329" s="60" t="s">
        <v>2246</v>
      </c>
      <c r="R329" s="48" t="s">
        <v>2259</v>
      </c>
      <c r="S329" s="48" t="s">
        <v>354</v>
      </c>
      <c r="T329" s="49" t="s">
        <v>63</v>
      </c>
      <c r="U329" s="48" t="s">
        <v>75</v>
      </c>
      <c r="V329" s="49"/>
      <c r="W329" s="65">
        <v>3.74</v>
      </c>
      <c r="X329" s="49" t="s">
        <v>18656</v>
      </c>
      <c r="Y329" s="49" t="s">
        <v>18657</v>
      </c>
      <c r="Z329" s="49" t="s">
        <v>87</v>
      </c>
      <c r="AA329" s="65">
        <v>0.71</v>
      </c>
      <c r="AB329" s="39">
        <v>44643</v>
      </c>
      <c r="AC329" s="84" t="s">
        <v>18650</v>
      </c>
      <c r="AD329" s="53" t="str">
        <f t="shared" si="259"/>
        <v>Link</v>
      </c>
      <c r="AE329" s="42">
        <v>539</v>
      </c>
      <c r="AF329" s="55"/>
      <c r="AG329" s="55"/>
      <c r="AH329" s="56">
        <v>179265</v>
      </c>
      <c r="AI329" s="85" t="s">
        <v>2459</v>
      </c>
      <c r="AJ329" s="7"/>
      <c r="AK329" s="7"/>
      <c r="AL329" s="7"/>
      <c r="AM329" s="7"/>
      <c r="AN329" s="7"/>
      <c r="AO329" s="7"/>
    </row>
    <row r="330" spans="1:41" ht="15" x14ac:dyDescent="0.2">
      <c r="A330" s="7"/>
      <c r="B330" s="31" t="s">
        <v>6237</v>
      </c>
      <c r="C330" s="2" t="s">
        <v>15218</v>
      </c>
      <c r="D330" s="7"/>
      <c r="E330" s="37">
        <v>5</v>
      </c>
      <c r="F330" s="7" t="s">
        <v>116</v>
      </c>
      <c r="G330" s="7"/>
      <c r="H330" s="2" t="s">
        <v>18667</v>
      </c>
      <c r="I330" s="2" t="s">
        <v>143</v>
      </c>
      <c r="J330" s="2" t="s">
        <v>18668</v>
      </c>
      <c r="K330" s="2" t="s">
        <v>48</v>
      </c>
      <c r="L330" s="2" t="s">
        <v>18669</v>
      </c>
      <c r="M330" s="6" t="s">
        <v>18670</v>
      </c>
      <c r="N330" s="45" t="str">
        <f t="shared" ref="N330:N332" si="260">HYPERLINK("twitter.com/stephens_sb","@stephens_sb")</f>
        <v>@stephens_sb</v>
      </c>
      <c r="O330" s="45" t="str">
        <f t="shared" ref="O330:O332" si="261">HYPERLINK("http://www.stephensstars.com/become-a-stephens-star","Questionnaire")</f>
        <v>Questionnaire</v>
      </c>
      <c r="P330" s="6" t="s">
        <v>18676</v>
      </c>
      <c r="Q330" s="60" t="s">
        <v>2246</v>
      </c>
      <c r="R330" s="48" t="s">
        <v>10106</v>
      </c>
      <c r="S330" s="48" t="s">
        <v>238</v>
      </c>
      <c r="T330" s="49" t="s">
        <v>63</v>
      </c>
      <c r="U330" s="48" t="s">
        <v>75</v>
      </c>
      <c r="V330" s="49" t="s">
        <v>1006</v>
      </c>
      <c r="W330" s="65">
        <v>3.27</v>
      </c>
      <c r="X330" s="49" t="s">
        <v>18679</v>
      </c>
      <c r="Y330" s="49" t="s">
        <v>3520</v>
      </c>
      <c r="Z330" s="49" t="s">
        <v>1994</v>
      </c>
      <c r="AA330" s="80">
        <v>0.61</v>
      </c>
      <c r="AB330" s="39">
        <v>44354</v>
      </c>
      <c r="AC330" s="84" t="s">
        <v>18676</v>
      </c>
      <c r="AD330" s="53" t="str">
        <f t="shared" ref="AD330:AD332" si="262">HYPERLINK("https://www.stephens.edu/academics/programs-of-study/","Link")</f>
        <v>Link</v>
      </c>
      <c r="AE330" s="42">
        <v>729</v>
      </c>
      <c r="AF330" s="55"/>
      <c r="AG330" s="55"/>
      <c r="AH330" s="56">
        <v>179548</v>
      </c>
      <c r="AI330" s="85" t="s">
        <v>2459</v>
      </c>
      <c r="AJ330" s="7"/>
      <c r="AK330" s="7"/>
      <c r="AL330" s="7"/>
      <c r="AM330" s="7"/>
      <c r="AN330" s="7"/>
      <c r="AO330" s="7"/>
    </row>
    <row r="331" spans="1:41" ht="15" x14ac:dyDescent="0.2">
      <c r="A331" s="7"/>
      <c r="B331" s="31" t="s">
        <v>6237</v>
      </c>
      <c r="C331" s="2" t="s">
        <v>15218</v>
      </c>
      <c r="D331" s="7"/>
      <c r="E331" s="37">
        <v>5</v>
      </c>
      <c r="F331" s="7" t="s">
        <v>116</v>
      </c>
      <c r="G331" s="7"/>
      <c r="H331" s="2" t="s">
        <v>18667</v>
      </c>
      <c r="I331" s="7" t="s">
        <v>1541</v>
      </c>
      <c r="J331" s="7" t="s">
        <v>1727</v>
      </c>
      <c r="K331" s="7" t="s">
        <v>55</v>
      </c>
      <c r="L331" s="7" t="s">
        <v>18682</v>
      </c>
      <c r="M331" s="6" t="s">
        <v>18670</v>
      </c>
      <c r="N331" s="45" t="str">
        <f t="shared" si="260"/>
        <v>@stephens_sb</v>
      </c>
      <c r="O331" s="45" t="str">
        <f t="shared" si="261"/>
        <v>Questionnaire</v>
      </c>
      <c r="P331" s="6" t="s">
        <v>18676</v>
      </c>
      <c r="Q331" s="60" t="s">
        <v>2246</v>
      </c>
      <c r="R331" s="48" t="s">
        <v>10106</v>
      </c>
      <c r="S331" s="48" t="s">
        <v>238</v>
      </c>
      <c r="T331" s="49" t="s">
        <v>63</v>
      </c>
      <c r="U331" s="48" t="s">
        <v>75</v>
      </c>
      <c r="V331" s="49" t="s">
        <v>1006</v>
      </c>
      <c r="W331" s="65">
        <v>3.27</v>
      </c>
      <c r="X331" s="49" t="s">
        <v>18679</v>
      </c>
      <c r="Y331" s="49" t="s">
        <v>3520</v>
      </c>
      <c r="Z331" s="49" t="s">
        <v>1994</v>
      </c>
      <c r="AA331" s="80">
        <v>0.61</v>
      </c>
      <c r="AB331" s="39">
        <v>44354</v>
      </c>
      <c r="AC331" s="84" t="s">
        <v>18676</v>
      </c>
      <c r="AD331" s="53" t="str">
        <f t="shared" si="262"/>
        <v>Link</v>
      </c>
      <c r="AE331" s="42">
        <v>729</v>
      </c>
      <c r="AF331" s="55"/>
      <c r="AG331" s="55"/>
      <c r="AH331" s="56">
        <v>179548</v>
      </c>
      <c r="AI331" s="85" t="s">
        <v>2459</v>
      </c>
      <c r="AJ331" s="7"/>
      <c r="AK331" s="7"/>
      <c r="AL331" s="7"/>
      <c r="AM331" s="7"/>
      <c r="AN331" s="7"/>
      <c r="AO331" s="7"/>
    </row>
    <row r="332" spans="1:41" ht="15" x14ac:dyDescent="0.2">
      <c r="A332" s="7"/>
      <c r="B332" s="31" t="s">
        <v>6237</v>
      </c>
      <c r="C332" s="2" t="s">
        <v>15218</v>
      </c>
      <c r="D332" s="7"/>
      <c r="E332" s="37">
        <v>5</v>
      </c>
      <c r="F332" s="7" t="s">
        <v>116</v>
      </c>
      <c r="G332" s="7"/>
      <c r="H332" s="2" t="s">
        <v>18667</v>
      </c>
      <c r="I332" s="7" t="s">
        <v>1280</v>
      </c>
      <c r="J332" s="7" t="s">
        <v>18687</v>
      </c>
      <c r="K332" s="7" t="s">
        <v>55</v>
      </c>
      <c r="L332" s="7" t="s">
        <v>18669</v>
      </c>
      <c r="M332" s="6" t="s">
        <v>18670</v>
      </c>
      <c r="N332" s="45" t="str">
        <f t="shared" si="260"/>
        <v>@stephens_sb</v>
      </c>
      <c r="O332" s="45" t="str">
        <f t="shared" si="261"/>
        <v>Questionnaire</v>
      </c>
      <c r="P332" s="6" t="s">
        <v>18676</v>
      </c>
      <c r="Q332" s="60" t="s">
        <v>2246</v>
      </c>
      <c r="R332" s="48" t="s">
        <v>10106</v>
      </c>
      <c r="S332" s="48" t="s">
        <v>238</v>
      </c>
      <c r="T332" s="49" t="s">
        <v>63</v>
      </c>
      <c r="U332" s="48" t="s">
        <v>75</v>
      </c>
      <c r="V332" s="49" t="s">
        <v>1006</v>
      </c>
      <c r="W332" s="65">
        <v>3.27</v>
      </c>
      <c r="X332" s="49" t="s">
        <v>18679</v>
      </c>
      <c r="Y332" s="49" t="s">
        <v>3520</v>
      </c>
      <c r="Z332" s="49" t="s">
        <v>1994</v>
      </c>
      <c r="AA332" s="80">
        <v>0.61</v>
      </c>
      <c r="AB332" s="39">
        <v>44354</v>
      </c>
      <c r="AC332" s="84" t="s">
        <v>18676</v>
      </c>
      <c r="AD332" s="53" t="str">
        <f t="shared" si="262"/>
        <v>Link</v>
      </c>
      <c r="AE332" s="42">
        <v>729</v>
      </c>
      <c r="AF332" s="55"/>
      <c r="AG332" s="55"/>
      <c r="AH332" s="56">
        <v>179548</v>
      </c>
      <c r="AI332" s="85" t="s">
        <v>2459</v>
      </c>
      <c r="AJ332" s="7"/>
      <c r="AK332" s="7"/>
      <c r="AL332" s="7"/>
      <c r="AM332" s="7"/>
      <c r="AN332" s="7"/>
      <c r="AO332" s="7"/>
    </row>
    <row r="333" spans="1:41" ht="15" x14ac:dyDescent="0.2">
      <c r="A333" s="7"/>
      <c r="B333" s="31" t="s">
        <v>6237</v>
      </c>
      <c r="C333" s="2" t="s">
        <v>15218</v>
      </c>
      <c r="D333" s="7" t="s">
        <v>18690</v>
      </c>
      <c r="E333" s="37">
        <v>5</v>
      </c>
      <c r="F333" s="48"/>
      <c r="G333" s="48"/>
      <c r="H333" s="2" t="s">
        <v>18691</v>
      </c>
      <c r="I333" s="2" t="s">
        <v>4275</v>
      </c>
      <c r="J333" s="2" t="s">
        <v>18692</v>
      </c>
      <c r="K333" s="2" t="s">
        <v>48</v>
      </c>
      <c r="L333" s="2" t="s">
        <v>18693</v>
      </c>
      <c r="M333" s="6" t="s">
        <v>18694</v>
      </c>
      <c r="N333" s="45" t="str">
        <f t="shared" ref="N333:N334" si="263">HYPERLINK("twitter.com/williamwoodssb","@williamwoodssb")</f>
        <v>@williamwoodssb</v>
      </c>
      <c r="O333" s="45" t="str">
        <f t="shared" ref="O333:O334" si="264">HYPERLINK("https://wwuowls.com/sports/2017/4/19/prospective-athlete-forms.aspx","Questionnaire")</f>
        <v>Questionnaire</v>
      </c>
      <c r="P333" s="108" t="s">
        <v>18700</v>
      </c>
      <c r="Q333" s="60" t="s">
        <v>2246</v>
      </c>
      <c r="R333" s="48" t="s">
        <v>7581</v>
      </c>
      <c r="S333" s="48" t="s">
        <v>172</v>
      </c>
      <c r="T333" s="49" t="s">
        <v>63</v>
      </c>
      <c r="U333" s="6" t="s">
        <v>410</v>
      </c>
      <c r="V333" s="49"/>
      <c r="W333" s="65">
        <v>3.4</v>
      </c>
      <c r="X333" s="49" t="s">
        <v>396</v>
      </c>
      <c r="Y333" s="49" t="s">
        <v>3229</v>
      </c>
      <c r="Z333" s="49" t="s">
        <v>746</v>
      </c>
      <c r="AA333" s="65">
        <v>0.7</v>
      </c>
      <c r="AB333" s="39">
        <v>38540</v>
      </c>
      <c r="AC333" s="52" t="s">
        <v>18700</v>
      </c>
      <c r="AD333" s="53" t="str">
        <f t="shared" ref="AD333:AD334" si="265">HYPERLINK("https://www.williamwoods.edu/catalogs/1314/undergraduate/degree_programs.aspx","Link")</f>
        <v>Link</v>
      </c>
      <c r="AE333" s="42">
        <v>973</v>
      </c>
      <c r="AF333" s="55"/>
      <c r="AG333" s="55"/>
      <c r="AH333" s="56">
        <v>179964</v>
      </c>
      <c r="AI333" s="55"/>
    </row>
    <row r="334" spans="1:41" ht="15" x14ac:dyDescent="0.2">
      <c r="A334" s="7"/>
      <c r="B334" s="31" t="s">
        <v>6237</v>
      </c>
      <c r="C334" s="2" t="s">
        <v>15218</v>
      </c>
      <c r="D334" s="7" t="s">
        <v>18703</v>
      </c>
      <c r="E334" s="37">
        <v>5</v>
      </c>
      <c r="F334" s="48"/>
      <c r="G334" s="48"/>
      <c r="H334" s="2" t="s">
        <v>18691</v>
      </c>
      <c r="I334" s="2" t="s">
        <v>12201</v>
      </c>
      <c r="J334" s="2" t="s">
        <v>18705</v>
      </c>
      <c r="K334" s="2" t="s">
        <v>55</v>
      </c>
      <c r="L334" s="2" t="s">
        <v>18706</v>
      </c>
      <c r="M334" s="6" t="s">
        <v>18707</v>
      </c>
      <c r="N334" s="45" t="str">
        <f t="shared" si="263"/>
        <v>@williamwoodssb</v>
      </c>
      <c r="O334" s="45" t="str">
        <f t="shared" si="264"/>
        <v>Questionnaire</v>
      </c>
      <c r="P334" s="108" t="s">
        <v>18700</v>
      </c>
      <c r="Q334" s="60" t="s">
        <v>2246</v>
      </c>
      <c r="R334" s="48" t="s">
        <v>7581</v>
      </c>
      <c r="S334" s="48" t="s">
        <v>172</v>
      </c>
      <c r="T334" s="49" t="s">
        <v>63</v>
      </c>
      <c r="U334" s="6" t="s">
        <v>410</v>
      </c>
      <c r="V334" s="49"/>
      <c r="W334" s="65">
        <v>3.4</v>
      </c>
      <c r="X334" s="49" t="s">
        <v>396</v>
      </c>
      <c r="Y334" s="49" t="s">
        <v>3229</v>
      </c>
      <c r="Z334" s="49" t="s">
        <v>746</v>
      </c>
      <c r="AA334" s="65">
        <v>0.7</v>
      </c>
      <c r="AB334" s="39">
        <v>38540</v>
      </c>
      <c r="AC334" s="52" t="s">
        <v>18700</v>
      </c>
      <c r="AD334" s="53" t="str">
        <f t="shared" si="265"/>
        <v>Link</v>
      </c>
      <c r="AE334" s="42">
        <v>973</v>
      </c>
      <c r="AF334" s="55"/>
      <c r="AG334" s="55"/>
      <c r="AH334" s="56">
        <v>179964</v>
      </c>
      <c r="AI334" s="55"/>
    </row>
    <row r="335" spans="1:41" ht="13" x14ac:dyDescent="0.15">
      <c r="A335" s="7" t="s">
        <v>18709</v>
      </c>
      <c r="B335" s="31" t="s">
        <v>3523</v>
      </c>
      <c r="C335" s="2" t="s">
        <v>15218</v>
      </c>
      <c r="D335" s="7" t="s">
        <v>18711</v>
      </c>
      <c r="E335" s="37">
        <v>5</v>
      </c>
      <c r="F335" s="48"/>
      <c r="G335" s="48"/>
      <c r="H335" s="2" t="s">
        <v>18712</v>
      </c>
      <c r="I335" s="2" t="s">
        <v>5470</v>
      </c>
      <c r="J335" s="2" t="s">
        <v>773</v>
      </c>
      <c r="K335" s="2" t="s">
        <v>48</v>
      </c>
      <c r="L335" s="2" t="s">
        <v>18713</v>
      </c>
      <c r="M335" s="6" t="s">
        <v>18714</v>
      </c>
      <c r="N335" s="45" t="str">
        <f t="shared" ref="N335:N338" si="266">HYPERLINK("twitter.com/fightinsaintssb","@fightinsaintssb")</f>
        <v>@fightinsaintssb</v>
      </c>
      <c r="O335" s="45" t="str">
        <f t="shared" ref="O335:O338" si="267">HYPERLINK("https://gopios.com/sports/2015/6/15/GEN_0615151018.aspx","Questionnaire")</f>
        <v>Questionnaire</v>
      </c>
      <c r="P335" s="60" t="s">
        <v>18715</v>
      </c>
      <c r="Q335" s="60" t="s">
        <v>3515</v>
      </c>
      <c r="R335" s="48" t="s">
        <v>18716</v>
      </c>
      <c r="S335" s="48" t="s">
        <v>468</v>
      </c>
      <c r="T335" s="49" t="s">
        <v>63</v>
      </c>
      <c r="U335" s="6" t="s">
        <v>343</v>
      </c>
      <c r="V335" s="49"/>
      <c r="W335" s="65">
        <v>3.6</v>
      </c>
      <c r="X335" s="49" t="s">
        <v>676</v>
      </c>
      <c r="Y335" s="49" t="s">
        <v>956</v>
      </c>
      <c r="Z335" s="49" t="s">
        <v>689</v>
      </c>
      <c r="AA335" s="38">
        <v>0.71479999999999999</v>
      </c>
      <c r="AB335" s="39">
        <v>47226</v>
      </c>
      <c r="AC335" s="90" t="s">
        <v>18715</v>
      </c>
      <c r="AD335" s="53" t="str">
        <f t="shared" ref="AD335:AD338" si="268">HYPERLINK("https://www.carroll.edu/academics","Link")</f>
        <v>Link</v>
      </c>
      <c r="AE335" s="42">
        <v>1380</v>
      </c>
      <c r="AF335" s="55"/>
      <c r="AG335" s="55"/>
      <c r="AH335" s="56">
        <v>180106</v>
      </c>
      <c r="AI335" s="55"/>
    </row>
    <row r="336" spans="1:41" ht="13" x14ac:dyDescent="0.15">
      <c r="A336" s="7"/>
      <c r="B336" s="31" t="s">
        <v>3523</v>
      </c>
      <c r="C336" s="2" t="s">
        <v>15218</v>
      </c>
      <c r="D336" s="7" t="s">
        <v>18717</v>
      </c>
      <c r="E336" s="37">
        <v>5</v>
      </c>
      <c r="F336" s="48"/>
      <c r="G336" s="48"/>
      <c r="H336" s="2" t="s">
        <v>18712</v>
      </c>
      <c r="I336" s="2" t="s">
        <v>539</v>
      </c>
      <c r="J336" s="2" t="s">
        <v>18718</v>
      </c>
      <c r="K336" s="2" t="s">
        <v>55</v>
      </c>
      <c r="L336" s="2" t="s">
        <v>18719</v>
      </c>
      <c r="M336" s="6"/>
      <c r="N336" s="45" t="str">
        <f t="shared" si="266"/>
        <v>@fightinsaintssb</v>
      </c>
      <c r="O336" s="45" t="str">
        <f t="shared" si="267"/>
        <v>Questionnaire</v>
      </c>
      <c r="P336" s="60" t="s">
        <v>18715</v>
      </c>
      <c r="Q336" s="60" t="s">
        <v>3515</v>
      </c>
      <c r="R336" s="48" t="s">
        <v>18716</v>
      </c>
      <c r="S336" s="48" t="s">
        <v>468</v>
      </c>
      <c r="T336" s="49" t="s">
        <v>63</v>
      </c>
      <c r="U336" s="6" t="s">
        <v>343</v>
      </c>
      <c r="V336" s="49"/>
      <c r="W336" s="65">
        <v>3.6</v>
      </c>
      <c r="X336" s="49" t="s">
        <v>676</v>
      </c>
      <c r="Y336" s="49" t="s">
        <v>956</v>
      </c>
      <c r="Z336" s="49" t="s">
        <v>689</v>
      </c>
      <c r="AA336" s="38">
        <v>0.71479999999999999</v>
      </c>
      <c r="AB336" s="39">
        <v>47226</v>
      </c>
      <c r="AC336" s="90" t="s">
        <v>18715</v>
      </c>
      <c r="AD336" s="53" t="str">
        <f t="shared" si="268"/>
        <v>Link</v>
      </c>
      <c r="AE336" s="42">
        <v>1380</v>
      </c>
      <c r="AF336" s="55"/>
      <c r="AG336" s="55"/>
      <c r="AH336" s="56">
        <v>180106</v>
      </c>
      <c r="AI336" s="55"/>
    </row>
    <row r="337" spans="1:41" ht="13" x14ac:dyDescent="0.15">
      <c r="A337" s="7"/>
      <c r="B337" s="31" t="s">
        <v>3523</v>
      </c>
      <c r="C337" s="2" t="s">
        <v>15218</v>
      </c>
      <c r="D337" s="7" t="s">
        <v>18720</v>
      </c>
      <c r="E337" s="37">
        <v>5</v>
      </c>
      <c r="F337" s="48"/>
      <c r="G337" s="48"/>
      <c r="H337" s="2" t="s">
        <v>18712</v>
      </c>
      <c r="I337" s="2" t="s">
        <v>658</v>
      </c>
      <c r="J337" s="2" t="s">
        <v>18722</v>
      </c>
      <c r="K337" s="2" t="s">
        <v>55</v>
      </c>
      <c r="L337" s="2"/>
      <c r="M337" s="6"/>
      <c r="N337" s="45" t="str">
        <f t="shared" si="266"/>
        <v>@fightinsaintssb</v>
      </c>
      <c r="O337" s="45" t="str">
        <f t="shared" si="267"/>
        <v>Questionnaire</v>
      </c>
      <c r="P337" s="60" t="s">
        <v>18715</v>
      </c>
      <c r="Q337" s="60" t="s">
        <v>3515</v>
      </c>
      <c r="R337" s="48" t="s">
        <v>18716</v>
      </c>
      <c r="S337" s="48" t="s">
        <v>468</v>
      </c>
      <c r="T337" s="49" t="s">
        <v>63</v>
      </c>
      <c r="U337" s="6" t="s">
        <v>343</v>
      </c>
      <c r="V337" s="49"/>
      <c r="W337" s="65">
        <v>3.6</v>
      </c>
      <c r="X337" s="49" t="s">
        <v>676</v>
      </c>
      <c r="Y337" s="49" t="s">
        <v>956</v>
      </c>
      <c r="Z337" s="49" t="s">
        <v>689</v>
      </c>
      <c r="AA337" s="38">
        <v>0.71479999999999999</v>
      </c>
      <c r="AB337" s="39">
        <v>47226</v>
      </c>
      <c r="AC337" s="90" t="s">
        <v>18715</v>
      </c>
      <c r="AD337" s="53" t="str">
        <f t="shared" si="268"/>
        <v>Link</v>
      </c>
      <c r="AE337" s="42">
        <v>1380</v>
      </c>
      <c r="AF337" s="55"/>
      <c r="AG337" s="55"/>
      <c r="AH337" s="56">
        <v>180106</v>
      </c>
      <c r="AI337" s="55"/>
    </row>
    <row r="338" spans="1:41" ht="13" x14ac:dyDescent="0.15">
      <c r="A338" s="7"/>
      <c r="B338" s="31" t="s">
        <v>3523</v>
      </c>
      <c r="C338" s="2" t="s">
        <v>15218</v>
      </c>
      <c r="D338" s="7" t="s">
        <v>18724</v>
      </c>
      <c r="E338" s="37">
        <v>5</v>
      </c>
      <c r="F338" s="48"/>
      <c r="G338" s="48"/>
      <c r="H338" s="2" t="s">
        <v>18712</v>
      </c>
      <c r="I338" s="2" t="s">
        <v>2011</v>
      </c>
      <c r="J338" s="2" t="s">
        <v>18725</v>
      </c>
      <c r="K338" s="2" t="s">
        <v>55</v>
      </c>
      <c r="L338" s="2"/>
      <c r="M338" s="6"/>
      <c r="N338" s="45" t="str">
        <f t="shared" si="266"/>
        <v>@fightinsaintssb</v>
      </c>
      <c r="O338" s="45" t="str">
        <f t="shared" si="267"/>
        <v>Questionnaire</v>
      </c>
      <c r="P338" s="60" t="s">
        <v>18715</v>
      </c>
      <c r="Q338" s="60" t="s">
        <v>3515</v>
      </c>
      <c r="R338" s="48" t="s">
        <v>18716</v>
      </c>
      <c r="S338" s="48" t="s">
        <v>468</v>
      </c>
      <c r="T338" s="49" t="s">
        <v>63</v>
      </c>
      <c r="U338" s="6" t="s">
        <v>343</v>
      </c>
      <c r="V338" s="49"/>
      <c r="W338" s="65">
        <v>3.6</v>
      </c>
      <c r="X338" s="49" t="s">
        <v>676</v>
      </c>
      <c r="Y338" s="49" t="s">
        <v>956</v>
      </c>
      <c r="Z338" s="49" t="s">
        <v>689</v>
      </c>
      <c r="AA338" s="38">
        <v>0.71479999999999999</v>
      </c>
      <c r="AB338" s="39">
        <v>47226</v>
      </c>
      <c r="AC338" s="90" t="s">
        <v>18715</v>
      </c>
      <c r="AD338" s="53" t="str">
        <f t="shared" si="268"/>
        <v>Link</v>
      </c>
      <c r="AE338" s="42">
        <v>1380</v>
      </c>
      <c r="AF338" s="55"/>
      <c r="AG338" s="55"/>
      <c r="AH338" s="56">
        <v>180106</v>
      </c>
      <c r="AI338" s="55"/>
    </row>
    <row r="339" spans="1:41" ht="13" x14ac:dyDescent="0.15">
      <c r="A339" s="7"/>
      <c r="B339" s="31" t="s">
        <v>3523</v>
      </c>
      <c r="C339" s="2" t="s">
        <v>15218</v>
      </c>
      <c r="D339" s="7" t="s">
        <v>18726</v>
      </c>
      <c r="E339" s="37">
        <v>5</v>
      </c>
      <c r="F339" s="48"/>
      <c r="G339" s="48"/>
      <c r="H339" s="2" t="s">
        <v>18727</v>
      </c>
      <c r="I339" s="2" t="s">
        <v>4264</v>
      </c>
      <c r="J339" s="2" t="s">
        <v>18728</v>
      </c>
      <c r="K339" s="2" t="s">
        <v>48</v>
      </c>
      <c r="L339" s="2" t="s">
        <v>18729</v>
      </c>
      <c r="M339" s="6" t="s">
        <v>18730</v>
      </c>
      <c r="N339" s="45" t="str">
        <f t="shared" ref="N339:N340" si="269">HYPERLINK("twitter.com/@softballprov","@softballprov")</f>
        <v>@softballprov</v>
      </c>
      <c r="O339" s="45" t="str">
        <f t="shared" ref="O339:O340" si="270">HYPERLINK("https://upargos.com/sports/2016/4/11/recruit-forms.aspx","Questionnaire")</f>
        <v>Questionnaire</v>
      </c>
      <c r="P339" s="6" t="s">
        <v>18732</v>
      </c>
      <c r="Q339" s="60" t="s">
        <v>3515</v>
      </c>
      <c r="R339" s="48" t="s">
        <v>18733</v>
      </c>
      <c r="S339" s="48" t="s">
        <v>186</v>
      </c>
      <c r="T339" s="49" t="s">
        <v>63</v>
      </c>
      <c r="U339" s="6" t="s">
        <v>343</v>
      </c>
      <c r="V339" s="49"/>
      <c r="W339" s="65">
        <v>3.23</v>
      </c>
      <c r="X339" s="49" t="s">
        <v>3428</v>
      </c>
      <c r="Y339" s="49" t="s">
        <v>7200</v>
      </c>
      <c r="Z339" s="49" t="s">
        <v>1948</v>
      </c>
      <c r="AA339" s="65">
        <v>0.56999999999999995</v>
      </c>
      <c r="AB339" s="39">
        <v>36100</v>
      </c>
      <c r="AC339" s="84" t="s">
        <v>18732</v>
      </c>
      <c r="AD339" s="53" t="str">
        <f t="shared" ref="AD339:AD340" si="271">HYPERLINK("https://www.uprovidence.edu/explore-programs/undergraduate/majors/","Link")</f>
        <v>Link</v>
      </c>
      <c r="AE339" s="42">
        <v>883</v>
      </c>
      <c r="AF339" s="55"/>
      <c r="AG339" s="55"/>
      <c r="AH339" s="56">
        <v>180258</v>
      </c>
      <c r="AI339" s="55"/>
    </row>
    <row r="340" spans="1:41" ht="13" x14ac:dyDescent="0.15">
      <c r="A340" s="7"/>
      <c r="B340" s="31" t="s">
        <v>3523</v>
      </c>
      <c r="C340" s="2" t="s">
        <v>15218</v>
      </c>
      <c r="D340" s="7" t="s">
        <v>18738</v>
      </c>
      <c r="E340" s="37">
        <v>5</v>
      </c>
      <c r="F340" s="48"/>
      <c r="G340" s="48"/>
      <c r="H340" s="2" t="s">
        <v>18727</v>
      </c>
      <c r="I340" s="2" t="s">
        <v>14816</v>
      </c>
      <c r="J340" s="2" t="s">
        <v>18263</v>
      </c>
      <c r="K340" s="2" t="s">
        <v>55</v>
      </c>
      <c r="L340" s="2" t="s">
        <v>18740</v>
      </c>
      <c r="M340" s="6" t="s">
        <v>18741</v>
      </c>
      <c r="N340" s="45" t="str">
        <f t="shared" si="269"/>
        <v>@softballprov</v>
      </c>
      <c r="O340" s="45" t="str">
        <f t="shared" si="270"/>
        <v>Questionnaire</v>
      </c>
      <c r="P340" s="6" t="s">
        <v>18732</v>
      </c>
      <c r="Q340" s="60" t="s">
        <v>3515</v>
      </c>
      <c r="R340" s="48" t="s">
        <v>18733</v>
      </c>
      <c r="S340" s="48" t="s">
        <v>186</v>
      </c>
      <c r="T340" s="49" t="s">
        <v>63</v>
      </c>
      <c r="U340" s="6" t="s">
        <v>343</v>
      </c>
      <c r="V340" s="49"/>
      <c r="W340" s="65">
        <v>3.23</v>
      </c>
      <c r="X340" s="49" t="s">
        <v>3428</v>
      </c>
      <c r="Y340" s="49" t="s">
        <v>7200</v>
      </c>
      <c r="Z340" s="49" t="s">
        <v>1948</v>
      </c>
      <c r="AA340" s="65">
        <v>0.56999999999999995</v>
      </c>
      <c r="AB340" s="39">
        <v>36100</v>
      </c>
      <c r="AC340" s="84" t="s">
        <v>18732</v>
      </c>
      <c r="AD340" s="53" t="str">
        <f t="shared" si="271"/>
        <v>Link</v>
      </c>
      <c r="AE340" s="42">
        <v>883</v>
      </c>
      <c r="AF340" s="55"/>
      <c r="AG340" s="55"/>
      <c r="AH340" s="56">
        <v>180258</v>
      </c>
      <c r="AI340" s="55"/>
    </row>
    <row r="341" spans="1:41" ht="15" x14ac:dyDescent="0.2">
      <c r="A341" s="7"/>
      <c r="B341" s="31" t="s">
        <v>4734</v>
      </c>
      <c r="C341" s="2" t="s">
        <v>15218</v>
      </c>
      <c r="D341" s="7" t="s">
        <v>18744</v>
      </c>
      <c r="E341" s="37">
        <v>5</v>
      </c>
      <c r="F341" s="48"/>
      <c r="G341" s="48"/>
      <c r="H341" s="2" t="s">
        <v>18745</v>
      </c>
      <c r="I341" s="2" t="s">
        <v>18746</v>
      </c>
      <c r="J341" s="2" t="s">
        <v>18747</v>
      </c>
      <c r="K341" s="2" t="s">
        <v>48</v>
      </c>
      <c r="L341" s="2" t="s">
        <v>18748</v>
      </c>
      <c r="M341" s="6" t="s">
        <v>18749</v>
      </c>
      <c r="N341" s="45" t="str">
        <f t="shared" ref="N341:N344" si="272">HYPERLINK("twitter.com/bruinssoftball1","@bruinssoftball1")</f>
        <v>@bruinssoftball1</v>
      </c>
      <c r="O341" s="45" t="str">
        <f t="shared" ref="O341:O345" si="273">HYPERLINK("https://www.bubruins.com/athletics/recruits","Questionnaire")</f>
        <v>Questionnaire</v>
      </c>
      <c r="P341" s="108" t="s">
        <v>18753</v>
      </c>
      <c r="Q341" s="60" t="s">
        <v>3105</v>
      </c>
      <c r="R341" s="48" t="s">
        <v>18754</v>
      </c>
      <c r="S341" s="48" t="s">
        <v>186</v>
      </c>
      <c r="T341" s="49" t="s">
        <v>63</v>
      </c>
      <c r="U341" s="48" t="s">
        <v>75</v>
      </c>
      <c r="V341" s="49"/>
      <c r="W341" s="49" t="s">
        <v>214</v>
      </c>
      <c r="X341" s="49" t="s">
        <v>214</v>
      </c>
      <c r="Y341" s="49" t="s">
        <v>214</v>
      </c>
      <c r="Z341" s="49" t="s">
        <v>214</v>
      </c>
      <c r="AA341" s="55" t="s">
        <v>214</v>
      </c>
      <c r="AB341" s="39">
        <v>17814</v>
      </c>
      <c r="AC341" s="52" t="s">
        <v>18753</v>
      </c>
      <c r="AD341" s="53" t="str">
        <f t="shared" ref="AD341:AD345" si="274">HYPERLINK("http://www.bellevue.edu/degrees/","Link")</f>
        <v>Link</v>
      </c>
      <c r="AE341" s="42">
        <v>5554</v>
      </c>
      <c r="AF341" s="55"/>
      <c r="AG341" s="55"/>
      <c r="AH341" s="56">
        <v>180814</v>
      </c>
      <c r="AI341" s="55"/>
    </row>
    <row r="342" spans="1:41" ht="15" x14ac:dyDescent="0.2">
      <c r="A342" s="7"/>
      <c r="B342" s="31" t="s">
        <v>4734</v>
      </c>
      <c r="C342" s="2" t="s">
        <v>15218</v>
      </c>
      <c r="D342" s="7" t="s">
        <v>18757</v>
      </c>
      <c r="E342" s="37">
        <v>5</v>
      </c>
      <c r="F342" s="48"/>
      <c r="G342" s="48"/>
      <c r="H342" s="2" t="s">
        <v>18745</v>
      </c>
      <c r="I342" s="2" t="s">
        <v>484</v>
      </c>
      <c r="J342" s="2" t="s">
        <v>18758</v>
      </c>
      <c r="K342" s="2" t="s">
        <v>55</v>
      </c>
      <c r="L342" s="2" t="s">
        <v>18759</v>
      </c>
      <c r="M342" s="6" t="s">
        <v>18749</v>
      </c>
      <c r="N342" s="45" t="str">
        <f t="shared" si="272"/>
        <v>@bruinssoftball1</v>
      </c>
      <c r="O342" s="45" t="str">
        <f t="shared" si="273"/>
        <v>Questionnaire</v>
      </c>
      <c r="P342" s="108" t="s">
        <v>18753</v>
      </c>
      <c r="Q342" s="60" t="s">
        <v>3105</v>
      </c>
      <c r="R342" s="48" t="s">
        <v>18754</v>
      </c>
      <c r="S342" s="48" t="s">
        <v>186</v>
      </c>
      <c r="T342" s="49" t="s">
        <v>63</v>
      </c>
      <c r="U342" s="48" t="s">
        <v>75</v>
      </c>
      <c r="V342" s="49"/>
      <c r="W342" s="49" t="s">
        <v>214</v>
      </c>
      <c r="X342" s="49" t="s">
        <v>214</v>
      </c>
      <c r="Y342" s="49" t="s">
        <v>214</v>
      </c>
      <c r="Z342" s="49" t="s">
        <v>214</v>
      </c>
      <c r="AA342" s="55" t="s">
        <v>214</v>
      </c>
      <c r="AB342" s="39">
        <v>17814</v>
      </c>
      <c r="AC342" s="52" t="s">
        <v>18753</v>
      </c>
      <c r="AD342" s="53" t="str">
        <f t="shared" si="274"/>
        <v>Link</v>
      </c>
      <c r="AE342" s="42">
        <v>5554</v>
      </c>
      <c r="AF342" s="55"/>
      <c r="AG342" s="55"/>
      <c r="AH342" s="56">
        <v>180814</v>
      </c>
      <c r="AI342" s="55"/>
    </row>
    <row r="343" spans="1:41" ht="15" x14ac:dyDescent="0.2">
      <c r="A343" s="7"/>
      <c r="B343" s="31" t="s">
        <v>4734</v>
      </c>
      <c r="C343" s="2" t="s">
        <v>15218</v>
      </c>
      <c r="D343" s="7" t="s">
        <v>18762</v>
      </c>
      <c r="E343" s="37">
        <v>5</v>
      </c>
      <c r="F343" s="48"/>
      <c r="G343" s="48"/>
      <c r="H343" s="2" t="s">
        <v>18745</v>
      </c>
      <c r="I343" s="2" t="s">
        <v>2961</v>
      </c>
      <c r="J343" s="2" t="s">
        <v>18763</v>
      </c>
      <c r="K343" s="2" t="s">
        <v>55</v>
      </c>
      <c r="L343" s="2"/>
      <c r="M343" s="6"/>
      <c r="N343" s="45" t="str">
        <f t="shared" si="272"/>
        <v>@bruinssoftball1</v>
      </c>
      <c r="O343" s="45" t="str">
        <f t="shared" si="273"/>
        <v>Questionnaire</v>
      </c>
      <c r="P343" s="108" t="s">
        <v>18753</v>
      </c>
      <c r="Q343" s="60" t="s">
        <v>3105</v>
      </c>
      <c r="R343" s="48" t="s">
        <v>18754</v>
      </c>
      <c r="S343" s="48" t="s">
        <v>186</v>
      </c>
      <c r="T343" s="49" t="s">
        <v>63</v>
      </c>
      <c r="U343" s="48" t="s">
        <v>75</v>
      </c>
      <c r="V343" s="49"/>
      <c r="W343" s="49" t="s">
        <v>214</v>
      </c>
      <c r="X343" s="49" t="s">
        <v>214</v>
      </c>
      <c r="Y343" s="49" t="s">
        <v>214</v>
      </c>
      <c r="Z343" s="49" t="s">
        <v>214</v>
      </c>
      <c r="AA343" s="55" t="s">
        <v>214</v>
      </c>
      <c r="AB343" s="39">
        <v>17814</v>
      </c>
      <c r="AC343" s="52" t="s">
        <v>18753</v>
      </c>
      <c r="AD343" s="53" t="str">
        <f t="shared" si="274"/>
        <v>Link</v>
      </c>
      <c r="AE343" s="42">
        <v>5554</v>
      </c>
      <c r="AF343" s="55"/>
      <c r="AG343" s="55"/>
      <c r="AH343" s="56">
        <v>180814</v>
      </c>
      <c r="AI343" s="55"/>
    </row>
    <row r="344" spans="1:41" ht="15" x14ac:dyDescent="0.2">
      <c r="A344" s="7"/>
      <c r="B344" s="31" t="s">
        <v>4734</v>
      </c>
      <c r="C344" s="2" t="s">
        <v>15218</v>
      </c>
      <c r="D344" s="7" t="s">
        <v>18769</v>
      </c>
      <c r="E344" s="37">
        <v>5</v>
      </c>
      <c r="F344" s="48"/>
      <c r="G344" s="48"/>
      <c r="H344" s="2" t="s">
        <v>18745</v>
      </c>
      <c r="I344" s="2" t="s">
        <v>18771</v>
      </c>
      <c r="J344" s="2" t="s">
        <v>18772</v>
      </c>
      <c r="K344" s="2" t="s">
        <v>139</v>
      </c>
      <c r="L344" s="2"/>
      <c r="M344" s="6"/>
      <c r="N344" s="45" t="str">
        <f t="shared" si="272"/>
        <v>@bruinssoftball1</v>
      </c>
      <c r="O344" s="45" t="str">
        <f t="shared" si="273"/>
        <v>Questionnaire</v>
      </c>
      <c r="P344" s="108" t="s">
        <v>18753</v>
      </c>
      <c r="Q344" s="60" t="s">
        <v>3105</v>
      </c>
      <c r="R344" s="48" t="s">
        <v>18754</v>
      </c>
      <c r="S344" s="48" t="s">
        <v>186</v>
      </c>
      <c r="T344" s="49" t="s">
        <v>63</v>
      </c>
      <c r="U344" s="48" t="s">
        <v>75</v>
      </c>
      <c r="V344" s="49"/>
      <c r="W344" s="49" t="s">
        <v>214</v>
      </c>
      <c r="X344" s="49" t="s">
        <v>214</v>
      </c>
      <c r="Y344" s="49" t="s">
        <v>214</v>
      </c>
      <c r="Z344" s="49" t="s">
        <v>214</v>
      </c>
      <c r="AA344" s="55" t="s">
        <v>214</v>
      </c>
      <c r="AB344" s="39">
        <v>17814</v>
      </c>
      <c r="AC344" s="52" t="s">
        <v>18753</v>
      </c>
      <c r="AD344" s="53" t="str">
        <f t="shared" si="274"/>
        <v>Link</v>
      </c>
      <c r="AE344" s="42">
        <v>5554</v>
      </c>
      <c r="AF344" s="55"/>
      <c r="AG344" s="55"/>
      <c r="AH344" s="56">
        <v>180814</v>
      </c>
      <c r="AI344" s="55"/>
    </row>
    <row r="345" spans="1:41" ht="13" x14ac:dyDescent="0.15">
      <c r="A345" s="7" t="s">
        <v>18774</v>
      </c>
      <c r="B345" s="31" t="s">
        <v>4734</v>
      </c>
      <c r="C345" s="2" t="s">
        <v>15218</v>
      </c>
      <c r="D345" s="7" t="s">
        <v>18777</v>
      </c>
      <c r="E345" s="44">
        <v>5</v>
      </c>
      <c r="F345" s="48" t="s">
        <v>116</v>
      </c>
      <c r="G345" s="48"/>
      <c r="H345" s="2" t="s">
        <v>18745</v>
      </c>
      <c r="I345" s="7" t="s">
        <v>18779</v>
      </c>
      <c r="J345" s="7" t="s">
        <v>18780</v>
      </c>
      <c r="K345" s="7" t="s">
        <v>55</v>
      </c>
      <c r="L345" s="7" t="s">
        <v>18781</v>
      </c>
      <c r="M345" s="48" t="s">
        <v>18782</v>
      </c>
      <c r="N345" s="48"/>
      <c r="O345" s="45" t="str">
        <f t="shared" si="273"/>
        <v>Questionnaire</v>
      </c>
      <c r="P345" s="60" t="s">
        <v>18753</v>
      </c>
      <c r="Q345" s="60" t="s">
        <v>3105</v>
      </c>
      <c r="R345" s="48" t="s">
        <v>18754</v>
      </c>
      <c r="S345" s="49" t="s">
        <v>186</v>
      </c>
      <c r="T345" s="49" t="s">
        <v>63</v>
      </c>
      <c r="U345" s="6" t="s">
        <v>75</v>
      </c>
      <c r="V345" s="49"/>
      <c r="W345" s="49" t="s">
        <v>214</v>
      </c>
      <c r="X345" s="49" t="s">
        <v>214</v>
      </c>
      <c r="Y345" s="49" t="s">
        <v>214</v>
      </c>
      <c r="Z345" s="49" t="s">
        <v>214</v>
      </c>
      <c r="AA345" s="55" t="s">
        <v>214</v>
      </c>
      <c r="AB345" s="39">
        <v>17814</v>
      </c>
      <c r="AC345" s="90" t="s">
        <v>18753</v>
      </c>
      <c r="AD345" s="67" t="str">
        <f t="shared" si="274"/>
        <v>Link</v>
      </c>
      <c r="AE345" s="42">
        <v>5554</v>
      </c>
      <c r="AF345" s="55"/>
      <c r="AG345" s="55"/>
      <c r="AH345" s="56">
        <v>180814</v>
      </c>
      <c r="AI345" s="55"/>
    </row>
    <row r="346" spans="1:41" ht="13" x14ac:dyDescent="0.15">
      <c r="A346" s="7"/>
      <c r="B346" s="31" t="s">
        <v>4734</v>
      </c>
      <c r="C346" s="2" t="s">
        <v>15218</v>
      </c>
      <c r="D346" s="7"/>
      <c r="E346" s="37">
        <v>5</v>
      </c>
      <c r="F346" s="7"/>
      <c r="G346" s="7"/>
      <c r="H346" s="2" t="s">
        <v>18783</v>
      </c>
      <c r="I346" s="2" t="s">
        <v>1791</v>
      </c>
      <c r="J346" s="2" t="s">
        <v>18784</v>
      </c>
      <c r="K346" s="2" t="s">
        <v>48</v>
      </c>
      <c r="L346" s="2" t="s">
        <v>18785</v>
      </c>
      <c r="M346" s="6" t="s">
        <v>18786</v>
      </c>
      <c r="N346" s="45" t="str">
        <f t="shared" ref="N346:N348" si="275">HYPERLINK("twitter.com/cunesoftball","@cunesoftball")</f>
        <v>@cunesoftball</v>
      </c>
      <c r="O346" s="45" t="str">
        <f t="shared" ref="O346:O348" si="276">HYPERLINK("https://www.cune.edu/athletics/teams/recruit-me","Questionnaire")</f>
        <v>Questionnaire</v>
      </c>
      <c r="P346" s="6" t="s">
        <v>18788</v>
      </c>
      <c r="Q346" s="60" t="s">
        <v>3105</v>
      </c>
      <c r="R346" s="48" t="s">
        <v>18790</v>
      </c>
      <c r="S346" s="60" t="s">
        <v>205</v>
      </c>
      <c r="T346" s="49" t="s">
        <v>63</v>
      </c>
      <c r="U346" s="6" t="s">
        <v>1620</v>
      </c>
      <c r="V346" s="49"/>
      <c r="W346" s="65">
        <v>3.49</v>
      </c>
      <c r="X346" s="49" t="s">
        <v>18791</v>
      </c>
      <c r="Y346" s="49" t="s">
        <v>18792</v>
      </c>
      <c r="Z346" s="49" t="s">
        <v>2190</v>
      </c>
      <c r="AA346" s="65">
        <v>0.73</v>
      </c>
      <c r="AB346" s="39">
        <v>39700</v>
      </c>
      <c r="AC346" s="84" t="s">
        <v>18788</v>
      </c>
      <c r="AD346" s="53" t="str">
        <f t="shared" ref="AD346:AD348" si="277">HYPERLINK("http://www.cune.edu/academics/#filter/%7B%22programLevel%22:%5B%22Undergraduate%22%5D%7D","Link")</f>
        <v>Link</v>
      </c>
      <c r="AE346" s="42">
        <v>1794</v>
      </c>
      <c r="AF346" s="55"/>
      <c r="AG346" s="55"/>
      <c r="AH346" s="56">
        <v>180984</v>
      </c>
      <c r="AI346" s="85" t="s">
        <v>2459</v>
      </c>
      <c r="AJ346" s="7"/>
      <c r="AK346" s="7"/>
      <c r="AL346" s="7"/>
      <c r="AM346" s="7"/>
      <c r="AN346" s="7"/>
      <c r="AO346" s="7"/>
    </row>
    <row r="347" spans="1:41" ht="13" x14ac:dyDescent="0.15">
      <c r="A347" s="7"/>
      <c r="B347" s="31" t="s">
        <v>4734</v>
      </c>
      <c r="C347" s="2" t="s">
        <v>15218</v>
      </c>
      <c r="D347" s="7"/>
      <c r="E347" s="37">
        <v>5</v>
      </c>
      <c r="F347" s="7"/>
      <c r="G347" s="7"/>
      <c r="H347" s="2" t="s">
        <v>18783</v>
      </c>
      <c r="I347" s="2" t="s">
        <v>552</v>
      </c>
      <c r="J347" s="2" t="s">
        <v>18795</v>
      </c>
      <c r="K347" s="2" t="s">
        <v>120</v>
      </c>
      <c r="L347" s="2" t="s">
        <v>18796</v>
      </c>
      <c r="M347" s="6"/>
      <c r="N347" s="45" t="str">
        <f t="shared" si="275"/>
        <v>@cunesoftball</v>
      </c>
      <c r="O347" s="45" t="str">
        <f t="shared" si="276"/>
        <v>Questionnaire</v>
      </c>
      <c r="P347" s="6" t="s">
        <v>18788</v>
      </c>
      <c r="Q347" s="60" t="s">
        <v>3105</v>
      </c>
      <c r="R347" s="48" t="s">
        <v>18790</v>
      </c>
      <c r="S347" s="60" t="s">
        <v>205</v>
      </c>
      <c r="T347" s="49" t="s">
        <v>63</v>
      </c>
      <c r="U347" s="6" t="s">
        <v>1620</v>
      </c>
      <c r="V347" s="49"/>
      <c r="W347" s="65">
        <v>3.49</v>
      </c>
      <c r="X347" s="49" t="s">
        <v>18791</v>
      </c>
      <c r="Y347" s="49" t="s">
        <v>18792</v>
      </c>
      <c r="Z347" s="49" t="s">
        <v>2190</v>
      </c>
      <c r="AA347" s="65">
        <v>0.73</v>
      </c>
      <c r="AB347" s="39">
        <v>39700</v>
      </c>
      <c r="AC347" s="84" t="s">
        <v>18788</v>
      </c>
      <c r="AD347" s="53" t="str">
        <f t="shared" si="277"/>
        <v>Link</v>
      </c>
      <c r="AE347" s="42">
        <v>1794</v>
      </c>
      <c r="AF347" s="55"/>
      <c r="AG347" s="55"/>
      <c r="AH347" s="56">
        <v>180984</v>
      </c>
      <c r="AI347" s="85" t="s">
        <v>2459</v>
      </c>
      <c r="AJ347" s="7"/>
      <c r="AK347" s="7"/>
      <c r="AL347" s="7"/>
      <c r="AM347" s="7"/>
      <c r="AN347" s="7"/>
      <c r="AO347" s="7"/>
    </row>
    <row r="348" spans="1:41" ht="13" x14ac:dyDescent="0.15">
      <c r="A348" s="7"/>
      <c r="B348" s="31" t="s">
        <v>4734</v>
      </c>
      <c r="C348" s="2" t="s">
        <v>15218</v>
      </c>
      <c r="D348" s="7"/>
      <c r="E348" s="37">
        <v>5</v>
      </c>
      <c r="F348" s="7"/>
      <c r="G348" s="7"/>
      <c r="H348" s="2" t="s">
        <v>18783</v>
      </c>
      <c r="I348" s="2" t="s">
        <v>18802</v>
      </c>
      <c r="J348" s="2" t="s">
        <v>729</v>
      </c>
      <c r="K348" s="2" t="s">
        <v>120</v>
      </c>
      <c r="L348" s="2" t="s">
        <v>18803</v>
      </c>
      <c r="M348" s="6"/>
      <c r="N348" s="45" t="str">
        <f t="shared" si="275"/>
        <v>@cunesoftball</v>
      </c>
      <c r="O348" s="45" t="str">
        <f t="shared" si="276"/>
        <v>Questionnaire</v>
      </c>
      <c r="P348" s="6" t="s">
        <v>18788</v>
      </c>
      <c r="Q348" s="60" t="s">
        <v>3105</v>
      </c>
      <c r="R348" s="48" t="s">
        <v>18790</v>
      </c>
      <c r="S348" s="60" t="s">
        <v>205</v>
      </c>
      <c r="T348" s="49" t="s">
        <v>63</v>
      </c>
      <c r="U348" s="6" t="s">
        <v>1620</v>
      </c>
      <c r="V348" s="49"/>
      <c r="W348" s="65">
        <v>3.49</v>
      </c>
      <c r="X348" s="49" t="s">
        <v>18791</v>
      </c>
      <c r="Y348" s="49" t="s">
        <v>18792</v>
      </c>
      <c r="Z348" s="49" t="s">
        <v>2190</v>
      </c>
      <c r="AA348" s="65">
        <v>0.73</v>
      </c>
      <c r="AB348" s="39">
        <v>39700</v>
      </c>
      <c r="AC348" s="84" t="s">
        <v>18788</v>
      </c>
      <c r="AD348" s="53" t="str">
        <f t="shared" si="277"/>
        <v>Link</v>
      </c>
      <c r="AE348" s="42">
        <v>1794</v>
      </c>
      <c r="AF348" s="55"/>
      <c r="AG348" s="55"/>
      <c r="AH348" s="56">
        <v>180984</v>
      </c>
      <c r="AI348" s="7" t="s">
        <v>2459</v>
      </c>
      <c r="AJ348" s="7"/>
      <c r="AK348" s="7"/>
      <c r="AL348" s="7"/>
      <c r="AM348" s="7"/>
      <c r="AN348" s="7"/>
      <c r="AO348" s="7"/>
    </row>
    <row r="349" spans="1:41" ht="13" x14ac:dyDescent="0.15">
      <c r="A349" s="7"/>
      <c r="B349" s="31" t="s">
        <v>4734</v>
      </c>
      <c r="C349" s="2" t="s">
        <v>15218</v>
      </c>
      <c r="D349" s="7" t="s">
        <v>18807</v>
      </c>
      <c r="E349" s="37">
        <v>5</v>
      </c>
      <c r="F349" s="48"/>
      <c r="G349" s="48"/>
      <c r="H349" s="2" t="s">
        <v>18809</v>
      </c>
      <c r="I349" s="2" t="s">
        <v>18811</v>
      </c>
      <c r="J349" s="2" t="s">
        <v>18812</v>
      </c>
      <c r="K349" s="2" t="s">
        <v>48</v>
      </c>
      <c r="L349" s="2" t="s">
        <v>18815</v>
      </c>
      <c r="M349" s="6" t="s">
        <v>18817</v>
      </c>
      <c r="N349" s="45" t="str">
        <f t="shared" ref="N349:N351" si="278">HYPERLINK("twitter.com/doanesoftball","@doanesoftball")</f>
        <v>@doanesoftball</v>
      </c>
      <c r="O349" s="45" t="str">
        <f t="shared" ref="O349:O351" si="279">HYPERLINK("http://www.doaneathletics.com/Sports_Interest_Forms","Questionnaire")</f>
        <v>Questionnaire</v>
      </c>
      <c r="P349" s="6" t="s">
        <v>18820</v>
      </c>
      <c r="Q349" s="60" t="s">
        <v>3105</v>
      </c>
      <c r="R349" s="48" t="s">
        <v>18821</v>
      </c>
      <c r="S349" s="60" t="s">
        <v>205</v>
      </c>
      <c r="T349" s="49" t="s">
        <v>63</v>
      </c>
      <c r="U349" s="48" t="s">
        <v>75</v>
      </c>
      <c r="V349" s="49"/>
      <c r="W349" s="65">
        <v>3.55</v>
      </c>
      <c r="X349" s="49" t="s">
        <v>447</v>
      </c>
      <c r="Y349" s="49" t="s">
        <v>675</v>
      </c>
      <c r="Z349" s="49" t="s">
        <v>1650</v>
      </c>
      <c r="AA349" s="65">
        <v>0.76</v>
      </c>
      <c r="AB349" s="39">
        <v>44554</v>
      </c>
      <c r="AC349" s="84" t="s">
        <v>18820</v>
      </c>
      <c r="AD349" s="53" t="str">
        <f t="shared" ref="AD349:AD351" si="280">HYPERLINK("https://www.doane.edu/programs","Link")</f>
        <v>Link</v>
      </c>
      <c r="AE349" s="42">
        <v>1047</v>
      </c>
      <c r="AF349" s="55"/>
      <c r="AG349" s="55"/>
      <c r="AH349" s="56">
        <v>181020</v>
      </c>
      <c r="AI349" s="55"/>
    </row>
    <row r="350" spans="1:41" ht="13" x14ac:dyDescent="0.15">
      <c r="A350" s="7" t="s">
        <v>18823</v>
      </c>
      <c r="B350" s="31" t="s">
        <v>4734</v>
      </c>
      <c r="C350" s="2" t="s">
        <v>15218</v>
      </c>
      <c r="D350" s="7" t="s">
        <v>18824</v>
      </c>
      <c r="E350" s="44">
        <v>5</v>
      </c>
      <c r="F350" s="48" t="s">
        <v>116</v>
      </c>
      <c r="G350" s="48"/>
      <c r="H350" s="2" t="s">
        <v>18809</v>
      </c>
      <c r="I350" s="7" t="s">
        <v>3983</v>
      </c>
      <c r="J350" s="7" t="s">
        <v>18825</v>
      </c>
      <c r="K350" s="7" t="s">
        <v>55</v>
      </c>
      <c r="L350" s="7" t="s">
        <v>18826</v>
      </c>
      <c r="M350" s="48"/>
      <c r="N350" s="45" t="str">
        <f t="shared" si="278"/>
        <v>@doanesoftball</v>
      </c>
      <c r="O350" s="45" t="str">
        <f t="shared" si="279"/>
        <v>Questionnaire</v>
      </c>
      <c r="P350" s="48" t="s">
        <v>18820</v>
      </c>
      <c r="Q350" s="60" t="s">
        <v>3105</v>
      </c>
      <c r="R350" s="48" t="s">
        <v>18821</v>
      </c>
      <c r="S350" s="60" t="s">
        <v>205</v>
      </c>
      <c r="T350" s="4" t="s">
        <v>63</v>
      </c>
      <c r="U350" s="48" t="s">
        <v>75</v>
      </c>
      <c r="V350" s="49"/>
      <c r="W350" s="65">
        <v>3.55</v>
      </c>
      <c r="X350" s="49" t="s">
        <v>447</v>
      </c>
      <c r="Y350" s="49" t="s">
        <v>675</v>
      </c>
      <c r="Z350" s="4" t="s">
        <v>1650</v>
      </c>
      <c r="AA350" s="65">
        <v>0.76</v>
      </c>
      <c r="AB350" s="39">
        <v>44554</v>
      </c>
      <c r="AC350" s="84" t="s">
        <v>18820</v>
      </c>
      <c r="AD350" s="67" t="str">
        <f t="shared" si="280"/>
        <v>Link</v>
      </c>
      <c r="AE350" s="42">
        <v>1047</v>
      </c>
      <c r="AF350" s="55"/>
      <c r="AG350" s="42">
        <v>158</v>
      </c>
      <c r="AH350" s="56">
        <v>181020</v>
      </c>
      <c r="AI350" s="55"/>
    </row>
    <row r="351" spans="1:41" ht="13" x14ac:dyDescent="0.15">
      <c r="A351" s="7" t="s">
        <v>18823</v>
      </c>
      <c r="B351" s="31" t="s">
        <v>4734</v>
      </c>
      <c r="C351" s="2" t="s">
        <v>15218</v>
      </c>
      <c r="D351" s="7" t="s">
        <v>18832</v>
      </c>
      <c r="E351" s="44">
        <v>5</v>
      </c>
      <c r="F351" s="48" t="s">
        <v>116</v>
      </c>
      <c r="G351" s="48"/>
      <c r="H351" s="2" t="s">
        <v>18809</v>
      </c>
      <c r="I351" s="7" t="s">
        <v>338</v>
      </c>
      <c r="J351" s="7" t="s">
        <v>13140</v>
      </c>
      <c r="K351" s="7" t="s">
        <v>120</v>
      </c>
      <c r="L351" s="7" t="s">
        <v>18833</v>
      </c>
      <c r="M351" s="48"/>
      <c r="N351" s="45" t="str">
        <f t="shared" si="278"/>
        <v>@doanesoftball</v>
      </c>
      <c r="O351" s="45" t="str">
        <f t="shared" si="279"/>
        <v>Questionnaire</v>
      </c>
      <c r="P351" s="48" t="s">
        <v>18820</v>
      </c>
      <c r="Q351" s="60" t="s">
        <v>3105</v>
      </c>
      <c r="R351" s="48" t="s">
        <v>18821</v>
      </c>
      <c r="S351" s="60" t="s">
        <v>205</v>
      </c>
      <c r="T351" s="4" t="s">
        <v>63</v>
      </c>
      <c r="U351" s="48" t="s">
        <v>75</v>
      </c>
      <c r="V351" s="49"/>
      <c r="W351" s="65">
        <v>3.55</v>
      </c>
      <c r="X351" s="49" t="s">
        <v>447</v>
      </c>
      <c r="Y351" s="49" t="s">
        <v>675</v>
      </c>
      <c r="Z351" s="4" t="s">
        <v>1650</v>
      </c>
      <c r="AA351" s="65">
        <v>0.76</v>
      </c>
      <c r="AB351" s="39">
        <v>44554</v>
      </c>
      <c r="AC351" s="84" t="s">
        <v>18820</v>
      </c>
      <c r="AD351" s="67" t="str">
        <f t="shared" si="280"/>
        <v>Link</v>
      </c>
      <c r="AE351" s="42">
        <v>1047</v>
      </c>
      <c r="AF351" s="55"/>
      <c r="AG351" s="42">
        <v>158</v>
      </c>
      <c r="AH351" s="56">
        <v>181020</v>
      </c>
      <c r="AI351" s="55"/>
    </row>
    <row r="352" spans="1:41" ht="13" x14ac:dyDescent="0.15">
      <c r="A352" s="7"/>
      <c r="B352" s="31" t="s">
        <v>4734</v>
      </c>
      <c r="C352" s="2" t="s">
        <v>15218</v>
      </c>
      <c r="D352" s="7" t="s">
        <v>18835</v>
      </c>
      <c r="E352" s="37">
        <v>5</v>
      </c>
      <c r="F352" s="48"/>
      <c r="G352" s="48"/>
      <c r="H352" s="2" t="s">
        <v>18836</v>
      </c>
      <c r="I352" s="2" t="s">
        <v>855</v>
      </c>
      <c r="J352" s="2" t="s">
        <v>131</v>
      </c>
      <c r="K352" s="2" t="s">
        <v>48</v>
      </c>
      <c r="L352" s="2" t="s">
        <v>18838</v>
      </c>
      <c r="M352" s="6" t="s">
        <v>18839</v>
      </c>
      <c r="N352" s="45" t="str">
        <f>HYPERLINK("twitter.com/hastingssb19","@hastingssb19")</f>
        <v>@hastingssb19</v>
      </c>
      <c r="O352" s="45" t="str">
        <f>HYPERLINK("http://www.hastingsbroncos.com/recruiting.php","Questionnaire")</f>
        <v>Questionnaire</v>
      </c>
      <c r="P352" s="60" t="s">
        <v>18841</v>
      </c>
      <c r="Q352" s="60" t="s">
        <v>3105</v>
      </c>
      <c r="R352" s="48" t="s">
        <v>5700</v>
      </c>
      <c r="S352" s="48" t="s">
        <v>172</v>
      </c>
      <c r="T352" s="49" t="s">
        <v>63</v>
      </c>
      <c r="U352" s="6" t="s">
        <v>248</v>
      </c>
      <c r="V352" s="49"/>
      <c r="W352" s="65">
        <v>3.44</v>
      </c>
      <c r="X352" s="49" t="s">
        <v>18845</v>
      </c>
      <c r="Y352" s="49" t="s">
        <v>2878</v>
      </c>
      <c r="Z352" s="49" t="s">
        <v>278</v>
      </c>
      <c r="AA352" s="65">
        <v>0.64</v>
      </c>
      <c r="AB352" s="39">
        <v>41911</v>
      </c>
      <c r="AC352" s="90" t="s">
        <v>18841</v>
      </c>
      <c r="AD352" s="53" t="str">
        <f>HYPERLINK("https://www.hastings.edu/majors-programs/undergraduate-majors","Link")</f>
        <v>Link</v>
      </c>
      <c r="AE352" s="42">
        <v>1186</v>
      </c>
      <c r="AF352" s="55"/>
      <c r="AG352" s="55"/>
      <c r="AH352" s="56">
        <v>181127</v>
      </c>
      <c r="AI352" s="55"/>
    </row>
    <row r="353" spans="1:41" ht="13" x14ac:dyDescent="0.15">
      <c r="A353" s="7"/>
      <c r="B353" s="31" t="s">
        <v>4734</v>
      </c>
      <c r="C353" s="2" t="s">
        <v>15218</v>
      </c>
      <c r="D353" s="7" t="s">
        <v>18846</v>
      </c>
      <c r="E353" s="37">
        <v>5</v>
      </c>
      <c r="F353" s="48"/>
      <c r="G353" s="48"/>
      <c r="H353" s="2" t="s">
        <v>18847</v>
      </c>
      <c r="I353" s="2" t="s">
        <v>754</v>
      </c>
      <c r="J353" s="2" t="s">
        <v>18848</v>
      </c>
      <c r="K353" s="2" t="s">
        <v>48</v>
      </c>
      <c r="L353" s="2" t="s">
        <v>18849</v>
      </c>
      <c r="M353" s="6" t="s">
        <v>18850</v>
      </c>
      <c r="N353" s="45" t="str">
        <f>HYPERLINK("twitter.com/midlandusb","@midlandusb")</f>
        <v>@midlandusb</v>
      </c>
      <c r="O353" s="45" t="str">
        <f>HYPERLINK("http://www.midlandathletics.com/f/recruiting.php","Questionnaire")</f>
        <v>Questionnaire</v>
      </c>
      <c r="P353" s="6" t="s">
        <v>18855</v>
      </c>
      <c r="Q353" s="60" t="s">
        <v>3105</v>
      </c>
      <c r="R353" s="48" t="s">
        <v>15009</v>
      </c>
      <c r="S353" s="48" t="s">
        <v>468</v>
      </c>
      <c r="T353" s="49" t="s">
        <v>63</v>
      </c>
      <c r="U353" s="6" t="s">
        <v>318</v>
      </c>
      <c r="V353" s="49"/>
      <c r="W353" s="65">
        <v>3.26</v>
      </c>
      <c r="X353" s="49" t="s">
        <v>1785</v>
      </c>
      <c r="Y353" s="49" t="s">
        <v>4953</v>
      </c>
      <c r="Z353" s="49" t="s">
        <v>125</v>
      </c>
      <c r="AA353" s="65">
        <v>0.61</v>
      </c>
      <c r="AB353" s="39">
        <v>41900</v>
      </c>
      <c r="AC353" s="84" t="s">
        <v>18855</v>
      </c>
      <c r="AD353" s="53" t="str">
        <f>HYPERLINK("https://www.midlandu.edu/majors","Link")</f>
        <v>Link</v>
      </c>
      <c r="AE353" s="42">
        <v>1555</v>
      </c>
      <c r="AF353" s="55"/>
      <c r="AG353" s="55"/>
      <c r="AH353" s="56">
        <v>181330</v>
      </c>
      <c r="AI353" s="55"/>
    </row>
    <row r="354" spans="1:41" ht="13" x14ac:dyDescent="0.15">
      <c r="A354" s="7"/>
      <c r="B354" s="31" t="s">
        <v>4734</v>
      </c>
      <c r="C354" s="2" t="s">
        <v>15218</v>
      </c>
      <c r="D354" s="7" t="s">
        <v>18858</v>
      </c>
      <c r="E354" s="37">
        <v>5</v>
      </c>
      <c r="F354" s="48"/>
      <c r="G354" s="48"/>
      <c r="H354" s="2" t="s">
        <v>18860</v>
      </c>
      <c r="I354" s="2" t="s">
        <v>18861</v>
      </c>
      <c r="J354" s="2" t="s">
        <v>18862</v>
      </c>
      <c r="K354" s="2" t="s">
        <v>48</v>
      </c>
      <c r="L354" s="2" t="s">
        <v>18863</v>
      </c>
      <c r="M354" s="6" t="s">
        <v>18864</v>
      </c>
      <c r="N354" s="45" t="str">
        <f t="shared" ref="N354:N356" si="281">HYPERLINK("twitter.com/pscbobcatsb","@pscbobcatsb")</f>
        <v>@pscbobcatsb</v>
      </c>
      <c r="O354" s="45" t="str">
        <f t="shared" ref="O354:O356" si="282">HYPERLINK("https://pscbobcats.com/sb_output.aspx?form=3","Questionnaire")</f>
        <v>Questionnaire</v>
      </c>
      <c r="P354" s="6" t="s">
        <v>18867</v>
      </c>
      <c r="Q354" s="60" t="s">
        <v>3105</v>
      </c>
      <c r="R354" s="48" t="s">
        <v>18869</v>
      </c>
      <c r="S354" s="60" t="s">
        <v>205</v>
      </c>
      <c r="T354" s="49" t="s">
        <v>63</v>
      </c>
      <c r="U354" s="48" t="s">
        <v>75</v>
      </c>
      <c r="V354" s="49"/>
      <c r="W354" s="65">
        <v>2.9</v>
      </c>
      <c r="X354" s="49" t="s">
        <v>214</v>
      </c>
      <c r="Y354" s="49" t="s">
        <v>214</v>
      </c>
      <c r="Z354" s="49" t="s">
        <v>1948</v>
      </c>
      <c r="AA354" s="55" t="s">
        <v>214</v>
      </c>
      <c r="AB354" s="39">
        <v>18561</v>
      </c>
      <c r="AC354" s="84" t="s">
        <v>18867</v>
      </c>
      <c r="AD354" s="53" t="str">
        <f t="shared" ref="AD354:AD356" si="283">HYPERLINK("http://www.peru.edu/programs/","Link")</f>
        <v>Link</v>
      </c>
      <c r="AE354" s="42">
        <v>2215</v>
      </c>
      <c r="AF354" s="55"/>
      <c r="AG354" s="55"/>
      <c r="AH354" s="56">
        <v>181534</v>
      </c>
      <c r="AI354" s="55"/>
    </row>
    <row r="355" spans="1:41" ht="13" x14ac:dyDescent="0.15">
      <c r="A355" s="7"/>
      <c r="B355" s="31" t="s">
        <v>4734</v>
      </c>
      <c r="C355" s="2" t="s">
        <v>15218</v>
      </c>
      <c r="D355" s="7" t="s">
        <v>18871</v>
      </c>
      <c r="E355" s="37">
        <v>5</v>
      </c>
      <c r="F355" s="48"/>
      <c r="G355" s="48"/>
      <c r="H355" s="2" t="s">
        <v>18860</v>
      </c>
      <c r="I355" s="2" t="s">
        <v>18873</v>
      </c>
      <c r="J355" s="2" t="s">
        <v>18874</v>
      </c>
      <c r="K355" s="2" t="s">
        <v>55</v>
      </c>
      <c r="L355" s="95" t="s">
        <v>18875</v>
      </c>
      <c r="M355" s="6" t="s">
        <v>18876</v>
      </c>
      <c r="N355" s="45" t="str">
        <f t="shared" si="281"/>
        <v>@pscbobcatsb</v>
      </c>
      <c r="O355" s="45" t="str">
        <f t="shared" si="282"/>
        <v>Questionnaire</v>
      </c>
      <c r="P355" s="6" t="s">
        <v>18867</v>
      </c>
      <c r="Q355" s="60" t="s">
        <v>3105</v>
      </c>
      <c r="R355" s="48" t="s">
        <v>18869</v>
      </c>
      <c r="S355" s="60" t="s">
        <v>205</v>
      </c>
      <c r="T355" s="49" t="s">
        <v>63</v>
      </c>
      <c r="U355" s="48" t="s">
        <v>75</v>
      </c>
      <c r="V355" s="49"/>
      <c r="W355" s="65">
        <v>2.9</v>
      </c>
      <c r="X355" s="49" t="s">
        <v>214</v>
      </c>
      <c r="Y355" s="49" t="s">
        <v>214</v>
      </c>
      <c r="Z355" s="49" t="s">
        <v>1948</v>
      </c>
      <c r="AA355" s="55" t="s">
        <v>214</v>
      </c>
      <c r="AB355" s="39">
        <v>18561</v>
      </c>
      <c r="AC355" s="84" t="s">
        <v>18867</v>
      </c>
      <c r="AD355" s="53" t="str">
        <f t="shared" si="283"/>
        <v>Link</v>
      </c>
      <c r="AE355" s="42">
        <v>2215</v>
      </c>
      <c r="AF355" s="55"/>
      <c r="AG355" s="55"/>
      <c r="AH355" s="56">
        <v>181534</v>
      </c>
      <c r="AI355" s="55"/>
    </row>
    <row r="356" spans="1:41" ht="13" x14ac:dyDescent="0.15">
      <c r="A356" s="7" t="s">
        <v>18451</v>
      </c>
      <c r="B356" s="31" t="s">
        <v>4734</v>
      </c>
      <c r="C356" s="2" t="s">
        <v>15218</v>
      </c>
      <c r="D356" s="7" t="s">
        <v>18879</v>
      </c>
      <c r="E356" s="44">
        <v>5</v>
      </c>
      <c r="F356" s="48" t="s">
        <v>116</v>
      </c>
      <c r="G356" s="48"/>
      <c r="H356" s="2" t="s">
        <v>18860</v>
      </c>
      <c r="I356" s="7" t="s">
        <v>334</v>
      </c>
      <c r="J356" s="7" t="s">
        <v>18882</v>
      </c>
      <c r="K356" s="7" t="s">
        <v>139</v>
      </c>
      <c r="L356" s="7"/>
      <c r="M356" s="48"/>
      <c r="N356" s="45" t="str">
        <f t="shared" si="281"/>
        <v>@pscbobcatsb</v>
      </c>
      <c r="O356" s="45" t="str">
        <f t="shared" si="282"/>
        <v>Questionnaire</v>
      </c>
      <c r="P356" s="48" t="s">
        <v>18867</v>
      </c>
      <c r="Q356" s="60" t="s">
        <v>3105</v>
      </c>
      <c r="R356" s="48" t="s">
        <v>18869</v>
      </c>
      <c r="S356" s="94" t="s">
        <v>205</v>
      </c>
      <c r="T356" s="49" t="s">
        <v>63</v>
      </c>
      <c r="U356" s="6" t="s">
        <v>75</v>
      </c>
      <c r="V356" s="49"/>
      <c r="W356" s="65">
        <v>2.9</v>
      </c>
      <c r="X356" s="49" t="s">
        <v>214</v>
      </c>
      <c r="Y356" s="49" t="s">
        <v>214</v>
      </c>
      <c r="Z356" s="49" t="s">
        <v>1948</v>
      </c>
      <c r="AA356" s="55" t="s">
        <v>214</v>
      </c>
      <c r="AB356" s="39">
        <v>18561</v>
      </c>
      <c r="AC356" s="84" t="s">
        <v>18867</v>
      </c>
      <c r="AD356" s="67" t="str">
        <f t="shared" si="283"/>
        <v>Link</v>
      </c>
      <c r="AE356" s="42">
        <v>2215</v>
      </c>
      <c r="AF356" s="55"/>
      <c r="AG356" s="55"/>
      <c r="AH356" s="56">
        <v>181534</v>
      </c>
      <c r="AI356" s="55"/>
    </row>
    <row r="357" spans="1:41" ht="13" x14ac:dyDescent="0.15">
      <c r="A357" s="7"/>
      <c r="B357" s="31" t="s">
        <v>4734</v>
      </c>
      <c r="C357" s="2" t="s">
        <v>15218</v>
      </c>
      <c r="D357" s="7" t="s">
        <v>18886</v>
      </c>
      <c r="E357" s="37">
        <v>5</v>
      </c>
      <c r="F357" s="48"/>
      <c r="G357" s="48"/>
      <c r="H357" s="2" t="s">
        <v>18887</v>
      </c>
      <c r="I357" s="2" t="s">
        <v>18888</v>
      </c>
      <c r="J357" s="2" t="s">
        <v>18889</v>
      </c>
      <c r="K357" s="2" t="s">
        <v>48</v>
      </c>
      <c r="L357" s="2" t="s">
        <v>18890</v>
      </c>
      <c r="M357" s="6" t="s">
        <v>18891</v>
      </c>
      <c r="N357" s="48"/>
      <c r="O357" s="45" t="str">
        <f>HYPERLINK("http://www.csmflames.com/recruiting.php","Questionnaire")</f>
        <v>Questionnaire</v>
      </c>
      <c r="P357" s="6" t="s">
        <v>18892</v>
      </c>
      <c r="Q357" s="60" t="s">
        <v>3105</v>
      </c>
      <c r="R357" s="48" t="s">
        <v>3117</v>
      </c>
      <c r="S357" s="48" t="s">
        <v>354</v>
      </c>
      <c r="T357" s="49" t="s">
        <v>63</v>
      </c>
      <c r="U357" s="48" t="s">
        <v>343</v>
      </c>
      <c r="V357" s="49" t="s">
        <v>10849</v>
      </c>
      <c r="W357" s="65">
        <v>3.4</v>
      </c>
      <c r="X357" s="49" t="s">
        <v>214</v>
      </c>
      <c r="Y357" s="49" t="s">
        <v>214</v>
      </c>
      <c r="Z357" s="49" t="s">
        <v>746</v>
      </c>
      <c r="AA357" s="65">
        <v>0.6</v>
      </c>
      <c r="AB357" s="39">
        <v>40962</v>
      </c>
      <c r="AC357" s="84" t="s">
        <v>18892</v>
      </c>
      <c r="AD357" s="53" t="str">
        <f>HYPERLINK("http://www.csm.edu/academics","Link")</f>
        <v>Link</v>
      </c>
      <c r="AE357" s="42">
        <v>760</v>
      </c>
      <c r="AF357" s="55"/>
      <c r="AG357" s="55"/>
      <c r="AH357" s="56">
        <v>181604</v>
      </c>
      <c r="AI357" s="55"/>
    </row>
    <row r="358" spans="1:41" ht="13" x14ac:dyDescent="0.15">
      <c r="A358" s="7"/>
      <c r="B358" s="31" t="s">
        <v>4734</v>
      </c>
      <c r="C358" s="2" t="s">
        <v>15218</v>
      </c>
      <c r="D358" s="7" t="s">
        <v>18894</v>
      </c>
      <c r="E358" s="37">
        <v>5</v>
      </c>
      <c r="F358" s="48"/>
      <c r="G358" s="48"/>
      <c r="H358" s="2" t="s">
        <v>10692</v>
      </c>
      <c r="I358" s="2" t="s">
        <v>18895</v>
      </c>
      <c r="J358" s="2" t="s">
        <v>977</v>
      </c>
      <c r="K358" s="6" t="s">
        <v>48</v>
      </c>
      <c r="L358" s="2" t="s">
        <v>18897</v>
      </c>
      <c r="M358" s="6" t="s">
        <v>18898</v>
      </c>
      <c r="N358" s="45" t="str">
        <f t="shared" ref="N358:N359" si="284">HYPERLINK("twitter.com/ycpantherssb","@ycpantherssb")</f>
        <v>@ycpantherssb</v>
      </c>
      <c r="O358" s="45" t="str">
        <f t="shared" ref="O358:O359" si="285">HYPERLINK("http://www.ycpanthers.com/0/3/bsb-recruit","Questionnaire")</f>
        <v>Questionnaire</v>
      </c>
      <c r="P358" s="6" t="s">
        <v>18900</v>
      </c>
      <c r="Q358" s="60" t="s">
        <v>3105</v>
      </c>
      <c r="R358" s="48" t="s">
        <v>13678</v>
      </c>
      <c r="S358" s="60" t="s">
        <v>205</v>
      </c>
      <c r="T358" s="49" t="s">
        <v>63</v>
      </c>
      <c r="U358" s="6" t="s">
        <v>686</v>
      </c>
      <c r="V358" s="49"/>
      <c r="W358" s="65">
        <v>3.02</v>
      </c>
      <c r="X358" s="49" t="s">
        <v>8138</v>
      </c>
      <c r="Y358" s="49" t="s">
        <v>7925</v>
      </c>
      <c r="Z358" s="49" t="s">
        <v>1339</v>
      </c>
      <c r="AA358" s="65">
        <v>0.5</v>
      </c>
      <c r="AB358" s="39">
        <v>26750</v>
      </c>
      <c r="AC358" s="84" t="s">
        <v>18900</v>
      </c>
      <c r="AD358" s="53" t="str">
        <f t="shared" ref="AD358:AD359" si="286">HYPERLINK("https://www.york.edu/on-campus.html","Link")</f>
        <v>Link</v>
      </c>
      <c r="AE358" s="42">
        <v>405</v>
      </c>
      <c r="AF358" s="55"/>
      <c r="AG358" s="55"/>
      <c r="AH358" s="56">
        <v>181853</v>
      </c>
      <c r="AI358" s="55"/>
    </row>
    <row r="359" spans="1:41" ht="13" x14ac:dyDescent="0.15">
      <c r="A359" s="7"/>
      <c r="B359" s="31" t="s">
        <v>4734</v>
      </c>
      <c r="C359" s="2" t="s">
        <v>15218</v>
      </c>
      <c r="D359" s="7" t="s">
        <v>18904</v>
      </c>
      <c r="E359" s="37">
        <v>5</v>
      </c>
      <c r="F359" s="48"/>
      <c r="G359" s="48"/>
      <c r="H359" s="2" t="s">
        <v>10692</v>
      </c>
      <c r="I359" s="2" t="s">
        <v>2844</v>
      </c>
      <c r="J359" s="2" t="s">
        <v>977</v>
      </c>
      <c r="K359" s="2" t="s">
        <v>55</v>
      </c>
      <c r="L359" s="2" t="s">
        <v>18905</v>
      </c>
      <c r="M359" s="6" t="s">
        <v>18898</v>
      </c>
      <c r="N359" s="45" t="str">
        <f t="shared" si="284"/>
        <v>@ycpantherssb</v>
      </c>
      <c r="O359" s="45" t="str">
        <f t="shared" si="285"/>
        <v>Questionnaire</v>
      </c>
      <c r="P359" s="6" t="s">
        <v>18900</v>
      </c>
      <c r="Q359" s="60" t="s">
        <v>3105</v>
      </c>
      <c r="R359" s="48" t="s">
        <v>13678</v>
      </c>
      <c r="S359" s="60" t="s">
        <v>205</v>
      </c>
      <c r="T359" s="49" t="s">
        <v>63</v>
      </c>
      <c r="U359" s="6" t="s">
        <v>686</v>
      </c>
      <c r="V359" s="49"/>
      <c r="W359" s="65">
        <v>3.02</v>
      </c>
      <c r="X359" s="49" t="s">
        <v>8138</v>
      </c>
      <c r="Y359" s="49" t="s">
        <v>7925</v>
      </c>
      <c r="Z359" s="49" t="s">
        <v>1339</v>
      </c>
      <c r="AA359" s="65">
        <v>0.5</v>
      </c>
      <c r="AB359" s="39">
        <v>26750</v>
      </c>
      <c r="AC359" s="84" t="s">
        <v>18900</v>
      </c>
      <c r="AD359" s="53" t="str">
        <f t="shared" si="286"/>
        <v>Link</v>
      </c>
      <c r="AE359" s="42">
        <v>405</v>
      </c>
      <c r="AF359" s="55"/>
      <c r="AG359" s="55"/>
      <c r="AH359" s="56">
        <v>181853</v>
      </c>
      <c r="AI359" s="55"/>
      <c r="AJ359" s="162"/>
    </row>
    <row r="360" spans="1:41" ht="13" x14ac:dyDescent="0.15">
      <c r="A360" s="7"/>
      <c r="B360" s="31" t="s">
        <v>7182</v>
      </c>
      <c r="C360" s="2" t="s">
        <v>15218</v>
      </c>
      <c r="D360" s="7" t="s">
        <v>18911</v>
      </c>
      <c r="E360" s="37">
        <v>5</v>
      </c>
      <c r="F360" s="48"/>
      <c r="G360" s="48"/>
      <c r="H360" s="2" t="s">
        <v>18913</v>
      </c>
      <c r="I360" s="2" t="s">
        <v>3882</v>
      </c>
      <c r="J360" s="2" t="s">
        <v>1070</v>
      </c>
      <c r="K360" s="2" t="s">
        <v>48</v>
      </c>
      <c r="L360" s="130" t="s">
        <v>18915</v>
      </c>
      <c r="M360" s="6" t="s">
        <v>18916</v>
      </c>
      <c r="N360" s="48"/>
      <c r="O360" s="45" t="str">
        <f t="shared" ref="O360:O363" si="287">HYPERLINK("https://uswathletics.com/sb_output.aspx?form=3","Questionnaire")</f>
        <v>Questionnaire</v>
      </c>
      <c r="P360" s="6" t="s">
        <v>18917</v>
      </c>
      <c r="Q360" s="60" t="s">
        <v>7198</v>
      </c>
      <c r="R360" s="48" t="s">
        <v>14974</v>
      </c>
      <c r="S360" s="48" t="s">
        <v>468</v>
      </c>
      <c r="T360" s="49" t="s">
        <v>63</v>
      </c>
      <c r="U360" s="48" t="s">
        <v>75</v>
      </c>
      <c r="V360" s="49"/>
      <c r="W360" s="65">
        <v>3</v>
      </c>
      <c r="X360" s="49" t="s">
        <v>18919</v>
      </c>
      <c r="Y360" s="49" t="s">
        <v>18920</v>
      </c>
      <c r="Z360" s="49" t="s">
        <v>7983</v>
      </c>
      <c r="AA360" s="65">
        <v>0.66</v>
      </c>
      <c r="AB360" s="39">
        <v>26616</v>
      </c>
      <c r="AC360" s="84" t="s">
        <v>18917</v>
      </c>
      <c r="AD360" s="53" t="str">
        <f t="shared" ref="AD360:AD363" si="288">HYPERLINK("https://www.usw.edu/Academics/School-of-Education/Undergraduate-Programs","Link")</f>
        <v>Link</v>
      </c>
      <c r="AE360" s="42">
        <v>530</v>
      </c>
      <c r="AF360" s="55"/>
      <c r="AG360" s="55"/>
      <c r="AH360" s="56">
        <v>188182</v>
      </c>
      <c r="AI360" s="55"/>
      <c r="AJ360" s="162"/>
    </row>
    <row r="361" spans="1:41" ht="13" x14ac:dyDescent="0.15">
      <c r="A361" s="7"/>
      <c r="B361" s="31" t="s">
        <v>7182</v>
      </c>
      <c r="C361" s="2" t="s">
        <v>15218</v>
      </c>
      <c r="D361" s="7" t="s">
        <v>18921</v>
      </c>
      <c r="E361" s="37">
        <v>5</v>
      </c>
      <c r="F361" s="48"/>
      <c r="G361" s="48" t="s">
        <v>126</v>
      </c>
      <c r="H361" s="2" t="s">
        <v>18913</v>
      </c>
      <c r="I361" s="2" t="s">
        <v>18923</v>
      </c>
      <c r="J361" s="2"/>
      <c r="K361" s="2"/>
      <c r="L361" s="2"/>
      <c r="M361" s="6"/>
      <c r="N361" s="48"/>
      <c r="O361" s="45" t="str">
        <f t="shared" si="287"/>
        <v>Questionnaire</v>
      </c>
      <c r="P361" s="6" t="s">
        <v>18917</v>
      </c>
      <c r="Q361" s="60" t="s">
        <v>7198</v>
      </c>
      <c r="R361" s="48" t="s">
        <v>14974</v>
      </c>
      <c r="S361" s="48" t="s">
        <v>468</v>
      </c>
      <c r="T361" s="49" t="s">
        <v>63</v>
      </c>
      <c r="U361" s="48" t="s">
        <v>75</v>
      </c>
      <c r="V361" s="49"/>
      <c r="W361" s="65">
        <v>3</v>
      </c>
      <c r="X361" s="49" t="s">
        <v>18919</v>
      </c>
      <c r="Y361" s="49" t="s">
        <v>18920</v>
      </c>
      <c r="Z361" s="49" t="s">
        <v>7983</v>
      </c>
      <c r="AA361" s="65">
        <v>0.66</v>
      </c>
      <c r="AB361" s="39">
        <v>26616</v>
      </c>
      <c r="AC361" s="84" t="s">
        <v>18917</v>
      </c>
      <c r="AD361" s="53" t="str">
        <f t="shared" si="288"/>
        <v>Link</v>
      </c>
      <c r="AE361" s="42">
        <v>530</v>
      </c>
      <c r="AF361" s="55"/>
      <c r="AG361" s="55"/>
      <c r="AH361" s="56">
        <v>188182</v>
      </c>
      <c r="AI361" s="55"/>
      <c r="AJ361" s="162"/>
    </row>
    <row r="362" spans="1:41" ht="13" x14ac:dyDescent="0.15">
      <c r="A362" s="7" t="s">
        <v>18927</v>
      </c>
      <c r="B362" s="31" t="s">
        <v>7182</v>
      </c>
      <c r="C362" s="2" t="s">
        <v>15218</v>
      </c>
      <c r="D362" s="7" t="s">
        <v>18928</v>
      </c>
      <c r="E362" s="44">
        <v>5</v>
      </c>
      <c r="F362" s="48" t="s">
        <v>116</v>
      </c>
      <c r="G362" s="48"/>
      <c r="H362" s="2" t="s">
        <v>18913</v>
      </c>
      <c r="I362" s="7" t="s">
        <v>6327</v>
      </c>
      <c r="J362" s="7" t="s">
        <v>2919</v>
      </c>
      <c r="K362" s="7" t="s">
        <v>55</v>
      </c>
      <c r="L362" s="7" t="s">
        <v>18930</v>
      </c>
      <c r="M362" s="48"/>
      <c r="N362" s="48"/>
      <c r="O362" s="45" t="str">
        <f t="shared" si="287"/>
        <v>Questionnaire</v>
      </c>
      <c r="P362" s="48" t="s">
        <v>18917</v>
      </c>
      <c r="Q362" s="60" t="s">
        <v>7198</v>
      </c>
      <c r="R362" s="48" t="s">
        <v>14974</v>
      </c>
      <c r="S362" s="48" t="s">
        <v>468</v>
      </c>
      <c r="T362" s="4" t="s">
        <v>63</v>
      </c>
      <c r="U362" s="48" t="s">
        <v>75</v>
      </c>
      <c r="V362" s="49"/>
      <c r="W362" s="65">
        <v>3</v>
      </c>
      <c r="X362" s="49" t="s">
        <v>18919</v>
      </c>
      <c r="Y362" s="49" t="s">
        <v>18920</v>
      </c>
      <c r="Z362" s="4" t="s">
        <v>7983</v>
      </c>
      <c r="AA362" s="65">
        <v>0.66</v>
      </c>
      <c r="AB362" s="39">
        <v>26616</v>
      </c>
      <c r="AC362" s="84" t="s">
        <v>18917</v>
      </c>
      <c r="AD362" s="67" t="str">
        <f t="shared" si="288"/>
        <v>Link</v>
      </c>
      <c r="AE362" s="42">
        <v>530</v>
      </c>
      <c r="AF362" s="55"/>
      <c r="AG362" s="55"/>
      <c r="AH362" s="56">
        <v>188182</v>
      </c>
      <c r="AI362" s="55"/>
      <c r="AJ362" s="162"/>
    </row>
    <row r="363" spans="1:41" ht="13" x14ac:dyDescent="0.15">
      <c r="A363" s="7" t="s">
        <v>18927</v>
      </c>
      <c r="B363" s="31" t="s">
        <v>7182</v>
      </c>
      <c r="C363" s="2" t="s">
        <v>15218</v>
      </c>
      <c r="D363" s="7" t="s">
        <v>18933</v>
      </c>
      <c r="E363" s="44">
        <v>5</v>
      </c>
      <c r="F363" s="48" t="s">
        <v>116</v>
      </c>
      <c r="G363" s="48"/>
      <c r="H363" s="2" t="s">
        <v>18913</v>
      </c>
      <c r="I363" s="7" t="s">
        <v>3722</v>
      </c>
      <c r="J363" s="7" t="s">
        <v>18934</v>
      </c>
      <c r="K363" s="7" t="s">
        <v>55</v>
      </c>
      <c r="L363" s="7" t="s">
        <v>18935</v>
      </c>
      <c r="M363" s="48"/>
      <c r="N363" s="48"/>
      <c r="O363" s="45" t="str">
        <f t="shared" si="287"/>
        <v>Questionnaire</v>
      </c>
      <c r="P363" s="48" t="s">
        <v>18917</v>
      </c>
      <c r="Q363" s="60" t="s">
        <v>7198</v>
      </c>
      <c r="R363" s="48" t="s">
        <v>14974</v>
      </c>
      <c r="S363" s="48" t="s">
        <v>468</v>
      </c>
      <c r="T363" s="4" t="s">
        <v>63</v>
      </c>
      <c r="U363" s="48" t="s">
        <v>75</v>
      </c>
      <c r="V363" s="49"/>
      <c r="W363" s="65">
        <v>3</v>
      </c>
      <c r="X363" s="49" t="s">
        <v>18919</v>
      </c>
      <c r="Y363" s="49" t="s">
        <v>18920</v>
      </c>
      <c r="Z363" s="4" t="s">
        <v>7983</v>
      </c>
      <c r="AA363" s="65">
        <v>0.66</v>
      </c>
      <c r="AB363" s="39">
        <v>26616</v>
      </c>
      <c r="AC363" s="84" t="s">
        <v>18917</v>
      </c>
      <c r="AD363" s="67" t="str">
        <f t="shared" si="288"/>
        <v>Link</v>
      </c>
      <c r="AE363" s="42">
        <v>530</v>
      </c>
      <c r="AF363" s="55"/>
      <c r="AG363" s="55"/>
      <c r="AH363" s="56">
        <v>188182</v>
      </c>
      <c r="AI363" s="55"/>
      <c r="AJ363" s="162"/>
    </row>
    <row r="364" spans="1:41" ht="13" x14ac:dyDescent="0.15">
      <c r="A364" s="7"/>
      <c r="B364" s="31" t="s">
        <v>1019</v>
      </c>
      <c r="C364" s="2" t="s">
        <v>15218</v>
      </c>
      <c r="D364" s="7" t="s">
        <v>18941</v>
      </c>
      <c r="E364" s="37">
        <v>5</v>
      </c>
      <c r="F364" s="48"/>
      <c r="G364" s="48"/>
      <c r="H364" s="2" t="s">
        <v>18943</v>
      </c>
      <c r="I364" s="2" t="s">
        <v>1132</v>
      </c>
      <c r="J364" s="2" t="s">
        <v>18944</v>
      </c>
      <c r="K364" s="2" t="s">
        <v>48</v>
      </c>
      <c r="L364" s="2" t="s">
        <v>18945</v>
      </c>
      <c r="M364" s="6" t="s">
        <v>18946</v>
      </c>
      <c r="N364" s="48"/>
      <c r="O364" s="45" t="str">
        <f t="shared" ref="O364:O365" si="289">HYPERLINK("http://www.montreatcavaliers.com/recruitme","Questionnaire")</f>
        <v>Questionnaire</v>
      </c>
      <c r="P364" s="6" t="s">
        <v>18948</v>
      </c>
      <c r="Q364" s="60" t="s">
        <v>219</v>
      </c>
      <c r="R364" s="48" t="s">
        <v>18948</v>
      </c>
      <c r="S364" s="60" t="s">
        <v>205</v>
      </c>
      <c r="T364" s="49" t="s">
        <v>63</v>
      </c>
      <c r="U364" s="6" t="s">
        <v>3252</v>
      </c>
      <c r="V364" s="49"/>
      <c r="W364" s="65">
        <v>3.07</v>
      </c>
      <c r="X364" s="49" t="s">
        <v>1453</v>
      </c>
      <c r="Y364" s="49" t="s">
        <v>1785</v>
      </c>
      <c r="Z364" s="49" t="s">
        <v>449</v>
      </c>
      <c r="AA364" s="65">
        <v>0.61</v>
      </c>
      <c r="AB364" s="39">
        <v>37344</v>
      </c>
      <c r="AC364" s="84" t="s">
        <v>18948</v>
      </c>
      <c r="AD364" s="53" t="str">
        <f t="shared" ref="AD364:AD365" si="290">HYPERLINK("https://www.montreat.edu/academics/undergraduate/","Link")</f>
        <v>Link</v>
      </c>
      <c r="AE364" s="42">
        <v>766</v>
      </c>
      <c r="AF364" s="55"/>
      <c r="AG364" s="55"/>
      <c r="AH364" s="56">
        <v>199032</v>
      </c>
      <c r="AI364" s="55"/>
      <c r="AJ364" s="162"/>
    </row>
    <row r="365" spans="1:41" ht="13" x14ac:dyDescent="0.15">
      <c r="A365" s="7"/>
      <c r="B365" s="31" t="s">
        <v>1019</v>
      </c>
      <c r="C365" s="2" t="s">
        <v>15218</v>
      </c>
      <c r="D365" s="7" t="s">
        <v>18951</v>
      </c>
      <c r="E365" s="37">
        <v>5</v>
      </c>
      <c r="F365" s="48"/>
      <c r="G365" s="48"/>
      <c r="H365" s="2" t="s">
        <v>18943</v>
      </c>
      <c r="I365" s="2" t="s">
        <v>18952</v>
      </c>
      <c r="J365" s="2" t="s">
        <v>1117</v>
      </c>
      <c r="K365" s="2" t="s">
        <v>55</v>
      </c>
      <c r="L365" s="2" t="s">
        <v>18953</v>
      </c>
      <c r="M365" s="6" t="s">
        <v>18946</v>
      </c>
      <c r="N365" s="48"/>
      <c r="O365" s="45" t="str">
        <f t="shared" si="289"/>
        <v>Questionnaire</v>
      </c>
      <c r="P365" s="6" t="s">
        <v>18948</v>
      </c>
      <c r="Q365" s="60" t="s">
        <v>219</v>
      </c>
      <c r="R365" s="48" t="s">
        <v>18948</v>
      </c>
      <c r="S365" s="60" t="s">
        <v>205</v>
      </c>
      <c r="T365" s="49" t="s">
        <v>63</v>
      </c>
      <c r="U365" s="6" t="s">
        <v>3252</v>
      </c>
      <c r="V365" s="49"/>
      <c r="W365" s="65">
        <v>3.07</v>
      </c>
      <c r="X365" s="49" t="s">
        <v>1453</v>
      </c>
      <c r="Y365" s="49" t="s">
        <v>1785</v>
      </c>
      <c r="Z365" s="49" t="s">
        <v>449</v>
      </c>
      <c r="AA365" s="65">
        <v>0.61</v>
      </c>
      <c r="AB365" s="39">
        <v>37344</v>
      </c>
      <c r="AC365" s="84" t="s">
        <v>18948</v>
      </c>
      <c r="AD365" s="53" t="str">
        <f t="shared" si="290"/>
        <v>Link</v>
      </c>
      <c r="AE365" s="42">
        <v>766</v>
      </c>
      <c r="AF365" s="55"/>
      <c r="AG365" s="55"/>
      <c r="AH365" s="56">
        <v>199032</v>
      </c>
      <c r="AI365" s="55"/>
      <c r="AJ365" s="162"/>
    </row>
    <row r="366" spans="1:41" ht="13" x14ac:dyDescent="0.15">
      <c r="A366" s="7"/>
      <c r="B366" s="31" t="s">
        <v>1019</v>
      </c>
      <c r="C366" s="2" t="s">
        <v>15218</v>
      </c>
      <c r="D366" s="7" t="s">
        <v>18958</v>
      </c>
      <c r="E366" s="37">
        <v>5</v>
      </c>
      <c r="F366" s="48"/>
      <c r="G366" s="48"/>
      <c r="H366" s="2" t="s">
        <v>18959</v>
      </c>
      <c r="I366" s="2" t="s">
        <v>552</v>
      </c>
      <c r="J366" s="2" t="s">
        <v>2537</v>
      </c>
      <c r="K366" s="2" t="s">
        <v>48</v>
      </c>
      <c r="L366" s="2" t="s">
        <v>18960</v>
      </c>
      <c r="M366" s="6" t="s">
        <v>18961</v>
      </c>
      <c r="N366" s="45" t="str">
        <f t="shared" ref="N366:N367" si="291">HYPERLINK("twitter.com/thedrewsoftball","@thedrewsoftball")</f>
        <v>@thedrewsoftball</v>
      </c>
      <c r="O366" s="45" t="str">
        <f t="shared" ref="O366:O367" si="292">HYPERLINK("http://www.sauknights.com/recruiting.php","Questionnaire")</f>
        <v>Questionnaire</v>
      </c>
      <c r="P366" s="60" t="s">
        <v>18966</v>
      </c>
      <c r="Q366" s="60" t="s">
        <v>219</v>
      </c>
      <c r="R366" s="48" t="s">
        <v>18967</v>
      </c>
      <c r="S366" s="48" t="s">
        <v>172</v>
      </c>
      <c r="T366" s="49" t="s">
        <v>63</v>
      </c>
      <c r="U366" s="6" t="s">
        <v>248</v>
      </c>
      <c r="V366" s="49"/>
      <c r="W366" s="65">
        <v>3.09</v>
      </c>
      <c r="X366" s="49" t="s">
        <v>7924</v>
      </c>
      <c r="Y366" s="49" t="s">
        <v>18971</v>
      </c>
      <c r="Z366" s="49" t="s">
        <v>1302</v>
      </c>
      <c r="AA366" s="65">
        <v>0.56000000000000005</v>
      </c>
      <c r="AB366" s="39">
        <v>43995</v>
      </c>
      <c r="AC366" s="90" t="s">
        <v>18966</v>
      </c>
      <c r="AD366" s="53" t="str">
        <f t="shared" ref="AD366:AD367" si="293">HYPERLINK("https://www.sa.edu/academics/available-majors","Link")</f>
        <v>Link</v>
      </c>
      <c r="AE366" s="42">
        <v>688</v>
      </c>
      <c r="AF366" s="42">
        <v>192</v>
      </c>
      <c r="AG366" s="55"/>
      <c r="AH366" s="56">
        <v>199698</v>
      </c>
      <c r="AI366" s="55"/>
      <c r="AJ366" s="162"/>
    </row>
    <row r="367" spans="1:41" ht="13" x14ac:dyDescent="0.15">
      <c r="A367" s="7"/>
      <c r="B367" s="31" t="s">
        <v>1019</v>
      </c>
      <c r="C367" s="2" t="s">
        <v>15218</v>
      </c>
      <c r="D367" s="7" t="s">
        <v>18973</v>
      </c>
      <c r="E367" s="37">
        <v>5</v>
      </c>
      <c r="F367" s="48"/>
      <c r="G367" s="48"/>
      <c r="H367" s="2" t="s">
        <v>18959</v>
      </c>
      <c r="I367" s="2" t="s">
        <v>2150</v>
      </c>
      <c r="J367" s="2" t="s">
        <v>18974</v>
      </c>
      <c r="K367" s="2" t="s">
        <v>55</v>
      </c>
      <c r="L367" s="2" t="s">
        <v>18976</v>
      </c>
      <c r="M367" s="6" t="s">
        <v>18978</v>
      </c>
      <c r="N367" s="45" t="str">
        <f t="shared" si="291"/>
        <v>@thedrewsoftball</v>
      </c>
      <c r="O367" s="45" t="str">
        <f t="shared" si="292"/>
        <v>Questionnaire</v>
      </c>
      <c r="P367" s="60" t="s">
        <v>18966</v>
      </c>
      <c r="Q367" s="60" t="s">
        <v>219</v>
      </c>
      <c r="R367" s="48" t="s">
        <v>18967</v>
      </c>
      <c r="S367" s="48" t="s">
        <v>172</v>
      </c>
      <c r="T367" s="49" t="s">
        <v>63</v>
      </c>
      <c r="U367" s="6" t="s">
        <v>248</v>
      </c>
      <c r="V367" s="49"/>
      <c r="W367" s="65">
        <v>3.09</v>
      </c>
      <c r="X367" s="49" t="s">
        <v>7924</v>
      </c>
      <c r="Y367" s="49" t="s">
        <v>18971</v>
      </c>
      <c r="Z367" s="49" t="s">
        <v>1302</v>
      </c>
      <c r="AA367" s="65">
        <v>0.56000000000000005</v>
      </c>
      <c r="AB367" s="39">
        <v>43995</v>
      </c>
      <c r="AC367" s="90" t="s">
        <v>18966</v>
      </c>
      <c r="AD367" s="53" t="str">
        <f t="shared" si="293"/>
        <v>Link</v>
      </c>
      <c r="AE367" s="42">
        <v>688</v>
      </c>
      <c r="AF367" s="42">
        <v>192</v>
      </c>
      <c r="AG367" s="55"/>
      <c r="AH367" s="56">
        <v>199698</v>
      </c>
      <c r="AI367" s="55"/>
      <c r="AJ367" s="162"/>
    </row>
    <row r="368" spans="1:41" ht="13" x14ac:dyDescent="0.15">
      <c r="A368" s="7"/>
      <c r="B368" s="31" t="s">
        <v>3576</v>
      </c>
      <c r="C368" s="2" t="s">
        <v>15218</v>
      </c>
      <c r="D368" s="7"/>
      <c r="E368" s="37">
        <v>5</v>
      </c>
      <c r="F368" s="7"/>
      <c r="G368" s="7"/>
      <c r="H368" s="2" t="s">
        <v>18983</v>
      </c>
      <c r="I368" s="2" t="s">
        <v>435</v>
      </c>
      <c r="J368" s="2" t="s">
        <v>18984</v>
      </c>
      <c r="K368" s="2" t="s">
        <v>48</v>
      </c>
      <c r="L368" s="2" t="s">
        <v>18985</v>
      </c>
      <c r="M368" s="6" t="s">
        <v>18986</v>
      </c>
      <c r="N368" s="48"/>
      <c r="O368" s="45" t="str">
        <f t="shared" ref="O368:O369" si="294">HYPERLINK("http://www.dsubluehawks.com/recruit-me","Questionnaire")</f>
        <v>Questionnaire</v>
      </c>
      <c r="P368" s="6" t="s">
        <v>18989</v>
      </c>
      <c r="Q368" s="60" t="s">
        <v>3564</v>
      </c>
      <c r="R368" s="48" t="s">
        <v>18990</v>
      </c>
      <c r="S368" s="48" t="s">
        <v>172</v>
      </c>
      <c r="T368" s="49" t="s">
        <v>74</v>
      </c>
      <c r="U368" s="48" t="s">
        <v>75</v>
      </c>
      <c r="V368" s="49"/>
      <c r="W368" s="65">
        <v>3.18</v>
      </c>
      <c r="X368" s="49" t="s">
        <v>18992</v>
      </c>
      <c r="Y368" s="49" t="s">
        <v>6282</v>
      </c>
      <c r="Z368" s="49" t="s">
        <v>2307</v>
      </c>
      <c r="AA368" s="65">
        <v>0.92</v>
      </c>
      <c r="AB368" s="48" t="s">
        <v>18993</v>
      </c>
      <c r="AC368" s="84" t="s">
        <v>18989</v>
      </c>
      <c r="AD368" s="53" t="str">
        <f t="shared" ref="AD368:AD369" si="295">HYPERLINK("http://www.dickinsonstate.edu/academics/fields-of-study/","Link")</f>
        <v>Link</v>
      </c>
      <c r="AE368" s="42">
        <v>1381</v>
      </c>
      <c r="AF368" s="55"/>
      <c r="AG368" s="55"/>
      <c r="AH368" s="56">
        <v>200059</v>
      </c>
      <c r="AI368" s="85" t="s">
        <v>2459</v>
      </c>
      <c r="AJ368" s="7"/>
      <c r="AK368" s="7"/>
      <c r="AL368" s="7"/>
      <c r="AM368" s="7"/>
      <c r="AN368" s="7"/>
      <c r="AO368" s="7"/>
    </row>
    <row r="369" spans="1:41" ht="13" x14ac:dyDescent="0.15">
      <c r="A369" s="7"/>
      <c r="B369" s="31" t="s">
        <v>3576</v>
      </c>
      <c r="C369" s="2" t="s">
        <v>15218</v>
      </c>
      <c r="D369" s="7"/>
      <c r="E369" s="37">
        <v>5</v>
      </c>
      <c r="F369" s="7"/>
      <c r="G369" s="7"/>
      <c r="H369" s="2" t="s">
        <v>18983</v>
      </c>
      <c r="I369" s="2" t="s">
        <v>2200</v>
      </c>
      <c r="J369" s="2" t="s">
        <v>4290</v>
      </c>
      <c r="K369" s="2" t="s">
        <v>55</v>
      </c>
      <c r="L369" s="2"/>
      <c r="M369" s="6"/>
      <c r="N369" s="48"/>
      <c r="O369" s="45" t="str">
        <f t="shared" si="294"/>
        <v>Questionnaire</v>
      </c>
      <c r="P369" s="6" t="s">
        <v>18989</v>
      </c>
      <c r="Q369" s="60" t="s">
        <v>3564</v>
      </c>
      <c r="R369" s="48" t="s">
        <v>18990</v>
      </c>
      <c r="S369" s="48" t="s">
        <v>172</v>
      </c>
      <c r="T369" s="49" t="s">
        <v>74</v>
      </c>
      <c r="U369" s="48" t="s">
        <v>75</v>
      </c>
      <c r="V369" s="49"/>
      <c r="W369" s="65">
        <v>3.18</v>
      </c>
      <c r="X369" s="49" t="s">
        <v>18992</v>
      </c>
      <c r="Y369" s="49" t="s">
        <v>6282</v>
      </c>
      <c r="Z369" s="49" t="s">
        <v>2307</v>
      </c>
      <c r="AA369" s="65">
        <v>0.92</v>
      </c>
      <c r="AB369" s="48" t="s">
        <v>18993</v>
      </c>
      <c r="AC369" s="84" t="s">
        <v>18989</v>
      </c>
      <c r="AD369" s="53" t="str">
        <f t="shared" si="295"/>
        <v>Link</v>
      </c>
      <c r="AE369" s="42">
        <v>1381</v>
      </c>
      <c r="AF369" s="55"/>
      <c r="AG369" s="55"/>
      <c r="AH369" s="56">
        <v>200059</v>
      </c>
      <c r="AI369" s="85" t="s">
        <v>2459</v>
      </c>
      <c r="AJ369" s="7"/>
      <c r="AK369" s="7"/>
      <c r="AL369" s="7"/>
      <c r="AM369" s="7"/>
      <c r="AN369" s="7"/>
      <c r="AO369" s="7"/>
    </row>
    <row r="370" spans="1:41" ht="13" x14ac:dyDescent="0.15">
      <c r="A370" s="7"/>
      <c r="B370" s="31" t="s">
        <v>3576</v>
      </c>
      <c r="C370" s="2" t="s">
        <v>15218</v>
      </c>
      <c r="D370" s="7" t="s">
        <v>19005</v>
      </c>
      <c r="E370" s="37">
        <v>5</v>
      </c>
      <c r="F370" s="48"/>
      <c r="G370" s="48"/>
      <c r="H370" s="2" t="s">
        <v>19006</v>
      </c>
      <c r="I370" s="2" t="s">
        <v>3279</v>
      </c>
      <c r="J370" s="2" t="s">
        <v>19007</v>
      </c>
      <c r="K370" s="2" t="s">
        <v>48</v>
      </c>
      <c r="L370" s="2" t="s">
        <v>19008</v>
      </c>
      <c r="M370" s="6" t="s">
        <v>19009</v>
      </c>
      <c r="N370" s="45" t="str">
        <f>HYPERLINK("twitter.com/ujsoftball","@ujsoftball")</f>
        <v>@ujsoftball</v>
      </c>
      <c r="O370" s="45" t="str">
        <f>HYPERLINK("http://www.jimmieathletics.com/recruiting/0/3.php","Questionnaire")</f>
        <v>Questionnaire</v>
      </c>
      <c r="P370" s="6" t="s">
        <v>19014</v>
      </c>
      <c r="Q370" s="60" t="s">
        <v>3564</v>
      </c>
      <c r="R370" s="48" t="s">
        <v>19015</v>
      </c>
      <c r="S370" s="48" t="s">
        <v>172</v>
      </c>
      <c r="T370" s="49" t="s">
        <v>63</v>
      </c>
      <c r="U370" s="6" t="s">
        <v>248</v>
      </c>
      <c r="V370" s="49"/>
      <c r="W370" s="65">
        <v>3.2</v>
      </c>
      <c r="X370" s="49" t="s">
        <v>356</v>
      </c>
      <c r="Y370" s="49" t="s">
        <v>3853</v>
      </c>
      <c r="Z370" s="49" t="s">
        <v>1994</v>
      </c>
      <c r="AA370" s="65">
        <v>0.56999999999999995</v>
      </c>
      <c r="AB370" s="39">
        <v>32000</v>
      </c>
      <c r="AC370" s="84" t="s">
        <v>19014</v>
      </c>
      <c r="AD370" s="53" t="str">
        <f>HYPERLINK("https://www.uj.edu/academics","Link")</f>
        <v>Link</v>
      </c>
      <c r="AE370" s="42">
        <v>955</v>
      </c>
      <c r="AF370" s="55"/>
      <c r="AG370" s="55"/>
      <c r="AH370" s="56">
        <v>200156</v>
      </c>
      <c r="AI370" s="55"/>
      <c r="AJ370" s="162"/>
    </row>
    <row r="371" spans="1:41" ht="15" x14ac:dyDescent="0.2">
      <c r="A371" s="7"/>
      <c r="B371" s="31" t="s">
        <v>3576</v>
      </c>
      <c r="C371" s="2" t="s">
        <v>15218</v>
      </c>
      <c r="D371" s="7" t="s">
        <v>19019</v>
      </c>
      <c r="E371" s="37">
        <v>5</v>
      </c>
      <c r="F371" s="48"/>
      <c r="G371" s="48"/>
      <c r="H371" s="2" t="s">
        <v>19020</v>
      </c>
      <c r="I371" s="2" t="s">
        <v>981</v>
      </c>
      <c r="J371" s="2" t="s">
        <v>19021</v>
      </c>
      <c r="K371" s="2" t="s">
        <v>48</v>
      </c>
      <c r="L371" s="2" t="s">
        <v>19022</v>
      </c>
      <c r="M371" s="6" t="s">
        <v>19023</v>
      </c>
      <c r="N371" s="45" t="str">
        <f t="shared" ref="N371:N374" si="296">HYPERLINK("twitter.com/msucometssb","@msucometssb")</f>
        <v>@msucometssb</v>
      </c>
      <c r="O371" s="45" t="str">
        <f t="shared" ref="O371:O374" si="297">HYPERLINK("https://msucomets.com/sb_output.aspx?form=3","Questionnaire")</f>
        <v>Questionnaire</v>
      </c>
      <c r="P371" s="108" t="s">
        <v>19027</v>
      </c>
      <c r="Q371" s="60" t="s">
        <v>3564</v>
      </c>
      <c r="R371" s="48" t="s">
        <v>19028</v>
      </c>
      <c r="S371" s="60" t="s">
        <v>205</v>
      </c>
      <c r="T371" s="49" t="s">
        <v>74</v>
      </c>
      <c r="U371" s="48" t="s">
        <v>75</v>
      </c>
      <c r="V371" s="49"/>
      <c r="W371" s="65">
        <v>2.99</v>
      </c>
      <c r="X371" s="49" t="s">
        <v>19030</v>
      </c>
      <c r="Y371" s="49" t="s">
        <v>19031</v>
      </c>
      <c r="Z371" s="49" t="s">
        <v>449</v>
      </c>
      <c r="AA371" s="65">
        <v>0.55000000000000004</v>
      </c>
      <c r="AB371" s="48" t="s">
        <v>19032</v>
      </c>
      <c r="AC371" s="52" t="s">
        <v>19027</v>
      </c>
      <c r="AD371" s="53" t="str">
        <f t="shared" ref="AD371:AD374" si="298">HYPERLINK("https://mayvillestate.edu/academics/majors-and-minors/","Link")</f>
        <v>Link</v>
      </c>
      <c r="AE371" s="42">
        <v>1108</v>
      </c>
      <c r="AF371" s="55"/>
      <c r="AG371" s="55"/>
      <c r="AH371" s="56">
        <v>200226</v>
      </c>
      <c r="AI371" s="55"/>
      <c r="AJ371" s="162"/>
    </row>
    <row r="372" spans="1:41" ht="15" x14ac:dyDescent="0.2">
      <c r="A372" s="7"/>
      <c r="B372" s="106" t="s">
        <v>3576</v>
      </c>
      <c r="C372" s="2" t="s">
        <v>15218</v>
      </c>
      <c r="D372" s="7" t="s">
        <v>19033</v>
      </c>
      <c r="E372" s="37">
        <v>5</v>
      </c>
      <c r="F372" s="48"/>
      <c r="G372" s="48"/>
      <c r="H372" s="2" t="s">
        <v>19020</v>
      </c>
      <c r="I372" s="2" t="s">
        <v>15120</v>
      </c>
      <c r="J372" s="2" t="s">
        <v>19036</v>
      </c>
      <c r="K372" s="2" t="s">
        <v>55</v>
      </c>
      <c r="L372" s="2" t="s">
        <v>19038</v>
      </c>
      <c r="M372" s="6"/>
      <c r="N372" s="45" t="str">
        <f t="shared" si="296"/>
        <v>@msucometssb</v>
      </c>
      <c r="O372" s="45" t="str">
        <f t="shared" si="297"/>
        <v>Questionnaire</v>
      </c>
      <c r="P372" s="108" t="s">
        <v>19027</v>
      </c>
      <c r="Q372" s="60" t="s">
        <v>3564</v>
      </c>
      <c r="R372" s="48" t="s">
        <v>19028</v>
      </c>
      <c r="S372" s="60" t="s">
        <v>205</v>
      </c>
      <c r="T372" s="49" t="s">
        <v>74</v>
      </c>
      <c r="U372" s="48" t="s">
        <v>75</v>
      </c>
      <c r="V372" s="49"/>
      <c r="W372" s="65">
        <v>2.99</v>
      </c>
      <c r="X372" s="49" t="s">
        <v>19030</v>
      </c>
      <c r="Y372" s="49" t="s">
        <v>19031</v>
      </c>
      <c r="Z372" s="49" t="s">
        <v>449</v>
      </c>
      <c r="AA372" s="65">
        <v>0.55000000000000004</v>
      </c>
      <c r="AB372" s="48" t="s">
        <v>19032</v>
      </c>
      <c r="AC372" s="52" t="s">
        <v>19027</v>
      </c>
      <c r="AD372" s="53" t="str">
        <f t="shared" si="298"/>
        <v>Link</v>
      </c>
      <c r="AE372" s="42">
        <v>1108</v>
      </c>
      <c r="AF372" s="55"/>
      <c r="AG372" s="55"/>
      <c r="AH372" s="56">
        <v>200226</v>
      </c>
      <c r="AI372" s="55"/>
      <c r="AJ372" s="162"/>
    </row>
    <row r="373" spans="1:41" ht="15" x14ac:dyDescent="0.2">
      <c r="A373" s="7"/>
      <c r="B373" s="106" t="s">
        <v>3576</v>
      </c>
      <c r="C373" s="2" t="s">
        <v>15218</v>
      </c>
      <c r="D373" s="7" t="s">
        <v>19044</v>
      </c>
      <c r="E373" s="37">
        <v>5</v>
      </c>
      <c r="F373" s="48"/>
      <c r="G373" s="48"/>
      <c r="H373" s="2" t="s">
        <v>19020</v>
      </c>
      <c r="I373" s="2" t="s">
        <v>306</v>
      </c>
      <c r="J373" s="2" t="s">
        <v>19045</v>
      </c>
      <c r="K373" s="2" t="s">
        <v>55</v>
      </c>
      <c r="L373" s="2" t="s">
        <v>19046</v>
      </c>
      <c r="M373" s="6"/>
      <c r="N373" s="45" t="str">
        <f t="shared" si="296"/>
        <v>@msucometssb</v>
      </c>
      <c r="O373" s="45" t="str">
        <f t="shared" si="297"/>
        <v>Questionnaire</v>
      </c>
      <c r="P373" s="108" t="s">
        <v>19027</v>
      </c>
      <c r="Q373" s="60" t="s">
        <v>3564</v>
      </c>
      <c r="R373" s="48" t="s">
        <v>19028</v>
      </c>
      <c r="S373" s="60" t="s">
        <v>205</v>
      </c>
      <c r="T373" s="49" t="s">
        <v>74</v>
      </c>
      <c r="U373" s="48" t="s">
        <v>75</v>
      </c>
      <c r="V373" s="49"/>
      <c r="W373" s="65">
        <v>2.99</v>
      </c>
      <c r="X373" s="49" t="s">
        <v>19030</v>
      </c>
      <c r="Y373" s="49" t="s">
        <v>19031</v>
      </c>
      <c r="Z373" s="49" t="s">
        <v>449</v>
      </c>
      <c r="AA373" s="65">
        <v>0.55000000000000004</v>
      </c>
      <c r="AB373" s="48" t="s">
        <v>19032</v>
      </c>
      <c r="AC373" s="52" t="s">
        <v>19027</v>
      </c>
      <c r="AD373" s="53" t="str">
        <f t="shared" si="298"/>
        <v>Link</v>
      </c>
      <c r="AE373" s="42">
        <v>1108</v>
      </c>
      <c r="AF373" s="55"/>
      <c r="AG373" s="55"/>
      <c r="AH373" s="56">
        <v>200226</v>
      </c>
      <c r="AI373" s="55"/>
      <c r="AJ373" s="162"/>
    </row>
    <row r="374" spans="1:41" ht="15" x14ac:dyDescent="0.2">
      <c r="A374" s="7"/>
      <c r="B374" s="106" t="s">
        <v>3576</v>
      </c>
      <c r="C374" s="2" t="s">
        <v>15218</v>
      </c>
      <c r="D374" s="7" t="s">
        <v>19048</v>
      </c>
      <c r="E374" s="37">
        <v>5</v>
      </c>
      <c r="F374" s="48"/>
      <c r="G374" s="48"/>
      <c r="H374" s="2" t="s">
        <v>19020</v>
      </c>
      <c r="I374" s="2" t="s">
        <v>869</v>
      </c>
      <c r="J374" s="2" t="s">
        <v>19049</v>
      </c>
      <c r="K374" s="2" t="s">
        <v>55</v>
      </c>
      <c r="L374" s="2" t="s">
        <v>19050</v>
      </c>
      <c r="M374" s="6" t="s">
        <v>19051</v>
      </c>
      <c r="N374" s="45" t="str">
        <f t="shared" si="296"/>
        <v>@msucometssb</v>
      </c>
      <c r="O374" s="45" t="str">
        <f t="shared" si="297"/>
        <v>Questionnaire</v>
      </c>
      <c r="P374" s="108" t="s">
        <v>19027</v>
      </c>
      <c r="Q374" s="60" t="s">
        <v>3564</v>
      </c>
      <c r="R374" s="48" t="s">
        <v>19028</v>
      </c>
      <c r="S374" s="60" t="s">
        <v>205</v>
      </c>
      <c r="T374" s="49" t="s">
        <v>74</v>
      </c>
      <c r="U374" s="48" t="s">
        <v>75</v>
      </c>
      <c r="V374" s="49"/>
      <c r="W374" s="65">
        <v>2.99</v>
      </c>
      <c r="X374" s="49" t="s">
        <v>19030</v>
      </c>
      <c r="Y374" s="49" t="s">
        <v>19031</v>
      </c>
      <c r="Z374" s="49" t="s">
        <v>449</v>
      </c>
      <c r="AA374" s="65">
        <v>0.55000000000000004</v>
      </c>
      <c r="AB374" s="48" t="s">
        <v>19032</v>
      </c>
      <c r="AC374" s="52" t="s">
        <v>19027</v>
      </c>
      <c r="AD374" s="53" t="str">
        <f t="shared" si="298"/>
        <v>Link</v>
      </c>
      <c r="AE374" s="42">
        <v>1108</v>
      </c>
      <c r="AF374" s="55"/>
      <c r="AG374" s="55"/>
      <c r="AH374" s="56">
        <v>200226</v>
      </c>
      <c r="AI374" s="55"/>
      <c r="AJ374" s="162"/>
    </row>
    <row r="375" spans="1:41" ht="13" x14ac:dyDescent="0.15">
      <c r="A375" s="7"/>
      <c r="B375" s="106" t="s">
        <v>3576</v>
      </c>
      <c r="C375" s="2" t="s">
        <v>15218</v>
      </c>
      <c r="D375" s="7"/>
      <c r="E375" s="37">
        <v>5</v>
      </c>
      <c r="F375" s="7"/>
      <c r="G375" s="7"/>
      <c r="H375" s="2" t="s">
        <v>19055</v>
      </c>
      <c r="I375" s="2" t="s">
        <v>904</v>
      </c>
      <c r="J375" s="2" t="s">
        <v>19057</v>
      </c>
      <c r="K375" s="2" t="s">
        <v>48</v>
      </c>
      <c r="L375" s="2" t="s">
        <v>19059</v>
      </c>
      <c r="M375" s="6" t="s">
        <v>19060</v>
      </c>
      <c r="N375" s="45" t="str">
        <f t="shared" ref="N375:N376" si="299">HYPERLINK("twitter.com/vcsusoftball","@vcsusoftball")</f>
        <v>@vcsusoftball</v>
      </c>
      <c r="O375" s="45" t="str">
        <f t="shared" ref="O375:O376" si="300">HYPERLINK("http://www.vcsuvikings.com/recruit-me","Questionnaire")</f>
        <v>Questionnaire</v>
      </c>
      <c r="P375" s="6" t="s">
        <v>19065</v>
      </c>
      <c r="Q375" s="60" t="s">
        <v>3564</v>
      </c>
      <c r="R375" s="48" t="s">
        <v>19066</v>
      </c>
      <c r="S375" s="60" t="s">
        <v>205</v>
      </c>
      <c r="T375" s="49" t="s">
        <v>74</v>
      </c>
      <c r="U375" s="48" t="s">
        <v>75</v>
      </c>
      <c r="V375" s="49"/>
      <c r="W375" s="65">
        <v>3.12</v>
      </c>
      <c r="X375" s="49" t="s">
        <v>3614</v>
      </c>
      <c r="Y375" s="49" t="s">
        <v>8894</v>
      </c>
      <c r="Z375" s="49" t="s">
        <v>841</v>
      </c>
      <c r="AA375" s="65">
        <v>0.98</v>
      </c>
      <c r="AB375" s="48" t="s">
        <v>19068</v>
      </c>
      <c r="AC375" s="84" t="s">
        <v>19065</v>
      </c>
      <c r="AD375" s="53" t="str">
        <f t="shared" ref="AD375:AD376" si="301">HYPERLINK("http://catalog.vcsu.edu/majors-programs/","Link")</f>
        <v>Link</v>
      </c>
      <c r="AE375" s="42">
        <v>1295</v>
      </c>
      <c r="AF375" s="55"/>
      <c r="AG375" s="55"/>
      <c r="AH375" s="56">
        <v>200572</v>
      </c>
      <c r="AI375" s="85" t="s">
        <v>2459</v>
      </c>
      <c r="AJ375" s="7"/>
      <c r="AK375" s="7"/>
      <c r="AL375" s="7"/>
      <c r="AM375" s="7"/>
      <c r="AN375" s="7"/>
      <c r="AO375" s="7"/>
    </row>
    <row r="376" spans="1:41" ht="13" x14ac:dyDescent="0.15">
      <c r="A376" s="7"/>
      <c r="B376" s="106" t="s">
        <v>3576</v>
      </c>
      <c r="C376" s="2" t="s">
        <v>15218</v>
      </c>
      <c r="D376" s="7"/>
      <c r="E376" s="37">
        <v>5</v>
      </c>
      <c r="F376" s="7"/>
      <c r="G376" s="7"/>
      <c r="H376" s="2" t="s">
        <v>19055</v>
      </c>
      <c r="I376" s="2" t="s">
        <v>19071</v>
      </c>
      <c r="J376" s="2" t="s">
        <v>19057</v>
      </c>
      <c r="K376" s="2" t="s">
        <v>55</v>
      </c>
      <c r="L376" s="2" t="s">
        <v>19072</v>
      </c>
      <c r="M376" s="6" t="s">
        <v>19060</v>
      </c>
      <c r="N376" s="45" t="str">
        <f t="shared" si="299"/>
        <v>@vcsusoftball</v>
      </c>
      <c r="O376" s="45" t="str">
        <f t="shared" si="300"/>
        <v>Questionnaire</v>
      </c>
      <c r="P376" s="6" t="s">
        <v>19065</v>
      </c>
      <c r="Q376" s="60" t="s">
        <v>3564</v>
      </c>
      <c r="R376" s="48" t="s">
        <v>19066</v>
      </c>
      <c r="S376" s="60" t="s">
        <v>205</v>
      </c>
      <c r="T376" s="49" t="s">
        <v>74</v>
      </c>
      <c r="U376" s="48" t="s">
        <v>75</v>
      </c>
      <c r="V376" s="49"/>
      <c r="W376" s="65">
        <v>3.12</v>
      </c>
      <c r="X376" s="49" t="s">
        <v>3614</v>
      </c>
      <c r="Y376" s="49" t="s">
        <v>8894</v>
      </c>
      <c r="Z376" s="49" t="s">
        <v>841</v>
      </c>
      <c r="AA376" s="65">
        <v>0.98</v>
      </c>
      <c r="AB376" s="48" t="s">
        <v>19068</v>
      </c>
      <c r="AC376" s="84" t="s">
        <v>19065</v>
      </c>
      <c r="AD376" s="53" t="str">
        <f t="shared" si="301"/>
        <v>Link</v>
      </c>
      <c r="AE376" s="42">
        <v>1295</v>
      </c>
      <c r="AF376" s="55"/>
      <c r="AG376" s="55"/>
      <c r="AH376" s="56">
        <v>200572</v>
      </c>
      <c r="AI376" s="85" t="s">
        <v>2459</v>
      </c>
      <c r="AJ376" s="7"/>
      <c r="AK376" s="7"/>
      <c r="AL376" s="7"/>
      <c r="AM376" s="7"/>
      <c r="AN376" s="7"/>
      <c r="AO376" s="7"/>
    </row>
    <row r="377" spans="1:41" ht="13" x14ac:dyDescent="0.15">
      <c r="A377" s="7"/>
      <c r="B377" s="106" t="s">
        <v>8359</v>
      </c>
      <c r="C377" s="2" t="s">
        <v>15218</v>
      </c>
      <c r="D377" s="7" t="s">
        <v>19074</v>
      </c>
      <c r="E377" s="37">
        <v>5</v>
      </c>
      <c r="F377" s="48"/>
      <c r="G377" s="48"/>
      <c r="H377" s="2" t="s">
        <v>19075</v>
      </c>
      <c r="I377" s="2" t="s">
        <v>19076</v>
      </c>
      <c r="J377" s="2" t="s">
        <v>3246</v>
      </c>
      <c r="K377" s="2" t="s">
        <v>48</v>
      </c>
      <c r="L377" s="2" t="s">
        <v>19079</v>
      </c>
      <c r="M377" s="6" t="s">
        <v>19080</v>
      </c>
      <c r="N377" s="45" t="str">
        <f>HYPERLINK("twitter.com/lourdessoftball","@lourdessoftball")</f>
        <v>@lourdessoftball</v>
      </c>
      <c r="O377" s="45" t="str">
        <f>HYPERLINK("https://lourdesathletics.com/sb_output.aspx?form=3","Questionnaire")</f>
        <v>Questionnaire</v>
      </c>
      <c r="P377" s="6" t="s">
        <v>19082</v>
      </c>
      <c r="Q377" s="60" t="s">
        <v>1814</v>
      </c>
      <c r="R377" s="48" t="s">
        <v>19083</v>
      </c>
      <c r="S377" s="48" t="s">
        <v>172</v>
      </c>
      <c r="T377" s="49" t="s">
        <v>63</v>
      </c>
      <c r="U377" s="6" t="s">
        <v>343</v>
      </c>
      <c r="V377" s="49"/>
      <c r="W377" s="65">
        <v>3.26</v>
      </c>
      <c r="X377" s="49" t="s">
        <v>7200</v>
      </c>
      <c r="Y377" s="49" t="s">
        <v>1029</v>
      </c>
      <c r="Z377" s="49" t="s">
        <v>841</v>
      </c>
      <c r="AA377" s="65">
        <v>0.89</v>
      </c>
      <c r="AB377" s="39">
        <v>34070</v>
      </c>
      <c r="AC377" s="84" t="s">
        <v>19082</v>
      </c>
      <c r="AD377" s="53" t="str">
        <f t="shared" ref="AD377:AD378" si="302">HYPERLINK("http://www.lourdes.edu/academics/undergraduate-majors-programs/","Link")</f>
        <v>Link</v>
      </c>
      <c r="AE377" s="42">
        <v>1125</v>
      </c>
      <c r="AF377" s="55"/>
      <c r="AG377" s="55"/>
      <c r="AH377" s="56">
        <v>203757</v>
      </c>
      <c r="AI377" s="55"/>
      <c r="AJ377" s="162"/>
    </row>
    <row r="378" spans="1:41" ht="13" x14ac:dyDescent="0.15">
      <c r="A378" s="7"/>
      <c r="B378" s="106" t="s">
        <v>8359</v>
      </c>
      <c r="C378" s="2" t="s">
        <v>15218</v>
      </c>
      <c r="D378" s="7" t="s">
        <v>19086</v>
      </c>
      <c r="E378" s="44">
        <v>5</v>
      </c>
      <c r="F378" s="48"/>
      <c r="G378" s="48"/>
      <c r="H378" s="2" t="s">
        <v>19075</v>
      </c>
      <c r="I378" s="7" t="s">
        <v>19088</v>
      </c>
      <c r="J378" s="7" t="s">
        <v>11910</v>
      </c>
      <c r="K378" s="7" t="s">
        <v>55</v>
      </c>
      <c r="L378" s="7" t="s">
        <v>19090</v>
      </c>
      <c r="M378" s="48" t="s">
        <v>19092</v>
      </c>
      <c r="N378" s="48"/>
      <c r="O378" s="48"/>
      <c r="P378" s="48" t="s">
        <v>19082</v>
      </c>
      <c r="Q378" s="60" t="s">
        <v>1814</v>
      </c>
      <c r="R378" s="48" t="s">
        <v>19083</v>
      </c>
      <c r="S378" s="49" t="s">
        <v>172</v>
      </c>
      <c r="T378" s="49" t="s">
        <v>63</v>
      </c>
      <c r="U378" s="6" t="s">
        <v>343</v>
      </c>
      <c r="V378" s="49"/>
      <c r="W378" s="61">
        <v>3.26</v>
      </c>
      <c r="X378" s="49" t="s">
        <v>7200</v>
      </c>
      <c r="Y378" s="49" t="s">
        <v>1029</v>
      </c>
      <c r="Z378" s="49" t="s">
        <v>841</v>
      </c>
      <c r="AA378" s="65">
        <v>0.89</v>
      </c>
      <c r="AB378" s="39">
        <v>34070</v>
      </c>
      <c r="AC378" s="84" t="s">
        <v>19082</v>
      </c>
      <c r="AD378" s="67" t="str">
        <f t="shared" si="302"/>
        <v>Link</v>
      </c>
      <c r="AE378" s="42">
        <v>1125</v>
      </c>
      <c r="AF378" s="55"/>
      <c r="AG378" s="55"/>
      <c r="AH378" s="56">
        <v>203757</v>
      </c>
      <c r="AI378" s="55"/>
      <c r="AJ378" s="162"/>
    </row>
    <row r="379" spans="1:41" ht="13" x14ac:dyDescent="0.15">
      <c r="A379" s="7"/>
      <c r="B379" s="106" t="s">
        <v>8359</v>
      </c>
      <c r="C379" s="2" t="s">
        <v>15218</v>
      </c>
      <c r="D379" s="7" t="s">
        <v>19096</v>
      </c>
      <c r="E379" s="37">
        <v>5</v>
      </c>
      <c r="F379" s="48"/>
      <c r="G379" s="48"/>
      <c r="H379" s="2" t="s">
        <v>19097</v>
      </c>
      <c r="I379" s="2" t="s">
        <v>19098</v>
      </c>
      <c r="J379" s="2" t="s">
        <v>19100</v>
      </c>
      <c r="K379" s="2" t="s">
        <v>48</v>
      </c>
      <c r="L379" s="2" t="s">
        <v>19101</v>
      </c>
      <c r="M379" s="6" t="s">
        <v>19102</v>
      </c>
      <c r="N379" s="45" t="str">
        <f t="shared" ref="N379:N382" si="303">HYPERLINK("twitter.com/mvnusoftball","@mvnusoftball")</f>
        <v>@mvnusoftball</v>
      </c>
      <c r="O379" s="45" t="str">
        <f t="shared" ref="O379:O382" si="304">HYPERLINK("https://apply.mvnu.edu/register/?id=b61baa40-d06e-4600-ab41-ddcfdcea1029","Questionnaire")</f>
        <v>Questionnaire</v>
      </c>
      <c r="P379" s="6" t="s">
        <v>19107</v>
      </c>
      <c r="Q379" s="60" t="s">
        <v>1814</v>
      </c>
      <c r="R379" s="48" t="s">
        <v>3115</v>
      </c>
      <c r="S379" s="48" t="s">
        <v>172</v>
      </c>
      <c r="T379" s="49" t="s">
        <v>63</v>
      </c>
      <c r="U379" s="6" t="s">
        <v>4316</v>
      </c>
      <c r="V379" s="49"/>
      <c r="W379" s="65">
        <v>3.5</v>
      </c>
      <c r="X379" s="49" t="s">
        <v>4408</v>
      </c>
      <c r="Y379" s="49" t="s">
        <v>276</v>
      </c>
      <c r="Z379" s="49" t="s">
        <v>1994</v>
      </c>
      <c r="AA379" s="65">
        <v>0.74</v>
      </c>
      <c r="AB379" s="39">
        <v>39166</v>
      </c>
      <c r="AC379" s="84" t="s">
        <v>19107</v>
      </c>
      <c r="AD379" s="53" t="str">
        <f t="shared" ref="AD379:AD382" si="305">HYPERLINK("https://www.mvnu.edu/academicprograms","Link")</f>
        <v>Link</v>
      </c>
      <c r="AE379" s="42">
        <v>1831</v>
      </c>
      <c r="AF379" s="55"/>
      <c r="AG379" s="55"/>
      <c r="AH379" s="56">
        <v>204194</v>
      </c>
      <c r="AI379" s="55"/>
      <c r="AJ379" s="162"/>
    </row>
    <row r="380" spans="1:41" ht="13" x14ac:dyDescent="0.15">
      <c r="A380" s="7"/>
      <c r="B380" s="106" t="s">
        <v>8359</v>
      </c>
      <c r="C380" s="2" t="s">
        <v>15218</v>
      </c>
      <c r="D380" s="7" t="s">
        <v>19111</v>
      </c>
      <c r="E380" s="37">
        <v>5</v>
      </c>
      <c r="F380" s="48"/>
      <c r="G380" s="48"/>
      <c r="H380" s="2" t="s">
        <v>19097</v>
      </c>
      <c r="I380" s="2" t="s">
        <v>19112</v>
      </c>
      <c r="J380" s="2" t="s">
        <v>13931</v>
      </c>
      <c r="K380" s="2" t="s">
        <v>55</v>
      </c>
      <c r="L380" s="2"/>
      <c r="M380" s="6" t="s">
        <v>19102</v>
      </c>
      <c r="N380" s="45" t="str">
        <f t="shared" si="303"/>
        <v>@mvnusoftball</v>
      </c>
      <c r="O380" s="45" t="str">
        <f t="shared" si="304"/>
        <v>Questionnaire</v>
      </c>
      <c r="P380" s="6" t="s">
        <v>19107</v>
      </c>
      <c r="Q380" s="60" t="s">
        <v>1814</v>
      </c>
      <c r="R380" s="48" t="s">
        <v>3115</v>
      </c>
      <c r="S380" s="48" t="s">
        <v>172</v>
      </c>
      <c r="T380" s="49" t="s">
        <v>63</v>
      </c>
      <c r="U380" s="6" t="s">
        <v>4316</v>
      </c>
      <c r="V380" s="49"/>
      <c r="W380" s="65">
        <v>3.5</v>
      </c>
      <c r="X380" s="49" t="s">
        <v>4408</v>
      </c>
      <c r="Y380" s="49" t="s">
        <v>276</v>
      </c>
      <c r="Z380" s="49" t="s">
        <v>1994</v>
      </c>
      <c r="AA380" s="65">
        <v>0.74</v>
      </c>
      <c r="AB380" s="39">
        <v>39166</v>
      </c>
      <c r="AC380" s="84" t="s">
        <v>19107</v>
      </c>
      <c r="AD380" s="53" t="str">
        <f t="shared" si="305"/>
        <v>Link</v>
      </c>
      <c r="AE380" s="42">
        <v>1831</v>
      </c>
      <c r="AF380" s="55"/>
      <c r="AG380" s="55"/>
      <c r="AH380" s="56">
        <v>204194</v>
      </c>
      <c r="AI380" s="55"/>
      <c r="AJ380" s="162"/>
    </row>
    <row r="381" spans="1:41" ht="13" x14ac:dyDescent="0.15">
      <c r="A381" s="7"/>
      <c r="B381" s="106" t="s">
        <v>8359</v>
      </c>
      <c r="C381" s="2" t="s">
        <v>15218</v>
      </c>
      <c r="D381" s="7" t="s">
        <v>19116</v>
      </c>
      <c r="E381" s="37">
        <v>5</v>
      </c>
      <c r="F381" s="48"/>
      <c r="G381" s="48"/>
      <c r="H381" s="2" t="s">
        <v>19097</v>
      </c>
      <c r="I381" s="2" t="s">
        <v>904</v>
      </c>
      <c r="J381" s="2" t="s">
        <v>11183</v>
      </c>
      <c r="K381" s="2" t="s">
        <v>55</v>
      </c>
      <c r="L381" s="2"/>
      <c r="M381" s="6"/>
      <c r="N381" s="45" t="str">
        <f t="shared" si="303"/>
        <v>@mvnusoftball</v>
      </c>
      <c r="O381" s="45" t="str">
        <f t="shared" si="304"/>
        <v>Questionnaire</v>
      </c>
      <c r="P381" s="6" t="s">
        <v>19107</v>
      </c>
      <c r="Q381" s="60" t="s">
        <v>1814</v>
      </c>
      <c r="R381" s="48" t="s">
        <v>3115</v>
      </c>
      <c r="S381" s="48" t="s">
        <v>172</v>
      </c>
      <c r="T381" s="49" t="s">
        <v>63</v>
      </c>
      <c r="U381" s="6" t="s">
        <v>4316</v>
      </c>
      <c r="V381" s="49"/>
      <c r="W381" s="65">
        <v>3.5</v>
      </c>
      <c r="X381" s="49" t="s">
        <v>4408</v>
      </c>
      <c r="Y381" s="49" t="s">
        <v>276</v>
      </c>
      <c r="Z381" s="49" t="s">
        <v>1994</v>
      </c>
      <c r="AA381" s="65">
        <v>0.74</v>
      </c>
      <c r="AB381" s="39">
        <v>39166</v>
      </c>
      <c r="AC381" s="84" t="s">
        <v>19107</v>
      </c>
      <c r="AD381" s="53" t="str">
        <f t="shared" si="305"/>
        <v>Link</v>
      </c>
      <c r="AE381" s="42">
        <v>1831</v>
      </c>
      <c r="AF381" s="55"/>
      <c r="AG381" s="55"/>
      <c r="AH381" s="56">
        <v>204194</v>
      </c>
      <c r="AI381" s="55"/>
      <c r="AJ381" s="162"/>
    </row>
    <row r="382" spans="1:41" ht="13" x14ac:dyDescent="0.15">
      <c r="A382" s="7"/>
      <c r="B382" s="106" t="s">
        <v>8359</v>
      </c>
      <c r="C382" s="2" t="s">
        <v>15218</v>
      </c>
      <c r="D382" s="7" t="s">
        <v>19119</v>
      </c>
      <c r="E382" s="37">
        <v>5</v>
      </c>
      <c r="F382" s="48"/>
      <c r="G382" s="48"/>
      <c r="H382" s="2" t="s">
        <v>19097</v>
      </c>
      <c r="I382" s="2" t="s">
        <v>1351</v>
      </c>
      <c r="J382" s="2" t="s">
        <v>2574</v>
      </c>
      <c r="K382" s="2" t="s">
        <v>55</v>
      </c>
      <c r="L382" s="2" t="s">
        <v>19120</v>
      </c>
      <c r="M382" s="6"/>
      <c r="N382" s="45" t="str">
        <f t="shared" si="303"/>
        <v>@mvnusoftball</v>
      </c>
      <c r="O382" s="45" t="str">
        <f t="shared" si="304"/>
        <v>Questionnaire</v>
      </c>
      <c r="P382" s="6" t="s">
        <v>19107</v>
      </c>
      <c r="Q382" s="60" t="s">
        <v>1814</v>
      </c>
      <c r="R382" s="48" t="s">
        <v>3115</v>
      </c>
      <c r="S382" s="48" t="s">
        <v>172</v>
      </c>
      <c r="T382" s="49" t="s">
        <v>63</v>
      </c>
      <c r="U382" s="6" t="s">
        <v>4316</v>
      </c>
      <c r="V382" s="49"/>
      <c r="W382" s="65">
        <v>3.5</v>
      </c>
      <c r="X382" s="49" t="s">
        <v>4408</v>
      </c>
      <c r="Y382" s="49" t="s">
        <v>276</v>
      </c>
      <c r="Z382" s="49" t="s">
        <v>1994</v>
      </c>
      <c r="AA382" s="65">
        <v>0.74</v>
      </c>
      <c r="AB382" s="39">
        <v>39166</v>
      </c>
      <c r="AC382" s="84" t="s">
        <v>19107</v>
      </c>
      <c r="AD382" s="53" t="str">
        <f t="shared" si="305"/>
        <v>Link</v>
      </c>
      <c r="AE382" s="42">
        <v>1831</v>
      </c>
      <c r="AF382" s="55"/>
      <c r="AG382" s="55"/>
      <c r="AH382" s="56">
        <v>204194</v>
      </c>
      <c r="AI382" s="55"/>
      <c r="AJ382" s="162"/>
    </row>
    <row r="383" spans="1:41" ht="13" x14ac:dyDescent="0.15">
      <c r="A383" s="7" t="s">
        <v>17020</v>
      </c>
      <c r="B383" s="106" t="s">
        <v>8359</v>
      </c>
      <c r="C383" s="2" t="s">
        <v>15218</v>
      </c>
      <c r="D383" s="7" t="s">
        <v>19123</v>
      </c>
      <c r="E383" s="37">
        <v>5</v>
      </c>
      <c r="F383" s="48"/>
      <c r="G383" s="48"/>
      <c r="H383" s="2" t="s">
        <v>19124</v>
      </c>
      <c r="I383" s="2" t="s">
        <v>4275</v>
      </c>
      <c r="J383" s="2" t="s">
        <v>7652</v>
      </c>
      <c r="K383" s="2" t="s">
        <v>48</v>
      </c>
      <c r="L383" s="2" t="s">
        <v>19125</v>
      </c>
      <c r="M383" s="6" t="s">
        <v>19126</v>
      </c>
      <c r="N383" s="45" t="str">
        <f t="shared" ref="N383:N385" si="306">HYPERLINK("twitter.com/unohsoftball","@unohsoftball")</f>
        <v>@unohsoftball</v>
      </c>
      <c r="O383" s="45" t="str">
        <f t="shared" ref="O383:O385" si="307">HYPERLINK("http://www.unohracers.com/SIDHelp.php?action=form&amp;parameters=12","Questionnaire")</f>
        <v>Questionnaire</v>
      </c>
      <c r="P383" s="6" t="s">
        <v>19131</v>
      </c>
      <c r="Q383" s="60" t="s">
        <v>1814</v>
      </c>
      <c r="R383" s="48" t="s">
        <v>19132</v>
      </c>
      <c r="S383" s="48" t="s">
        <v>468</v>
      </c>
      <c r="T383" s="49" t="s">
        <v>63</v>
      </c>
      <c r="U383" s="48" t="s">
        <v>75</v>
      </c>
      <c r="V383" s="49"/>
      <c r="W383" s="65">
        <v>3.6</v>
      </c>
      <c r="X383" s="49" t="s">
        <v>214</v>
      </c>
      <c r="Y383" s="49" t="s">
        <v>214</v>
      </c>
      <c r="Z383" s="49" t="s">
        <v>214</v>
      </c>
      <c r="AA383" s="55" t="s">
        <v>214</v>
      </c>
      <c r="AB383" s="39">
        <v>22890</v>
      </c>
      <c r="AC383" s="84" t="s">
        <v>19131</v>
      </c>
      <c r="AD383" s="53" t="str">
        <f t="shared" ref="AD383:AD385" si="308">HYPERLINK("https://www.unoh.edu/future-students/degrees-offered.html","Link")</f>
        <v>Link</v>
      </c>
      <c r="AE383" s="42">
        <v>3709</v>
      </c>
      <c r="AF383" s="55"/>
      <c r="AG383" s="55"/>
      <c r="AH383" s="56">
        <v>204486</v>
      </c>
      <c r="AI383" s="55"/>
      <c r="AJ383" s="162"/>
    </row>
    <row r="384" spans="1:41" ht="13" x14ac:dyDescent="0.15">
      <c r="A384" s="7"/>
      <c r="B384" s="106" t="s">
        <v>8359</v>
      </c>
      <c r="C384" s="2" t="s">
        <v>15218</v>
      </c>
      <c r="D384" s="7" t="s">
        <v>19135</v>
      </c>
      <c r="E384" s="37">
        <v>5</v>
      </c>
      <c r="F384" s="48"/>
      <c r="G384" s="48"/>
      <c r="H384" s="2" t="s">
        <v>19124</v>
      </c>
      <c r="I384" s="2" t="s">
        <v>930</v>
      </c>
      <c r="J384" s="2" t="s">
        <v>11424</v>
      </c>
      <c r="K384" s="2" t="s">
        <v>55</v>
      </c>
      <c r="L384" s="2" t="s">
        <v>19138</v>
      </c>
      <c r="M384" s="6" t="s">
        <v>19140</v>
      </c>
      <c r="N384" s="45" t="str">
        <f t="shared" si="306"/>
        <v>@unohsoftball</v>
      </c>
      <c r="O384" s="45" t="str">
        <f t="shared" si="307"/>
        <v>Questionnaire</v>
      </c>
      <c r="P384" s="6" t="s">
        <v>19131</v>
      </c>
      <c r="Q384" s="60" t="s">
        <v>1814</v>
      </c>
      <c r="R384" s="48" t="s">
        <v>19132</v>
      </c>
      <c r="S384" s="48" t="s">
        <v>468</v>
      </c>
      <c r="T384" s="49" t="s">
        <v>63</v>
      </c>
      <c r="U384" s="48" t="s">
        <v>75</v>
      </c>
      <c r="V384" s="49"/>
      <c r="W384" s="65">
        <v>3.6</v>
      </c>
      <c r="X384" s="49" t="s">
        <v>214</v>
      </c>
      <c r="Y384" s="49" t="s">
        <v>214</v>
      </c>
      <c r="Z384" s="49" t="s">
        <v>214</v>
      </c>
      <c r="AA384" s="55" t="s">
        <v>214</v>
      </c>
      <c r="AB384" s="39">
        <v>22890</v>
      </c>
      <c r="AC384" s="84" t="s">
        <v>19131</v>
      </c>
      <c r="AD384" s="53" t="str">
        <f t="shared" si="308"/>
        <v>Link</v>
      </c>
      <c r="AE384" s="42">
        <v>3709</v>
      </c>
      <c r="AF384" s="55"/>
      <c r="AG384" s="55"/>
      <c r="AH384" s="56">
        <v>204486</v>
      </c>
      <c r="AI384" s="55"/>
      <c r="AJ384" s="162"/>
    </row>
    <row r="385" spans="1:41" ht="13" x14ac:dyDescent="0.15">
      <c r="A385" s="7"/>
      <c r="B385" s="106" t="s">
        <v>8359</v>
      </c>
      <c r="C385" s="2" t="s">
        <v>15218</v>
      </c>
      <c r="D385" s="7" t="s">
        <v>19142</v>
      </c>
      <c r="E385" s="37">
        <v>5</v>
      </c>
      <c r="F385" s="48"/>
      <c r="G385" s="48"/>
      <c r="H385" s="2" t="s">
        <v>19124</v>
      </c>
      <c r="I385" s="2" t="s">
        <v>484</v>
      </c>
      <c r="J385" s="2" t="s">
        <v>19145</v>
      </c>
      <c r="K385" s="2" t="s">
        <v>55</v>
      </c>
      <c r="L385" s="2" t="s">
        <v>19147</v>
      </c>
      <c r="M385" s="6"/>
      <c r="N385" s="45" t="str">
        <f t="shared" si="306"/>
        <v>@unohsoftball</v>
      </c>
      <c r="O385" s="45" t="str">
        <f t="shared" si="307"/>
        <v>Questionnaire</v>
      </c>
      <c r="P385" s="6" t="s">
        <v>19131</v>
      </c>
      <c r="Q385" s="60" t="s">
        <v>1814</v>
      </c>
      <c r="R385" s="48" t="s">
        <v>19132</v>
      </c>
      <c r="S385" s="48" t="s">
        <v>468</v>
      </c>
      <c r="T385" s="49" t="s">
        <v>63</v>
      </c>
      <c r="U385" s="48" t="s">
        <v>75</v>
      </c>
      <c r="V385" s="49"/>
      <c r="W385" s="65">
        <v>3.6</v>
      </c>
      <c r="X385" s="49" t="s">
        <v>214</v>
      </c>
      <c r="Y385" s="49" t="s">
        <v>214</v>
      </c>
      <c r="Z385" s="49" t="s">
        <v>214</v>
      </c>
      <c r="AA385" s="55" t="s">
        <v>214</v>
      </c>
      <c r="AB385" s="39">
        <v>22890</v>
      </c>
      <c r="AC385" s="84" t="s">
        <v>19131</v>
      </c>
      <c r="AD385" s="53" t="str">
        <f t="shared" si="308"/>
        <v>Link</v>
      </c>
      <c r="AE385" s="42">
        <v>3709</v>
      </c>
      <c r="AF385" s="55"/>
      <c r="AG385" s="55"/>
      <c r="AH385" s="56">
        <v>204486</v>
      </c>
      <c r="AI385" s="55"/>
      <c r="AJ385" s="162"/>
    </row>
    <row r="386" spans="1:41" ht="15" x14ac:dyDescent="0.2">
      <c r="A386" s="7"/>
      <c r="B386" s="163" t="s">
        <v>8359</v>
      </c>
      <c r="C386" s="2" t="s">
        <v>15218</v>
      </c>
      <c r="D386" s="7"/>
      <c r="E386" s="37">
        <v>5</v>
      </c>
      <c r="F386" s="7"/>
      <c r="G386" s="7"/>
      <c r="H386" s="2" t="s">
        <v>19157</v>
      </c>
      <c r="I386" s="2" t="s">
        <v>2829</v>
      </c>
      <c r="J386" s="2" t="s">
        <v>19158</v>
      </c>
      <c r="K386" s="2" t="s">
        <v>48</v>
      </c>
      <c r="L386" s="2" t="s">
        <v>19159</v>
      </c>
      <c r="M386" s="6" t="s">
        <v>19160</v>
      </c>
      <c r="N386" s="48"/>
      <c r="O386" s="114" t="s">
        <v>22</v>
      </c>
      <c r="P386" s="48" t="s">
        <v>19161</v>
      </c>
      <c r="Q386" s="47" t="s">
        <v>1814</v>
      </c>
      <c r="R386" s="48" t="s">
        <v>19162</v>
      </c>
      <c r="S386" s="60" t="s">
        <v>172</v>
      </c>
      <c r="T386" s="49" t="s">
        <v>63</v>
      </c>
      <c r="U386" s="7" t="s">
        <v>7065</v>
      </c>
      <c r="V386" s="49"/>
      <c r="W386" s="61">
        <v>3.11</v>
      </c>
      <c r="X386" s="49" t="s">
        <v>19163</v>
      </c>
      <c r="Y386" s="49" t="s">
        <v>19163</v>
      </c>
      <c r="Z386" s="55" t="s">
        <v>1948</v>
      </c>
      <c r="AA386" s="80">
        <v>0.65</v>
      </c>
      <c r="AB386" s="71">
        <v>34138</v>
      </c>
      <c r="AC386" s="62" t="s">
        <v>19161</v>
      </c>
      <c r="AD386" s="53" t="s">
        <v>16902</v>
      </c>
      <c r="AE386" s="54">
        <v>4213</v>
      </c>
      <c r="AF386" s="55"/>
      <c r="AG386" s="55"/>
      <c r="AH386" s="56">
        <v>201964</v>
      </c>
      <c r="AI386" s="85" t="s">
        <v>2459</v>
      </c>
      <c r="AJ386" s="7"/>
      <c r="AK386" s="7"/>
      <c r="AL386" s="7"/>
      <c r="AM386" s="7"/>
      <c r="AN386" s="7"/>
      <c r="AO386" s="7"/>
    </row>
    <row r="387" spans="1:41" ht="13" x14ac:dyDescent="0.15">
      <c r="A387" s="7"/>
      <c r="B387" s="106" t="s">
        <v>8359</v>
      </c>
      <c r="C387" s="2" t="s">
        <v>15218</v>
      </c>
      <c r="D387" s="7" t="s">
        <v>19167</v>
      </c>
      <c r="E387" s="37">
        <v>5</v>
      </c>
      <c r="F387" s="48"/>
      <c r="G387" s="48"/>
      <c r="H387" s="2" t="s">
        <v>19168</v>
      </c>
      <c r="I387" s="2" t="s">
        <v>1492</v>
      </c>
      <c r="J387" s="2" t="s">
        <v>4529</v>
      </c>
      <c r="K387" s="2" t="s">
        <v>48</v>
      </c>
      <c r="L387" s="2" t="s">
        <v>19169</v>
      </c>
      <c r="M387" s="6" t="s">
        <v>19170</v>
      </c>
      <c r="N387" s="45" t="str">
        <f t="shared" ref="N387:N388" si="309">HYPERLINK("twitter.com/urgsoftball","@urgsoftball")</f>
        <v>@urgsoftball</v>
      </c>
      <c r="O387" s="45" t="str">
        <f t="shared" ref="O387:O388" si="310">HYPERLINK("http://www.rioredstorm.com/recruiting.php","Questionnaire")</f>
        <v>Questionnaire</v>
      </c>
      <c r="P387" s="6" t="s">
        <v>19176</v>
      </c>
      <c r="Q387" s="60" t="s">
        <v>1814</v>
      </c>
      <c r="R387" s="48" t="s">
        <v>19176</v>
      </c>
      <c r="S387" s="60" t="s">
        <v>205</v>
      </c>
      <c r="T387" s="49" t="s">
        <v>63</v>
      </c>
      <c r="U387" s="48" t="s">
        <v>75</v>
      </c>
      <c r="V387" s="49"/>
      <c r="W387" s="65">
        <v>3.06</v>
      </c>
      <c r="X387" s="49" t="s">
        <v>214</v>
      </c>
      <c r="Y387" s="49" t="s">
        <v>214</v>
      </c>
      <c r="Z387" s="49" t="s">
        <v>1948</v>
      </c>
      <c r="AA387" s="65">
        <v>0.69</v>
      </c>
      <c r="AB387" s="39">
        <v>39208</v>
      </c>
      <c r="AC387" s="84" t="s">
        <v>19176</v>
      </c>
      <c r="AD387" s="53" t="str">
        <f t="shared" ref="AD387:AD388" si="311">HYPERLINK("http://www.rio.edu/programs/index.cfm","Link")</f>
        <v>Link</v>
      </c>
      <c r="AE387" s="42">
        <v>1848</v>
      </c>
      <c r="AF387" s="55"/>
      <c r="AG387" s="55"/>
      <c r="AH387" s="56">
        <v>205203</v>
      </c>
      <c r="AI387" s="55"/>
      <c r="AJ387" s="162"/>
    </row>
    <row r="388" spans="1:41" ht="13" x14ac:dyDescent="0.15">
      <c r="A388" s="7"/>
      <c r="B388" s="106" t="s">
        <v>8359</v>
      </c>
      <c r="C388" s="2" t="s">
        <v>15218</v>
      </c>
      <c r="D388" s="7" t="s">
        <v>19179</v>
      </c>
      <c r="E388" s="37">
        <v>5</v>
      </c>
      <c r="F388" s="48"/>
      <c r="G388" s="48"/>
      <c r="H388" s="2" t="s">
        <v>19168</v>
      </c>
      <c r="I388" s="2" t="s">
        <v>19180</v>
      </c>
      <c r="J388" s="2" t="s">
        <v>19181</v>
      </c>
      <c r="K388" s="2" t="s">
        <v>55</v>
      </c>
      <c r="L388" s="2" t="s">
        <v>19182</v>
      </c>
      <c r="M388" s="6" t="s">
        <v>19170</v>
      </c>
      <c r="N388" s="45" t="str">
        <f t="shared" si="309"/>
        <v>@urgsoftball</v>
      </c>
      <c r="O388" s="45" t="str">
        <f t="shared" si="310"/>
        <v>Questionnaire</v>
      </c>
      <c r="P388" s="6" t="s">
        <v>19176</v>
      </c>
      <c r="Q388" s="60" t="s">
        <v>1814</v>
      </c>
      <c r="R388" s="48" t="s">
        <v>19176</v>
      </c>
      <c r="S388" s="60" t="s">
        <v>205</v>
      </c>
      <c r="T388" s="49" t="s">
        <v>63</v>
      </c>
      <c r="U388" s="48" t="s">
        <v>75</v>
      </c>
      <c r="V388" s="49"/>
      <c r="W388" s="65">
        <v>3.06</v>
      </c>
      <c r="X388" s="49" t="s">
        <v>214</v>
      </c>
      <c r="Y388" s="49" t="s">
        <v>214</v>
      </c>
      <c r="Z388" s="49" t="s">
        <v>1948</v>
      </c>
      <c r="AA388" s="65">
        <v>0.69</v>
      </c>
      <c r="AB388" s="39">
        <v>39208</v>
      </c>
      <c r="AC388" s="84" t="s">
        <v>19176</v>
      </c>
      <c r="AD388" s="53" t="str">
        <f t="shared" si="311"/>
        <v>Link</v>
      </c>
      <c r="AE388" s="42">
        <v>1848</v>
      </c>
      <c r="AF388" s="55"/>
      <c r="AG388" s="55"/>
      <c r="AH388" s="56">
        <v>205203</v>
      </c>
      <c r="AI388" s="55"/>
      <c r="AJ388" s="162"/>
    </row>
    <row r="389" spans="1:41" ht="13" x14ac:dyDescent="0.15">
      <c r="A389" s="7"/>
      <c r="B389" s="31" t="s">
        <v>8359</v>
      </c>
      <c r="C389" s="2" t="s">
        <v>15218</v>
      </c>
      <c r="D389" s="7" t="s">
        <v>19185</v>
      </c>
      <c r="E389" s="37">
        <v>5</v>
      </c>
      <c r="F389" s="48"/>
      <c r="G389" s="48"/>
      <c r="H389" s="2" t="s">
        <v>19187</v>
      </c>
      <c r="I389" s="2" t="s">
        <v>363</v>
      </c>
      <c r="J389" s="2" t="s">
        <v>19188</v>
      </c>
      <c r="K389" s="2" t="s">
        <v>48</v>
      </c>
      <c r="L389" s="2" t="s">
        <v>19189</v>
      </c>
      <c r="M389" s="6" t="s">
        <v>19190</v>
      </c>
      <c r="N389" s="45" t="str">
        <f t="shared" ref="N389:N394" si="312">HYPERLINK("twitter.com/@shawneestatesb","@shawneestatesb")</f>
        <v>@shawneestatesb</v>
      </c>
      <c r="O389" s="45" t="str">
        <f t="shared" ref="O389:O395" si="313">HYPERLINK("http://www.shawnee.edu/recruit/","Questionnaire")</f>
        <v>Questionnaire</v>
      </c>
      <c r="P389" s="6" t="s">
        <v>19194</v>
      </c>
      <c r="Q389" s="60" t="s">
        <v>1814</v>
      </c>
      <c r="R389" s="48" t="s">
        <v>19196</v>
      </c>
      <c r="S389" s="48" t="s">
        <v>172</v>
      </c>
      <c r="T389" s="49" t="s">
        <v>74</v>
      </c>
      <c r="U389" s="48" t="s">
        <v>75</v>
      </c>
      <c r="V389" s="49"/>
      <c r="W389" s="65">
        <v>3.14</v>
      </c>
      <c r="X389" s="49" t="s">
        <v>214</v>
      </c>
      <c r="Y389" s="49" t="s">
        <v>214</v>
      </c>
      <c r="Z389" s="49" t="s">
        <v>841</v>
      </c>
      <c r="AA389" s="65">
        <v>0.74</v>
      </c>
      <c r="AB389" s="48" t="s">
        <v>19200</v>
      </c>
      <c r="AC389" s="84" t="s">
        <v>19194</v>
      </c>
      <c r="AD389" s="53" t="str">
        <f t="shared" ref="AD389:AD395" si="314">HYPERLINK("http://www.shawnee.edu/academics/","Link")</f>
        <v>Link</v>
      </c>
      <c r="AE389" s="42">
        <v>3621</v>
      </c>
      <c r="AF389" s="55"/>
      <c r="AG389" s="55"/>
      <c r="AH389" s="56">
        <v>205443</v>
      </c>
      <c r="AI389" s="55"/>
      <c r="AJ389" s="162"/>
    </row>
    <row r="390" spans="1:41" ht="13" x14ac:dyDescent="0.15">
      <c r="A390" s="7"/>
      <c r="B390" s="31" t="s">
        <v>8359</v>
      </c>
      <c r="C390" s="2" t="s">
        <v>15218</v>
      </c>
      <c r="D390" s="7" t="s">
        <v>19202</v>
      </c>
      <c r="E390" s="37">
        <v>5</v>
      </c>
      <c r="F390" s="48"/>
      <c r="G390" s="48"/>
      <c r="H390" s="2" t="s">
        <v>19187</v>
      </c>
      <c r="I390" s="2" t="s">
        <v>6840</v>
      </c>
      <c r="J390" s="2" t="s">
        <v>19203</v>
      </c>
      <c r="K390" s="2" t="s">
        <v>55</v>
      </c>
      <c r="L390" s="2"/>
      <c r="M390" s="6"/>
      <c r="N390" s="45" t="str">
        <f t="shared" si="312"/>
        <v>@shawneestatesb</v>
      </c>
      <c r="O390" s="45" t="str">
        <f t="shared" si="313"/>
        <v>Questionnaire</v>
      </c>
      <c r="P390" s="6" t="s">
        <v>19194</v>
      </c>
      <c r="Q390" s="60" t="s">
        <v>1814</v>
      </c>
      <c r="R390" s="48" t="s">
        <v>19196</v>
      </c>
      <c r="S390" s="48" t="s">
        <v>172</v>
      </c>
      <c r="T390" s="49" t="s">
        <v>74</v>
      </c>
      <c r="U390" s="48" t="s">
        <v>75</v>
      </c>
      <c r="V390" s="49"/>
      <c r="W390" s="65">
        <v>3.14</v>
      </c>
      <c r="X390" s="49" t="s">
        <v>214</v>
      </c>
      <c r="Y390" s="49" t="s">
        <v>214</v>
      </c>
      <c r="Z390" s="49" t="s">
        <v>841</v>
      </c>
      <c r="AA390" s="65">
        <v>0.74</v>
      </c>
      <c r="AB390" s="48" t="s">
        <v>19200</v>
      </c>
      <c r="AC390" s="84" t="s">
        <v>19194</v>
      </c>
      <c r="AD390" s="53" t="str">
        <f t="shared" si="314"/>
        <v>Link</v>
      </c>
      <c r="AE390" s="42">
        <v>3621</v>
      </c>
      <c r="AF390" s="55"/>
      <c r="AG390" s="55"/>
      <c r="AH390" s="56">
        <v>205443</v>
      </c>
      <c r="AI390" s="55"/>
      <c r="AJ390" s="162"/>
    </row>
    <row r="391" spans="1:41" ht="13" x14ac:dyDescent="0.15">
      <c r="A391" s="7"/>
      <c r="B391" s="106" t="s">
        <v>8359</v>
      </c>
      <c r="C391" s="2" t="s">
        <v>15218</v>
      </c>
      <c r="D391" s="7" t="s">
        <v>19206</v>
      </c>
      <c r="E391" s="37">
        <v>5</v>
      </c>
      <c r="F391" s="48"/>
      <c r="G391" s="48"/>
      <c r="H391" s="2" t="s">
        <v>19187</v>
      </c>
      <c r="I391" s="2" t="s">
        <v>981</v>
      </c>
      <c r="J391" s="2" t="s">
        <v>6154</v>
      </c>
      <c r="K391" s="2" t="s">
        <v>55</v>
      </c>
      <c r="L391" s="2"/>
      <c r="M391" s="6"/>
      <c r="N391" s="45" t="str">
        <f t="shared" si="312"/>
        <v>@shawneestatesb</v>
      </c>
      <c r="O391" s="45" t="str">
        <f t="shared" si="313"/>
        <v>Questionnaire</v>
      </c>
      <c r="P391" s="6" t="s">
        <v>19194</v>
      </c>
      <c r="Q391" s="60" t="s">
        <v>1814</v>
      </c>
      <c r="R391" s="48" t="s">
        <v>19196</v>
      </c>
      <c r="S391" s="48" t="s">
        <v>172</v>
      </c>
      <c r="T391" s="49" t="s">
        <v>74</v>
      </c>
      <c r="U391" s="48" t="s">
        <v>75</v>
      </c>
      <c r="V391" s="49"/>
      <c r="W391" s="65">
        <v>3.14</v>
      </c>
      <c r="X391" s="49" t="s">
        <v>214</v>
      </c>
      <c r="Y391" s="49" t="s">
        <v>214</v>
      </c>
      <c r="Z391" s="49" t="s">
        <v>841</v>
      </c>
      <c r="AA391" s="65">
        <v>0.74</v>
      </c>
      <c r="AB391" s="48" t="s">
        <v>19200</v>
      </c>
      <c r="AC391" s="84" t="s">
        <v>19194</v>
      </c>
      <c r="AD391" s="53" t="str">
        <f t="shared" si="314"/>
        <v>Link</v>
      </c>
      <c r="AE391" s="42">
        <v>3621</v>
      </c>
      <c r="AF391" s="55"/>
      <c r="AG391" s="55"/>
      <c r="AH391" s="56">
        <v>205443</v>
      </c>
      <c r="AI391" s="55"/>
      <c r="AJ391" s="162"/>
    </row>
    <row r="392" spans="1:41" ht="13" x14ac:dyDescent="0.15">
      <c r="A392" s="7"/>
      <c r="B392" s="106" t="s">
        <v>8359</v>
      </c>
      <c r="C392" s="2" t="s">
        <v>15218</v>
      </c>
      <c r="D392" s="7" t="s">
        <v>19210</v>
      </c>
      <c r="E392" s="37">
        <v>5</v>
      </c>
      <c r="F392" s="48"/>
      <c r="G392" s="48"/>
      <c r="H392" s="2" t="s">
        <v>19187</v>
      </c>
      <c r="I392" s="2" t="s">
        <v>3173</v>
      </c>
      <c r="J392" s="2" t="s">
        <v>196</v>
      </c>
      <c r="K392" s="2" t="s">
        <v>55</v>
      </c>
      <c r="L392" s="2"/>
      <c r="M392" s="6"/>
      <c r="N392" s="45" t="str">
        <f t="shared" si="312"/>
        <v>@shawneestatesb</v>
      </c>
      <c r="O392" s="45" t="str">
        <f t="shared" si="313"/>
        <v>Questionnaire</v>
      </c>
      <c r="P392" s="6" t="s">
        <v>19194</v>
      </c>
      <c r="Q392" s="60" t="s">
        <v>1814</v>
      </c>
      <c r="R392" s="48" t="s">
        <v>19196</v>
      </c>
      <c r="S392" s="48" t="s">
        <v>172</v>
      </c>
      <c r="T392" s="49" t="s">
        <v>74</v>
      </c>
      <c r="U392" s="48" t="s">
        <v>75</v>
      </c>
      <c r="V392" s="49"/>
      <c r="W392" s="65">
        <v>3.14</v>
      </c>
      <c r="X392" s="49" t="s">
        <v>214</v>
      </c>
      <c r="Y392" s="49" t="s">
        <v>214</v>
      </c>
      <c r="Z392" s="49" t="s">
        <v>841</v>
      </c>
      <c r="AA392" s="65">
        <v>0.74</v>
      </c>
      <c r="AB392" s="48" t="s">
        <v>19200</v>
      </c>
      <c r="AC392" s="84" t="s">
        <v>19194</v>
      </c>
      <c r="AD392" s="53" t="str">
        <f t="shared" si="314"/>
        <v>Link</v>
      </c>
      <c r="AE392" s="42">
        <v>3621</v>
      </c>
      <c r="AF392" s="55"/>
      <c r="AG392" s="55"/>
      <c r="AH392" s="56">
        <v>205443</v>
      </c>
      <c r="AI392" s="55"/>
      <c r="AJ392" s="162"/>
    </row>
    <row r="393" spans="1:41" ht="13" x14ac:dyDescent="0.15">
      <c r="A393" s="7"/>
      <c r="B393" s="31" t="s">
        <v>8359</v>
      </c>
      <c r="C393" s="2" t="s">
        <v>15218</v>
      </c>
      <c r="D393" s="7" t="s">
        <v>19217</v>
      </c>
      <c r="E393" s="37">
        <v>5</v>
      </c>
      <c r="F393" s="48"/>
      <c r="G393" s="48"/>
      <c r="H393" s="2" t="s">
        <v>19187</v>
      </c>
      <c r="I393" s="2" t="s">
        <v>1764</v>
      </c>
      <c r="J393" s="2" t="s">
        <v>19188</v>
      </c>
      <c r="K393" s="2" t="s">
        <v>55</v>
      </c>
      <c r="L393" s="2"/>
      <c r="M393" s="6"/>
      <c r="N393" s="45" t="str">
        <f t="shared" si="312"/>
        <v>@shawneestatesb</v>
      </c>
      <c r="O393" s="45" t="str">
        <f t="shared" si="313"/>
        <v>Questionnaire</v>
      </c>
      <c r="P393" s="6" t="s">
        <v>19194</v>
      </c>
      <c r="Q393" s="60" t="s">
        <v>1814</v>
      </c>
      <c r="R393" s="48" t="s">
        <v>19196</v>
      </c>
      <c r="S393" s="48" t="s">
        <v>172</v>
      </c>
      <c r="T393" s="49" t="s">
        <v>74</v>
      </c>
      <c r="U393" s="48" t="s">
        <v>75</v>
      </c>
      <c r="V393" s="49"/>
      <c r="W393" s="65">
        <v>3.14</v>
      </c>
      <c r="X393" s="49" t="s">
        <v>214</v>
      </c>
      <c r="Y393" s="49" t="s">
        <v>214</v>
      </c>
      <c r="Z393" s="49" t="s">
        <v>841</v>
      </c>
      <c r="AA393" s="65">
        <v>0.74</v>
      </c>
      <c r="AB393" s="48" t="s">
        <v>19200</v>
      </c>
      <c r="AC393" s="84" t="s">
        <v>19194</v>
      </c>
      <c r="AD393" s="53" t="str">
        <f t="shared" si="314"/>
        <v>Link</v>
      </c>
      <c r="AE393" s="42">
        <v>3621</v>
      </c>
      <c r="AF393" s="55"/>
      <c r="AG393" s="55"/>
      <c r="AH393" s="56">
        <v>205443</v>
      </c>
      <c r="AI393" s="55"/>
      <c r="AJ393" s="162"/>
    </row>
    <row r="394" spans="1:41" ht="13" x14ac:dyDescent="0.15">
      <c r="A394" s="7"/>
      <c r="B394" s="31" t="s">
        <v>8359</v>
      </c>
      <c r="C394" s="2" t="s">
        <v>15218</v>
      </c>
      <c r="D394" s="7" t="s">
        <v>19219</v>
      </c>
      <c r="E394" s="37">
        <v>5</v>
      </c>
      <c r="F394" s="48"/>
      <c r="G394" s="48" t="s">
        <v>126</v>
      </c>
      <c r="H394" s="2" t="s">
        <v>19187</v>
      </c>
      <c r="I394" s="2" t="s">
        <v>19220</v>
      </c>
      <c r="J394" s="2"/>
      <c r="K394" s="6"/>
      <c r="L394" s="2"/>
      <c r="M394" s="6"/>
      <c r="N394" s="45" t="str">
        <f t="shared" si="312"/>
        <v>@shawneestatesb</v>
      </c>
      <c r="O394" s="45" t="str">
        <f t="shared" si="313"/>
        <v>Questionnaire</v>
      </c>
      <c r="P394" s="6" t="s">
        <v>19194</v>
      </c>
      <c r="Q394" s="60" t="s">
        <v>1814</v>
      </c>
      <c r="R394" s="48" t="s">
        <v>19196</v>
      </c>
      <c r="S394" s="48" t="s">
        <v>172</v>
      </c>
      <c r="T394" s="49" t="s">
        <v>74</v>
      </c>
      <c r="U394" s="48" t="s">
        <v>75</v>
      </c>
      <c r="V394" s="49"/>
      <c r="W394" s="65">
        <v>3.14</v>
      </c>
      <c r="X394" s="49" t="s">
        <v>214</v>
      </c>
      <c r="Y394" s="49" t="s">
        <v>214</v>
      </c>
      <c r="Z394" s="49" t="s">
        <v>841</v>
      </c>
      <c r="AA394" s="65">
        <v>0.74</v>
      </c>
      <c r="AB394" s="48" t="s">
        <v>19200</v>
      </c>
      <c r="AC394" s="84" t="s">
        <v>19194</v>
      </c>
      <c r="AD394" s="53" t="str">
        <f t="shared" si="314"/>
        <v>Link</v>
      </c>
      <c r="AE394" s="42">
        <v>3621</v>
      </c>
      <c r="AF394" s="55"/>
      <c r="AG394" s="55"/>
      <c r="AH394" s="56">
        <v>205443</v>
      </c>
      <c r="AI394" s="55"/>
      <c r="AJ394" s="162"/>
    </row>
    <row r="395" spans="1:41" ht="13" x14ac:dyDescent="0.15">
      <c r="A395" s="7" t="s">
        <v>17779</v>
      </c>
      <c r="B395" s="31" t="s">
        <v>8359</v>
      </c>
      <c r="C395" s="2" t="s">
        <v>15218</v>
      </c>
      <c r="D395" s="7" t="s">
        <v>19223</v>
      </c>
      <c r="E395" s="44">
        <v>5</v>
      </c>
      <c r="F395" s="48" t="s">
        <v>116</v>
      </c>
      <c r="G395" s="48"/>
      <c r="H395" s="2" t="s">
        <v>19187</v>
      </c>
      <c r="I395" s="7" t="s">
        <v>930</v>
      </c>
      <c r="J395" s="7" t="s">
        <v>19224</v>
      </c>
      <c r="K395" s="7" t="s">
        <v>55</v>
      </c>
      <c r="L395" s="7"/>
      <c r="M395" s="48"/>
      <c r="N395" s="48"/>
      <c r="O395" s="45" t="str">
        <f t="shared" si="313"/>
        <v>Questionnaire</v>
      </c>
      <c r="P395" s="48" t="s">
        <v>19194</v>
      </c>
      <c r="Q395" s="60" t="s">
        <v>1814</v>
      </c>
      <c r="R395" s="48" t="s">
        <v>19196</v>
      </c>
      <c r="S395" s="48" t="s">
        <v>172</v>
      </c>
      <c r="T395" s="49" t="s">
        <v>74</v>
      </c>
      <c r="U395" s="6" t="s">
        <v>75</v>
      </c>
      <c r="V395" s="49"/>
      <c r="W395" s="65">
        <v>3.14</v>
      </c>
      <c r="X395" s="49" t="s">
        <v>214</v>
      </c>
      <c r="Y395" s="49" t="s">
        <v>214</v>
      </c>
      <c r="Z395" s="49" t="s">
        <v>841</v>
      </c>
      <c r="AA395" s="65">
        <v>0.74</v>
      </c>
      <c r="AB395" s="48" t="s">
        <v>19200</v>
      </c>
      <c r="AC395" s="84" t="s">
        <v>19194</v>
      </c>
      <c r="AD395" s="67" t="str">
        <f t="shared" si="314"/>
        <v>Link</v>
      </c>
      <c r="AE395" s="42">
        <v>3621</v>
      </c>
      <c r="AF395" s="55"/>
      <c r="AG395" s="55"/>
      <c r="AH395" s="56">
        <v>205443</v>
      </c>
      <c r="AI395" s="55"/>
      <c r="AJ395" s="162"/>
    </row>
    <row r="396" spans="1:41" ht="13" x14ac:dyDescent="0.15">
      <c r="A396" s="7"/>
      <c r="B396" s="31" t="s">
        <v>2797</v>
      </c>
      <c r="C396" s="2" t="s">
        <v>15218</v>
      </c>
      <c r="D396" s="7" t="s">
        <v>19227</v>
      </c>
      <c r="E396" s="37">
        <v>5</v>
      </c>
      <c r="F396" s="48"/>
      <c r="G396" s="48"/>
      <c r="H396" s="2" t="s">
        <v>19228</v>
      </c>
      <c r="I396" s="2" t="s">
        <v>3939</v>
      </c>
      <c r="J396" s="2" t="s">
        <v>1124</v>
      </c>
      <c r="K396" s="2" t="s">
        <v>48</v>
      </c>
      <c r="L396" s="95" t="s">
        <v>19230</v>
      </c>
      <c r="M396" s="6" t="s">
        <v>19231</v>
      </c>
      <c r="N396" s="48"/>
      <c r="O396" s="45" t="str">
        <f>HYPERLINK("http://www.baconeathletics.com/recruiting.php","Questionnaire")</f>
        <v>Questionnaire</v>
      </c>
      <c r="P396" s="60" t="s">
        <v>19232</v>
      </c>
      <c r="Q396" s="60" t="s">
        <v>472</v>
      </c>
      <c r="R396" s="48" t="s">
        <v>19233</v>
      </c>
      <c r="S396" s="48" t="s">
        <v>468</v>
      </c>
      <c r="T396" s="49" t="s">
        <v>63</v>
      </c>
      <c r="U396" s="6" t="s">
        <v>10058</v>
      </c>
      <c r="V396" s="49"/>
      <c r="W396" s="65">
        <v>2.88</v>
      </c>
      <c r="X396" s="49" t="s">
        <v>5140</v>
      </c>
      <c r="Y396" s="49" t="s">
        <v>13329</v>
      </c>
      <c r="Z396" s="49" t="s">
        <v>3784</v>
      </c>
      <c r="AA396" s="38">
        <v>0.50470000000000004</v>
      </c>
      <c r="AB396" s="39">
        <v>35200</v>
      </c>
      <c r="AC396" s="90" t="s">
        <v>19232</v>
      </c>
      <c r="AD396" s="53" t="str">
        <f>HYPERLINK("http://www.bacone.edu/academics/majors/","Link")</f>
        <v>Link</v>
      </c>
      <c r="AE396" s="42">
        <v>990</v>
      </c>
      <c r="AF396" s="55"/>
      <c r="AG396" s="55"/>
      <c r="AH396" s="56">
        <v>206817</v>
      </c>
      <c r="AI396" s="55"/>
      <c r="AJ396" s="162"/>
    </row>
    <row r="397" spans="1:41" ht="13" x14ac:dyDescent="0.15">
      <c r="A397" s="7"/>
      <c r="B397" s="106" t="s">
        <v>2797</v>
      </c>
      <c r="C397" s="2" t="s">
        <v>15218</v>
      </c>
      <c r="D397" s="7" t="s">
        <v>19238</v>
      </c>
      <c r="E397" s="37">
        <v>5</v>
      </c>
      <c r="F397" s="48"/>
      <c r="G397" s="48"/>
      <c r="H397" s="2" t="s">
        <v>19239</v>
      </c>
      <c r="I397" s="2" t="s">
        <v>19240</v>
      </c>
      <c r="J397" s="2" t="s">
        <v>2969</v>
      </c>
      <c r="K397" s="2" t="s">
        <v>48</v>
      </c>
      <c r="L397" s="95" t="s">
        <v>19241</v>
      </c>
      <c r="M397" s="6" t="s">
        <v>19242</v>
      </c>
      <c r="N397" s="48"/>
      <c r="O397" s="45" t="str">
        <f>HYPERLINK("http://www.langstonsports.com/SIDHelp.php?action=form&amp;parameters=5","Questionnaire")</f>
        <v>Questionnaire</v>
      </c>
      <c r="P397" s="6" t="s">
        <v>19245</v>
      </c>
      <c r="Q397" s="60" t="s">
        <v>472</v>
      </c>
      <c r="R397" s="48" t="s">
        <v>19246</v>
      </c>
      <c r="S397" s="60" t="s">
        <v>205</v>
      </c>
      <c r="T397" s="5" t="s">
        <v>74</v>
      </c>
      <c r="U397" s="48" t="s">
        <v>75</v>
      </c>
      <c r="V397" s="49" t="s">
        <v>212</v>
      </c>
      <c r="W397" s="65">
        <v>2.81</v>
      </c>
      <c r="X397" s="49" t="s">
        <v>214</v>
      </c>
      <c r="Y397" s="49" t="s">
        <v>214</v>
      </c>
      <c r="Z397" s="49" t="s">
        <v>214</v>
      </c>
      <c r="AA397" s="55" t="s">
        <v>214</v>
      </c>
      <c r="AB397" s="48" t="s">
        <v>19247</v>
      </c>
      <c r="AC397" s="84" t="s">
        <v>19245</v>
      </c>
      <c r="AD397" s="53" t="str">
        <f>HYPERLINK("http://www.langston.edu/academics/programs-centers/degree-programs","Link")</f>
        <v>Link</v>
      </c>
      <c r="AE397" s="42">
        <v>2050</v>
      </c>
      <c r="AF397" s="55"/>
      <c r="AG397" s="55"/>
      <c r="AH397" s="56">
        <v>207209</v>
      </c>
      <c r="AI397" s="55"/>
      <c r="AJ397" s="162"/>
    </row>
    <row r="398" spans="1:41" ht="13" x14ac:dyDescent="0.15">
      <c r="A398" s="7"/>
      <c r="B398" s="31" t="s">
        <v>2797</v>
      </c>
      <c r="C398" s="2" t="s">
        <v>15218</v>
      </c>
      <c r="D398" s="7" t="s">
        <v>19249</v>
      </c>
      <c r="E398" s="37">
        <v>5</v>
      </c>
      <c r="F398" s="48"/>
      <c r="G398" s="48"/>
      <c r="H398" s="2" t="s">
        <v>19250</v>
      </c>
      <c r="I398" s="2" t="s">
        <v>135</v>
      </c>
      <c r="J398" s="2" t="s">
        <v>19251</v>
      </c>
      <c r="K398" s="2" t="s">
        <v>48</v>
      </c>
      <c r="L398" s="2" t="s">
        <v>19252</v>
      </c>
      <c r="M398" s="6" t="s">
        <v>19253</v>
      </c>
      <c r="N398" s="45" t="str">
        <f>HYPERLINK("twitter.com/macu_sb1","@macu_sb1")</f>
        <v>@macu_sb1</v>
      </c>
      <c r="O398" s="45" t="str">
        <f t="shared" ref="O398:O400" si="315">HYPERLINK("http://www.macuathletics.com/recruiting.php","Questionnaire")</f>
        <v>Questionnaire</v>
      </c>
      <c r="P398" s="6" t="s">
        <v>19255</v>
      </c>
      <c r="Q398" s="60" t="s">
        <v>472</v>
      </c>
      <c r="R398" s="48" t="s">
        <v>8967</v>
      </c>
      <c r="S398" s="48" t="s">
        <v>354</v>
      </c>
      <c r="T398" s="49" t="s">
        <v>63</v>
      </c>
      <c r="U398" s="6" t="s">
        <v>2615</v>
      </c>
      <c r="V398" s="49"/>
      <c r="W398" s="65">
        <v>3.57</v>
      </c>
      <c r="X398" s="49" t="s">
        <v>214</v>
      </c>
      <c r="Y398" s="49" t="s">
        <v>214</v>
      </c>
      <c r="Z398" s="49" t="s">
        <v>214</v>
      </c>
      <c r="AA398" s="55" t="s">
        <v>214</v>
      </c>
      <c r="AB398" s="39">
        <v>27139</v>
      </c>
      <c r="AC398" s="84" t="s">
        <v>19255</v>
      </c>
      <c r="AD398" s="53" t="str">
        <f t="shared" ref="AD398:AD400" si="316">HYPERLINK("https://www.macu.edu/academics/degree-browser/","Link")</f>
        <v>Link</v>
      </c>
      <c r="AE398" s="42">
        <v>1898</v>
      </c>
      <c r="AF398" s="55"/>
      <c r="AG398" s="55"/>
      <c r="AH398" s="56">
        <v>245953</v>
      </c>
      <c r="AI398" s="55"/>
      <c r="AJ398" s="162"/>
    </row>
    <row r="399" spans="1:41" ht="13" x14ac:dyDescent="0.15">
      <c r="A399" s="7"/>
      <c r="B399" s="31" t="s">
        <v>2797</v>
      </c>
      <c r="C399" s="2" t="s">
        <v>15218</v>
      </c>
      <c r="D399" s="7" t="s">
        <v>19260</v>
      </c>
      <c r="E399" s="37">
        <v>5</v>
      </c>
      <c r="F399" s="48"/>
      <c r="G399" s="48"/>
      <c r="H399" s="2" t="s">
        <v>19250</v>
      </c>
      <c r="I399" s="2" t="s">
        <v>3382</v>
      </c>
      <c r="J399" s="2" t="s">
        <v>19251</v>
      </c>
      <c r="K399" s="2" t="s">
        <v>55</v>
      </c>
      <c r="L399" s="2" t="s">
        <v>19261</v>
      </c>
      <c r="M399" s="6" t="s">
        <v>19262</v>
      </c>
      <c r="N399" s="45" t="s">
        <v>19263</v>
      </c>
      <c r="O399" s="45" t="str">
        <f t="shared" si="315"/>
        <v>Questionnaire</v>
      </c>
      <c r="P399" s="6" t="s">
        <v>19255</v>
      </c>
      <c r="Q399" s="60" t="s">
        <v>472</v>
      </c>
      <c r="R399" s="48" t="s">
        <v>8967</v>
      </c>
      <c r="S399" s="48" t="s">
        <v>354</v>
      </c>
      <c r="T399" s="49" t="s">
        <v>63</v>
      </c>
      <c r="U399" s="6" t="s">
        <v>2615</v>
      </c>
      <c r="V399" s="49"/>
      <c r="W399" s="65">
        <v>3.57</v>
      </c>
      <c r="X399" s="49" t="s">
        <v>214</v>
      </c>
      <c r="Y399" s="49" t="s">
        <v>214</v>
      </c>
      <c r="Z399" s="49" t="s">
        <v>214</v>
      </c>
      <c r="AA399" s="55" t="s">
        <v>214</v>
      </c>
      <c r="AB399" s="39">
        <v>27139</v>
      </c>
      <c r="AC399" s="84" t="s">
        <v>19255</v>
      </c>
      <c r="AD399" s="53" t="str">
        <f t="shared" si="316"/>
        <v>Link</v>
      </c>
      <c r="AE399" s="42">
        <v>1898</v>
      </c>
      <c r="AF399" s="55"/>
      <c r="AG399" s="55"/>
      <c r="AH399" s="56">
        <v>245953</v>
      </c>
      <c r="AI399" s="55"/>
      <c r="AJ399" s="162"/>
    </row>
    <row r="400" spans="1:41" ht="13" x14ac:dyDescent="0.15">
      <c r="A400" s="7"/>
      <c r="B400" s="31" t="s">
        <v>2797</v>
      </c>
      <c r="C400" s="2" t="s">
        <v>15218</v>
      </c>
      <c r="D400" s="7" t="s">
        <v>19267</v>
      </c>
      <c r="E400" s="37">
        <v>5</v>
      </c>
      <c r="F400" s="48"/>
      <c r="G400" s="48"/>
      <c r="H400" s="2" t="s">
        <v>19250</v>
      </c>
      <c r="I400" s="2" t="s">
        <v>19268</v>
      </c>
      <c r="J400" s="2" t="s">
        <v>8744</v>
      </c>
      <c r="K400" s="2" t="s">
        <v>139</v>
      </c>
      <c r="L400" s="2"/>
      <c r="M400" s="6"/>
      <c r="N400" s="45" t="str">
        <f>HYPERLINK("twitter.com/macu_sb1","@macu_sb1")</f>
        <v>@macu_sb1</v>
      </c>
      <c r="O400" s="45" t="str">
        <f t="shared" si="315"/>
        <v>Questionnaire</v>
      </c>
      <c r="P400" s="6" t="s">
        <v>19255</v>
      </c>
      <c r="Q400" s="60" t="s">
        <v>472</v>
      </c>
      <c r="R400" s="48" t="s">
        <v>8967</v>
      </c>
      <c r="S400" s="48" t="s">
        <v>354</v>
      </c>
      <c r="T400" s="49" t="s">
        <v>63</v>
      </c>
      <c r="U400" s="6" t="s">
        <v>2615</v>
      </c>
      <c r="V400" s="49"/>
      <c r="W400" s="65">
        <v>3.57</v>
      </c>
      <c r="X400" s="49" t="s">
        <v>214</v>
      </c>
      <c r="Y400" s="49" t="s">
        <v>214</v>
      </c>
      <c r="Z400" s="49" t="s">
        <v>214</v>
      </c>
      <c r="AA400" s="55" t="s">
        <v>214</v>
      </c>
      <c r="AB400" s="39">
        <v>27139</v>
      </c>
      <c r="AC400" s="84" t="s">
        <v>19255</v>
      </c>
      <c r="AD400" s="53" t="str">
        <f t="shared" si="316"/>
        <v>Link</v>
      </c>
      <c r="AE400" s="42">
        <v>1898</v>
      </c>
      <c r="AF400" s="55"/>
      <c r="AG400" s="55"/>
      <c r="AH400" s="56">
        <v>245953</v>
      </c>
      <c r="AI400" s="55"/>
      <c r="AJ400" s="162"/>
    </row>
    <row r="401" spans="1:41" ht="13" x14ac:dyDescent="0.15">
      <c r="A401" s="7"/>
      <c r="B401" s="31" t="s">
        <v>2797</v>
      </c>
      <c r="C401" s="2" t="s">
        <v>15218</v>
      </c>
      <c r="D401" s="7" t="s">
        <v>19270</v>
      </c>
      <c r="E401" s="37">
        <v>5</v>
      </c>
      <c r="F401" s="48"/>
      <c r="G401" s="48"/>
      <c r="H401" s="2" t="s">
        <v>19271</v>
      </c>
      <c r="I401" s="2" t="s">
        <v>668</v>
      </c>
      <c r="J401" s="2" t="s">
        <v>8569</v>
      </c>
      <c r="K401" s="2" t="s">
        <v>48</v>
      </c>
      <c r="L401" s="2" t="s">
        <v>19272</v>
      </c>
      <c r="M401" s="6" t="s">
        <v>19273</v>
      </c>
      <c r="N401" s="45" t="str">
        <f t="shared" ref="N401:N402" si="317">HYPERLINK("twitter.com/ocu_softball","@ocu_softball")</f>
        <v>@ocu_softball</v>
      </c>
      <c r="O401" s="45" t="str">
        <f t="shared" ref="O401:O402" si="318">HYPERLINK("https://okcu.askadmissions.net/emtinterestpage.aspx?ip=athletic","Questionnaire")</f>
        <v>Questionnaire</v>
      </c>
      <c r="P401" s="6" t="s">
        <v>8967</v>
      </c>
      <c r="Q401" s="60" t="s">
        <v>472</v>
      </c>
      <c r="R401" s="48" t="s">
        <v>8967</v>
      </c>
      <c r="S401" s="48" t="s">
        <v>354</v>
      </c>
      <c r="T401" s="5" t="s">
        <v>63</v>
      </c>
      <c r="U401" s="6" t="s">
        <v>65</v>
      </c>
      <c r="V401" s="49"/>
      <c r="W401" s="65">
        <v>3.71</v>
      </c>
      <c r="X401" s="49" t="s">
        <v>957</v>
      </c>
      <c r="Y401" s="49" t="s">
        <v>19282</v>
      </c>
      <c r="Z401" s="49" t="s">
        <v>958</v>
      </c>
      <c r="AA401" s="65">
        <v>0.72</v>
      </c>
      <c r="AB401" s="39">
        <v>46300</v>
      </c>
      <c r="AC401" s="84" t="s">
        <v>8967</v>
      </c>
      <c r="AD401" s="53" t="str">
        <f t="shared" ref="AD401:AD402" si="319">HYPERLINK("https://www.okcu.edu/academics/home","Link")</f>
        <v>Link</v>
      </c>
      <c r="AE401" s="42">
        <v>1789</v>
      </c>
      <c r="AF401" s="55"/>
      <c r="AG401" s="55"/>
      <c r="AH401" s="56">
        <v>207458</v>
      </c>
      <c r="AI401" s="55"/>
      <c r="AJ401" s="162"/>
    </row>
    <row r="402" spans="1:41" ht="13" x14ac:dyDescent="0.15">
      <c r="A402" s="7"/>
      <c r="B402" s="31" t="s">
        <v>2797</v>
      </c>
      <c r="C402" s="2" t="s">
        <v>15218</v>
      </c>
      <c r="D402" s="7" t="s">
        <v>19285</v>
      </c>
      <c r="E402" s="37">
        <v>5</v>
      </c>
      <c r="F402" s="48"/>
      <c r="G402" s="48"/>
      <c r="H402" s="2" t="s">
        <v>19271</v>
      </c>
      <c r="I402" s="2" t="s">
        <v>19288</v>
      </c>
      <c r="J402" s="2" t="s">
        <v>2056</v>
      </c>
      <c r="K402" s="2" t="s">
        <v>55</v>
      </c>
      <c r="L402" s="2" t="s">
        <v>19290</v>
      </c>
      <c r="M402" s="6" t="s">
        <v>19292</v>
      </c>
      <c r="N402" s="45" t="str">
        <f t="shared" si="317"/>
        <v>@ocu_softball</v>
      </c>
      <c r="O402" s="45" t="str">
        <f t="shared" si="318"/>
        <v>Questionnaire</v>
      </c>
      <c r="P402" s="6" t="s">
        <v>8967</v>
      </c>
      <c r="Q402" s="60" t="s">
        <v>472</v>
      </c>
      <c r="R402" s="48" t="s">
        <v>8967</v>
      </c>
      <c r="S402" s="48" t="s">
        <v>354</v>
      </c>
      <c r="T402" s="5" t="s">
        <v>63</v>
      </c>
      <c r="U402" s="6" t="s">
        <v>65</v>
      </c>
      <c r="V402" s="49"/>
      <c r="W402" s="65">
        <v>3.71</v>
      </c>
      <c r="X402" s="49" t="s">
        <v>957</v>
      </c>
      <c r="Y402" s="49" t="s">
        <v>19282</v>
      </c>
      <c r="Z402" s="49" t="s">
        <v>958</v>
      </c>
      <c r="AA402" s="65">
        <v>0.72</v>
      </c>
      <c r="AB402" s="39">
        <v>46300</v>
      </c>
      <c r="AC402" s="84" t="s">
        <v>8967</v>
      </c>
      <c r="AD402" s="53" t="str">
        <f t="shared" si="319"/>
        <v>Link</v>
      </c>
      <c r="AE402" s="42">
        <v>1789</v>
      </c>
      <c r="AF402" s="55"/>
      <c r="AG402" s="55"/>
      <c r="AH402" s="56">
        <v>207458</v>
      </c>
      <c r="AI402" s="55"/>
      <c r="AJ402" s="162"/>
    </row>
    <row r="403" spans="1:41" ht="13" x14ac:dyDescent="0.15">
      <c r="A403" s="7"/>
      <c r="B403" s="31" t="s">
        <v>2797</v>
      </c>
      <c r="C403" s="2" t="s">
        <v>15218</v>
      </c>
      <c r="D403" s="7" t="s">
        <v>19293</v>
      </c>
      <c r="E403" s="37">
        <v>5</v>
      </c>
      <c r="F403" s="48"/>
      <c r="G403" s="48"/>
      <c r="H403" s="2" t="s">
        <v>19295</v>
      </c>
      <c r="I403" s="2" t="s">
        <v>6091</v>
      </c>
      <c r="J403" s="2" t="s">
        <v>5033</v>
      </c>
      <c r="K403" s="2" t="s">
        <v>48</v>
      </c>
      <c r="L403" s="2" t="s">
        <v>19299</v>
      </c>
      <c r="M403" s="6" t="s">
        <v>19301</v>
      </c>
      <c r="N403" s="45" t="str">
        <f t="shared" ref="N403:N404" si="320">HYPERLINK("twitter.com/OPSUSoftball","@OPSUSoftball")</f>
        <v>@OPSUSoftball</v>
      </c>
      <c r="O403" s="45" t="str">
        <f t="shared" ref="O403:O404" si="321">HYPERLINK("https://opsuaggies.com/sb_output.aspx?form=5","Questionnaire")</f>
        <v>Questionnaire</v>
      </c>
      <c r="P403" s="6" t="s">
        <v>19303</v>
      </c>
      <c r="Q403" s="60" t="s">
        <v>472</v>
      </c>
      <c r="R403" s="48" t="s">
        <v>19304</v>
      </c>
      <c r="S403" s="60" t="s">
        <v>205</v>
      </c>
      <c r="T403" s="49" t="s">
        <v>74</v>
      </c>
      <c r="U403" s="48" t="s">
        <v>75</v>
      </c>
      <c r="V403" s="49"/>
      <c r="W403" s="65">
        <v>3.03</v>
      </c>
      <c r="X403" s="49" t="s">
        <v>214</v>
      </c>
      <c r="Y403" s="49" t="s">
        <v>214</v>
      </c>
      <c r="Z403" s="49" t="s">
        <v>214</v>
      </c>
      <c r="AA403" s="55" t="s">
        <v>214</v>
      </c>
      <c r="AB403" s="48" t="s">
        <v>19306</v>
      </c>
      <c r="AC403" s="84" t="s">
        <v>19303</v>
      </c>
      <c r="AD403" s="53" t="str">
        <f t="shared" ref="AD403:AD404" si="322">HYPERLINK("http://www.opsu.edu/Academics/","Link")</f>
        <v>Link</v>
      </c>
      <c r="AE403" s="42">
        <v>1207</v>
      </c>
      <c r="AF403" s="55"/>
      <c r="AG403" s="55"/>
      <c r="AH403" s="56">
        <v>207351</v>
      </c>
      <c r="AI403" s="55"/>
      <c r="AJ403" s="162"/>
    </row>
    <row r="404" spans="1:41" ht="13" x14ac:dyDescent="0.15">
      <c r="A404" s="7"/>
      <c r="B404" s="31" t="s">
        <v>2797</v>
      </c>
      <c r="C404" s="2" t="s">
        <v>15218</v>
      </c>
      <c r="D404" s="7" t="s">
        <v>19308</v>
      </c>
      <c r="E404" s="37">
        <v>5</v>
      </c>
      <c r="F404" s="48"/>
      <c r="G404" s="48"/>
      <c r="H404" s="2" t="s">
        <v>19295</v>
      </c>
      <c r="I404" s="2" t="s">
        <v>2829</v>
      </c>
      <c r="J404" s="2" t="s">
        <v>15936</v>
      </c>
      <c r="K404" s="2" t="s">
        <v>55</v>
      </c>
      <c r="L404" s="2"/>
      <c r="M404" s="6"/>
      <c r="N404" s="45" t="str">
        <f t="shared" si="320"/>
        <v>@OPSUSoftball</v>
      </c>
      <c r="O404" s="45" t="str">
        <f t="shared" si="321"/>
        <v>Questionnaire</v>
      </c>
      <c r="P404" s="6" t="s">
        <v>19303</v>
      </c>
      <c r="Q404" s="60" t="s">
        <v>472</v>
      </c>
      <c r="R404" s="48" t="s">
        <v>19304</v>
      </c>
      <c r="S404" s="60" t="s">
        <v>205</v>
      </c>
      <c r="T404" s="49" t="s">
        <v>74</v>
      </c>
      <c r="U404" s="48" t="s">
        <v>75</v>
      </c>
      <c r="V404" s="49"/>
      <c r="W404" s="65">
        <v>3.03</v>
      </c>
      <c r="X404" s="49" t="s">
        <v>214</v>
      </c>
      <c r="Y404" s="49" t="s">
        <v>214</v>
      </c>
      <c r="Z404" s="49" t="s">
        <v>214</v>
      </c>
      <c r="AA404" s="55" t="s">
        <v>214</v>
      </c>
      <c r="AB404" s="48" t="s">
        <v>19306</v>
      </c>
      <c r="AC404" s="84" t="s">
        <v>19303</v>
      </c>
      <c r="AD404" s="53" t="str">
        <f t="shared" si="322"/>
        <v>Link</v>
      </c>
      <c r="AE404" s="42">
        <v>1207</v>
      </c>
      <c r="AF404" s="55"/>
      <c r="AG404" s="55"/>
      <c r="AH404" s="56">
        <v>207351</v>
      </c>
      <c r="AI404" s="55"/>
      <c r="AJ404" s="162"/>
    </row>
    <row r="405" spans="1:41" ht="13" x14ac:dyDescent="0.15">
      <c r="A405" s="7"/>
      <c r="B405" s="31" t="s">
        <v>2797</v>
      </c>
      <c r="C405" s="2" t="s">
        <v>15218</v>
      </c>
      <c r="D405" s="7" t="s">
        <v>19314</v>
      </c>
      <c r="E405" s="37">
        <v>5</v>
      </c>
      <c r="F405" s="48"/>
      <c r="G405" s="48"/>
      <c r="H405" s="2" t="s">
        <v>19315</v>
      </c>
      <c r="I405" s="2" t="s">
        <v>2677</v>
      </c>
      <c r="J405" s="2" t="s">
        <v>19316</v>
      </c>
      <c r="K405" s="2" t="s">
        <v>48</v>
      </c>
      <c r="L405" s="2" t="s">
        <v>19318</v>
      </c>
      <c r="M405" s="6" t="s">
        <v>19319</v>
      </c>
      <c r="N405" s="45" t="str">
        <f>HYPERLINK("twitter.com/okwueagles_sb","@okwueagles_sb")</f>
        <v>@okwueagles_sb</v>
      </c>
      <c r="O405" s="45" t="str">
        <f>HYPERLINK("https://www.okwu.edu/athletics/recruitment-form/","Questionnaire")</f>
        <v>Questionnaire</v>
      </c>
      <c r="P405" s="6" t="s">
        <v>19321</v>
      </c>
      <c r="Q405" s="60" t="s">
        <v>472</v>
      </c>
      <c r="R405" s="48" t="s">
        <v>19322</v>
      </c>
      <c r="S405" s="48" t="s">
        <v>468</v>
      </c>
      <c r="T405" s="49" t="s">
        <v>63</v>
      </c>
      <c r="U405" s="6" t="s">
        <v>9196</v>
      </c>
      <c r="V405" s="49"/>
      <c r="W405" s="65">
        <v>3.38</v>
      </c>
      <c r="X405" s="49" t="s">
        <v>2709</v>
      </c>
      <c r="Y405" s="49" t="s">
        <v>6310</v>
      </c>
      <c r="Z405" s="49" t="s">
        <v>449</v>
      </c>
      <c r="AA405" s="65">
        <v>0.73</v>
      </c>
      <c r="AB405" s="39">
        <v>37996</v>
      </c>
      <c r="AC405" s="84" t="s">
        <v>19321</v>
      </c>
      <c r="AD405" s="53" t="str">
        <f>HYPERLINK("https://www.okwu.edu/residential/majors/","Link")</f>
        <v>Link</v>
      </c>
      <c r="AE405" s="42">
        <v>1192</v>
      </c>
      <c r="AF405" s="55"/>
      <c r="AG405" s="55"/>
      <c r="AH405" s="56">
        <v>206835</v>
      </c>
      <c r="AI405" s="55"/>
      <c r="AJ405" s="162"/>
    </row>
    <row r="406" spans="1:41" ht="13" x14ac:dyDescent="0.15">
      <c r="A406" s="7"/>
      <c r="B406" s="31" t="s">
        <v>2797</v>
      </c>
      <c r="C406" s="2" t="s">
        <v>15218</v>
      </c>
      <c r="D406" s="7" t="s">
        <v>19323</v>
      </c>
      <c r="E406" s="37">
        <v>5</v>
      </c>
      <c r="F406" s="48"/>
      <c r="G406" s="48"/>
      <c r="H406" s="2" t="s">
        <v>19324</v>
      </c>
      <c r="I406" s="2" t="s">
        <v>4159</v>
      </c>
      <c r="J406" s="2" t="s">
        <v>1906</v>
      </c>
      <c r="K406" s="2" t="s">
        <v>48</v>
      </c>
      <c r="L406" s="2" t="s">
        <v>19325</v>
      </c>
      <c r="M406" s="6"/>
      <c r="N406" s="48"/>
      <c r="O406" s="45" t="str">
        <f t="shared" ref="O406:O407" si="323">HYPERLINK("http://www.scueagles.com/recruiting.php","Questionnaire")</f>
        <v>Questionnaire</v>
      </c>
      <c r="P406" s="6" t="s">
        <v>19326</v>
      </c>
      <c r="Q406" s="60" t="s">
        <v>472</v>
      </c>
      <c r="R406" s="48" t="s">
        <v>4191</v>
      </c>
      <c r="S406" s="48" t="s">
        <v>172</v>
      </c>
      <c r="T406" s="5" t="s">
        <v>63</v>
      </c>
      <c r="U406" s="48" t="s">
        <v>3735</v>
      </c>
      <c r="V406" s="49" t="s">
        <v>212</v>
      </c>
      <c r="W406" s="65">
        <v>3.22</v>
      </c>
      <c r="X406" s="49" t="s">
        <v>19329</v>
      </c>
      <c r="Y406" s="49" t="s">
        <v>19329</v>
      </c>
      <c r="Z406" s="49" t="s">
        <v>3230</v>
      </c>
      <c r="AA406" s="65">
        <v>0.41</v>
      </c>
      <c r="AB406" s="39">
        <v>22853</v>
      </c>
      <c r="AC406" s="84" t="s">
        <v>19326</v>
      </c>
      <c r="AD406" s="53" t="str">
        <f t="shared" ref="AD406:AD407" si="324">HYPERLINK("http://swcu.edu/majors","Link")</f>
        <v>Link</v>
      </c>
      <c r="AE406" s="42">
        <v>746</v>
      </c>
      <c r="AF406" s="55"/>
      <c r="AG406" s="55"/>
      <c r="AH406" s="56">
        <v>207856</v>
      </c>
      <c r="AI406" s="55"/>
      <c r="AJ406" s="162"/>
    </row>
    <row r="407" spans="1:41" ht="13" x14ac:dyDescent="0.15">
      <c r="A407" s="7"/>
      <c r="B407" s="31" t="s">
        <v>2797</v>
      </c>
      <c r="C407" s="2" t="s">
        <v>15218</v>
      </c>
      <c r="D407" s="7" t="s">
        <v>19335</v>
      </c>
      <c r="E407" s="37">
        <v>5</v>
      </c>
      <c r="F407" s="48"/>
      <c r="G407" s="48"/>
      <c r="H407" s="2" t="s">
        <v>19324</v>
      </c>
      <c r="I407" s="2" t="s">
        <v>1492</v>
      </c>
      <c r="J407" s="2" t="s">
        <v>19336</v>
      </c>
      <c r="K407" s="2" t="s">
        <v>55</v>
      </c>
      <c r="L407" s="2" t="s">
        <v>19337</v>
      </c>
      <c r="M407" s="6"/>
      <c r="N407" s="48"/>
      <c r="O407" s="45" t="str">
        <f t="shared" si="323"/>
        <v>Questionnaire</v>
      </c>
      <c r="P407" s="6" t="s">
        <v>19326</v>
      </c>
      <c r="Q407" s="60" t="s">
        <v>472</v>
      </c>
      <c r="R407" s="48" t="s">
        <v>4191</v>
      </c>
      <c r="S407" s="48" t="s">
        <v>172</v>
      </c>
      <c r="T407" s="5" t="s">
        <v>63</v>
      </c>
      <c r="U407" s="48" t="s">
        <v>3735</v>
      </c>
      <c r="V407" s="49" t="s">
        <v>212</v>
      </c>
      <c r="W407" s="65">
        <v>3.22</v>
      </c>
      <c r="X407" s="49" t="s">
        <v>19329</v>
      </c>
      <c r="Y407" s="49" t="s">
        <v>19329</v>
      </c>
      <c r="Z407" s="49" t="s">
        <v>3230</v>
      </c>
      <c r="AA407" s="65">
        <v>0.41</v>
      </c>
      <c r="AB407" s="39">
        <v>22853</v>
      </c>
      <c r="AC407" s="84" t="s">
        <v>19326</v>
      </c>
      <c r="AD407" s="53" t="str">
        <f t="shared" si="324"/>
        <v>Link</v>
      </c>
      <c r="AE407" s="42">
        <v>746</v>
      </c>
      <c r="AF407" s="55"/>
      <c r="AG407" s="55"/>
      <c r="AH407" s="56">
        <v>207856</v>
      </c>
      <c r="AI407" s="55"/>
      <c r="AJ407" s="162"/>
    </row>
    <row r="408" spans="1:41" ht="15" x14ac:dyDescent="0.2">
      <c r="A408" s="7"/>
      <c r="B408" s="31" t="s">
        <v>2797</v>
      </c>
      <c r="C408" s="2" t="s">
        <v>15218</v>
      </c>
      <c r="D408" s="7"/>
      <c r="E408" s="37">
        <v>5</v>
      </c>
      <c r="F408" s="7"/>
      <c r="G408" s="7"/>
      <c r="H408" s="2" t="s">
        <v>19341</v>
      </c>
      <c r="I408" s="2" t="s">
        <v>19343</v>
      </c>
      <c r="J408" s="2" t="s">
        <v>19344</v>
      </c>
      <c r="K408" s="2" t="s">
        <v>48</v>
      </c>
      <c r="L408" s="2" t="s">
        <v>19345</v>
      </c>
      <c r="M408" s="6" t="s">
        <v>19346</v>
      </c>
      <c r="N408" s="48"/>
      <c r="O408" s="45" t="str">
        <f t="shared" ref="O408:O412" si="325">HYPERLINK("http://www.usaoathletics.com/SIDHelp.php?action=form&amp;parameters=1","Questionnaire")</f>
        <v>Questionnaire</v>
      </c>
      <c r="P408" s="108" t="s">
        <v>19347</v>
      </c>
      <c r="Q408" s="60" t="s">
        <v>472</v>
      </c>
      <c r="R408" s="48" t="s">
        <v>19348</v>
      </c>
      <c r="S408" s="48" t="s">
        <v>172</v>
      </c>
      <c r="T408" s="49" t="s">
        <v>74</v>
      </c>
      <c r="U408" s="48" t="s">
        <v>75</v>
      </c>
      <c r="V408" s="49"/>
      <c r="W408" s="65">
        <v>3.43</v>
      </c>
      <c r="X408" s="49" t="s">
        <v>19349</v>
      </c>
      <c r="Y408" s="49" t="s">
        <v>2522</v>
      </c>
      <c r="Z408" s="49" t="s">
        <v>125</v>
      </c>
      <c r="AA408" s="65">
        <v>0.49</v>
      </c>
      <c r="AB408" s="48" t="s">
        <v>19353</v>
      </c>
      <c r="AC408" s="52" t="s">
        <v>19347</v>
      </c>
      <c r="AD408" s="53" t="str">
        <f t="shared" ref="AD408:AD412" si="326">HYPERLINK("https://usao.edu/academics","Link")</f>
        <v>Link</v>
      </c>
      <c r="AE408" s="42">
        <v>813</v>
      </c>
      <c r="AF408" s="55"/>
      <c r="AG408" s="55"/>
      <c r="AH408" s="56">
        <v>207722</v>
      </c>
      <c r="AI408" s="85" t="s">
        <v>2459</v>
      </c>
      <c r="AJ408" s="7"/>
      <c r="AK408" s="7"/>
      <c r="AL408" s="7"/>
      <c r="AM408" s="7"/>
      <c r="AN408" s="7"/>
      <c r="AO408" s="7"/>
    </row>
    <row r="409" spans="1:41" ht="15" x14ac:dyDescent="0.2">
      <c r="A409" s="7"/>
      <c r="B409" s="31" t="s">
        <v>2797</v>
      </c>
      <c r="C409" s="2" t="s">
        <v>15218</v>
      </c>
      <c r="D409" s="7"/>
      <c r="E409" s="37">
        <v>5</v>
      </c>
      <c r="F409" s="7"/>
      <c r="G409" s="7"/>
      <c r="H409" s="2" t="s">
        <v>19341</v>
      </c>
      <c r="I409" s="2" t="s">
        <v>402</v>
      </c>
      <c r="J409" s="2" t="s">
        <v>3974</v>
      </c>
      <c r="K409" s="2" t="s">
        <v>55</v>
      </c>
      <c r="L409" s="2"/>
      <c r="M409" s="6"/>
      <c r="N409" s="48"/>
      <c r="O409" s="45" t="str">
        <f t="shared" si="325"/>
        <v>Questionnaire</v>
      </c>
      <c r="P409" s="108" t="s">
        <v>19347</v>
      </c>
      <c r="Q409" s="60" t="s">
        <v>472</v>
      </c>
      <c r="R409" s="48" t="s">
        <v>19348</v>
      </c>
      <c r="S409" s="48" t="s">
        <v>172</v>
      </c>
      <c r="T409" s="49" t="s">
        <v>74</v>
      </c>
      <c r="U409" s="48" t="s">
        <v>75</v>
      </c>
      <c r="V409" s="49"/>
      <c r="W409" s="65">
        <v>3.43</v>
      </c>
      <c r="X409" s="49" t="s">
        <v>19349</v>
      </c>
      <c r="Y409" s="49" t="s">
        <v>2522</v>
      </c>
      <c r="Z409" s="49" t="s">
        <v>125</v>
      </c>
      <c r="AA409" s="65">
        <v>0.49</v>
      </c>
      <c r="AB409" s="48" t="s">
        <v>19353</v>
      </c>
      <c r="AC409" s="52" t="s">
        <v>19347</v>
      </c>
      <c r="AD409" s="53" t="str">
        <f t="shared" si="326"/>
        <v>Link</v>
      </c>
      <c r="AE409" s="42">
        <v>813</v>
      </c>
      <c r="AF409" s="55"/>
      <c r="AG409" s="55"/>
      <c r="AH409" s="56">
        <v>207722</v>
      </c>
      <c r="AI409" s="85" t="s">
        <v>2459</v>
      </c>
      <c r="AJ409" s="7"/>
      <c r="AK409" s="7"/>
      <c r="AL409" s="7"/>
      <c r="AM409" s="7"/>
      <c r="AN409" s="7"/>
      <c r="AO409" s="7"/>
    </row>
    <row r="410" spans="1:41" ht="15" x14ac:dyDescent="0.2">
      <c r="A410" s="7"/>
      <c r="B410" s="31" t="s">
        <v>2797</v>
      </c>
      <c r="C410" s="2" t="s">
        <v>15218</v>
      </c>
      <c r="D410" s="7"/>
      <c r="E410" s="37">
        <v>5</v>
      </c>
      <c r="F410" s="7"/>
      <c r="G410" s="7"/>
      <c r="H410" s="2" t="s">
        <v>19341</v>
      </c>
      <c r="I410" s="2" t="s">
        <v>2570</v>
      </c>
      <c r="J410" s="2" t="s">
        <v>19357</v>
      </c>
      <c r="K410" s="2" t="s">
        <v>55</v>
      </c>
      <c r="L410" s="2" t="s">
        <v>19358</v>
      </c>
      <c r="M410" s="6" t="s">
        <v>19346</v>
      </c>
      <c r="N410" s="48"/>
      <c r="O410" s="45" t="str">
        <f t="shared" si="325"/>
        <v>Questionnaire</v>
      </c>
      <c r="P410" s="108" t="s">
        <v>19347</v>
      </c>
      <c r="Q410" s="60" t="s">
        <v>472</v>
      </c>
      <c r="R410" s="48" t="s">
        <v>19348</v>
      </c>
      <c r="S410" s="48" t="s">
        <v>172</v>
      </c>
      <c r="T410" s="49" t="s">
        <v>74</v>
      </c>
      <c r="U410" s="48" t="s">
        <v>75</v>
      </c>
      <c r="V410" s="49"/>
      <c r="W410" s="65">
        <v>3.43</v>
      </c>
      <c r="X410" s="49" t="s">
        <v>19349</v>
      </c>
      <c r="Y410" s="49" t="s">
        <v>2522</v>
      </c>
      <c r="Z410" s="49" t="s">
        <v>125</v>
      </c>
      <c r="AA410" s="65">
        <v>0.49</v>
      </c>
      <c r="AB410" s="48" t="s">
        <v>19353</v>
      </c>
      <c r="AC410" s="52" t="s">
        <v>19347</v>
      </c>
      <c r="AD410" s="53" t="str">
        <f t="shared" si="326"/>
        <v>Link</v>
      </c>
      <c r="AE410" s="42">
        <v>813</v>
      </c>
      <c r="AF410" s="55"/>
      <c r="AG410" s="55"/>
      <c r="AH410" s="56">
        <v>207722</v>
      </c>
      <c r="AI410" s="85" t="s">
        <v>2459</v>
      </c>
      <c r="AJ410" s="7"/>
      <c r="AK410" s="7"/>
      <c r="AL410" s="7"/>
      <c r="AM410" s="7"/>
      <c r="AN410" s="7"/>
      <c r="AO410" s="7"/>
    </row>
    <row r="411" spans="1:41" ht="15" x14ac:dyDescent="0.2">
      <c r="A411" s="7"/>
      <c r="B411" s="31" t="s">
        <v>2797</v>
      </c>
      <c r="C411" s="2" t="s">
        <v>15218</v>
      </c>
      <c r="D411" s="7"/>
      <c r="E411" s="37">
        <v>5</v>
      </c>
      <c r="F411" s="7" t="s">
        <v>116</v>
      </c>
      <c r="G411" s="7"/>
      <c r="H411" s="2" t="s">
        <v>19341</v>
      </c>
      <c r="I411" s="2" t="s">
        <v>19360</v>
      </c>
      <c r="J411" s="2" t="s">
        <v>19361</v>
      </c>
      <c r="K411" s="2" t="s">
        <v>55</v>
      </c>
      <c r="L411" s="2"/>
      <c r="M411" s="6"/>
      <c r="N411" s="48"/>
      <c r="O411" s="45" t="str">
        <f t="shared" si="325"/>
        <v>Questionnaire</v>
      </c>
      <c r="P411" s="108" t="s">
        <v>19347</v>
      </c>
      <c r="Q411" s="60" t="s">
        <v>472</v>
      </c>
      <c r="R411" s="48" t="s">
        <v>19348</v>
      </c>
      <c r="S411" s="48" t="s">
        <v>172</v>
      </c>
      <c r="T411" s="49" t="s">
        <v>74</v>
      </c>
      <c r="U411" s="48" t="s">
        <v>75</v>
      </c>
      <c r="V411" s="49"/>
      <c r="W411" s="65">
        <v>3.43</v>
      </c>
      <c r="X411" s="49" t="s">
        <v>19349</v>
      </c>
      <c r="Y411" s="49" t="s">
        <v>2522</v>
      </c>
      <c r="Z411" s="49" t="s">
        <v>125</v>
      </c>
      <c r="AA411" s="65">
        <v>0.49</v>
      </c>
      <c r="AB411" s="48" t="s">
        <v>19353</v>
      </c>
      <c r="AC411" s="52" t="s">
        <v>19347</v>
      </c>
      <c r="AD411" s="53" t="str">
        <f t="shared" si="326"/>
        <v>Link</v>
      </c>
      <c r="AE411" s="42">
        <v>813</v>
      </c>
      <c r="AF411" s="55"/>
      <c r="AG411" s="55"/>
      <c r="AH411" s="56">
        <v>207722</v>
      </c>
      <c r="AI411" s="85" t="s">
        <v>2459</v>
      </c>
      <c r="AJ411" s="7"/>
      <c r="AK411" s="7"/>
      <c r="AL411" s="7"/>
      <c r="AM411" s="7"/>
      <c r="AN411" s="7"/>
      <c r="AO411" s="7"/>
    </row>
    <row r="412" spans="1:41" ht="15" x14ac:dyDescent="0.2">
      <c r="A412" s="7"/>
      <c r="B412" s="31" t="s">
        <v>2797</v>
      </c>
      <c r="C412" s="2" t="s">
        <v>15218</v>
      </c>
      <c r="D412" s="7"/>
      <c r="E412" s="37">
        <v>5</v>
      </c>
      <c r="F412" s="7" t="s">
        <v>116</v>
      </c>
      <c r="G412" s="7"/>
      <c r="H412" s="2" t="s">
        <v>19341</v>
      </c>
      <c r="I412" s="2" t="s">
        <v>19366</v>
      </c>
      <c r="J412" s="2" t="s">
        <v>19367</v>
      </c>
      <c r="K412" s="2" t="s">
        <v>55</v>
      </c>
      <c r="L412" s="2"/>
      <c r="M412" s="6"/>
      <c r="N412" s="48"/>
      <c r="O412" s="45" t="str">
        <f t="shared" si="325"/>
        <v>Questionnaire</v>
      </c>
      <c r="P412" s="108" t="s">
        <v>19347</v>
      </c>
      <c r="Q412" s="60" t="s">
        <v>472</v>
      </c>
      <c r="R412" s="48" t="s">
        <v>19348</v>
      </c>
      <c r="S412" s="48" t="s">
        <v>172</v>
      </c>
      <c r="T412" s="49" t="s">
        <v>74</v>
      </c>
      <c r="U412" s="48" t="s">
        <v>75</v>
      </c>
      <c r="V412" s="49"/>
      <c r="W412" s="65">
        <v>3.43</v>
      </c>
      <c r="X412" s="49" t="s">
        <v>19349</v>
      </c>
      <c r="Y412" s="49" t="s">
        <v>2522</v>
      </c>
      <c r="Z412" s="49" t="s">
        <v>125</v>
      </c>
      <c r="AA412" s="65">
        <v>0.49</v>
      </c>
      <c r="AB412" s="48" t="s">
        <v>19353</v>
      </c>
      <c r="AC412" s="52" t="s">
        <v>19347</v>
      </c>
      <c r="AD412" s="53" t="str">
        <f t="shared" si="326"/>
        <v>Link</v>
      </c>
      <c r="AE412" s="42">
        <v>813</v>
      </c>
      <c r="AF412" s="55"/>
      <c r="AG412" s="55"/>
      <c r="AH412" s="56">
        <v>207722</v>
      </c>
      <c r="AI412" s="85" t="s">
        <v>2459</v>
      </c>
      <c r="AJ412" s="7"/>
      <c r="AK412" s="7"/>
      <c r="AL412" s="7"/>
      <c r="AM412" s="7"/>
      <c r="AN412" s="7"/>
      <c r="AO412" s="7"/>
    </row>
    <row r="413" spans="1:41" ht="15" x14ac:dyDescent="0.2">
      <c r="A413" s="7"/>
      <c r="B413" s="31" t="s">
        <v>9218</v>
      </c>
      <c r="C413" s="2" t="s">
        <v>15218</v>
      </c>
      <c r="D413" s="7" t="s">
        <v>19368</v>
      </c>
      <c r="E413" s="37">
        <v>5</v>
      </c>
      <c r="F413" s="48"/>
      <c r="G413" s="48"/>
      <c r="H413" s="2" t="s">
        <v>19370</v>
      </c>
      <c r="I413" s="2" t="s">
        <v>537</v>
      </c>
      <c r="J413" s="2" t="s">
        <v>1611</v>
      </c>
      <c r="K413" s="2" t="s">
        <v>48</v>
      </c>
      <c r="L413" s="2" t="s">
        <v>19371</v>
      </c>
      <c r="M413" s="6"/>
      <c r="N413" s="45" t="str">
        <f t="shared" ref="N413:N418" si="327">HYPERLINK("twitter.com/corbansoftball","@corbansoftball")</f>
        <v>@corbansoftball</v>
      </c>
      <c r="O413" s="45" t="str">
        <f t="shared" ref="O413:O418" si="328">HYPERLINK("https://corbanwarriors.com/sb_output.aspx?form=3&amp;tab=prospectivestudent-athletequestionnaire","Questionnaire")</f>
        <v>Questionnaire</v>
      </c>
      <c r="P413" s="108" t="s">
        <v>19372</v>
      </c>
      <c r="Q413" s="60" t="s">
        <v>3670</v>
      </c>
      <c r="R413" s="48" t="s">
        <v>5684</v>
      </c>
      <c r="S413" s="48" t="s">
        <v>62</v>
      </c>
      <c r="T413" s="49" t="s">
        <v>63</v>
      </c>
      <c r="U413" s="6" t="s">
        <v>2619</v>
      </c>
      <c r="V413" s="49"/>
      <c r="W413" s="65">
        <v>3.53</v>
      </c>
      <c r="X413" s="49" t="s">
        <v>675</v>
      </c>
      <c r="Y413" s="49" t="s">
        <v>276</v>
      </c>
      <c r="Z413" s="49" t="s">
        <v>278</v>
      </c>
      <c r="AA413" s="65">
        <v>0.35</v>
      </c>
      <c r="AB413" s="39">
        <v>43556</v>
      </c>
      <c r="AC413" s="52" t="s">
        <v>19372</v>
      </c>
      <c r="AD413" s="53" t="str">
        <f t="shared" ref="AD413:AD418" si="329">HYPERLINK("https://undergrad.corban.edu/majors","Link")</f>
        <v>Link</v>
      </c>
      <c r="AE413" s="42">
        <v>1022</v>
      </c>
      <c r="AF413" s="55"/>
      <c r="AG413" s="55"/>
      <c r="AH413" s="56">
        <v>210331</v>
      </c>
      <c r="AI413" s="55"/>
      <c r="AJ413" s="162"/>
    </row>
    <row r="414" spans="1:41" ht="15" x14ac:dyDescent="0.2">
      <c r="A414" s="7"/>
      <c r="B414" s="31" t="s">
        <v>9218</v>
      </c>
      <c r="C414" s="2" t="s">
        <v>15218</v>
      </c>
      <c r="D414" s="7" t="s">
        <v>19375</v>
      </c>
      <c r="E414" s="37">
        <v>5</v>
      </c>
      <c r="F414" s="48"/>
      <c r="G414" s="48"/>
      <c r="H414" s="2" t="s">
        <v>19370</v>
      </c>
      <c r="I414" s="2" t="s">
        <v>19376</v>
      </c>
      <c r="J414" s="2" t="s">
        <v>2919</v>
      </c>
      <c r="K414" s="2" t="s">
        <v>139</v>
      </c>
      <c r="L414" s="2" t="s">
        <v>19377</v>
      </c>
      <c r="M414" s="6"/>
      <c r="N414" s="45" t="str">
        <f t="shared" si="327"/>
        <v>@corbansoftball</v>
      </c>
      <c r="O414" s="45" t="str">
        <f t="shared" si="328"/>
        <v>Questionnaire</v>
      </c>
      <c r="P414" s="108" t="s">
        <v>19372</v>
      </c>
      <c r="Q414" s="60" t="s">
        <v>3670</v>
      </c>
      <c r="R414" s="48" t="s">
        <v>5684</v>
      </c>
      <c r="S414" s="48" t="s">
        <v>62</v>
      </c>
      <c r="T414" s="49" t="s">
        <v>63</v>
      </c>
      <c r="U414" s="6" t="s">
        <v>2619</v>
      </c>
      <c r="V414" s="49"/>
      <c r="W414" s="65">
        <v>3.53</v>
      </c>
      <c r="X414" s="49" t="s">
        <v>675</v>
      </c>
      <c r="Y414" s="49" t="s">
        <v>276</v>
      </c>
      <c r="Z414" s="49" t="s">
        <v>278</v>
      </c>
      <c r="AA414" s="65">
        <v>0.35</v>
      </c>
      <c r="AB414" s="39">
        <v>43556</v>
      </c>
      <c r="AC414" s="52" t="s">
        <v>19372</v>
      </c>
      <c r="AD414" s="53" t="str">
        <f t="shared" si="329"/>
        <v>Link</v>
      </c>
      <c r="AE414" s="42">
        <v>1022</v>
      </c>
      <c r="AF414" s="55"/>
      <c r="AG414" s="55"/>
      <c r="AH414" s="56">
        <v>210331</v>
      </c>
      <c r="AI414" s="55"/>
      <c r="AJ414" s="162"/>
    </row>
    <row r="415" spans="1:41" ht="15" x14ac:dyDescent="0.2">
      <c r="A415" s="7"/>
      <c r="B415" s="31" t="s">
        <v>9218</v>
      </c>
      <c r="C415" s="2" t="s">
        <v>15218</v>
      </c>
      <c r="D415" s="7" t="s">
        <v>19379</v>
      </c>
      <c r="E415" s="44">
        <v>5</v>
      </c>
      <c r="F415" s="48" t="s">
        <v>116</v>
      </c>
      <c r="G415" s="48"/>
      <c r="H415" s="2" t="s">
        <v>19370</v>
      </c>
      <c r="I415" s="7" t="s">
        <v>19380</v>
      </c>
      <c r="J415" s="7" t="s">
        <v>19381</v>
      </c>
      <c r="K415" s="7" t="s">
        <v>55</v>
      </c>
      <c r="L415" s="7"/>
      <c r="M415" s="48"/>
      <c r="N415" s="45" t="str">
        <f t="shared" si="327"/>
        <v>@corbansoftball</v>
      </c>
      <c r="O415" s="45" t="str">
        <f t="shared" si="328"/>
        <v>Questionnaire</v>
      </c>
      <c r="P415" s="108" t="s">
        <v>19372</v>
      </c>
      <c r="Q415" s="60" t="s">
        <v>3670</v>
      </c>
      <c r="R415" s="48" t="s">
        <v>5684</v>
      </c>
      <c r="S415" s="48" t="s">
        <v>62</v>
      </c>
      <c r="T415" s="49" t="s">
        <v>63</v>
      </c>
      <c r="U415" s="6" t="s">
        <v>2619</v>
      </c>
      <c r="V415" s="49"/>
      <c r="W415" s="65">
        <v>3.53</v>
      </c>
      <c r="X415" s="49" t="s">
        <v>675</v>
      </c>
      <c r="Y415" s="49" t="s">
        <v>276</v>
      </c>
      <c r="Z415" s="49" t="s">
        <v>278</v>
      </c>
      <c r="AA415" s="65">
        <v>0.35</v>
      </c>
      <c r="AB415" s="39">
        <v>43556</v>
      </c>
      <c r="AC415" s="52" t="s">
        <v>19372</v>
      </c>
      <c r="AD415" s="53" t="str">
        <f t="shared" si="329"/>
        <v>Link</v>
      </c>
      <c r="AE415" s="42">
        <v>1022</v>
      </c>
      <c r="AF415" s="55"/>
      <c r="AG415" s="55"/>
      <c r="AH415" s="56">
        <v>210331</v>
      </c>
      <c r="AI415" s="55"/>
      <c r="AJ415" s="162"/>
    </row>
    <row r="416" spans="1:41" ht="15" x14ac:dyDescent="0.2">
      <c r="A416" s="7"/>
      <c r="B416" s="31" t="s">
        <v>9218</v>
      </c>
      <c r="C416" s="2" t="s">
        <v>15218</v>
      </c>
      <c r="D416" s="7" t="s">
        <v>19389</v>
      </c>
      <c r="E416" s="44">
        <v>5</v>
      </c>
      <c r="F416" s="48" t="s">
        <v>116</v>
      </c>
      <c r="G416" s="48"/>
      <c r="H416" s="2" t="s">
        <v>19370</v>
      </c>
      <c r="I416" s="7" t="s">
        <v>6901</v>
      </c>
      <c r="J416" s="7" t="s">
        <v>14196</v>
      </c>
      <c r="K416" s="7" t="s">
        <v>55</v>
      </c>
      <c r="L416" s="7"/>
      <c r="M416" s="48"/>
      <c r="N416" s="45" t="str">
        <f t="shared" si="327"/>
        <v>@corbansoftball</v>
      </c>
      <c r="O416" s="45" t="str">
        <f t="shared" si="328"/>
        <v>Questionnaire</v>
      </c>
      <c r="P416" s="108" t="s">
        <v>19372</v>
      </c>
      <c r="Q416" s="60" t="s">
        <v>3670</v>
      </c>
      <c r="R416" s="48" t="s">
        <v>5684</v>
      </c>
      <c r="S416" s="48" t="s">
        <v>62</v>
      </c>
      <c r="T416" s="49" t="s">
        <v>63</v>
      </c>
      <c r="U416" s="6" t="s">
        <v>2619</v>
      </c>
      <c r="V416" s="49"/>
      <c r="W416" s="65">
        <v>3.53</v>
      </c>
      <c r="X416" s="49" t="s">
        <v>675</v>
      </c>
      <c r="Y416" s="49" t="s">
        <v>276</v>
      </c>
      <c r="Z416" s="49" t="s">
        <v>278</v>
      </c>
      <c r="AA416" s="65">
        <v>0.35</v>
      </c>
      <c r="AB416" s="39">
        <v>43556</v>
      </c>
      <c r="AC416" s="52" t="s">
        <v>19372</v>
      </c>
      <c r="AD416" s="53" t="str">
        <f t="shared" si="329"/>
        <v>Link</v>
      </c>
      <c r="AE416" s="42">
        <v>1022</v>
      </c>
      <c r="AF416" s="55"/>
      <c r="AG416" s="55"/>
      <c r="AH416" s="56">
        <v>210331</v>
      </c>
      <c r="AI416" s="55"/>
      <c r="AJ416" s="162"/>
    </row>
    <row r="417" spans="1:36" ht="15" x14ac:dyDescent="0.2">
      <c r="A417" s="7"/>
      <c r="B417" s="31" t="s">
        <v>9218</v>
      </c>
      <c r="C417" s="2" t="s">
        <v>15218</v>
      </c>
      <c r="D417" s="7" t="s">
        <v>19393</v>
      </c>
      <c r="E417" s="44">
        <v>5</v>
      </c>
      <c r="F417" s="48" t="s">
        <v>116</v>
      </c>
      <c r="G417" s="48"/>
      <c r="H417" s="2" t="s">
        <v>19370</v>
      </c>
      <c r="I417" s="7" t="s">
        <v>234</v>
      </c>
      <c r="J417" s="7" t="s">
        <v>19394</v>
      </c>
      <c r="K417" s="7" t="s">
        <v>55</v>
      </c>
      <c r="L417" s="7"/>
      <c r="M417" s="48"/>
      <c r="N417" s="45" t="str">
        <f t="shared" si="327"/>
        <v>@corbansoftball</v>
      </c>
      <c r="O417" s="45" t="str">
        <f t="shared" si="328"/>
        <v>Questionnaire</v>
      </c>
      <c r="P417" s="108" t="s">
        <v>19372</v>
      </c>
      <c r="Q417" s="60" t="s">
        <v>3670</v>
      </c>
      <c r="R417" s="48" t="s">
        <v>5684</v>
      </c>
      <c r="S417" s="48" t="s">
        <v>62</v>
      </c>
      <c r="T417" s="49" t="s">
        <v>63</v>
      </c>
      <c r="U417" s="6" t="s">
        <v>2619</v>
      </c>
      <c r="V417" s="49"/>
      <c r="W417" s="65">
        <v>3.53</v>
      </c>
      <c r="X417" s="49" t="s">
        <v>675</v>
      </c>
      <c r="Y417" s="49" t="s">
        <v>276</v>
      </c>
      <c r="Z417" s="49" t="s">
        <v>278</v>
      </c>
      <c r="AA417" s="65">
        <v>0.35</v>
      </c>
      <c r="AB417" s="39">
        <v>43556</v>
      </c>
      <c r="AC417" s="52" t="s">
        <v>19372</v>
      </c>
      <c r="AD417" s="53" t="str">
        <f t="shared" si="329"/>
        <v>Link</v>
      </c>
      <c r="AE417" s="42">
        <v>1022</v>
      </c>
      <c r="AF417" s="55"/>
      <c r="AG417" s="55"/>
      <c r="AH417" s="56">
        <v>210331</v>
      </c>
      <c r="AI417" s="55"/>
      <c r="AJ417" s="162"/>
    </row>
    <row r="418" spans="1:36" ht="15" x14ac:dyDescent="0.2">
      <c r="A418" s="7"/>
      <c r="B418" s="31" t="s">
        <v>9218</v>
      </c>
      <c r="C418" s="2" t="s">
        <v>15218</v>
      </c>
      <c r="D418" s="7" t="s">
        <v>19396</v>
      </c>
      <c r="E418" s="44">
        <v>5</v>
      </c>
      <c r="F418" s="48" t="s">
        <v>116</v>
      </c>
      <c r="G418" s="48"/>
      <c r="H418" s="2" t="s">
        <v>19370</v>
      </c>
      <c r="I418" s="7" t="s">
        <v>537</v>
      </c>
      <c r="J418" s="7" t="s">
        <v>3206</v>
      </c>
      <c r="K418" s="7" t="s">
        <v>55</v>
      </c>
      <c r="L418" s="7"/>
      <c r="M418" s="48"/>
      <c r="N418" s="45" t="str">
        <f t="shared" si="327"/>
        <v>@corbansoftball</v>
      </c>
      <c r="O418" s="45" t="str">
        <f t="shared" si="328"/>
        <v>Questionnaire</v>
      </c>
      <c r="P418" s="108" t="s">
        <v>19372</v>
      </c>
      <c r="Q418" s="60" t="s">
        <v>3670</v>
      </c>
      <c r="R418" s="48" t="s">
        <v>5684</v>
      </c>
      <c r="S418" s="48" t="s">
        <v>62</v>
      </c>
      <c r="T418" s="49" t="s">
        <v>63</v>
      </c>
      <c r="U418" s="6" t="s">
        <v>2619</v>
      </c>
      <c r="V418" s="49"/>
      <c r="W418" s="65">
        <v>3.53</v>
      </c>
      <c r="X418" s="49" t="s">
        <v>675</v>
      </c>
      <c r="Y418" s="49" t="s">
        <v>276</v>
      </c>
      <c r="Z418" s="49" t="s">
        <v>278</v>
      </c>
      <c r="AA418" s="65">
        <v>0.35</v>
      </c>
      <c r="AB418" s="39">
        <v>43556</v>
      </c>
      <c r="AC418" s="52" t="s">
        <v>19372</v>
      </c>
      <c r="AD418" s="53" t="str">
        <f t="shared" si="329"/>
        <v>Link</v>
      </c>
      <c r="AE418" s="42">
        <v>1022</v>
      </c>
      <c r="AF418" s="55"/>
      <c r="AG418" s="55"/>
      <c r="AH418" s="56">
        <v>210331</v>
      </c>
      <c r="AI418" s="55"/>
      <c r="AJ418" s="162"/>
    </row>
    <row r="419" spans="1:36" ht="13" x14ac:dyDescent="0.15">
      <c r="A419" s="7"/>
      <c r="B419" s="31" t="s">
        <v>9218</v>
      </c>
      <c r="C419" s="2" t="s">
        <v>15218</v>
      </c>
      <c r="D419" s="7" t="s">
        <v>19401</v>
      </c>
      <c r="E419" s="37">
        <v>5</v>
      </c>
      <c r="F419" s="48"/>
      <c r="G419" s="48"/>
      <c r="H419" s="2" t="s">
        <v>19402</v>
      </c>
      <c r="I419" s="2" t="s">
        <v>1052</v>
      </c>
      <c r="J419" s="2" t="s">
        <v>15653</v>
      </c>
      <c r="K419" s="2" t="s">
        <v>48</v>
      </c>
      <c r="L419" s="2" t="s">
        <v>19403</v>
      </c>
      <c r="M419" s="6" t="s">
        <v>19404</v>
      </c>
      <c r="N419" s="45" t="str">
        <f t="shared" ref="N419:N420" si="330">HYPERLINK("twitter.com/softballeou","@softballeou")</f>
        <v>@softballeou</v>
      </c>
      <c r="O419" s="45" t="str">
        <f t="shared" ref="O419:O420" si="331">HYPERLINK("https://eou.secure.force.com/form?formid=217732","Questionnaire")</f>
        <v>Questionnaire</v>
      </c>
      <c r="P419" s="6" t="s">
        <v>19407</v>
      </c>
      <c r="Q419" s="60" t="s">
        <v>3670</v>
      </c>
      <c r="R419" s="48" t="s">
        <v>19408</v>
      </c>
      <c r="S419" s="48" t="s">
        <v>172</v>
      </c>
      <c r="T419" s="49" t="s">
        <v>74</v>
      </c>
      <c r="U419" s="48" t="s">
        <v>75</v>
      </c>
      <c r="V419" s="49"/>
      <c r="W419" s="65">
        <v>3.3</v>
      </c>
      <c r="X419" s="49" t="s">
        <v>3428</v>
      </c>
      <c r="Y419" s="49" t="s">
        <v>1785</v>
      </c>
      <c r="Z419" s="49" t="s">
        <v>1339</v>
      </c>
      <c r="AA419" s="65">
        <v>0.97</v>
      </c>
      <c r="AB419" s="48" t="s">
        <v>19409</v>
      </c>
      <c r="AC419" s="84" t="s">
        <v>19407</v>
      </c>
      <c r="AD419" s="53" t="str">
        <f t="shared" ref="AD419:AD423" si="332">HYPERLINK("https://www.eou.edu/academics/on-campus-majors-and-minors/","Link")</f>
        <v>Link</v>
      </c>
      <c r="AE419" s="42">
        <v>2873</v>
      </c>
      <c r="AF419" s="55"/>
      <c r="AG419" s="55"/>
      <c r="AH419" s="56">
        <v>208646</v>
      </c>
      <c r="AI419" s="55"/>
      <c r="AJ419" s="162"/>
    </row>
    <row r="420" spans="1:36" ht="13" x14ac:dyDescent="0.15">
      <c r="A420" s="7"/>
      <c r="B420" s="31" t="s">
        <v>9218</v>
      </c>
      <c r="C420" s="2" t="s">
        <v>15218</v>
      </c>
      <c r="D420" s="7" t="s">
        <v>19414</v>
      </c>
      <c r="E420" s="37">
        <v>5</v>
      </c>
      <c r="F420" s="48"/>
      <c r="G420" s="48"/>
      <c r="H420" s="2" t="s">
        <v>19402</v>
      </c>
      <c r="I420" s="2" t="s">
        <v>1454</v>
      </c>
      <c r="J420" s="2" t="s">
        <v>19416</v>
      </c>
      <c r="K420" s="2" t="s">
        <v>139</v>
      </c>
      <c r="L420" s="2"/>
      <c r="M420" s="6"/>
      <c r="N420" s="45" t="str">
        <f t="shared" si="330"/>
        <v>@softballeou</v>
      </c>
      <c r="O420" s="45" t="str">
        <f t="shared" si="331"/>
        <v>Questionnaire</v>
      </c>
      <c r="P420" s="6" t="s">
        <v>19407</v>
      </c>
      <c r="Q420" s="60" t="s">
        <v>3670</v>
      </c>
      <c r="R420" s="48" t="s">
        <v>19408</v>
      </c>
      <c r="S420" s="48" t="s">
        <v>172</v>
      </c>
      <c r="T420" s="49" t="s">
        <v>74</v>
      </c>
      <c r="U420" s="48" t="s">
        <v>75</v>
      </c>
      <c r="V420" s="49"/>
      <c r="W420" s="65">
        <v>3.3</v>
      </c>
      <c r="X420" s="49" t="s">
        <v>3428</v>
      </c>
      <c r="Y420" s="49" t="s">
        <v>1785</v>
      </c>
      <c r="Z420" s="49" t="s">
        <v>1339</v>
      </c>
      <c r="AA420" s="65">
        <v>0.97</v>
      </c>
      <c r="AB420" s="48" t="s">
        <v>19409</v>
      </c>
      <c r="AC420" s="84" t="s">
        <v>19407</v>
      </c>
      <c r="AD420" s="53" t="str">
        <f t="shared" si="332"/>
        <v>Link</v>
      </c>
      <c r="AE420" s="42">
        <v>2873</v>
      </c>
      <c r="AF420" s="55"/>
      <c r="AG420" s="55"/>
      <c r="AH420" s="56">
        <v>208646</v>
      </c>
      <c r="AI420" s="55"/>
      <c r="AJ420" s="162"/>
    </row>
    <row r="421" spans="1:36" ht="13" x14ac:dyDescent="0.15">
      <c r="A421" s="7"/>
      <c r="B421" s="31" t="s">
        <v>9218</v>
      </c>
      <c r="C421" s="2" t="s">
        <v>15218</v>
      </c>
      <c r="D421" s="7" t="s">
        <v>19419</v>
      </c>
      <c r="E421" s="44">
        <v>5</v>
      </c>
      <c r="F421" s="48"/>
      <c r="G421" s="48"/>
      <c r="H421" s="2" t="s">
        <v>19402</v>
      </c>
      <c r="I421" s="7" t="s">
        <v>481</v>
      </c>
      <c r="J421" s="7" t="s">
        <v>15653</v>
      </c>
      <c r="K421" s="7" t="s">
        <v>55</v>
      </c>
      <c r="L421" s="7"/>
      <c r="M421" s="48"/>
      <c r="N421" s="48"/>
      <c r="O421" s="48"/>
      <c r="P421" s="48" t="s">
        <v>19407</v>
      </c>
      <c r="Q421" s="60" t="s">
        <v>3670</v>
      </c>
      <c r="R421" s="48" t="s">
        <v>19408</v>
      </c>
      <c r="S421" s="48" t="s">
        <v>172</v>
      </c>
      <c r="T421" s="4" t="s">
        <v>74</v>
      </c>
      <c r="U421" s="48" t="s">
        <v>75</v>
      </c>
      <c r="V421" s="49"/>
      <c r="W421" s="61">
        <v>3.3</v>
      </c>
      <c r="X421" s="49" t="s">
        <v>3428</v>
      </c>
      <c r="Y421" s="49" t="s">
        <v>1785</v>
      </c>
      <c r="Z421" s="49" t="s">
        <v>1339</v>
      </c>
      <c r="AA421" s="65">
        <v>0.97</v>
      </c>
      <c r="AB421" s="48" t="s">
        <v>19409</v>
      </c>
      <c r="AC421" s="62" t="s">
        <v>19407</v>
      </c>
      <c r="AD421" s="53" t="str">
        <f t="shared" si="332"/>
        <v>Link</v>
      </c>
      <c r="AE421" s="42">
        <v>2873</v>
      </c>
      <c r="AF421" s="55"/>
      <c r="AG421" s="55"/>
      <c r="AH421" s="56">
        <v>208646</v>
      </c>
      <c r="AI421" s="55"/>
      <c r="AJ421" s="162"/>
    </row>
    <row r="422" spans="1:36" ht="13" x14ac:dyDescent="0.15">
      <c r="A422" s="7"/>
      <c r="B422" s="31" t="s">
        <v>9218</v>
      </c>
      <c r="C422" s="2" t="s">
        <v>15218</v>
      </c>
      <c r="D422" s="7" t="s">
        <v>19424</v>
      </c>
      <c r="E422" s="44">
        <v>5</v>
      </c>
      <c r="F422" s="48"/>
      <c r="G422" s="48"/>
      <c r="H422" s="2" t="s">
        <v>19402</v>
      </c>
      <c r="I422" s="7" t="s">
        <v>8860</v>
      </c>
      <c r="J422" s="7" t="s">
        <v>7470</v>
      </c>
      <c r="K422" s="7" t="s">
        <v>55</v>
      </c>
      <c r="L422" s="7"/>
      <c r="M422" s="48"/>
      <c r="N422" s="48"/>
      <c r="O422" s="48"/>
      <c r="P422" s="48" t="s">
        <v>19407</v>
      </c>
      <c r="Q422" s="60" t="s">
        <v>3670</v>
      </c>
      <c r="R422" s="48" t="s">
        <v>19408</v>
      </c>
      <c r="S422" s="48" t="s">
        <v>172</v>
      </c>
      <c r="T422" s="4" t="s">
        <v>74</v>
      </c>
      <c r="U422" s="48" t="s">
        <v>75</v>
      </c>
      <c r="V422" s="49"/>
      <c r="W422" s="61">
        <v>3.3</v>
      </c>
      <c r="X422" s="49" t="s">
        <v>3428</v>
      </c>
      <c r="Y422" s="49" t="s">
        <v>1785</v>
      </c>
      <c r="Z422" s="49" t="s">
        <v>1339</v>
      </c>
      <c r="AA422" s="65">
        <v>0.97</v>
      </c>
      <c r="AB422" s="48" t="s">
        <v>19409</v>
      </c>
      <c r="AC422" s="62" t="s">
        <v>19407</v>
      </c>
      <c r="AD422" s="53" t="str">
        <f t="shared" si="332"/>
        <v>Link</v>
      </c>
      <c r="AE422" s="42">
        <v>2873</v>
      </c>
      <c r="AF422" s="55"/>
      <c r="AG422" s="55"/>
      <c r="AH422" s="56">
        <v>208646</v>
      </c>
      <c r="AI422" s="55"/>
      <c r="AJ422" s="162"/>
    </row>
    <row r="423" spans="1:36" ht="13" x14ac:dyDescent="0.15">
      <c r="A423" s="7"/>
      <c r="B423" s="31" t="s">
        <v>9218</v>
      </c>
      <c r="C423" s="2" t="s">
        <v>15218</v>
      </c>
      <c r="D423" s="7" t="s">
        <v>19430</v>
      </c>
      <c r="E423" s="44">
        <v>5</v>
      </c>
      <c r="F423" s="48"/>
      <c r="G423" s="48"/>
      <c r="H423" s="2" t="s">
        <v>19402</v>
      </c>
      <c r="I423" s="7" t="s">
        <v>8749</v>
      </c>
      <c r="J423" s="7" t="s">
        <v>9150</v>
      </c>
      <c r="K423" s="7" t="s">
        <v>55</v>
      </c>
      <c r="L423" s="7"/>
      <c r="M423" s="48"/>
      <c r="N423" s="48"/>
      <c r="O423" s="48"/>
      <c r="P423" s="48" t="s">
        <v>19407</v>
      </c>
      <c r="Q423" s="60" t="s">
        <v>3670</v>
      </c>
      <c r="R423" s="48" t="s">
        <v>19408</v>
      </c>
      <c r="S423" s="48" t="s">
        <v>172</v>
      </c>
      <c r="T423" s="4" t="s">
        <v>74</v>
      </c>
      <c r="U423" s="48" t="s">
        <v>75</v>
      </c>
      <c r="V423" s="49"/>
      <c r="W423" s="61">
        <v>3.3</v>
      </c>
      <c r="X423" s="49" t="s">
        <v>3428</v>
      </c>
      <c r="Y423" s="49" t="s">
        <v>1785</v>
      </c>
      <c r="Z423" s="49" t="s">
        <v>1339</v>
      </c>
      <c r="AA423" s="65">
        <v>0.97</v>
      </c>
      <c r="AB423" s="48" t="s">
        <v>19409</v>
      </c>
      <c r="AC423" s="62" t="s">
        <v>19407</v>
      </c>
      <c r="AD423" s="53" t="str">
        <f t="shared" si="332"/>
        <v>Link</v>
      </c>
      <c r="AE423" s="42">
        <v>2873</v>
      </c>
      <c r="AF423" s="55"/>
      <c r="AG423" s="55"/>
      <c r="AH423" s="56">
        <v>208646</v>
      </c>
      <c r="AI423" s="55"/>
      <c r="AJ423" s="162"/>
    </row>
    <row r="424" spans="1:36" ht="13" x14ac:dyDescent="0.15">
      <c r="A424" s="7"/>
      <c r="B424" s="31" t="s">
        <v>9218</v>
      </c>
      <c r="C424" s="2" t="s">
        <v>15218</v>
      </c>
      <c r="D424" s="7" t="s">
        <v>19434</v>
      </c>
      <c r="E424" s="37">
        <v>5</v>
      </c>
      <c r="F424" s="48"/>
      <c r="G424" s="48"/>
      <c r="H424" s="2" t="s">
        <v>19435</v>
      </c>
      <c r="I424" s="2" t="s">
        <v>234</v>
      </c>
      <c r="J424" s="2" t="s">
        <v>19436</v>
      </c>
      <c r="K424" s="2" t="s">
        <v>48</v>
      </c>
      <c r="L424" s="2" t="s">
        <v>19437</v>
      </c>
      <c r="M424" s="6" t="s">
        <v>19438</v>
      </c>
      <c r="N424" s="45" t="str">
        <f t="shared" ref="N424:N426" si="333">HYPERLINK("twitter.com/gobeacons","@gobeacons")</f>
        <v>@gobeacons</v>
      </c>
      <c r="O424" s="45" t="str">
        <f t="shared" ref="O424:O426" si="334">HYPERLINK("https://gobeacons.com/sports/2008/5/9/Become_a_Beacon.aspx","Questionnaire")</f>
        <v>Questionnaire</v>
      </c>
      <c r="P424" s="6" t="s">
        <v>19442</v>
      </c>
      <c r="Q424" s="60" t="s">
        <v>3670</v>
      </c>
      <c r="R424" s="48" t="s">
        <v>10884</v>
      </c>
      <c r="S424" s="48" t="s">
        <v>62</v>
      </c>
      <c r="T424" s="49" t="s">
        <v>63</v>
      </c>
      <c r="U424" s="6" t="s">
        <v>410</v>
      </c>
      <c r="V424" s="49"/>
      <c r="W424" s="65">
        <v>3.39</v>
      </c>
      <c r="X424" s="49" t="s">
        <v>19443</v>
      </c>
      <c r="Y424" s="49" t="s">
        <v>1453</v>
      </c>
      <c r="Z424" s="49" t="s">
        <v>4743</v>
      </c>
      <c r="AA424" s="65">
        <v>0.67</v>
      </c>
      <c r="AB424" s="39">
        <v>39820</v>
      </c>
      <c r="AC424" s="84" t="s">
        <v>19442</v>
      </c>
      <c r="AD424" s="53" t="str">
        <f t="shared" ref="AD424:AD427" si="335">HYPERLINK("https://www.nwcu.edu/undergraduate/majors/","Link")</f>
        <v>Link</v>
      </c>
      <c r="AE424" s="42">
        <v>566</v>
      </c>
      <c r="AF424" s="55"/>
      <c r="AG424" s="55"/>
      <c r="AH424" s="56">
        <v>209409</v>
      </c>
      <c r="AI424" s="55"/>
      <c r="AJ424" s="162"/>
    </row>
    <row r="425" spans="1:36" ht="13" x14ac:dyDescent="0.15">
      <c r="A425" s="7"/>
      <c r="B425" s="31" t="s">
        <v>9218</v>
      </c>
      <c r="C425" s="2" t="s">
        <v>15218</v>
      </c>
      <c r="D425" s="7" t="s">
        <v>19447</v>
      </c>
      <c r="E425" s="37">
        <v>5</v>
      </c>
      <c r="F425" s="48"/>
      <c r="G425" s="48"/>
      <c r="H425" s="2" t="s">
        <v>19435</v>
      </c>
      <c r="I425" s="2" t="s">
        <v>991</v>
      </c>
      <c r="J425" s="2" t="s">
        <v>249</v>
      </c>
      <c r="K425" s="2" t="s">
        <v>55</v>
      </c>
      <c r="L425" s="2"/>
      <c r="M425" s="6"/>
      <c r="N425" s="45" t="str">
        <f t="shared" si="333"/>
        <v>@gobeacons</v>
      </c>
      <c r="O425" s="45" t="str">
        <f t="shared" si="334"/>
        <v>Questionnaire</v>
      </c>
      <c r="P425" s="6" t="s">
        <v>19442</v>
      </c>
      <c r="Q425" s="60" t="s">
        <v>3670</v>
      </c>
      <c r="R425" s="48" t="s">
        <v>10884</v>
      </c>
      <c r="S425" s="48" t="s">
        <v>62</v>
      </c>
      <c r="T425" s="49" t="s">
        <v>63</v>
      </c>
      <c r="U425" s="6" t="s">
        <v>410</v>
      </c>
      <c r="V425" s="49"/>
      <c r="W425" s="65">
        <v>3.39</v>
      </c>
      <c r="X425" s="49" t="s">
        <v>19443</v>
      </c>
      <c r="Y425" s="49" t="s">
        <v>1453</v>
      </c>
      <c r="Z425" s="49" t="s">
        <v>4743</v>
      </c>
      <c r="AA425" s="65">
        <v>0.67</v>
      </c>
      <c r="AB425" s="39">
        <v>39820</v>
      </c>
      <c r="AC425" s="84" t="s">
        <v>19442</v>
      </c>
      <c r="AD425" s="53" t="str">
        <f t="shared" si="335"/>
        <v>Link</v>
      </c>
      <c r="AE425" s="42">
        <v>566</v>
      </c>
      <c r="AF425" s="55"/>
      <c r="AG425" s="55"/>
      <c r="AH425" s="56">
        <v>209409</v>
      </c>
      <c r="AI425" s="55"/>
      <c r="AJ425" s="162"/>
    </row>
    <row r="426" spans="1:36" ht="13" x14ac:dyDescent="0.15">
      <c r="A426" s="7"/>
      <c r="B426" s="31" t="s">
        <v>9218</v>
      </c>
      <c r="C426" s="2" t="s">
        <v>15218</v>
      </c>
      <c r="D426" s="7" t="s">
        <v>19452</v>
      </c>
      <c r="E426" s="37">
        <v>5</v>
      </c>
      <c r="F426" s="48"/>
      <c r="G426" s="48"/>
      <c r="H426" s="2" t="s">
        <v>19435</v>
      </c>
      <c r="I426" s="2" t="s">
        <v>19453</v>
      </c>
      <c r="J426" s="2" t="s">
        <v>19454</v>
      </c>
      <c r="K426" s="2" t="s">
        <v>919</v>
      </c>
      <c r="L426" s="2"/>
      <c r="M426" s="6"/>
      <c r="N426" s="45" t="str">
        <f t="shared" si="333"/>
        <v>@gobeacons</v>
      </c>
      <c r="O426" s="45" t="str">
        <f t="shared" si="334"/>
        <v>Questionnaire</v>
      </c>
      <c r="P426" s="6" t="s">
        <v>19442</v>
      </c>
      <c r="Q426" s="60" t="s">
        <v>3670</v>
      </c>
      <c r="R426" s="48" t="s">
        <v>10884</v>
      </c>
      <c r="S426" s="48" t="s">
        <v>62</v>
      </c>
      <c r="T426" s="49" t="s">
        <v>63</v>
      </c>
      <c r="U426" s="6" t="s">
        <v>410</v>
      </c>
      <c r="V426" s="49"/>
      <c r="W426" s="65">
        <v>3.39</v>
      </c>
      <c r="X426" s="49" t="s">
        <v>19443</v>
      </c>
      <c r="Y426" s="49" t="s">
        <v>1453</v>
      </c>
      <c r="Z426" s="49" t="s">
        <v>4743</v>
      </c>
      <c r="AA426" s="65">
        <v>0.67</v>
      </c>
      <c r="AB426" s="39">
        <v>39820</v>
      </c>
      <c r="AC426" s="84" t="s">
        <v>19442</v>
      </c>
      <c r="AD426" s="53" t="str">
        <f t="shared" si="335"/>
        <v>Link</v>
      </c>
      <c r="AE426" s="42">
        <v>566</v>
      </c>
      <c r="AF426" s="55"/>
      <c r="AG426" s="55"/>
      <c r="AH426" s="56">
        <v>209409</v>
      </c>
      <c r="AI426" s="55"/>
      <c r="AJ426" s="162"/>
    </row>
    <row r="427" spans="1:36" ht="13" x14ac:dyDescent="0.15">
      <c r="A427" s="7"/>
      <c r="B427" s="31" t="s">
        <v>9218</v>
      </c>
      <c r="C427" s="2" t="s">
        <v>15218</v>
      </c>
      <c r="D427" s="7" t="s">
        <v>19460</v>
      </c>
      <c r="E427" s="44">
        <v>5</v>
      </c>
      <c r="F427" s="48"/>
      <c r="G427" s="48"/>
      <c r="H427" s="2" t="s">
        <v>19435</v>
      </c>
      <c r="I427" s="7" t="s">
        <v>338</v>
      </c>
      <c r="J427" s="7" t="s">
        <v>7113</v>
      </c>
      <c r="K427" s="7" t="s">
        <v>55</v>
      </c>
      <c r="L427" s="7"/>
      <c r="M427" s="48"/>
      <c r="N427" s="48"/>
      <c r="O427" s="48"/>
      <c r="P427" s="48" t="s">
        <v>19442</v>
      </c>
      <c r="Q427" s="60" t="s">
        <v>3670</v>
      </c>
      <c r="R427" s="48" t="s">
        <v>10884</v>
      </c>
      <c r="S427" s="48" t="s">
        <v>62</v>
      </c>
      <c r="T427" s="49" t="s">
        <v>63</v>
      </c>
      <c r="U427" s="6" t="s">
        <v>410</v>
      </c>
      <c r="V427" s="49"/>
      <c r="W427" s="61">
        <v>3.39</v>
      </c>
      <c r="X427" s="49" t="s">
        <v>19443</v>
      </c>
      <c r="Y427" s="49" t="s">
        <v>1453</v>
      </c>
      <c r="Z427" s="49" t="s">
        <v>4743</v>
      </c>
      <c r="AA427" s="65">
        <v>0.67</v>
      </c>
      <c r="AB427" s="39">
        <v>39820</v>
      </c>
      <c r="AC427" s="84" t="s">
        <v>19442</v>
      </c>
      <c r="AD427" s="53" t="str">
        <f t="shared" si="335"/>
        <v>Link</v>
      </c>
      <c r="AE427" s="42">
        <v>566</v>
      </c>
      <c r="AF427" s="55"/>
      <c r="AG427" s="55"/>
      <c r="AH427" s="56">
        <v>209409</v>
      </c>
      <c r="AI427" s="55"/>
      <c r="AJ427" s="162"/>
    </row>
    <row r="428" spans="1:36" ht="13" x14ac:dyDescent="0.15">
      <c r="A428" s="7"/>
      <c r="B428" s="31" t="s">
        <v>9218</v>
      </c>
      <c r="C428" s="2" t="s">
        <v>15218</v>
      </c>
      <c r="D428" s="7" t="s">
        <v>19463</v>
      </c>
      <c r="E428" s="37">
        <v>5</v>
      </c>
      <c r="F428" s="48"/>
      <c r="G428" s="48"/>
      <c r="H428" s="2" t="s">
        <v>19464</v>
      </c>
      <c r="I428" s="2" t="s">
        <v>439</v>
      </c>
      <c r="J428" s="2" t="s">
        <v>3832</v>
      </c>
      <c r="K428" s="2" t="s">
        <v>48</v>
      </c>
      <c r="L428" s="2" t="s">
        <v>19465</v>
      </c>
      <c r="M428" s="6" t="s">
        <v>19466</v>
      </c>
      <c r="N428" s="48"/>
      <c r="O428" s="45" t="str">
        <f t="shared" ref="O428:O429" si="336">HYPERLINK("https://oregontechowls.com/sb_output.aspx?form=3","Questionnaire")</f>
        <v>Questionnaire</v>
      </c>
      <c r="P428" s="6" t="s">
        <v>19472</v>
      </c>
      <c r="Q428" s="60" t="s">
        <v>3670</v>
      </c>
      <c r="R428" s="48" t="s">
        <v>19473</v>
      </c>
      <c r="S428" s="48" t="s">
        <v>172</v>
      </c>
      <c r="T428" s="49" t="s">
        <v>74</v>
      </c>
      <c r="U428" s="48" t="s">
        <v>75</v>
      </c>
      <c r="V428" s="49"/>
      <c r="W428" s="65">
        <v>3.41</v>
      </c>
      <c r="X428" s="49" t="s">
        <v>1029</v>
      </c>
      <c r="Y428" s="49" t="s">
        <v>1648</v>
      </c>
      <c r="Z428" s="49" t="s">
        <v>1715</v>
      </c>
      <c r="AA428" s="65">
        <v>0.73</v>
      </c>
      <c r="AB428" s="48" t="s">
        <v>19474</v>
      </c>
      <c r="AC428" s="84" t="s">
        <v>19472</v>
      </c>
      <c r="AD428" s="53" t="str">
        <f t="shared" ref="AD428:AD431" si="337">HYPERLINK("http://www.oit.edu/academics/all","Link")</f>
        <v>Link</v>
      </c>
      <c r="AE428" s="42">
        <v>5145</v>
      </c>
      <c r="AF428" s="55"/>
      <c r="AG428" s="55"/>
      <c r="AH428" s="56">
        <v>209506</v>
      </c>
      <c r="AI428" s="55"/>
      <c r="AJ428" s="162"/>
    </row>
    <row r="429" spans="1:36" ht="13" x14ac:dyDescent="0.15">
      <c r="A429" s="7"/>
      <c r="B429" s="31" t="s">
        <v>9218</v>
      </c>
      <c r="C429" s="2" t="s">
        <v>15218</v>
      </c>
      <c r="D429" s="7" t="s">
        <v>19481</v>
      </c>
      <c r="E429" s="37">
        <v>5</v>
      </c>
      <c r="F429" s="48"/>
      <c r="G429" s="48"/>
      <c r="H429" s="2" t="s">
        <v>19464</v>
      </c>
      <c r="I429" s="2" t="s">
        <v>1217</v>
      </c>
      <c r="J429" s="2" t="s">
        <v>19482</v>
      </c>
      <c r="K429" s="2" t="s">
        <v>55</v>
      </c>
      <c r="L429" s="2"/>
      <c r="M429" s="6"/>
      <c r="N429" s="48"/>
      <c r="O429" s="45" t="str">
        <f t="shared" si="336"/>
        <v>Questionnaire</v>
      </c>
      <c r="P429" s="6" t="s">
        <v>19472</v>
      </c>
      <c r="Q429" s="60" t="s">
        <v>3670</v>
      </c>
      <c r="R429" s="48" t="s">
        <v>19473</v>
      </c>
      <c r="S429" s="48" t="s">
        <v>172</v>
      </c>
      <c r="T429" s="49" t="s">
        <v>74</v>
      </c>
      <c r="U429" s="48" t="s">
        <v>75</v>
      </c>
      <c r="V429" s="49"/>
      <c r="W429" s="65">
        <v>3.41</v>
      </c>
      <c r="X429" s="49" t="s">
        <v>1029</v>
      </c>
      <c r="Y429" s="49" t="s">
        <v>1648</v>
      </c>
      <c r="Z429" s="49" t="s">
        <v>1715</v>
      </c>
      <c r="AA429" s="65">
        <v>0.73</v>
      </c>
      <c r="AB429" s="48" t="s">
        <v>19474</v>
      </c>
      <c r="AC429" s="84" t="s">
        <v>19472</v>
      </c>
      <c r="AD429" s="53" t="str">
        <f t="shared" si="337"/>
        <v>Link</v>
      </c>
      <c r="AE429" s="42">
        <v>5145</v>
      </c>
      <c r="AF429" s="55"/>
      <c r="AG429" s="55"/>
      <c r="AH429" s="56">
        <v>209506</v>
      </c>
      <c r="AI429" s="55"/>
      <c r="AJ429" s="162"/>
    </row>
    <row r="430" spans="1:36" ht="13" x14ac:dyDescent="0.15">
      <c r="A430" s="7"/>
      <c r="B430" s="31" t="s">
        <v>9218</v>
      </c>
      <c r="C430" s="2" t="s">
        <v>15218</v>
      </c>
      <c r="D430" s="7" t="s">
        <v>19487</v>
      </c>
      <c r="E430" s="44">
        <v>5</v>
      </c>
      <c r="F430" s="48"/>
      <c r="G430" s="48"/>
      <c r="H430" s="2" t="s">
        <v>19464</v>
      </c>
      <c r="I430" s="7" t="s">
        <v>2806</v>
      </c>
      <c r="J430" s="7" t="s">
        <v>1482</v>
      </c>
      <c r="K430" s="7" t="s">
        <v>55</v>
      </c>
      <c r="L430" s="7"/>
      <c r="M430" s="48"/>
      <c r="N430" s="48"/>
      <c r="O430" s="48"/>
      <c r="P430" s="48" t="s">
        <v>19472</v>
      </c>
      <c r="Q430" s="47" t="s">
        <v>3670</v>
      </c>
      <c r="R430" s="48" t="s">
        <v>19473</v>
      </c>
      <c r="S430" s="48" t="s">
        <v>172</v>
      </c>
      <c r="T430" s="49" t="s">
        <v>74</v>
      </c>
      <c r="U430" s="48" t="s">
        <v>75</v>
      </c>
      <c r="V430" s="49"/>
      <c r="W430" s="61">
        <v>3.41</v>
      </c>
      <c r="X430" s="49" t="s">
        <v>1029</v>
      </c>
      <c r="Y430" s="49" t="s">
        <v>1648</v>
      </c>
      <c r="Z430" s="49" t="s">
        <v>1715</v>
      </c>
      <c r="AA430" s="61">
        <v>0.73</v>
      </c>
      <c r="AB430" s="48" t="s">
        <v>19474</v>
      </c>
      <c r="AC430" s="62" t="s">
        <v>19472</v>
      </c>
      <c r="AD430" s="53" t="str">
        <f t="shared" si="337"/>
        <v>Link</v>
      </c>
      <c r="AE430" s="54">
        <v>5145</v>
      </c>
      <c r="AF430" s="55"/>
      <c r="AG430" s="55"/>
      <c r="AH430" s="56">
        <v>209506</v>
      </c>
      <c r="AI430" s="55"/>
      <c r="AJ430" s="162"/>
    </row>
    <row r="431" spans="1:36" ht="13" x14ac:dyDescent="0.15">
      <c r="A431" s="7"/>
      <c r="B431" s="31" t="s">
        <v>9218</v>
      </c>
      <c r="C431" s="2" t="s">
        <v>15218</v>
      </c>
      <c r="D431" s="7" t="s">
        <v>19491</v>
      </c>
      <c r="E431" s="44">
        <v>5</v>
      </c>
      <c r="F431" s="48"/>
      <c r="G431" s="48"/>
      <c r="H431" s="2" t="s">
        <v>19464</v>
      </c>
      <c r="I431" s="7" t="s">
        <v>130</v>
      </c>
      <c r="J431" s="7" t="s">
        <v>7756</v>
      </c>
      <c r="K431" s="7" t="s">
        <v>55</v>
      </c>
      <c r="L431" s="7"/>
      <c r="M431" s="48"/>
      <c r="N431" s="48"/>
      <c r="O431" s="48"/>
      <c r="P431" s="48" t="s">
        <v>19472</v>
      </c>
      <c r="Q431" s="47" t="s">
        <v>3670</v>
      </c>
      <c r="R431" s="48" t="s">
        <v>19473</v>
      </c>
      <c r="S431" s="48" t="s">
        <v>172</v>
      </c>
      <c r="T431" s="49" t="s">
        <v>74</v>
      </c>
      <c r="U431" s="48" t="s">
        <v>75</v>
      </c>
      <c r="V431" s="49"/>
      <c r="W431" s="61">
        <v>3.41</v>
      </c>
      <c r="X431" s="49" t="s">
        <v>1029</v>
      </c>
      <c r="Y431" s="49" t="s">
        <v>1648</v>
      </c>
      <c r="Z431" s="49" t="s">
        <v>1715</v>
      </c>
      <c r="AA431" s="61">
        <v>0.73</v>
      </c>
      <c r="AB431" s="48" t="s">
        <v>19474</v>
      </c>
      <c r="AC431" s="62" t="s">
        <v>19472</v>
      </c>
      <c r="AD431" s="53" t="str">
        <f t="shared" si="337"/>
        <v>Link</v>
      </c>
      <c r="AE431" s="54">
        <v>5145</v>
      </c>
      <c r="AF431" s="55"/>
      <c r="AG431" s="55"/>
      <c r="AH431" s="56">
        <v>209506</v>
      </c>
      <c r="AI431" s="55"/>
      <c r="AJ431" s="162"/>
    </row>
    <row r="432" spans="1:36" ht="13" x14ac:dyDescent="0.15">
      <c r="A432" s="7"/>
      <c r="B432" s="31" t="s">
        <v>9218</v>
      </c>
      <c r="C432" s="2" t="s">
        <v>15218</v>
      </c>
      <c r="D432" s="7" t="s">
        <v>19497</v>
      </c>
      <c r="E432" s="37">
        <v>5</v>
      </c>
      <c r="F432" s="48"/>
      <c r="G432" s="48"/>
      <c r="H432" s="2" t="s">
        <v>19498</v>
      </c>
      <c r="I432" s="2" t="s">
        <v>421</v>
      </c>
      <c r="J432" s="2"/>
      <c r="K432" s="2" t="s">
        <v>48</v>
      </c>
      <c r="L432" s="2"/>
      <c r="M432" s="6"/>
      <c r="N432" s="48"/>
      <c r="O432" s="45" t="str">
        <f t="shared" ref="O432:O435" si="338">HYPERLINK("https://souraiders.com/sb_output.aspx?form=8","Questionnaire")</f>
        <v>Questionnaire</v>
      </c>
      <c r="P432" s="60" t="s">
        <v>19500</v>
      </c>
      <c r="Q432" s="60" t="s">
        <v>3670</v>
      </c>
      <c r="R432" s="48" t="s">
        <v>8374</v>
      </c>
      <c r="S432" s="48" t="s">
        <v>172</v>
      </c>
      <c r="T432" s="49" t="s">
        <v>74</v>
      </c>
      <c r="U432" s="48" t="s">
        <v>75</v>
      </c>
      <c r="V432" s="49"/>
      <c r="W432" s="65">
        <v>3.32</v>
      </c>
      <c r="X432" s="49" t="s">
        <v>276</v>
      </c>
      <c r="Y432" s="49" t="s">
        <v>1144</v>
      </c>
      <c r="Z432" s="49" t="s">
        <v>746</v>
      </c>
      <c r="AA432" s="65">
        <v>0.78</v>
      </c>
      <c r="AB432" s="48" t="s">
        <v>19503</v>
      </c>
      <c r="AC432" s="90" t="s">
        <v>19500</v>
      </c>
      <c r="AD432" s="53" t="str">
        <f t="shared" ref="AD432:AD435" si="339">HYPERLINK("http://sou.edu/academics/","Link")</f>
        <v>Link</v>
      </c>
      <c r="AE432" s="42">
        <v>5607</v>
      </c>
      <c r="AF432" s="55"/>
      <c r="AG432" s="55"/>
      <c r="AH432" s="56">
        <v>210146</v>
      </c>
      <c r="AI432" s="55"/>
      <c r="AJ432" s="162"/>
    </row>
    <row r="433" spans="1:41" ht="13" x14ac:dyDescent="0.15">
      <c r="A433" s="7"/>
      <c r="B433" s="31" t="s">
        <v>9218</v>
      </c>
      <c r="C433" s="2" t="s">
        <v>15218</v>
      </c>
      <c r="D433" s="7" t="s">
        <v>19505</v>
      </c>
      <c r="E433" s="37">
        <v>5</v>
      </c>
      <c r="F433" s="48"/>
      <c r="G433" s="48"/>
      <c r="H433" s="2" t="s">
        <v>19498</v>
      </c>
      <c r="I433" s="2" t="s">
        <v>754</v>
      </c>
      <c r="J433" s="2" t="s">
        <v>19507</v>
      </c>
      <c r="K433" s="2" t="s">
        <v>1423</v>
      </c>
      <c r="L433" s="2" t="s">
        <v>19508</v>
      </c>
      <c r="M433" s="6"/>
      <c r="N433" s="48"/>
      <c r="O433" s="45" t="str">
        <f t="shared" si="338"/>
        <v>Questionnaire</v>
      </c>
      <c r="P433" s="60" t="s">
        <v>19500</v>
      </c>
      <c r="Q433" s="60" t="s">
        <v>3670</v>
      </c>
      <c r="R433" s="48" t="s">
        <v>8374</v>
      </c>
      <c r="S433" s="48" t="s">
        <v>172</v>
      </c>
      <c r="T433" s="49" t="s">
        <v>74</v>
      </c>
      <c r="U433" s="48" t="s">
        <v>75</v>
      </c>
      <c r="V433" s="49"/>
      <c r="W433" s="65">
        <v>3.32</v>
      </c>
      <c r="X433" s="49" t="s">
        <v>276</v>
      </c>
      <c r="Y433" s="49" t="s">
        <v>1144</v>
      </c>
      <c r="Z433" s="49" t="s">
        <v>746</v>
      </c>
      <c r="AA433" s="65">
        <v>0.78</v>
      </c>
      <c r="AB433" s="48" t="s">
        <v>19503</v>
      </c>
      <c r="AC433" s="90" t="s">
        <v>19500</v>
      </c>
      <c r="AD433" s="53" t="str">
        <f t="shared" si="339"/>
        <v>Link</v>
      </c>
      <c r="AE433" s="42">
        <v>5607</v>
      </c>
      <c r="AF433" s="55"/>
      <c r="AG433" s="55"/>
      <c r="AH433" s="56">
        <v>210146</v>
      </c>
      <c r="AI433" s="55"/>
      <c r="AJ433" s="162"/>
    </row>
    <row r="434" spans="1:41" ht="13" x14ac:dyDescent="0.15">
      <c r="A434" s="7"/>
      <c r="B434" s="31" t="s">
        <v>9218</v>
      </c>
      <c r="C434" s="2" t="s">
        <v>15218</v>
      </c>
      <c r="D434" s="7" t="s">
        <v>19511</v>
      </c>
      <c r="E434" s="37">
        <v>5</v>
      </c>
      <c r="F434" s="48"/>
      <c r="G434" s="48"/>
      <c r="H434" s="2" t="s">
        <v>19498</v>
      </c>
      <c r="I434" s="2" t="s">
        <v>19512</v>
      </c>
      <c r="J434" s="2" t="s">
        <v>19513</v>
      </c>
      <c r="K434" s="2" t="s">
        <v>55</v>
      </c>
      <c r="L434" s="2" t="s">
        <v>19514</v>
      </c>
      <c r="M434" s="6"/>
      <c r="N434" s="48"/>
      <c r="O434" s="45" t="str">
        <f t="shared" si="338"/>
        <v>Questionnaire</v>
      </c>
      <c r="P434" s="60" t="s">
        <v>19500</v>
      </c>
      <c r="Q434" s="60" t="s">
        <v>3670</v>
      </c>
      <c r="R434" s="48" t="s">
        <v>8374</v>
      </c>
      <c r="S434" s="48" t="s">
        <v>172</v>
      </c>
      <c r="T434" s="49" t="s">
        <v>74</v>
      </c>
      <c r="U434" s="48" t="s">
        <v>75</v>
      </c>
      <c r="V434" s="49"/>
      <c r="W434" s="65">
        <v>3.32</v>
      </c>
      <c r="X434" s="49" t="s">
        <v>276</v>
      </c>
      <c r="Y434" s="49" t="s">
        <v>1144</v>
      </c>
      <c r="Z434" s="49" t="s">
        <v>746</v>
      </c>
      <c r="AA434" s="65">
        <v>0.78</v>
      </c>
      <c r="AB434" s="48" t="s">
        <v>19503</v>
      </c>
      <c r="AC434" s="90" t="s">
        <v>19500</v>
      </c>
      <c r="AD434" s="53" t="str">
        <f t="shared" si="339"/>
        <v>Link</v>
      </c>
      <c r="AE434" s="42">
        <v>5607</v>
      </c>
      <c r="AF434" s="55"/>
      <c r="AG434" s="55"/>
      <c r="AH434" s="56">
        <v>210146</v>
      </c>
      <c r="AI434" s="55"/>
      <c r="AJ434" s="162"/>
    </row>
    <row r="435" spans="1:41" ht="13" x14ac:dyDescent="0.15">
      <c r="A435" s="7"/>
      <c r="B435" s="31" t="s">
        <v>9218</v>
      </c>
      <c r="C435" s="2" t="s">
        <v>15218</v>
      </c>
      <c r="D435" s="7" t="s">
        <v>19516</v>
      </c>
      <c r="E435" s="37">
        <v>5</v>
      </c>
      <c r="F435" s="48"/>
      <c r="G435" s="48"/>
      <c r="H435" s="2" t="s">
        <v>19498</v>
      </c>
      <c r="I435" s="2" t="s">
        <v>19518</v>
      </c>
      <c r="J435" s="2" t="s">
        <v>11733</v>
      </c>
      <c r="K435" s="2" t="s">
        <v>55</v>
      </c>
      <c r="L435" s="2" t="s">
        <v>19519</v>
      </c>
      <c r="M435" s="6"/>
      <c r="N435" s="48"/>
      <c r="O435" s="45" t="str">
        <f t="shared" si="338"/>
        <v>Questionnaire</v>
      </c>
      <c r="P435" s="60" t="s">
        <v>19500</v>
      </c>
      <c r="Q435" s="60" t="s">
        <v>3670</v>
      </c>
      <c r="R435" s="48" t="s">
        <v>8374</v>
      </c>
      <c r="S435" s="48" t="s">
        <v>172</v>
      </c>
      <c r="T435" s="49" t="s">
        <v>74</v>
      </c>
      <c r="U435" s="48" t="s">
        <v>75</v>
      </c>
      <c r="V435" s="49"/>
      <c r="W435" s="65">
        <v>3.32</v>
      </c>
      <c r="X435" s="49" t="s">
        <v>276</v>
      </c>
      <c r="Y435" s="49" t="s">
        <v>1144</v>
      </c>
      <c r="Z435" s="49" t="s">
        <v>746</v>
      </c>
      <c r="AA435" s="65">
        <v>0.78</v>
      </c>
      <c r="AB435" s="48" t="s">
        <v>19503</v>
      </c>
      <c r="AC435" s="90" t="s">
        <v>19500</v>
      </c>
      <c r="AD435" s="53" t="str">
        <f t="shared" si="339"/>
        <v>Link</v>
      </c>
      <c r="AE435" s="42">
        <v>5607</v>
      </c>
      <c r="AF435" s="55"/>
      <c r="AG435" s="55"/>
      <c r="AH435" s="56">
        <v>210146</v>
      </c>
      <c r="AI435" s="55"/>
      <c r="AJ435" s="162"/>
    </row>
    <row r="436" spans="1:41" ht="13" x14ac:dyDescent="0.15">
      <c r="A436" s="7"/>
      <c r="B436" s="31" t="s">
        <v>9218</v>
      </c>
      <c r="C436" s="2" t="s">
        <v>15218</v>
      </c>
      <c r="D436" s="7" t="s">
        <v>19523</v>
      </c>
      <c r="E436" s="37">
        <v>5</v>
      </c>
      <c r="F436" s="48"/>
      <c r="G436" s="48"/>
      <c r="H436" s="2" t="s">
        <v>19524</v>
      </c>
      <c r="I436" s="2" t="s">
        <v>2536</v>
      </c>
      <c r="J436" s="2" t="s">
        <v>19525</v>
      </c>
      <c r="K436" s="2" t="s">
        <v>48</v>
      </c>
      <c r="L436" s="2" t="s">
        <v>19526</v>
      </c>
      <c r="M436" s="6" t="s">
        <v>19527</v>
      </c>
      <c r="N436" s="48"/>
      <c r="O436" s="45" t="str">
        <f>HYPERLINK("https://wpuknights.com/sb_output.aspx?form=20","Questionnaire")</f>
        <v>Questionnaire</v>
      </c>
      <c r="P436" s="6" t="s">
        <v>19532</v>
      </c>
      <c r="Q436" s="60" t="s">
        <v>3670</v>
      </c>
      <c r="R436" s="6" t="s">
        <v>3684</v>
      </c>
      <c r="S436" s="48" t="s">
        <v>354</v>
      </c>
      <c r="T436" s="4" t="s">
        <v>63</v>
      </c>
      <c r="U436" s="6" t="s">
        <v>2615</v>
      </c>
      <c r="V436" s="49"/>
      <c r="W436" s="65">
        <v>3.17</v>
      </c>
      <c r="X436" s="4" t="s">
        <v>19533</v>
      </c>
      <c r="Y436" s="4" t="s">
        <v>19534</v>
      </c>
      <c r="Z436" s="4" t="s">
        <v>1302</v>
      </c>
      <c r="AA436" s="65">
        <v>0.53</v>
      </c>
      <c r="AB436" s="39">
        <v>35606</v>
      </c>
      <c r="AC436" s="84" t="s">
        <v>19532</v>
      </c>
      <c r="AD436" s="67" t="str">
        <f>HYPERLINK("https://www.warnerpacific.edu/academics/majors-and-programs/","Link")</f>
        <v>Link</v>
      </c>
      <c r="AE436" s="42">
        <v>480</v>
      </c>
      <c r="AF436" s="55"/>
      <c r="AG436" s="55"/>
      <c r="AH436" s="56">
        <v>210304</v>
      </c>
      <c r="AI436" s="55"/>
      <c r="AJ436" s="162"/>
    </row>
    <row r="437" spans="1:41" ht="15" x14ac:dyDescent="0.2">
      <c r="A437" s="7"/>
      <c r="B437" s="31" t="s">
        <v>7298</v>
      </c>
      <c r="C437" s="2" t="s">
        <v>15218</v>
      </c>
      <c r="D437" s="7"/>
      <c r="E437" s="37">
        <v>5</v>
      </c>
      <c r="F437" s="7"/>
      <c r="G437" s="7"/>
      <c r="H437" s="2" t="s">
        <v>19537</v>
      </c>
      <c r="I437" s="2" t="s">
        <v>2606</v>
      </c>
      <c r="J437" s="2" t="s">
        <v>19538</v>
      </c>
      <c r="K437" s="2" t="s">
        <v>48</v>
      </c>
      <c r="L437" s="2" t="s">
        <v>19539</v>
      </c>
      <c r="M437" s="6" t="s">
        <v>19540</v>
      </c>
      <c r="N437" s="48"/>
      <c r="O437" s="45" t="str">
        <f>HYPERLINK("https://www.carlow.edu/Recruit_Me.aspx","Questionnaire")</f>
        <v>Questionnaire</v>
      </c>
      <c r="P437" s="108" t="s">
        <v>19541</v>
      </c>
      <c r="Q437" s="60" t="s">
        <v>1231</v>
      </c>
      <c r="R437" s="48" t="s">
        <v>1243</v>
      </c>
      <c r="S437" s="48" t="s">
        <v>354</v>
      </c>
      <c r="T437" s="49" t="s">
        <v>63</v>
      </c>
      <c r="U437" s="6" t="s">
        <v>343</v>
      </c>
      <c r="V437" s="49"/>
      <c r="W437" s="65">
        <v>3.38</v>
      </c>
      <c r="X437" s="49" t="s">
        <v>1145</v>
      </c>
      <c r="Y437" s="49" t="s">
        <v>253</v>
      </c>
      <c r="Z437" s="49" t="s">
        <v>125</v>
      </c>
      <c r="AA437" s="38">
        <v>0.86350000000000005</v>
      </c>
      <c r="AB437" s="39">
        <v>41650</v>
      </c>
      <c r="AC437" s="52" t="s">
        <v>19541</v>
      </c>
      <c r="AD437" s="53" t="str">
        <f>HYPERLINK("https://www.carlow.edu/Academics.aspx","Link")</f>
        <v>Link</v>
      </c>
      <c r="AE437" s="42">
        <v>1408</v>
      </c>
      <c r="AF437" s="55"/>
      <c r="AG437" s="55"/>
      <c r="AH437" s="56">
        <v>211431</v>
      </c>
      <c r="AI437" s="85" t="s">
        <v>2459</v>
      </c>
      <c r="AJ437" s="7"/>
      <c r="AK437" s="7"/>
      <c r="AL437" s="7"/>
      <c r="AM437" s="7"/>
      <c r="AN437" s="7"/>
      <c r="AO437" s="7"/>
    </row>
    <row r="438" spans="1:41" ht="15" x14ac:dyDescent="0.2">
      <c r="A438" s="7"/>
      <c r="B438" s="31" t="s">
        <v>7298</v>
      </c>
      <c r="C438" s="2" t="s">
        <v>15218</v>
      </c>
      <c r="D438" s="7"/>
      <c r="E438" s="37">
        <v>5</v>
      </c>
      <c r="F438" s="7"/>
      <c r="G438" s="7"/>
      <c r="H438" s="2" t="s">
        <v>19546</v>
      </c>
      <c r="I438" s="2" t="s">
        <v>1280</v>
      </c>
      <c r="J438" s="2" t="s">
        <v>19547</v>
      </c>
      <c r="K438" s="2" t="s">
        <v>48</v>
      </c>
      <c r="L438" s="2" t="s">
        <v>19548</v>
      </c>
      <c r="M438" s="6" t="s">
        <v>19549</v>
      </c>
      <c r="N438" s="45" t="str">
        <f t="shared" ref="N438:N441" si="340">HYPERLINK("twitter.com/ppusoftball","@ppusoftball")</f>
        <v>@ppusoftball</v>
      </c>
      <c r="O438" s="45" t="str">
        <f t="shared" ref="O438:O441" si="341">HYPERLINK("http://www.pointparksports.com/RecruitingForm","Questionnaire")</f>
        <v>Questionnaire</v>
      </c>
      <c r="P438" s="108" t="s">
        <v>19552</v>
      </c>
      <c r="Q438" s="60" t="s">
        <v>1231</v>
      </c>
      <c r="R438" s="48" t="s">
        <v>1243</v>
      </c>
      <c r="S438" s="48" t="s">
        <v>354</v>
      </c>
      <c r="T438" s="49" t="s">
        <v>63</v>
      </c>
      <c r="U438" s="48" t="s">
        <v>75</v>
      </c>
      <c r="V438" s="49"/>
      <c r="W438" s="65">
        <v>3.42</v>
      </c>
      <c r="X438" s="49" t="s">
        <v>1029</v>
      </c>
      <c r="Y438" s="49" t="s">
        <v>1145</v>
      </c>
      <c r="Z438" s="49" t="s">
        <v>1689</v>
      </c>
      <c r="AA438" s="65">
        <v>0.71</v>
      </c>
      <c r="AB438" s="39">
        <v>43370</v>
      </c>
      <c r="AC438" s="52" t="s">
        <v>19552</v>
      </c>
      <c r="AD438" s="53" t="str">
        <f t="shared" ref="AD438:AD441" si="342">HYPERLINK("https://www.pointpark.edu/Academics/UndergraduateAcademics/UndergraduateMajors","Link")</f>
        <v>Link</v>
      </c>
      <c r="AE438" s="42">
        <v>3276</v>
      </c>
      <c r="AF438" s="55"/>
      <c r="AG438" s="55"/>
      <c r="AH438" s="56">
        <v>215442</v>
      </c>
      <c r="AI438" s="85" t="s">
        <v>2459</v>
      </c>
      <c r="AJ438" s="7"/>
      <c r="AK438" s="7"/>
      <c r="AL438" s="7"/>
      <c r="AM438" s="7"/>
      <c r="AN438" s="7"/>
      <c r="AO438" s="7"/>
    </row>
    <row r="439" spans="1:41" ht="15" x14ac:dyDescent="0.2">
      <c r="A439" s="7"/>
      <c r="B439" s="31" t="s">
        <v>7298</v>
      </c>
      <c r="C439" s="2" t="s">
        <v>15218</v>
      </c>
      <c r="D439" s="7"/>
      <c r="E439" s="37">
        <v>5</v>
      </c>
      <c r="F439" s="7"/>
      <c r="G439" s="7"/>
      <c r="H439" s="2" t="s">
        <v>19546</v>
      </c>
      <c r="I439" s="2" t="s">
        <v>5294</v>
      </c>
      <c r="J439" s="2" t="s">
        <v>19557</v>
      </c>
      <c r="K439" s="2" t="s">
        <v>55</v>
      </c>
      <c r="L439" s="2" t="s">
        <v>19558</v>
      </c>
      <c r="M439" s="6" t="s">
        <v>19549</v>
      </c>
      <c r="N439" s="45" t="str">
        <f t="shared" si="340"/>
        <v>@ppusoftball</v>
      </c>
      <c r="O439" s="45" t="str">
        <f t="shared" si="341"/>
        <v>Questionnaire</v>
      </c>
      <c r="P439" s="108" t="s">
        <v>19552</v>
      </c>
      <c r="Q439" s="60" t="s">
        <v>1231</v>
      </c>
      <c r="R439" s="48" t="s">
        <v>1243</v>
      </c>
      <c r="S439" s="48" t="s">
        <v>354</v>
      </c>
      <c r="T439" s="49" t="s">
        <v>63</v>
      </c>
      <c r="U439" s="48" t="s">
        <v>75</v>
      </c>
      <c r="V439" s="49"/>
      <c r="W439" s="65">
        <v>3.42</v>
      </c>
      <c r="X439" s="49" t="s">
        <v>1029</v>
      </c>
      <c r="Y439" s="49" t="s">
        <v>1145</v>
      </c>
      <c r="Z439" s="49" t="s">
        <v>1689</v>
      </c>
      <c r="AA439" s="65">
        <v>0.71</v>
      </c>
      <c r="AB439" s="39">
        <v>43370</v>
      </c>
      <c r="AC439" s="52" t="s">
        <v>19552</v>
      </c>
      <c r="AD439" s="53" t="str">
        <f t="shared" si="342"/>
        <v>Link</v>
      </c>
      <c r="AE439" s="42">
        <v>3276</v>
      </c>
      <c r="AF439" s="55"/>
      <c r="AG439" s="55"/>
      <c r="AH439" s="56">
        <v>215442</v>
      </c>
      <c r="AI439" s="85" t="s">
        <v>2459</v>
      </c>
      <c r="AJ439" s="7"/>
      <c r="AK439" s="7"/>
      <c r="AL439" s="7"/>
      <c r="AM439" s="7"/>
      <c r="AN439" s="7"/>
      <c r="AO439" s="7"/>
    </row>
    <row r="440" spans="1:41" ht="15" x14ac:dyDescent="0.2">
      <c r="A440" s="7"/>
      <c r="B440" s="31" t="s">
        <v>7298</v>
      </c>
      <c r="C440" s="2" t="s">
        <v>15218</v>
      </c>
      <c r="D440" s="7"/>
      <c r="E440" s="37">
        <v>5</v>
      </c>
      <c r="F440" s="7"/>
      <c r="G440" s="7"/>
      <c r="H440" s="2" t="s">
        <v>19546</v>
      </c>
      <c r="I440" s="2" t="s">
        <v>772</v>
      </c>
      <c r="J440" s="2" t="s">
        <v>19562</v>
      </c>
      <c r="K440" s="2" t="s">
        <v>55</v>
      </c>
      <c r="L440" s="2" t="s">
        <v>19564</v>
      </c>
      <c r="M440" s="6" t="s">
        <v>19549</v>
      </c>
      <c r="N440" s="45" t="str">
        <f t="shared" si="340"/>
        <v>@ppusoftball</v>
      </c>
      <c r="O440" s="45" t="str">
        <f t="shared" si="341"/>
        <v>Questionnaire</v>
      </c>
      <c r="P440" s="108" t="s">
        <v>19552</v>
      </c>
      <c r="Q440" s="60" t="s">
        <v>1231</v>
      </c>
      <c r="R440" s="48" t="s">
        <v>1243</v>
      </c>
      <c r="S440" s="48" t="s">
        <v>354</v>
      </c>
      <c r="T440" s="49" t="s">
        <v>63</v>
      </c>
      <c r="U440" s="48" t="s">
        <v>75</v>
      </c>
      <c r="V440" s="49"/>
      <c r="W440" s="65">
        <v>3.42</v>
      </c>
      <c r="X440" s="49" t="s">
        <v>1029</v>
      </c>
      <c r="Y440" s="49" t="s">
        <v>1145</v>
      </c>
      <c r="Z440" s="49" t="s">
        <v>1689</v>
      </c>
      <c r="AA440" s="65">
        <v>0.71</v>
      </c>
      <c r="AB440" s="39">
        <v>43370</v>
      </c>
      <c r="AC440" s="52" t="s">
        <v>19552</v>
      </c>
      <c r="AD440" s="53" t="str">
        <f t="shared" si="342"/>
        <v>Link</v>
      </c>
      <c r="AE440" s="42">
        <v>3276</v>
      </c>
      <c r="AF440" s="55"/>
      <c r="AG440" s="55"/>
      <c r="AH440" s="56">
        <v>215442</v>
      </c>
      <c r="AI440" s="85" t="s">
        <v>2459</v>
      </c>
      <c r="AJ440" s="7"/>
      <c r="AK440" s="7"/>
      <c r="AL440" s="7"/>
      <c r="AM440" s="7"/>
      <c r="AN440" s="7"/>
      <c r="AO440" s="7"/>
    </row>
    <row r="441" spans="1:41" ht="15" x14ac:dyDescent="0.2">
      <c r="A441" s="7"/>
      <c r="B441" s="31" t="s">
        <v>7298</v>
      </c>
      <c r="C441" s="2" t="s">
        <v>15218</v>
      </c>
      <c r="D441" s="7"/>
      <c r="E441" s="37">
        <v>5</v>
      </c>
      <c r="F441" s="7"/>
      <c r="G441" s="7"/>
      <c r="H441" s="2" t="s">
        <v>19546</v>
      </c>
      <c r="I441" s="2" t="s">
        <v>3315</v>
      </c>
      <c r="J441" s="2" t="s">
        <v>977</v>
      </c>
      <c r="K441" s="2" t="s">
        <v>55</v>
      </c>
      <c r="L441" s="2"/>
      <c r="M441" s="6"/>
      <c r="N441" s="45" t="str">
        <f t="shared" si="340"/>
        <v>@ppusoftball</v>
      </c>
      <c r="O441" s="45" t="str">
        <f t="shared" si="341"/>
        <v>Questionnaire</v>
      </c>
      <c r="P441" s="108" t="s">
        <v>19552</v>
      </c>
      <c r="Q441" s="60" t="s">
        <v>1231</v>
      </c>
      <c r="R441" s="48" t="s">
        <v>1243</v>
      </c>
      <c r="S441" s="48" t="s">
        <v>354</v>
      </c>
      <c r="T441" s="49" t="s">
        <v>63</v>
      </c>
      <c r="U441" s="48" t="s">
        <v>75</v>
      </c>
      <c r="V441" s="49"/>
      <c r="W441" s="65">
        <v>3.42</v>
      </c>
      <c r="X441" s="49" t="s">
        <v>1029</v>
      </c>
      <c r="Y441" s="49" t="s">
        <v>1145</v>
      </c>
      <c r="Z441" s="49" t="s">
        <v>1689</v>
      </c>
      <c r="AA441" s="65">
        <v>0.71</v>
      </c>
      <c r="AB441" s="39">
        <v>43370</v>
      </c>
      <c r="AC441" s="52" t="s">
        <v>19552</v>
      </c>
      <c r="AD441" s="53" t="str">
        <f t="shared" si="342"/>
        <v>Link</v>
      </c>
      <c r="AE441" s="42">
        <v>3276</v>
      </c>
      <c r="AF441" s="55"/>
      <c r="AG441" s="55"/>
      <c r="AH441" s="56">
        <v>215442</v>
      </c>
      <c r="AI441" s="7" t="s">
        <v>2459</v>
      </c>
      <c r="AJ441" s="7"/>
      <c r="AK441" s="7"/>
      <c r="AL441" s="7"/>
      <c r="AM441" s="7"/>
      <c r="AN441" s="7"/>
      <c r="AO441" s="7"/>
    </row>
    <row r="442" spans="1:41" ht="13" x14ac:dyDescent="0.15">
      <c r="A442" s="7"/>
      <c r="B442" s="31" t="s">
        <v>10047</v>
      </c>
      <c r="C442" s="2" t="s">
        <v>15218</v>
      </c>
      <c r="D442" s="7" t="s">
        <v>19572</v>
      </c>
      <c r="E442" s="37">
        <v>5</v>
      </c>
      <c r="F442" s="48"/>
      <c r="G442" s="48"/>
      <c r="H442" s="2" t="s">
        <v>19573</v>
      </c>
      <c r="I442" s="2" t="s">
        <v>8974</v>
      </c>
      <c r="J442" s="2" t="s">
        <v>6937</v>
      </c>
      <c r="K442" s="2" t="s">
        <v>48</v>
      </c>
      <c r="L442" s="2" t="s">
        <v>19574</v>
      </c>
      <c r="M442" s="6" t="s">
        <v>19575</v>
      </c>
      <c r="N442" s="48"/>
      <c r="O442" s="45" t="str">
        <f t="shared" ref="O442:O443" si="343">HYPERLINK("http://www.auyellowjackets.com/recruiting.php","Questionnaire")</f>
        <v>Questionnaire</v>
      </c>
      <c r="P442" s="6" t="s">
        <v>19581</v>
      </c>
      <c r="Q442" s="60" t="s">
        <v>653</v>
      </c>
      <c r="R442" s="48" t="s">
        <v>10106</v>
      </c>
      <c r="S442" s="48" t="s">
        <v>238</v>
      </c>
      <c r="T442" s="49" t="s">
        <v>63</v>
      </c>
      <c r="U442" s="48" t="s">
        <v>16017</v>
      </c>
      <c r="V442" s="49" t="s">
        <v>212</v>
      </c>
      <c r="W442" s="49" t="s">
        <v>524</v>
      </c>
      <c r="X442" s="49" t="s">
        <v>214</v>
      </c>
      <c r="Y442" s="49" t="s">
        <v>214</v>
      </c>
      <c r="Z442" s="49" t="s">
        <v>214</v>
      </c>
      <c r="AA442" s="55" t="s">
        <v>214</v>
      </c>
      <c r="AB442" s="39">
        <v>22800</v>
      </c>
      <c r="AC442" s="84" t="s">
        <v>19581</v>
      </c>
      <c r="AD442" s="53" t="str">
        <f t="shared" ref="AD442:AD443" si="344">HYPERLINK("http://www.allenuniversity.edu/academics/majors/","Link")</f>
        <v>Link</v>
      </c>
      <c r="AE442" s="42">
        <v>600</v>
      </c>
      <c r="AF442" s="55"/>
      <c r="AG442" s="55"/>
      <c r="AH442" s="56">
        <v>217624</v>
      </c>
      <c r="AI442" s="55"/>
      <c r="AJ442" s="162"/>
    </row>
    <row r="443" spans="1:41" ht="13" x14ac:dyDescent="0.15">
      <c r="A443" s="7" t="s">
        <v>19583</v>
      </c>
      <c r="B443" s="31" t="s">
        <v>10047</v>
      </c>
      <c r="C443" s="2" t="s">
        <v>15218</v>
      </c>
      <c r="D443" s="7" t="s">
        <v>19584</v>
      </c>
      <c r="E443" s="44">
        <v>5</v>
      </c>
      <c r="F443" s="48" t="s">
        <v>116</v>
      </c>
      <c r="G443" s="48"/>
      <c r="H443" s="2" t="s">
        <v>19573</v>
      </c>
      <c r="I443" s="7" t="s">
        <v>2747</v>
      </c>
      <c r="J443" s="7" t="s">
        <v>10144</v>
      </c>
      <c r="K443" s="7" t="s">
        <v>48</v>
      </c>
      <c r="L443" s="7"/>
      <c r="M443" s="48"/>
      <c r="N443" s="48"/>
      <c r="O443" s="45" t="str">
        <f t="shared" si="343"/>
        <v>Questionnaire</v>
      </c>
      <c r="P443" s="48" t="s">
        <v>19581</v>
      </c>
      <c r="Q443" s="60" t="s">
        <v>653</v>
      </c>
      <c r="R443" s="48" t="s">
        <v>10106</v>
      </c>
      <c r="S443" s="48" t="s">
        <v>238</v>
      </c>
      <c r="T443" s="49" t="s">
        <v>63</v>
      </c>
      <c r="U443" s="6" t="s">
        <v>16017</v>
      </c>
      <c r="V443" s="49" t="s">
        <v>212</v>
      </c>
      <c r="W443" s="49" t="s">
        <v>524</v>
      </c>
      <c r="X443" s="49" t="s">
        <v>214</v>
      </c>
      <c r="Y443" s="49" t="s">
        <v>214</v>
      </c>
      <c r="Z443" s="49" t="s">
        <v>214</v>
      </c>
      <c r="AA443" s="55" t="s">
        <v>214</v>
      </c>
      <c r="AB443" s="39">
        <v>22800</v>
      </c>
      <c r="AC443" s="84" t="s">
        <v>19581</v>
      </c>
      <c r="AD443" s="67" t="str">
        <f t="shared" si="344"/>
        <v>Link</v>
      </c>
      <c r="AE443" s="42">
        <v>600</v>
      </c>
      <c r="AF443" s="55"/>
      <c r="AG443" s="55"/>
      <c r="AH443" s="56">
        <v>217624</v>
      </c>
      <c r="AI443" s="55"/>
      <c r="AJ443" s="162"/>
    </row>
    <row r="444" spans="1:41" ht="13" x14ac:dyDescent="0.15">
      <c r="A444" s="7"/>
      <c r="B444" s="31" t="s">
        <v>10047</v>
      </c>
      <c r="C444" s="2" t="s">
        <v>15218</v>
      </c>
      <c r="D444" s="7" t="s">
        <v>19589</v>
      </c>
      <c r="E444" s="37">
        <v>5</v>
      </c>
      <c r="F444" s="48"/>
      <c r="G444" s="48"/>
      <c r="H444" s="2" t="s">
        <v>19590</v>
      </c>
      <c r="I444" s="2" t="s">
        <v>17066</v>
      </c>
      <c r="J444" s="2" t="s">
        <v>19591</v>
      </c>
      <c r="K444" s="2" t="s">
        <v>48</v>
      </c>
      <c r="L444" s="2" t="s">
        <v>19592</v>
      </c>
      <c r="M444" s="6" t="s">
        <v>19593</v>
      </c>
      <c r="N444" s="48"/>
      <c r="O444" s="45" t="str">
        <f t="shared" ref="O444:O445" si="345">HYPERLINK("https://www.columbiasc.edu/athletics","Questionnaire")</f>
        <v>Questionnaire</v>
      </c>
      <c r="P444" s="6" t="s">
        <v>19594</v>
      </c>
      <c r="Q444" s="60" t="s">
        <v>653</v>
      </c>
      <c r="R444" s="48" t="s">
        <v>10106</v>
      </c>
      <c r="S444" s="48" t="s">
        <v>238</v>
      </c>
      <c r="T444" s="49" t="s">
        <v>63</v>
      </c>
      <c r="U444" s="48" t="s">
        <v>65</v>
      </c>
      <c r="V444" s="49" t="s">
        <v>1006</v>
      </c>
      <c r="W444" s="65">
        <v>3.65</v>
      </c>
      <c r="X444" s="49" t="s">
        <v>1628</v>
      </c>
      <c r="Y444" s="49" t="s">
        <v>7200</v>
      </c>
      <c r="Z444" s="49" t="s">
        <v>841</v>
      </c>
      <c r="AA444" s="65">
        <v>0.89</v>
      </c>
      <c r="AB444" s="39">
        <v>41120</v>
      </c>
      <c r="AC444" s="84" t="s">
        <v>19594</v>
      </c>
      <c r="AD444" s="53" t="str">
        <f t="shared" ref="AD444:AD445" si="346">HYPERLINK("https://www.columbiasc.edu/academics/undergraduate-academics/undergraduate-degrees-programs","Link")</f>
        <v>Link</v>
      </c>
      <c r="AE444" s="42">
        <v>1554</v>
      </c>
      <c r="AF444" s="55"/>
      <c r="AG444" s="55"/>
      <c r="AH444" s="56">
        <v>217934</v>
      </c>
      <c r="AI444" s="55"/>
      <c r="AJ444" s="162"/>
    </row>
    <row r="445" spans="1:41" ht="13" x14ac:dyDescent="0.15">
      <c r="A445" s="7"/>
      <c r="B445" s="31" t="s">
        <v>10047</v>
      </c>
      <c r="C445" s="2" t="s">
        <v>15218</v>
      </c>
      <c r="D445" s="7" t="s">
        <v>19597</v>
      </c>
      <c r="E445" s="37">
        <v>5</v>
      </c>
      <c r="F445" s="48"/>
      <c r="G445" s="48"/>
      <c r="H445" s="2" t="s">
        <v>19590</v>
      </c>
      <c r="I445" s="2" t="s">
        <v>442</v>
      </c>
      <c r="J445" s="2" t="s">
        <v>2919</v>
      </c>
      <c r="K445" s="2" t="s">
        <v>55</v>
      </c>
      <c r="L445" s="2" t="s">
        <v>19600</v>
      </c>
      <c r="M445" s="6" t="s">
        <v>19601</v>
      </c>
      <c r="N445" s="48"/>
      <c r="O445" s="45" t="str">
        <f t="shared" si="345"/>
        <v>Questionnaire</v>
      </c>
      <c r="P445" s="6" t="s">
        <v>19594</v>
      </c>
      <c r="Q445" s="60" t="s">
        <v>653</v>
      </c>
      <c r="R445" s="48" t="s">
        <v>10106</v>
      </c>
      <c r="S445" s="48" t="s">
        <v>238</v>
      </c>
      <c r="T445" s="49" t="s">
        <v>63</v>
      </c>
      <c r="U445" s="48" t="s">
        <v>65</v>
      </c>
      <c r="V445" s="49" t="s">
        <v>1006</v>
      </c>
      <c r="W445" s="65">
        <v>3.65</v>
      </c>
      <c r="X445" s="49" t="s">
        <v>1628</v>
      </c>
      <c r="Y445" s="49" t="s">
        <v>7200</v>
      </c>
      <c r="Z445" s="49" t="s">
        <v>841</v>
      </c>
      <c r="AA445" s="65">
        <v>0.89</v>
      </c>
      <c r="AB445" s="39">
        <v>41120</v>
      </c>
      <c r="AC445" s="84" t="s">
        <v>19594</v>
      </c>
      <c r="AD445" s="53" t="str">
        <f t="shared" si="346"/>
        <v>Link</v>
      </c>
      <c r="AE445" s="42">
        <v>1554</v>
      </c>
      <c r="AF445" s="55"/>
      <c r="AG445" s="55"/>
      <c r="AH445" s="56">
        <v>217934</v>
      </c>
      <c r="AI445" s="55"/>
      <c r="AJ445" s="162"/>
    </row>
    <row r="446" spans="1:41" ht="13" x14ac:dyDescent="0.15">
      <c r="A446" s="7"/>
      <c r="B446" s="31" t="s">
        <v>10047</v>
      </c>
      <c r="C446" s="2" t="s">
        <v>15218</v>
      </c>
      <c r="D446" s="7"/>
      <c r="E446" s="37">
        <v>5</v>
      </c>
      <c r="F446" s="7"/>
      <c r="G446" s="7" t="s">
        <v>126</v>
      </c>
      <c r="H446" s="2" t="s">
        <v>19605</v>
      </c>
      <c r="I446" s="2" t="s">
        <v>19606</v>
      </c>
      <c r="J446" s="2"/>
      <c r="K446" s="2"/>
      <c r="L446" s="2"/>
      <c r="M446" s="6"/>
      <c r="N446" s="48"/>
      <c r="O446" s="45" t="str">
        <f t="shared" ref="O446:O447" si="347">HYPERLINK("https://www.morris.edu/athletics/recruitment-questionnaire","Questionnaire")</f>
        <v>Questionnaire</v>
      </c>
      <c r="P446" s="6" t="s">
        <v>19608</v>
      </c>
      <c r="Q446" s="60" t="s">
        <v>653</v>
      </c>
      <c r="R446" s="48" t="s">
        <v>19609</v>
      </c>
      <c r="S446" s="48" t="s">
        <v>468</v>
      </c>
      <c r="T446" s="5" t="s">
        <v>63</v>
      </c>
      <c r="U446" s="48" t="s">
        <v>2619</v>
      </c>
      <c r="V446" s="49" t="s">
        <v>212</v>
      </c>
      <c r="W446" s="65">
        <v>2.5299999999999998</v>
      </c>
      <c r="X446" s="49" t="s">
        <v>214</v>
      </c>
      <c r="Y446" s="49" t="s">
        <v>214</v>
      </c>
      <c r="Z446" s="49" t="s">
        <v>214</v>
      </c>
      <c r="AA446" s="55" t="s">
        <v>214</v>
      </c>
      <c r="AB446" s="39">
        <v>24500</v>
      </c>
      <c r="AC446" s="84" t="s">
        <v>19608</v>
      </c>
      <c r="AD446" s="53" t="str">
        <f t="shared" ref="AD446:AD447" si="348">HYPERLINK("http://www.morris.edu/degree-programs","Link")</f>
        <v>Link</v>
      </c>
      <c r="AE446" s="42">
        <v>754</v>
      </c>
      <c r="AF446" s="55"/>
      <c r="AG446" s="55"/>
      <c r="AH446" s="56">
        <v>218399</v>
      </c>
      <c r="AI446" s="7" t="s">
        <v>2459</v>
      </c>
      <c r="AJ446" s="7"/>
      <c r="AK446" s="7"/>
      <c r="AL446" s="7"/>
      <c r="AM446" s="7"/>
      <c r="AN446" s="7"/>
      <c r="AO446" s="7"/>
    </row>
    <row r="447" spans="1:41" ht="13" x14ac:dyDescent="0.15">
      <c r="A447" s="7"/>
      <c r="B447" s="31" t="s">
        <v>10047</v>
      </c>
      <c r="C447" s="2" t="s">
        <v>15218</v>
      </c>
      <c r="D447" s="7"/>
      <c r="E447" s="37">
        <v>5</v>
      </c>
      <c r="F447" s="7" t="s">
        <v>116</v>
      </c>
      <c r="G447" s="7"/>
      <c r="H447" s="2" t="s">
        <v>19605</v>
      </c>
      <c r="I447" s="2" t="s">
        <v>421</v>
      </c>
      <c r="J447" s="2"/>
      <c r="K447" s="2" t="s">
        <v>48</v>
      </c>
      <c r="L447" s="2"/>
      <c r="M447" s="6"/>
      <c r="N447" s="48"/>
      <c r="O447" s="45" t="str">
        <f t="shared" si="347"/>
        <v>Questionnaire</v>
      </c>
      <c r="P447" s="6" t="s">
        <v>19608</v>
      </c>
      <c r="Q447" s="60" t="s">
        <v>653</v>
      </c>
      <c r="R447" s="48" t="s">
        <v>19609</v>
      </c>
      <c r="S447" s="48" t="s">
        <v>468</v>
      </c>
      <c r="T447" s="5" t="s">
        <v>63</v>
      </c>
      <c r="U447" s="48" t="s">
        <v>2619</v>
      </c>
      <c r="V447" s="49" t="s">
        <v>212</v>
      </c>
      <c r="W447" s="65">
        <v>2.5299999999999998</v>
      </c>
      <c r="X447" s="49" t="s">
        <v>214</v>
      </c>
      <c r="Y447" s="49" t="s">
        <v>214</v>
      </c>
      <c r="Z447" s="49" t="s">
        <v>214</v>
      </c>
      <c r="AA447" s="55" t="s">
        <v>214</v>
      </c>
      <c r="AB447" s="39">
        <v>24500</v>
      </c>
      <c r="AC447" s="84" t="s">
        <v>19608</v>
      </c>
      <c r="AD447" s="53" t="str">
        <f t="shared" si="348"/>
        <v>Link</v>
      </c>
      <c r="AE447" s="42">
        <v>754</v>
      </c>
      <c r="AF447" s="55"/>
      <c r="AG447" s="55"/>
      <c r="AH447" s="56">
        <v>218399</v>
      </c>
      <c r="AI447" s="85" t="s">
        <v>2459</v>
      </c>
      <c r="AJ447" s="7"/>
      <c r="AK447" s="7"/>
      <c r="AL447" s="7"/>
      <c r="AM447" s="7"/>
      <c r="AN447" s="7"/>
      <c r="AO447" s="7"/>
    </row>
    <row r="448" spans="1:41" ht="15" x14ac:dyDescent="0.2">
      <c r="A448" s="7"/>
      <c r="B448" s="31" t="s">
        <v>10047</v>
      </c>
      <c r="C448" s="2" t="s">
        <v>15218</v>
      </c>
      <c r="D448" s="7" t="s">
        <v>19612</v>
      </c>
      <c r="E448" s="37">
        <v>5</v>
      </c>
      <c r="F448" s="48"/>
      <c r="G448" s="48"/>
      <c r="H448" s="2" t="s">
        <v>19613</v>
      </c>
      <c r="I448" s="2" t="s">
        <v>852</v>
      </c>
      <c r="J448" s="2" t="s">
        <v>19614</v>
      </c>
      <c r="K448" s="2" t="s">
        <v>48</v>
      </c>
      <c r="L448" s="95" t="s">
        <v>19615</v>
      </c>
      <c r="M448" s="6" t="s">
        <v>19616</v>
      </c>
      <c r="N448" s="45" t="str">
        <f t="shared" ref="N448:N450" si="349">HYPERLINK("twitter.com/uscbsoftball","@uscbsoftball")</f>
        <v>@uscbsoftball</v>
      </c>
      <c r="O448" s="45" t="str">
        <f t="shared" ref="O448:O450" si="350">HYPERLINK("https://uscbathletics.com/sb_output.aspx?form=3&amp;tab=recruitingquestionnaire2","Questionnaire")</f>
        <v>Questionnaire</v>
      </c>
      <c r="P448" s="108" t="s">
        <v>19621</v>
      </c>
      <c r="Q448" s="60" t="s">
        <v>653</v>
      </c>
      <c r="R448" s="48" t="s">
        <v>19622</v>
      </c>
      <c r="S448" s="48" t="s">
        <v>172</v>
      </c>
      <c r="T448" s="49" t="s">
        <v>74</v>
      </c>
      <c r="U448" s="48" t="s">
        <v>75</v>
      </c>
      <c r="V448" s="49"/>
      <c r="W448" s="65">
        <v>3.39</v>
      </c>
      <c r="X448" s="49" t="s">
        <v>1785</v>
      </c>
      <c r="Y448" s="49" t="s">
        <v>2522</v>
      </c>
      <c r="Z448" s="49" t="s">
        <v>841</v>
      </c>
      <c r="AA448" s="65">
        <v>0.65</v>
      </c>
      <c r="AB448" s="48" t="s">
        <v>19624</v>
      </c>
      <c r="AC448" s="52" t="s">
        <v>19621</v>
      </c>
      <c r="AD448" s="53" t="str">
        <f t="shared" ref="AD448:AD450" si="351">HYPERLINK("http://www.uscb.edu/academics/majors_minors.html","Link")</f>
        <v>Link</v>
      </c>
      <c r="AE448" s="42">
        <v>2005</v>
      </c>
      <c r="AF448" s="55"/>
      <c r="AG448" s="55"/>
      <c r="AH448" s="56">
        <v>218654</v>
      </c>
      <c r="AI448" s="55"/>
      <c r="AJ448" s="162"/>
    </row>
    <row r="449" spans="1:41" ht="15" x14ac:dyDescent="0.2">
      <c r="A449" s="7"/>
      <c r="B449" s="31" t="s">
        <v>10047</v>
      </c>
      <c r="C449" s="2" t="s">
        <v>15218</v>
      </c>
      <c r="D449" s="7" t="s">
        <v>19628</v>
      </c>
      <c r="E449" s="37">
        <v>5</v>
      </c>
      <c r="F449" s="48"/>
      <c r="G449" s="48"/>
      <c r="H449" s="2" t="s">
        <v>19613</v>
      </c>
      <c r="I449" s="2" t="s">
        <v>17974</v>
      </c>
      <c r="J449" s="2" t="s">
        <v>2574</v>
      </c>
      <c r="K449" s="2" t="s">
        <v>55</v>
      </c>
      <c r="L449" s="2" t="s">
        <v>19629</v>
      </c>
      <c r="M449" s="6" t="s">
        <v>19630</v>
      </c>
      <c r="N449" s="45" t="str">
        <f t="shared" si="349"/>
        <v>@uscbsoftball</v>
      </c>
      <c r="O449" s="45" t="str">
        <f t="shared" si="350"/>
        <v>Questionnaire</v>
      </c>
      <c r="P449" s="108" t="s">
        <v>19621</v>
      </c>
      <c r="Q449" s="60" t="s">
        <v>653</v>
      </c>
      <c r="R449" s="48" t="s">
        <v>19622</v>
      </c>
      <c r="S449" s="48" t="s">
        <v>172</v>
      </c>
      <c r="T449" s="49" t="s">
        <v>74</v>
      </c>
      <c r="U449" s="48" t="s">
        <v>75</v>
      </c>
      <c r="V449" s="49"/>
      <c r="W449" s="65">
        <v>3.39</v>
      </c>
      <c r="X449" s="49" t="s">
        <v>1785</v>
      </c>
      <c r="Y449" s="49" t="s">
        <v>2522</v>
      </c>
      <c r="Z449" s="49" t="s">
        <v>841</v>
      </c>
      <c r="AA449" s="65">
        <v>0.65</v>
      </c>
      <c r="AB449" s="48" t="s">
        <v>19624</v>
      </c>
      <c r="AC449" s="52" t="s">
        <v>19621</v>
      </c>
      <c r="AD449" s="53" t="str">
        <f t="shared" si="351"/>
        <v>Link</v>
      </c>
      <c r="AE449" s="42">
        <v>2005</v>
      </c>
      <c r="AF449" s="55"/>
      <c r="AG449" s="55"/>
      <c r="AH449" s="56">
        <v>218654</v>
      </c>
      <c r="AI449" s="55"/>
      <c r="AJ449" s="162"/>
    </row>
    <row r="450" spans="1:41" ht="15" x14ac:dyDescent="0.2">
      <c r="A450" s="7"/>
      <c r="B450" s="31" t="s">
        <v>10047</v>
      </c>
      <c r="C450" s="2" t="s">
        <v>15218</v>
      </c>
      <c r="D450" s="7" t="s">
        <v>19633</v>
      </c>
      <c r="E450" s="37">
        <v>5</v>
      </c>
      <c r="F450" s="48"/>
      <c r="G450" s="48"/>
      <c r="H450" s="2" t="s">
        <v>19613</v>
      </c>
      <c r="I450" s="2" t="s">
        <v>860</v>
      </c>
      <c r="J450" s="2" t="s">
        <v>12885</v>
      </c>
      <c r="K450" s="2" t="s">
        <v>139</v>
      </c>
      <c r="L450" s="2"/>
      <c r="M450" s="6"/>
      <c r="N450" s="45" t="str">
        <f t="shared" si="349"/>
        <v>@uscbsoftball</v>
      </c>
      <c r="O450" s="45" t="str">
        <f t="shared" si="350"/>
        <v>Questionnaire</v>
      </c>
      <c r="P450" s="108" t="s">
        <v>19621</v>
      </c>
      <c r="Q450" s="60" t="s">
        <v>653</v>
      </c>
      <c r="R450" s="48" t="s">
        <v>19622</v>
      </c>
      <c r="S450" s="48" t="s">
        <v>172</v>
      </c>
      <c r="T450" s="49" t="s">
        <v>74</v>
      </c>
      <c r="U450" s="48" t="s">
        <v>75</v>
      </c>
      <c r="V450" s="49"/>
      <c r="W450" s="65">
        <v>3.39</v>
      </c>
      <c r="X450" s="49" t="s">
        <v>1785</v>
      </c>
      <c r="Y450" s="49" t="s">
        <v>2522</v>
      </c>
      <c r="Z450" s="49" t="s">
        <v>841</v>
      </c>
      <c r="AA450" s="65">
        <v>0.65</v>
      </c>
      <c r="AB450" s="48" t="s">
        <v>19624</v>
      </c>
      <c r="AC450" s="52" t="s">
        <v>19621</v>
      </c>
      <c r="AD450" s="53" t="str">
        <f t="shared" si="351"/>
        <v>Link</v>
      </c>
      <c r="AE450" s="42">
        <v>2005</v>
      </c>
      <c r="AF450" s="55"/>
      <c r="AG450" s="55"/>
      <c r="AH450" s="56">
        <v>218654</v>
      </c>
      <c r="AI450" s="55"/>
      <c r="AJ450" s="162"/>
    </row>
    <row r="451" spans="1:41" ht="13" x14ac:dyDescent="0.15">
      <c r="A451" s="7"/>
      <c r="B451" s="31" t="s">
        <v>10047</v>
      </c>
      <c r="C451" s="2" t="s">
        <v>15218</v>
      </c>
      <c r="D451" s="7"/>
      <c r="E451" s="37">
        <v>5</v>
      </c>
      <c r="F451" s="7"/>
      <c r="G451" s="7"/>
      <c r="H451" s="2" t="s">
        <v>19637</v>
      </c>
      <c r="I451" s="2" t="s">
        <v>19638</v>
      </c>
      <c r="J451" s="2" t="s">
        <v>11755</v>
      </c>
      <c r="K451" s="2" t="s">
        <v>48</v>
      </c>
      <c r="L451" s="2" t="s">
        <v>19639</v>
      </c>
      <c r="M451" s="6" t="s">
        <v>19640</v>
      </c>
      <c r="N451" s="45" t="str">
        <f>HYPERLINK("twitter.com/vikes_softball","@vikes_softball")</f>
        <v>@vikes_softball</v>
      </c>
      <c r="O451" s="45" t="str">
        <f>HYPERLINK("https://www.voorhees.edu/athletics/online-forms/athletic-prospect-form","Questionnaire")</f>
        <v>Questionnaire</v>
      </c>
      <c r="P451" s="6" t="s">
        <v>19643</v>
      </c>
      <c r="Q451" s="60" t="s">
        <v>653</v>
      </c>
      <c r="R451" s="48" t="s">
        <v>19645</v>
      </c>
      <c r="S451" s="60" t="s">
        <v>205</v>
      </c>
      <c r="T451" s="49" t="s">
        <v>63</v>
      </c>
      <c r="U451" s="48" t="s">
        <v>8176</v>
      </c>
      <c r="V451" s="49" t="s">
        <v>212</v>
      </c>
      <c r="W451" s="65">
        <v>2</v>
      </c>
      <c r="X451" s="49" t="s">
        <v>19647</v>
      </c>
      <c r="Y451" s="49" t="s">
        <v>19648</v>
      </c>
      <c r="Z451" s="49" t="s">
        <v>19649</v>
      </c>
      <c r="AA451" s="65">
        <v>0.79</v>
      </c>
      <c r="AB451" s="39">
        <v>26336</v>
      </c>
      <c r="AC451" s="84" t="s">
        <v>19643</v>
      </c>
      <c r="AD451" s="53" t="str">
        <f>HYPERLINK("https://www.voorhees.edu/admissions/majors-listing","Link")</f>
        <v>Link</v>
      </c>
      <c r="AE451" s="42">
        <v>415</v>
      </c>
      <c r="AF451" s="55"/>
      <c r="AG451" s="55"/>
      <c r="AH451" s="56">
        <v>218919</v>
      </c>
      <c r="AI451" s="85" t="s">
        <v>2459</v>
      </c>
      <c r="AJ451" s="7"/>
      <c r="AK451" s="7"/>
      <c r="AL451" s="7"/>
      <c r="AM451" s="7"/>
      <c r="AN451" s="7"/>
      <c r="AO451" s="7"/>
    </row>
    <row r="452" spans="1:41" ht="13" x14ac:dyDescent="0.15">
      <c r="A452" s="7"/>
      <c r="B452" s="31" t="s">
        <v>10507</v>
      </c>
      <c r="C452" s="2" t="s">
        <v>15218</v>
      </c>
      <c r="D452" s="7" t="s">
        <v>19652</v>
      </c>
      <c r="E452" s="37">
        <v>5</v>
      </c>
      <c r="F452" s="48"/>
      <c r="G452" s="48"/>
      <c r="H452" s="2" t="s">
        <v>19653</v>
      </c>
      <c r="I452" s="2" t="s">
        <v>537</v>
      </c>
      <c r="J452" s="2" t="s">
        <v>19654</v>
      </c>
      <c r="K452" s="2" t="s">
        <v>48</v>
      </c>
      <c r="L452" s="2" t="s">
        <v>19656</v>
      </c>
      <c r="M452" s="6" t="s">
        <v>19657</v>
      </c>
      <c r="N452" s="45" t="str">
        <f t="shared" ref="N452:N453" si="352">HYPERLINK("twitter.com/dsusoftball","@dsusoftball")</f>
        <v>@dsusoftball</v>
      </c>
      <c r="O452" s="45" t="str">
        <f t="shared" ref="O452:O453" si="353">HYPERLINK("http://www.dsuathletics.com/recruiting.php","Questionnaire")</f>
        <v>Questionnaire</v>
      </c>
      <c r="P452" s="6" t="s">
        <v>19658</v>
      </c>
      <c r="Q452" s="60" t="s">
        <v>10518</v>
      </c>
      <c r="R452" s="48" t="s">
        <v>1905</v>
      </c>
      <c r="S452" s="60" t="s">
        <v>205</v>
      </c>
      <c r="T452" s="49" t="s">
        <v>74</v>
      </c>
      <c r="U452" s="48" t="s">
        <v>75</v>
      </c>
      <c r="V452" s="49"/>
      <c r="W452" s="65">
        <v>3.17</v>
      </c>
      <c r="X452" s="49" t="s">
        <v>2439</v>
      </c>
      <c r="Y452" s="49" t="s">
        <v>19659</v>
      </c>
      <c r="Z452" s="49" t="s">
        <v>746</v>
      </c>
      <c r="AA452" s="65">
        <v>0.83</v>
      </c>
      <c r="AB452" s="48" t="s">
        <v>19660</v>
      </c>
      <c r="AC452" s="84" t="s">
        <v>19658</v>
      </c>
      <c r="AD452" s="53" t="str">
        <f t="shared" ref="AD452:AD453" si="354">HYPERLINK("http://dsu.edu/academics/degrees-and-programs","Link")</f>
        <v>Link</v>
      </c>
      <c r="AE452" s="42">
        <v>2844</v>
      </c>
      <c r="AF452" s="55"/>
      <c r="AG452" s="55"/>
      <c r="AH452" s="56">
        <v>219082</v>
      </c>
      <c r="AI452" s="55"/>
      <c r="AJ452" s="162"/>
    </row>
    <row r="453" spans="1:41" ht="13" x14ac:dyDescent="0.15">
      <c r="A453" s="7"/>
      <c r="B453" s="31" t="s">
        <v>10507</v>
      </c>
      <c r="C453" s="2" t="s">
        <v>15218</v>
      </c>
      <c r="D453" s="7" t="s">
        <v>19662</v>
      </c>
      <c r="E453" s="37">
        <v>5</v>
      </c>
      <c r="F453" s="48"/>
      <c r="G453" s="48"/>
      <c r="H453" s="2" t="s">
        <v>19653</v>
      </c>
      <c r="I453" s="2" t="s">
        <v>1692</v>
      </c>
      <c r="J453" s="2" t="s">
        <v>6447</v>
      </c>
      <c r="K453" s="2" t="s">
        <v>55</v>
      </c>
      <c r="L453" s="2" t="s">
        <v>19665</v>
      </c>
      <c r="M453" s="6" t="s">
        <v>19666</v>
      </c>
      <c r="N453" s="45" t="str">
        <f t="shared" si="352"/>
        <v>@dsusoftball</v>
      </c>
      <c r="O453" s="45" t="str">
        <f t="shared" si="353"/>
        <v>Questionnaire</v>
      </c>
      <c r="P453" s="6" t="s">
        <v>19658</v>
      </c>
      <c r="Q453" s="60" t="s">
        <v>10518</v>
      </c>
      <c r="R453" s="48" t="s">
        <v>1905</v>
      </c>
      <c r="S453" s="60" t="s">
        <v>205</v>
      </c>
      <c r="T453" s="49" t="s">
        <v>74</v>
      </c>
      <c r="U453" s="48" t="s">
        <v>75</v>
      </c>
      <c r="V453" s="49"/>
      <c r="W453" s="65">
        <v>3.17</v>
      </c>
      <c r="X453" s="49" t="s">
        <v>2439</v>
      </c>
      <c r="Y453" s="49" t="s">
        <v>19659</v>
      </c>
      <c r="Z453" s="49" t="s">
        <v>746</v>
      </c>
      <c r="AA453" s="65">
        <v>0.83</v>
      </c>
      <c r="AB453" s="48" t="s">
        <v>19660</v>
      </c>
      <c r="AC453" s="84" t="s">
        <v>19658</v>
      </c>
      <c r="AD453" s="53" t="str">
        <f t="shared" si="354"/>
        <v>Link</v>
      </c>
      <c r="AE453" s="42">
        <v>2844</v>
      </c>
      <c r="AF453" s="55"/>
      <c r="AG453" s="55"/>
      <c r="AH453" s="56">
        <v>219082</v>
      </c>
      <c r="AI453" s="55"/>
      <c r="AJ453" s="162"/>
    </row>
    <row r="454" spans="1:41" ht="13" x14ac:dyDescent="0.15">
      <c r="A454" s="7"/>
      <c r="B454" s="31" t="s">
        <v>10507</v>
      </c>
      <c r="C454" s="2" t="s">
        <v>15218</v>
      </c>
      <c r="D454" s="7" t="s">
        <v>19667</v>
      </c>
      <c r="E454" s="37">
        <v>5</v>
      </c>
      <c r="F454" s="48"/>
      <c r="G454" s="48"/>
      <c r="H454" s="2" t="s">
        <v>19669</v>
      </c>
      <c r="I454" s="2" t="s">
        <v>767</v>
      </c>
      <c r="J454" s="2" t="s">
        <v>19670</v>
      </c>
      <c r="K454" s="2" t="s">
        <v>48</v>
      </c>
      <c r="L454" s="2" t="s">
        <v>19671</v>
      </c>
      <c r="M454" s="6" t="s">
        <v>19673</v>
      </c>
      <c r="N454" s="45" t="str">
        <f t="shared" ref="N454:N455" si="355">HYPERLINK("twitter.com/dwusoftball","@dwusoftball")</f>
        <v>@dwusoftball</v>
      </c>
      <c r="O454" s="45" t="str">
        <f t="shared" ref="O454:O455" si="356">HYPERLINK("https://dwuathletics.com/recruit_me/Questonnaire","Questionnaire")</f>
        <v>Questionnaire</v>
      </c>
      <c r="P454" s="6" t="s">
        <v>19674</v>
      </c>
      <c r="Q454" s="60" t="s">
        <v>10518</v>
      </c>
      <c r="R454" s="48" t="s">
        <v>11755</v>
      </c>
      <c r="S454" s="48" t="s">
        <v>172</v>
      </c>
      <c r="T454" s="49" t="s">
        <v>63</v>
      </c>
      <c r="U454" s="6" t="s">
        <v>65</v>
      </c>
      <c r="V454" s="49"/>
      <c r="W454" s="65">
        <v>3.36</v>
      </c>
      <c r="X454" s="49" t="s">
        <v>12126</v>
      </c>
      <c r="Y454" s="49" t="s">
        <v>1338</v>
      </c>
      <c r="Z454" s="49" t="s">
        <v>125</v>
      </c>
      <c r="AA454" s="65">
        <v>0.73</v>
      </c>
      <c r="AB454" s="39">
        <v>37300</v>
      </c>
      <c r="AC454" s="84" t="s">
        <v>19674</v>
      </c>
      <c r="AD454" s="53" t="str">
        <f t="shared" ref="AD454:AD455" si="357">HYPERLINK("https://www.dwu.edu/academics/majors-minors","Link")</f>
        <v>Link</v>
      </c>
      <c r="AE454" s="42">
        <v>879</v>
      </c>
      <c r="AF454" s="55"/>
      <c r="AG454" s="55"/>
      <c r="AH454" s="56">
        <v>219091</v>
      </c>
      <c r="AI454" s="55"/>
      <c r="AJ454" s="162"/>
    </row>
    <row r="455" spans="1:41" ht="13" x14ac:dyDescent="0.15">
      <c r="A455" s="7"/>
      <c r="B455" s="31" t="s">
        <v>10507</v>
      </c>
      <c r="C455" s="2" t="s">
        <v>15218</v>
      </c>
      <c r="D455" s="7" t="s">
        <v>19681</v>
      </c>
      <c r="E455" s="37">
        <v>5</v>
      </c>
      <c r="F455" s="48"/>
      <c r="G455" s="48"/>
      <c r="H455" s="2" t="s">
        <v>19669</v>
      </c>
      <c r="I455" s="2" t="s">
        <v>7816</v>
      </c>
      <c r="J455" s="2" t="s">
        <v>19683</v>
      </c>
      <c r="K455" s="2" t="s">
        <v>919</v>
      </c>
      <c r="L455" s="95" t="s">
        <v>19684</v>
      </c>
      <c r="M455" s="6"/>
      <c r="N455" s="45" t="str">
        <f t="shared" si="355"/>
        <v>@dwusoftball</v>
      </c>
      <c r="O455" s="45" t="str">
        <f t="shared" si="356"/>
        <v>Questionnaire</v>
      </c>
      <c r="P455" s="6" t="s">
        <v>19674</v>
      </c>
      <c r="Q455" s="60" t="s">
        <v>10518</v>
      </c>
      <c r="R455" s="48" t="s">
        <v>11755</v>
      </c>
      <c r="S455" s="48" t="s">
        <v>172</v>
      </c>
      <c r="T455" s="49" t="s">
        <v>63</v>
      </c>
      <c r="U455" s="6" t="s">
        <v>65</v>
      </c>
      <c r="V455" s="49"/>
      <c r="W455" s="65">
        <v>3.36</v>
      </c>
      <c r="X455" s="49" t="s">
        <v>12126</v>
      </c>
      <c r="Y455" s="49" t="s">
        <v>1338</v>
      </c>
      <c r="Z455" s="49" t="s">
        <v>125</v>
      </c>
      <c r="AA455" s="65">
        <v>0.73</v>
      </c>
      <c r="AB455" s="39">
        <v>37300</v>
      </c>
      <c r="AC455" s="84" t="s">
        <v>19674</v>
      </c>
      <c r="AD455" s="53" t="str">
        <f t="shared" si="357"/>
        <v>Link</v>
      </c>
      <c r="AE455" s="42">
        <v>879</v>
      </c>
      <c r="AF455" s="55"/>
      <c r="AG455" s="55"/>
      <c r="AH455" s="56">
        <v>219091</v>
      </c>
      <c r="AI455" s="55"/>
      <c r="AJ455" s="162"/>
    </row>
    <row r="456" spans="1:41" ht="13" x14ac:dyDescent="0.15">
      <c r="A456" s="7"/>
      <c r="B456" s="31" t="s">
        <v>10507</v>
      </c>
      <c r="C456" s="2" t="s">
        <v>15218</v>
      </c>
      <c r="D456" s="7" t="s">
        <v>19690</v>
      </c>
      <c r="E456" s="37">
        <v>5</v>
      </c>
      <c r="F456" s="48"/>
      <c r="G456" s="48"/>
      <c r="H456" s="2" t="s">
        <v>19691</v>
      </c>
      <c r="I456" s="2" t="s">
        <v>9382</v>
      </c>
      <c r="J456" s="2" t="s">
        <v>19692</v>
      </c>
      <c r="K456" s="2" t="s">
        <v>48</v>
      </c>
      <c r="L456" s="2" t="s">
        <v>19693</v>
      </c>
      <c r="M456" s="6" t="s">
        <v>19694</v>
      </c>
      <c r="N456" s="45" t="str">
        <f t="shared" ref="N456:N457" si="358">HYPERLINK("twitter.com/mtmcsoftball","@mtmcsoftball")</f>
        <v>@mtmcsoftball</v>
      </c>
      <c r="O456" s="45" t="str">
        <f t="shared" ref="O456:O457" si="359">HYPERLINK("http://www.mmclancers.com/recruiting.php","Questionnaire")</f>
        <v>Questionnaire</v>
      </c>
      <c r="P456" s="6" t="s">
        <v>19698</v>
      </c>
      <c r="Q456" s="60" t="s">
        <v>10518</v>
      </c>
      <c r="R456" s="48" t="s">
        <v>19699</v>
      </c>
      <c r="S456" s="48" t="s">
        <v>172</v>
      </c>
      <c r="T456" s="49" t="s">
        <v>63</v>
      </c>
      <c r="U456" s="6" t="s">
        <v>343</v>
      </c>
      <c r="V456" s="49"/>
      <c r="W456" s="65">
        <v>3.41</v>
      </c>
      <c r="X456" s="49" t="s">
        <v>214</v>
      </c>
      <c r="Y456" s="49" t="s">
        <v>214</v>
      </c>
      <c r="Z456" s="49" t="s">
        <v>841</v>
      </c>
      <c r="AA456" s="65">
        <v>0.65</v>
      </c>
      <c r="AB456" s="39">
        <v>38334</v>
      </c>
      <c r="AC456" s="84" t="s">
        <v>19698</v>
      </c>
      <c r="AD456" s="53" t="str">
        <f t="shared" ref="AD456:AD457" si="360">HYPERLINK("https://www.mtmc.edu/academics/majors-and-programs/","Link")</f>
        <v>Link</v>
      </c>
      <c r="AE456" s="42">
        <v>1008</v>
      </c>
      <c r="AF456" s="55"/>
      <c r="AG456" s="55"/>
      <c r="AH456" s="56">
        <v>219198</v>
      </c>
      <c r="AI456" s="55"/>
      <c r="AJ456" s="162"/>
    </row>
    <row r="457" spans="1:41" ht="13" x14ac:dyDescent="0.15">
      <c r="A457" s="7"/>
      <c r="B457" s="31" t="s">
        <v>10507</v>
      </c>
      <c r="C457" s="2" t="s">
        <v>15218</v>
      </c>
      <c r="D457" s="7" t="s">
        <v>19704</v>
      </c>
      <c r="E457" s="37">
        <v>5</v>
      </c>
      <c r="F457" s="48"/>
      <c r="G457" s="48"/>
      <c r="H457" s="2" t="s">
        <v>19691</v>
      </c>
      <c r="I457" s="2" t="s">
        <v>19705</v>
      </c>
      <c r="J457" s="2" t="s">
        <v>11356</v>
      </c>
      <c r="K457" s="2" t="s">
        <v>55</v>
      </c>
      <c r="L457" s="2"/>
      <c r="M457" s="6"/>
      <c r="N457" s="45" t="str">
        <f t="shared" si="358"/>
        <v>@mtmcsoftball</v>
      </c>
      <c r="O457" s="45" t="str">
        <f t="shared" si="359"/>
        <v>Questionnaire</v>
      </c>
      <c r="P457" s="6" t="s">
        <v>19698</v>
      </c>
      <c r="Q457" s="60" t="s">
        <v>10518</v>
      </c>
      <c r="R457" s="48" t="s">
        <v>19699</v>
      </c>
      <c r="S457" s="48" t="s">
        <v>172</v>
      </c>
      <c r="T457" s="49" t="s">
        <v>63</v>
      </c>
      <c r="U457" s="6" t="s">
        <v>343</v>
      </c>
      <c r="V457" s="49"/>
      <c r="W457" s="65">
        <v>3.41</v>
      </c>
      <c r="X457" s="49" t="s">
        <v>214</v>
      </c>
      <c r="Y457" s="49" t="s">
        <v>214</v>
      </c>
      <c r="Z457" s="49" t="s">
        <v>841</v>
      </c>
      <c r="AA457" s="65">
        <v>0.65</v>
      </c>
      <c r="AB457" s="39">
        <v>38334</v>
      </c>
      <c r="AC457" s="84" t="s">
        <v>19698</v>
      </c>
      <c r="AD457" s="53" t="str">
        <f t="shared" si="360"/>
        <v>Link</v>
      </c>
      <c r="AE457" s="42">
        <v>1008</v>
      </c>
      <c r="AF457" s="55"/>
      <c r="AG457" s="55"/>
      <c r="AH457" s="56">
        <v>219198</v>
      </c>
      <c r="AI457" s="55"/>
      <c r="AJ457" s="162"/>
    </row>
    <row r="458" spans="1:41" ht="13" x14ac:dyDescent="0.15">
      <c r="A458" s="7"/>
      <c r="B458" s="31" t="s">
        <v>10507</v>
      </c>
      <c r="C458" s="2" t="s">
        <v>15218</v>
      </c>
      <c r="D458" s="7" t="s">
        <v>19708</v>
      </c>
      <c r="E458" s="37">
        <v>5</v>
      </c>
      <c r="F458" s="48"/>
      <c r="G458" s="48"/>
      <c r="H458" s="2" t="s">
        <v>19710</v>
      </c>
      <c r="I458" s="2" t="s">
        <v>1660</v>
      </c>
      <c r="J458" s="2" t="s">
        <v>19711</v>
      </c>
      <c r="K458" s="2" t="s">
        <v>48</v>
      </c>
      <c r="L458" s="2" t="s">
        <v>19713</v>
      </c>
      <c r="M458" s="6" t="s">
        <v>19715</v>
      </c>
      <c r="N458" s="45" t="str">
        <f>HYPERLINK("twitter.com/pcsaintssb","@pcsaintssb")</f>
        <v>@pcsaintssb</v>
      </c>
      <c r="O458" s="45" t="str">
        <f>HYPERLINK("http://www.pcsaints.com/recruiting.php","Questionnaire")</f>
        <v>Questionnaire</v>
      </c>
      <c r="P458" s="60" t="s">
        <v>19718</v>
      </c>
      <c r="Q458" s="60" t="s">
        <v>10518</v>
      </c>
      <c r="R458" s="48" t="s">
        <v>10574</v>
      </c>
      <c r="S458" s="48" t="s">
        <v>468</v>
      </c>
      <c r="T458" s="5" t="s">
        <v>63</v>
      </c>
      <c r="U458" s="6" t="s">
        <v>343</v>
      </c>
      <c r="V458" s="49"/>
      <c r="W458" s="65">
        <v>3.07</v>
      </c>
      <c r="X458" s="49" t="s">
        <v>8516</v>
      </c>
      <c r="Y458" s="49" t="s">
        <v>19721</v>
      </c>
      <c r="Z458" s="49" t="s">
        <v>1339</v>
      </c>
      <c r="AA458" s="65">
        <v>0.62</v>
      </c>
      <c r="AB458" s="39">
        <v>31248</v>
      </c>
      <c r="AC458" s="90" t="s">
        <v>19718</v>
      </c>
      <c r="AD458" s="53" t="str">
        <f>HYPERLINK("http://www.presentation.edu/academics/undergraduate-programs/","Link")</f>
        <v>Link</v>
      </c>
      <c r="AE458" s="42">
        <v>786</v>
      </c>
      <c r="AF458" s="55"/>
      <c r="AG458" s="55"/>
      <c r="AH458" s="56">
        <v>219295</v>
      </c>
      <c r="AI458" s="55"/>
      <c r="AJ458" s="162"/>
    </row>
    <row r="459" spans="1:41" ht="15" x14ac:dyDescent="0.2">
      <c r="A459" s="7"/>
      <c r="B459" s="31" t="s">
        <v>10627</v>
      </c>
      <c r="C459" s="2" t="s">
        <v>15218</v>
      </c>
      <c r="D459" s="7"/>
      <c r="E459" s="37">
        <v>5</v>
      </c>
      <c r="F459" s="7"/>
      <c r="G459" s="7"/>
      <c r="H459" s="2" t="s">
        <v>19724</v>
      </c>
      <c r="I459" s="2" t="s">
        <v>658</v>
      </c>
      <c r="J459" s="2" t="s">
        <v>19728</v>
      </c>
      <c r="K459" s="2" t="s">
        <v>48</v>
      </c>
      <c r="L459" s="2" t="s">
        <v>19729</v>
      </c>
      <c r="M459" s="6" t="s">
        <v>19730</v>
      </c>
      <c r="N459" s="45" t="str">
        <f t="shared" ref="N459:N460" si="361">HYPERLINK("twitter.com/buladycats","@buladycats")</f>
        <v>@buladycats</v>
      </c>
      <c r="O459" s="45" t="str">
        <f t="shared" ref="O459:O460" si="362">HYPERLINK("http://www.bethelathletics.com/recruit","Questionnaire")</f>
        <v>Questionnaire</v>
      </c>
      <c r="P459" s="108" t="s">
        <v>19732</v>
      </c>
      <c r="Q459" s="60" t="s">
        <v>346</v>
      </c>
      <c r="R459" s="48" t="s">
        <v>1764</v>
      </c>
      <c r="S459" s="60" t="s">
        <v>205</v>
      </c>
      <c r="T459" s="5" t="s">
        <v>63</v>
      </c>
      <c r="U459" s="6" t="s">
        <v>19735</v>
      </c>
      <c r="V459" s="49"/>
      <c r="W459" s="65">
        <v>2.9</v>
      </c>
      <c r="X459" s="49" t="s">
        <v>19736</v>
      </c>
      <c r="Y459" s="49" t="s">
        <v>6099</v>
      </c>
      <c r="Z459" s="49" t="s">
        <v>1948</v>
      </c>
      <c r="AA459" s="38">
        <v>0.66510000000000002</v>
      </c>
      <c r="AB459" s="39">
        <v>31262</v>
      </c>
      <c r="AC459" s="52" t="s">
        <v>19732</v>
      </c>
      <c r="AD459" s="53" t="str">
        <f t="shared" ref="AD459:AD460" si="363">HYPERLINK("https://www.bethelu.edu/degrees-and-programs","Link")</f>
        <v>Link</v>
      </c>
      <c r="AE459" s="42">
        <v>4829</v>
      </c>
      <c r="AF459" s="55"/>
      <c r="AG459" s="55"/>
      <c r="AH459" s="56">
        <v>219718</v>
      </c>
      <c r="AI459" s="85" t="s">
        <v>2459</v>
      </c>
      <c r="AJ459" s="7"/>
      <c r="AK459" s="7"/>
      <c r="AL459" s="7"/>
      <c r="AM459" s="7"/>
      <c r="AN459" s="7"/>
      <c r="AO459" s="7"/>
    </row>
    <row r="460" spans="1:41" ht="15" x14ac:dyDescent="0.2">
      <c r="A460" s="7"/>
      <c r="B460" s="31" t="s">
        <v>10627</v>
      </c>
      <c r="C460" s="2" t="s">
        <v>15218</v>
      </c>
      <c r="D460" s="7"/>
      <c r="E460" s="37">
        <v>5</v>
      </c>
      <c r="F460" s="7"/>
      <c r="G460" s="7"/>
      <c r="H460" s="2" t="s">
        <v>19724</v>
      </c>
      <c r="I460" s="2" t="s">
        <v>19739</v>
      </c>
      <c r="J460" s="2" t="s">
        <v>19740</v>
      </c>
      <c r="K460" s="2" t="s">
        <v>55</v>
      </c>
      <c r="L460" s="2" t="s">
        <v>19742</v>
      </c>
      <c r="M460" s="6"/>
      <c r="N460" s="45" t="str">
        <f t="shared" si="361"/>
        <v>@buladycats</v>
      </c>
      <c r="O460" s="45" t="str">
        <f t="shared" si="362"/>
        <v>Questionnaire</v>
      </c>
      <c r="P460" s="108" t="s">
        <v>19732</v>
      </c>
      <c r="Q460" s="60" t="s">
        <v>346</v>
      </c>
      <c r="R460" s="48" t="s">
        <v>1764</v>
      </c>
      <c r="S460" s="60" t="s">
        <v>205</v>
      </c>
      <c r="T460" s="5" t="s">
        <v>63</v>
      </c>
      <c r="U460" s="6" t="s">
        <v>19735</v>
      </c>
      <c r="V460" s="49"/>
      <c r="W460" s="65">
        <v>2.9</v>
      </c>
      <c r="X460" s="49" t="s">
        <v>19736</v>
      </c>
      <c r="Y460" s="49" t="s">
        <v>6099</v>
      </c>
      <c r="Z460" s="49" t="s">
        <v>1948</v>
      </c>
      <c r="AA460" s="38">
        <v>0.66510000000000002</v>
      </c>
      <c r="AB460" s="39">
        <v>31262</v>
      </c>
      <c r="AC460" s="52" t="s">
        <v>19732</v>
      </c>
      <c r="AD460" s="53" t="str">
        <f t="shared" si="363"/>
        <v>Link</v>
      </c>
      <c r="AE460" s="42">
        <v>4829</v>
      </c>
      <c r="AF460" s="55"/>
      <c r="AG460" s="55"/>
      <c r="AH460" s="56">
        <v>219718</v>
      </c>
      <c r="AI460" s="85" t="s">
        <v>2459</v>
      </c>
      <c r="AJ460" s="7"/>
      <c r="AK460" s="7"/>
      <c r="AL460" s="7"/>
      <c r="AM460" s="7"/>
      <c r="AN460" s="7"/>
      <c r="AO460" s="7"/>
    </row>
    <row r="461" spans="1:41" ht="13" x14ac:dyDescent="0.15">
      <c r="A461" s="7"/>
      <c r="B461" s="31" t="s">
        <v>10627</v>
      </c>
      <c r="C461" s="2" t="s">
        <v>15218</v>
      </c>
      <c r="D461" s="7" t="s">
        <v>19745</v>
      </c>
      <c r="E461" s="37">
        <v>5</v>
      </c>
      <c r="F461" s="48"/>
      <c r="G461" s="48"/>
      <c r="H461" s="2" t="s">
        <v>19747</v>
      </c>
      <c r="I461" s="2" t="s">
        <v>904</v>
      </c>
      <c r="J461" s="2" t="s">
        <v>19748</v>
      </c>
      <c r="K461" s="2" t="s">
        <v>48</v>
      </c>
      <c r="L461" s="2" t="s">
        <v>19749</v>
      </c>
      <c r="M461" s="6" t="s">
        <v>19750</v>
      </c>
      <c r="N461" s="45" t="str">
        <f t="shared" ref="N461:N463" si="364">HYPERLINK("twitter.com/BCLionsSoftball","@BCLionsSoftball")</f>
        <v>@BCLionsSoftball</v>
      </c>
      <c r="O461" s="45" t="str">
        <f t="shared" ref="O461:O463" si="365">HYPERLINK("http://www.bryanlions.com/Prospective_Student-Athletes","Questionnaire")</f>
        <v>Questionnaire</v>
      </c>
      <c r="P461" s="60" t="s">
        <v>19753</v>
      </c>
      <c r="Q461" s="60" t="s">
        <v>346</v>
      </c>
      <c r="R461" s="48" t="s">
        <v>1832</v>
      </c>
      <c r="S461" s="60" t="s">
        <v>205</v>
      </c>
      <c r="T461" s="49" t="s">
        <v>63</v>
      </c>
      <c r="U461" s="6" t="s">
        <v>3252</v>
      </c>
      <c r="V461" s="49"/>
      <c r="W461" s="65">
        <v>3.59</v>
      </c>
      <c r="X461" s="49" t="s">
        <v>19756</v>
      </c>
      <c r="Y461" s="49" t="s">
        <v>19757</v>
      </c>
      <c r="Z461" s="49" t="s">
        <v>1650</v>
      </c>
      <c r="AA461" s="38">
        <v>0.4178</v>
      </c>
      <c r="AB461" s="39">
        <v>35315</v>
      </c>
      <c r="AC461" s="90" t="s">
        <v>19753</v>
      </c>
      <c r="AD461" s="53" t="str">
        <f t="shared" ref="AD461:AD463" si="366">HYPERLINK("https://www.bryan.edu/academics/undergraduate/majors/","Link")</f>
        <v>Link</v>
      </c>
      <c r="AE461" s="42">
        <v>1349</v>
      </c>
      <c r="AF461" s="55"/>
      <c r="AG461" s="55"/>
      <c r="AH461" s="56">
        <v>219790</v>
      </c>
      <c r="AI461" s="55"/>
      <c r="AJ461" s="162"/>
    </row>
    <row r="462" spans="1:41" ht="13" x14ac:dyDescent="0.15">
      <c r="A462" s="7"/>
      <c r="B462" s="31" t="s">
        <v>10627</v>
      </c>
      <c r="C462" s="2" t="s">
        <v>15218</v>
      </c>
      <c r="D462" s="7" t="s">
        <v>19759</v>
      </c>
      <c r="E462" s="37">
        <v>5</v>
      </c>
      <c r="F462" s="48"/>
      <c r="G462" s="48"/>
      <c r="H462" s="2" t="s">
        <v>19747</v>
      </c>
      <c r="I462" s="2" t="s">
        <v>1629</v>
      </c>
      <c r="J462" s="2" t="s">
        <v>19762</v>
      </c>
      <c r="K462" s="2" t="s">
        <v>55</v>
      </c>
      <c r="L462" s="2" t="s">
        <v>19763</v>
      </c>
      <c r="M462" s="6" t="s">
        <v>19750</v>
      </c>
      <c r="N462" s="45" t="str">
        <f t="shared" si="364"/>
        <v>@BCLionsSoftball</v>
      </c>
      <c r="O462" s="45" t="str">
        <f t="shared" si="365"/>
        <v>Questionnaire</v>
      </c>
      <c r="P462" s="60" t="s">
        <v>19753</v>
      </c>
      <c r="Q462" s="60" t="s">
        <v>346</v>
      </c>
      <c r="R462" s="48" t="s">
        <v>1832</v>
      </c>
      <c r="S462" s="60" t="s">
        <v>205</v>
      </c>
      <c r="T462" s="49" t="s">
        <v>63</v>
      </c>
      <c r="U462" s="6" t="s">
        <v>3252</v>
      </c>
      <c r="V462" s="49"/>
      <c r="W462" s="65">
        <v>3.59</v>
      </c>
      <c r="X462" s="49" t="s">
        <v>19756</v>
      </c>
      <c r="Y462" s="49" t="s">
        <v>19757</v>
      </c>
      <c r="Z462" s="49" t="s">
        <v>1650</v>
      </c>
      <c r="AA462" s="38">
        <v>0.4178</v>
      </c>
      <c r="AB462" s="39">
        <v>35315</v>
      </c>
      <c r="AC462" s="90" t="s">
        <v>19753</v>
      </c>
      <c r="AD462" s="53" t="str">
        <f t="shared" si="366"/>
        <v>Link</v>
      </c>
      <c r="AE462" s="42">
        <v>1349</v>
      </c>
      <c r="AF462" s="55"/>
      <c r="AG462" s="55"/>
      <c r="AH462" s="56">
        <v>219790</v>
      </c>
      <c r="AI462" s="55"/>
      <c r="AJ462" s="162"/>
    </row>
    <row r="463" spans="1:41" ht="13" x14ac:dyDescent="0.15">
      <c r="A463" s="7"/>
      <c r="B463" s="31" t="s">
        <v>10627</v>
      </c>
      <c r="C463" s="2" t="s">
        <v>15218</v>
      </c>
      <c r="D463" s="7" t="s">
        <v>19767</v>
      </c>
      <c r="E463" s="37">
        <v>5</v>
      </c>
      <c r="F463" s="48"/>
      <c r="G463" s="48"/>
      <c r="H463" s="2" t="s">
        <v>19747</v>
      </c>
      <c r="I463" s="2" t="s">
        <v>1418</v>
      </c>
      <c r="J463" s="2" t="s">
        <v>19769</v>
      </c>
      <c r="K463" s="2" t="s">
        <v>55</v>
      </c>
      <c r="L463" s="2" t="s">
        <v>19770</v>
      </c>
      <c r="M463" s="6" t="s">
        <v>19771</v>
      </c>
      <c r="N463" s="45" t="str">
        <f t="shared" si="364"/>
        <v>@BCLionsSoftball</v>
      </c>
      <c r="O463" s="45" t="str">
        <f t="shared" si="365"/>
        <v>Questionnaire</v>
      </c>
      <c r="P463" s="60" t="s">
        <v>19753</v>
      </c>
      <c r="Q463" s="60" t="s">
        <v>346</v>
      </c>
      <c r="R463" s="48" t="s">
        <v>1832</v>
      </c>
      <c r="S463" s="60" t="s">
        <v>205</v>
      </c>
      <c r="T463" s="49" t="s">
        <v>63</v>
      </c>
      <c r="U463" s="6" t="s">
        <v>3252</v>
      </c>
      <c r="V463" s="49"/>
      <c r="W463" s="65">
        <v>3.59</v>
      </c>
      <c r="X463" s="49" t="s">
        <v>19756</v>
      </c>
      <c r="Y463" s="49" t="s">
        <v>19757</v>
      </c>
      <c r="Z463" s="49" t="s">
        <v>1650</v>
      </c>
      <c r="AA463" s="38">
        <v>0.4178</v>
      </c>
      <c r="AB463" s="39">
        <v>35315</v>
      </c>
      <c r="AC463" s="90" t="s">
        <v>19753</v>
      </c>
      <c r="AD463" s="53" t="str">
        <f t="shared" si="366"/>
        <v>Link</v>
      </c>
      <c r="AE463" s="42">
        <v>1349</v>
      </c>
      <c r="AF463" s="55"/>
      <c r="AG463" s="55"/>
      <c r="AH463" s="56">
        <v>219790</v>
      </c>
      <c r="AI463" s="55"/>
      <c r="AJ463" s="162"/>
    </row>
    <row r="464" spans="1:41" ht="13" x14ac:dyDescent="0.15">
      <c r="A464" s="7"/>
      <c r="B464" s="31" t="s">
        <v>10627</v>
      </c>
      <c r="C464" s="2" t="s">
        <v>15218</v>
      </c>
      <c r="D464" s="7"/>
      <c r="E464" s="37">
        <v>5</v>
      </c>
      <c r="F464" s="7"/>
      <c r="G464" s="7"/>
      <c r="H464" s="2" t="s">
        <v>19775</v>
      </c>
      <c r="I464" s="2" t="s">
        <v>1132</v>
      </c>
      <c r="J464" s="2" t="s">
        <v>10214</v>
      </c>
      <c r="K464" s="2" t="s">
        <v>48</v>
      </c>
      <c r="L464" s="2" t="s">
        <v>19776</v>
      </c>
      <c r="M464" s="6" t="s">
        <v>19777</v>
      </c>
      <c r="N464" s="45" t="str">
        <f t="shared" ref="N464:N466" si="367">HYPERLINK("twitter.com/@cu_birddawgs","@cu_birddawgs")</f>
        <v>@cu_birddawgs</v>
      </c>
      <c r="O464" s="45" t="str">
        <f t="shared" ref="O464:O466" si="368">HYPERLINK("http://www.gocumberlandathletics.com/football/recruiting/","Questionnaire")</f>
        <v>Questionnaire</v>
      </c>
      <c r="P464" s="6" t="s">
        <v>19785</v>
      </c>
      <c r="Q464" s="60" t="s">
        <v>346</v>
      </c>
      <c r="R464" s="48" t="s">
        <v>4454</v>
      </c>
      <c r="S464" s="48" t="s">
        <v>468</v>
      </c>
      <c r="T464" s="49" t="s">
        <v>63</v>
      </c>
      <c r="U464" s="48" t="s">
        <v>75</v>
      </c>
      <c r="V464" s="49"/>
      <c r="W464" s="65">
        <v>3.3</v>
      </c>
      <c r="X464" s="49" t="s">
        <v>3613</v>
      </c>
      <c r="Y464" s="49" t="s">
        <v>3484</v>
      </c>
      <c r="Z464" s="49" t="s">
        <v>3842</v>
      </c>
      <c r="AA464" s="65">
        <v>0.49</v>
      </c>
      <c r="AB464" s="39">
        <v>35510</v>
      </c>
      <c r="AC464" s="84" t="s">
        <v>19785</v>
      </c>
      <c r="AD464" s="53" t="str">
        <f t="shared" ref="AD464:AD466" si="369">HYPERLINK("http://www.cumberland.edu/academics/degreeprograms","Link")</f>
        <v>Link</v>
      </c>
      <c r="AE464" s="42">
        <v>1658</v>
      </c>
      <c r="AF464" s="55"/>
      <c r="AG464" s="55"/>
      <c r="AH464" s="56">
        <v>219949</v>
      </c>
      <c r="AI464" s="7" t="s">
        <v>2459</v>
      </c>
      <c r="AJ464" s="7"/>
      <c r="AK464" s="7"/>
      <c r="AL464" s="7"/>
      <c r="AM464" s="7"/>
      <c r="AN464" s="7"/>
      <c r="AO464" s="7"/>
    </row>
    <row r="465" spans="1:41" ht="13" x14ac:dyDescent="0.15">
      <c r="A465" s="7"/>
      <c r="B465" s="31" t="s">
        <v>10627</v>
      </c>
      <c r="C465" s="2" t="s">
        <v>15218</v>
      </c>
      <c r="D465" s="7"/>
      <c r="E465" s="37">
        <v>5</v>
      </c>
      <c r="F465" s="7"/>
      <c r="G465" s="7"/>
      <c r="H465" s="2" t="s">
        <v>19775</v>
      </c>
      <c r="I465" s="2" t="s">
        <v>1258</v>
      </c>
      <c r="J465" s="2" t="s">
        <v>19792</v>
      </c>
      <c r="K465" s="2" t="s">
        <v>55</v>
      </c>
      <c r="L465" s="2" t="s">
        <v>19794</v>
      </c>
      <c r="M465" s="6" t="s">
        <v>19795</v>
      </c>
      <c r="N465" s="45" t="str">
        <f t="shared" si="367"/>
        <v>@cu_birddawgs</v>
      </c>
      <c r="O465" s="45" t="str">
        <f t="shared" si="368"/>
        <v>Questionnaire</v>
      </c>
      <c r="P465" s="6" t="s">
        <v>19785</v>
      </c>
      <c r="Q465" s="60" t="s">
        <v>346</v>
      </c>
      <c r="R465" s="48" t="s">
        <v>4454</v>
      </c>
      <c r="S465" s="48" t="s">
        <v>468</v>
      </c>
      <c r="T465" s="49" t="s">
        <v>63</v>
      </c>
      <c r="U465" s="48" t="s">
        <v>75</v>
      </c>
      <c r="V465" s="49"/>
      <c r="W465" s="65">
        <v>3.3</v>
      </c>
      <c r="X465" s="49" t="s">
        <v>3613</v>
      </c>
      <c r="Y465" s="49" t="s">
        <v>3484</v>
      </c>
      <c r="Z465" s="49" t="s">
        <v>3842</v>
      </c>
      <c r="AA465" s="65">
        <v>0.49</v>
      </c>
      <c r="AB465" s="39">
        <v>35510</v>
      </c>
      <c r="AC465" s="84" t="s">
        <v>19785</v>
      </c>
      <c r="AD465" s="53" t="str">
        <f t="shared" si="369"/>
        <v>Link</v>
      </c>
      <c r="AE465" s="42">
        <v>1658</v>
      </c>
      <c r="AF465" s="55"/>
      <c r="AG465" s="55"/>
      <c r="AH465" s="56">
        <v>219949</v>
      </c>
      <c r="AI465" s="85" t="s">
        <v>2459</v>
      </c>
      <c r="AJ465" s="7"/>
      <c r="AK465" s="7"/>
      <c r="AL465" s="7"/>
      <c r="AM465" s="7"/>
      <c r="AN465" s="7"/>
      <c r="AO465" s="7"/>
    </row>
    <row r="466" spans="1:41" ht="13" x14ac:dyDescent="0.15">
      <c r="A466" s="7"/>
      <c r="B466" s="31" t="s">
        <v>10627</v>
      </c>
      <c r="C466" s="2" t="s">
        <v>15218</v>
      </c>
      <c r="D466" s="7"/>
      <c r="E466" s="37">
        <v>5</v>
      </c>
      <c r="F466" s="7"/>
      <c r="G466" s="7"/>
      <c r="H466" s="2" t="s">
        <v>19775</v>
      </c>
      <c r="I466" s="2" t="s">
        <v>19801</v>
      </c>
      <c r="J466" s="2" t="s">
        <v>19802</v>
      </c>
      <c r="K466" s="2" t="s">
        <v>120</v>
      </c>
      <c r="L466" s="2" t="s">
        <v>19803</v>
      </c>
      <c r="M466" s="6"/>
      <c r="N466" s="45" t="str">
        <f t="shared" si="367"/>
        <v>@cu_birddawgs</v>
      </c>
      <c r="O466" s="45" t="str">
        <f t="shared" si="368"/>
        <v>Questionnaire</v>
      </c>
      <c r="P466" s="6" t="s">
        <v>19785</v>
      </c>
      <c r="Q466" s="60" t="s">
        <v>346</v>
      </c>
      <c r="R466" s="48" t="s">
        <v>4454</v>
      </c>
      <c r="S466" s="48" t="s">
        <v>468</v>
      </c>
      <c r="T466" s="49" t="s">
        <v>63</v>
      </c>
      <c r="U466" s="48" t="s">
        <v>75</v>
      </c>
      <c r="V466" s="49"/>
      <c r="W466" s="65">
        <v>3.3</v>
      </c>
      <c r="X466" s="49" t="s">
        <v>3613</v>
      </c>
      <c r="Y466" s="49" t="s">
        <v>3484</v>
      </c>
      <c r="Z466" s="49" t="s">
        <v>3842</v>
      </c>
      <c r="AA466" s="65">
        <v>0.49</v>
      </c>
      <c r="AB466" s="39">
        <v>35510</v>
      </c>
      <c r="AC466" s="84" t="s">
        <v>19785</v>
      </c>
      <c r="AD466" s="53" t="str">
        <f t="shared" si="369"/>
        <v>Link</v>
      </c>
      <c r="AE466" s="42">
        <v>1658</v>
      </c>
      <c r="AF466" s="55"/>
      <c r="AG466" s="55"/>
      <c r="AH466" s="56">
        <v>219949</v>
      </c>
      <c r="AI466" s="85" t="s">
        <v>2459</v>
      </c>
      <c r="AJ466" s="7"/>
      <c r="AK466" s="7"/>
      <c r="AL466" s="7"/>
      <c r="AM466" s="7"/>
      <c r="AN466" s="7"/>
      <c r="AO466" s="7"/>
    </row>
    <row r="467" spans="1:41" ht="13" x14ac:dyDescent="0.15">
      <c r="A467" s="7"/>
      <c r="B467" s="31" t="s">
        <v>10627</v>
      </c>
      <c r="C467" s="2" t="s">
        <v>15218</v>
      </c>
      <c r="D467" s="7"/>
      <c r="E467" s="37">
        <v>5</v>
      </c>
      <c r="F467" s="7"/>
      <c r="G467" s="7"/>
      <c r="H467" s="2" t="s">
        <v>19808</v>
      </c>
      <c r="I467" s="2" t="s">
        <v>421</v>
      </c>
      <c r="J467" s="2"/>
      <c r="K467" s="2" t="s">
        <v>48</v>
      </c>
      <c r="L467" s="2"/>
      <c r="M467" s="6"/>
      <c r="N467" s="48"/>
      <c r="O467" s="45" t="str">
        <f>HYPERLINK("https://www.fisk.edu/athletics/interest-form","Questionnaire")</f>
        <v>Questionnaire</v>
      </c>
      <c r="P467" s="6" t="s">
        <v>19809</v>
      </c>
      <c r="Q467" s="60" t="s">
        <v>346</v>
      </c>
      <c r="R467" s="48" t="s">
        <v>2450</v>
      </c>
      <c r="S467" s="48" t="s">
        <v>354</v>
      </c>
      <c r="T467" s="49" t="s">
        <v>63</v>
      </c>
      <c r="U467" s="48" t="s">
        <v>75</v>
      </c>
      <c r="V467" s="49" t="s">
        <v>212</v>
      </c>
      <c r="W467" s="65">
        <v>3.1</v>
      </c>
      <c r="X467" s="49" t="s">
        <v>3485</v>
      </c>
      <c r="Y467" s="49" t="s">
        <v>7925</v>
      </c>
      <c r="Z467" s="49" t="s">
        <v>1948</v>
      </c>
      <c r="AA467" s="65">
        <v>0.78</v>
      </c>
      <c r="AB467" s="39">
        <v>39170</v>
      </c>
      <c r="AC467" s="84" t="s">
        <v>19809</v>
      </c>
      <c r="AD467" s="53" t="str">
        <f>HYPERLINK("https://www.fisk.edu/academics/majors","Link")</f>
        <v>Link</v>
      </c>
      <c r="AE467" s="42">
        <v>723</v>
      </c>
      <c r="AF467" s="55"/>
      <c r="AG467" s="55"/>
      <c r="AH467" s="56">
        <v>220181</v>
      </c>
      <c r="AI467" s="85" t="s">
        <v>2459</v>
      </c>
      <c r="AJ467" s="7"/>
      <c r="AK467" s="7"/>
      <c r="AL467" s="7"/>
      <c r="AM467" s="7"/>
      <c r="AN467" s="7"/>
      <c r="AO467" s="7"/>
    </row>
    <row r="468" spans="1:41" ht="13" x14ac:dyDescent="0.15">
      <c r="A468" s="7"/>
      <c r="B468" s="31" t="s">
        <v>10627</v>
      </c>
      <c r="C468" s="2" t="s">
        <v>15218</v>
      </c>
      <c r="D468" s="7"/>
      <c r="E468" s="37">
        <v>5</v>
      </c>
      <c r="F468" s="7"/>
      <c r="G468" s="7"/>
      <c r="H468" s="2" t="s">
        <v>19813</v>
      </c>
      <c r="I468" s="2" t="s">
        <v>2200</v>
      </c>
      <c r="J468" s="2" t="s">
        <v>19814</v>
      </c>
      <c r="K468" s="2" t="s">
        <v>48</v>
      </c>
      <c r="L468" s="2" t="s">
        <v>19815</v>
      </c>
      <c r="M468" s="6" t="s">
        <v>19816</v>
      </c>
      <c r="N468" s="45" t="str">
        <f>HYPERLINK("twitter.com/fhusoftball_","@fhusoftball_")</f>
        <v>@fhusoftball_</v>
      </c>
      <c r="O468" s="45" t="str">
        <f>HYPERLINK("http://athletics.fhu.edu/Recruit_Info","Questionnaire")</f>
        <v>Questionnaire</v>
      </c>
      <c r="P468" s="6" t="s">
        <v>19821</v>
      </c>
      <c r="Q468" s="60" t="s">
        <v>346</v>
      </c>
      <c r="R468" s="48" t="s">
        <v>1727</v>
      </c>
      <c r="S468" s="60" t="s">
        <v>205</v>
      </c>
      <c r="T468" s="49" t="s">
        <v>63</v>
      </c>
      <c r="U468" s="6" t="s">
        <v>686</v>
      </c>
      <c r="V468" s="49"/>
      <c r="W468" s="65">
        <v>3.64</v>
      </c>
      <c r="X468" s="49" t="s">
        <v>19822</v>
      </c>
      <c r="Y468" s="49" t="s">
        <v>19823</v>
      </c>
      <c r="Z468" s="49" t="s">
        <v>545</v>
      </c>
      <c r="AA468" s="65">
        <v>0.96</v>
      </c>
      <c r="AB468" s="39">
        <v>34500</v>
      </c>
      <c r="AC468" s="84" t="s">
        <v>19821</v>
      </c>
      <c r="AD468" s="53" t="str">
        <f>HYPERLINK("http://www.fhu.edu/academics/majors","Link")</f>
        <v>Link</v>
      </c>
      <c r="AE468" s="42">
        <v>1402</v>
      </c>
      <c r="AF468" s="55"/>
      <c r="AG468" s="55"/>
      <c r="AH468" s="56">
        <v>220215</v>
      </c>
      <c r="AI468" s="85" t="s">
        <v>2459</v>
      </c>
      <c r="AJ468" s="7"/>
      <c r="AK468" s="7"/>
      <c r="AL468" s="7"/>
      <c r="AM468" s="7"/>
      <c r="AN468" s="7"/>
      <c r="AO468" s="7"/>
    </row>
    <row r="469" spans="1:41" ht="15" x14ac:dyDescent="0.2">
      <c r="A469" s="7"/>
      <c r="B469" s="31" t="s">
        <v>10627</v>
      </c>
      <c r="C469" s="2" t="s">
        <v>15218</v>
      </c>
      <c r="D469" s="7" t="s">
        <v>19829</v>
      </c>
      <c r="E469" s="37">
        <v>5</v>
      </c>
      <c r="F469" s="48"/>
      <c r="G469" s="48"/>
      <c r="H469" s="2" t="s">
        <v>19830</v>
      </c>
      <c r="I469" s="2" t="s">
        <v>19831</v>
      </c>
      <c r="J469" s="2" t="s">
        <v>2599</v>
      </c>
      <c r="K469" s="2" t="s">
        <v>48</v>
      </c>
      <c r="L469" s="2" t="s">
        <v>19832</v>
      </c>
      <c r="M469" s="6" t="s">
        <v>19833</v>
      </c>
      <c r="N469" s="45" t="str">
        <f>HYPERLINK("twitter.com/mmcsoftball","@mmcsoftball")</f>
        <v>@mmcsoftball</v>
      </c>
      <c r="O469" s="45" t="str">
        <f>HYPERLINK("http://www.goredhawks.com/recruiting.php","Questionnaire")</f>
        <v>Questionnaire</v>
      </c>
      <c r="P469" s="108" t="s">
        <v>19837</v>
      </c>
      <c r="Q469" s="60" t="s">
        <v>346</v>
      </c>
      <c r="R469" s="48" t="s">
        <v>19838</v>
      </c>
      <c r="S469" s="60" t="s">
        <v>205</v>
      </c>
      <c r="T469" s="49" t="s">
        <v>63</v>
      </c>
      <c r="U469" s="6" t="s">
        <v>65</v>
      </c>
      <c r="V469" s="49"/>
      <c r="W469" s="65">
        <v>3.11</v>
      </c>
      <c r="X469" s="49" t="s">
        <v>214</v>
      </c>
      <c r="Y469" s="49" t="s">
        <v>214</v>
      </c>
      <c r="Z469" s="49" t="s">
        <v>214</v>
      </c>
      <c r="AA469" s="55" t="s">
        <v>214</v>
      </c>
      <c r="AB469" s="39">
        <v>35608</v>
      </c>
      <c r="AC469" s="52" t="s">
        <v>19837</v>
      </c>
      <c r="AD469" s="53" t="str">
        <f>HYPERLINK("https://www.martinmethodist.edu/academics/","Link")</f>
        <v>Link</v>
      </c>
      <c r="AE469" s="42">
        <v>1012</v>
      </c>
      <c r="AF469" s="55"/>
      <c r="AG469" s="55"/>
      <c r="AH469" s="56">
        <v>220701</v>
      </c>
      <c r="AI469" s="55"/>
      <c r="AJ469" s="162"/>
    </row>
    <row r="470" spans="1:41" ht="15" x14ac:dyDescent="0.2">
      <c r="A470" s="7"/>
      <c r="B470" s="31" t="s">
        <v>10627</v>
      </c>
      <c r="C470" s="2" t="s">
        <v>15218</v>
      </c>
      <c r="D470" s="7" t="s">
        <v>19839</v>
      </c>
      <c r="E470" s="37">
        <v>5</v>
      </c>
      <c r="F470" s="48"/>
      <c r="G470" s="48"/>
      <c r="H470" s="2" t="s">
        <v>19840</v>
      </c>
      <c r="I470" s="2" t="s">
        <v>8391</v>
      </c>
      <c r="J470" s="2" t="s">
        <v>939</v>
      </c>
      <c r="K470" s="2" t="s">
        <v>48</v>
      </c>
      <c r="L470" s="2" t="s">
        <v>19841</v>
      </c>
      <c r="M470" s="6" t="s">
        <v>19842</v>
      </c>
      <c r="N470" s="45" t="str">
        <f t="shared" ref="N470:N471" si="370">HYPERLINK("twitter.com/milliganbuffssb","@milliganbuffssb")</f>
        <v>@milliganbuffssb</v>
      </c>
      <c r="O470" s="45" t="str">
        <f t="shared" ref="O470:O471" si="371">HYPERLINK("https://milliganbuffs.com/sb_output.aspx?form=3","Questionnaire")</f>
        <v>Questionnaire</v>
      </c>
      <c r="P470" s="108" t="s">
        <v>11191</v>
      </c>
      <c r="Q470" s="48" t="s">
        <v>346</v>
      </c>
      <c r="R470" s="60" t="s">
        <v>19840</v>
      </c>
      <c r="S470" s="60" t="s">
        <v>205</v>
      </c>
      <c r="T470" s="49" t="s">
        <v>63</v>
      </c>
      <c r="U470" s="6" t="s">
        <v>686</v>
      </c>
      <c r="V470" s="49"/>
      <c r="W470" s="65">
        <v>3.75</v>
      </c>
      <c r="X470" s="49" t="s">
        <v>3341</v>
      </c>
      <c r="Y470" s="49" t="s">
        <v>19845</v>
      </c>
      <c r="Z470" s="49" t="s">
        <v>320</v>
      </c>
      <c r="AA470" s="65">
        <v>0.72</v>
      </c>
      <c r="AB470" s="39">
        <v>41098</v>
      </c>
      <c r="AC470" s="52" t="s">
        <v>11191</v>
      </c>
      <c r="AD470" s="53" t="str">
        <f t="shared" ref="AD470:AD471" si="372">HYPERLINK("https://www.milligan.edu/academics/","Link")</f>
        <v>Link</v>
      </c>
      <c r="AE470" s="42">
        <v>880</v>
      </c>
      <c r="AF470" s="55"/>
      <c r="AG470" s="55"/>
      <c r="AH470" s="56">
        <v>221014</v>
      </c>
      <c r="AI470" s="55"/>
      <c r="AJ470" s="162"/>
    </row>
    <row r="471" spans="1:41" ht="15" x14ac:dyDescent="0.2">
      <c r="A471" s="7"/>
      <c r="B471" s="31" t="s">
        <v>10627</v>
      </c>
      <c r="C471" s="2" t="s">
        <v>15218</v>
      </c>
      <c r="D471" s="7" t="s">
        <v>19848</v>
      </c>
      <c r="E471" s="37">
        <v>5</v>
      </c>
      <c r="F471" s="48"/>
      <c r="G471" s="48"/>
      <c r="H471" s="2" t="s">
        <v>19840</v>
      </c>
      <c r="I471" s="2" t="s">
        <v>8391</v>
      </c>
      <c r="J471" s="2" t="s">
        <v>19849</v>
      </c>
      <c r="K471" s="2" t="s">
        <v>55</v>
      </c>
      <c r="L471" s="2" t="s">
        <v>19850</v>
      </c>
      <c r="M471" s="6" t="s">
        <v>19842</v>
      </c>
      <c r="N471" s="45" t="str">
        <f t="shared" si="370"/>
        <v>@milliganbuffssb</v>
      </c>
      <c r="O471" s="45" t="str">
        <f t="shared" si="371"/>
        <v>Questionnaire</v>
      </c>
      <c r="P471" s="108" t="s">
        <v>11191</v>
      </c>
      <c r="Q471" s="48" t="s">
        <v>346</v>
      </c>
      <c r="R471" s="60" t="s">
        <v>19840</v>
      </c>
      <c r="S471" s="60" t="s">
        <v>205</v>
      </c>
      <c r="T471" s="49" t="s">
        <v>63</v>
      </c>
      <c r="U471" s="6" t="s">
        <v>686</v>
      </c>
      <c r="V471" s="49"/>
      <c r="W471" s="65">
        <v>3.75</v>
      </c>
      <c r="X471" s="49" t="s">
        <v>3341</v>
      </c>
      <c r="Y471" s="49" t="s">
        <v>19845</v>
      </c>
      <c r="Z471" s="49" t="s">
        <v>320</v>
      </c>
      <c r="AA471" s="65">
        <v>0.72</v>
      </c>
      <c r="AB471" s="39">
        <v>41098</v>
      </c>
      <c r="AC471" s="52" t="s">
        <v>11191</v>
      </c>
      <c r="AD471" s="53" t="str">
        <f t="shared" si="372"/>
        <v>Link</v>
      </c>
      <c r="AE471" s="42">
        <v>880</v>
      </c>
      <c r="AF471" s="55"/>
      <c r="AG471" s="55"/>
      <c r="AH471" s="56">
        <v>221014</v>
      </c>
      <c r="AI471" s="55"/>
      <c r="AJ471" s="162"/>
    </row>
    <row r="472" spans="1:41" ht="13" x14ac:dyDescent="0.15">
      <c r="A472" s="7"/>
      <c r="B472" s="31" t="s">
        <v>10627</v>
      </c>
      <c r="C472" s="2" t="s">
        <v>15218</v>
      </c>
      <c r="D472" s="7"/>
      <c r="E472" s="37">
        <v>5</v>
      </c>
      <c r="F472" s="7"/>
      <c r="G472" s="7"/>
      <c r="H472" s="2" t="s">
        <v>19857</v>
      </c>
      <c r="I472" s="2" t="s">
        <v>19858</v>
      </c>
      <c r="J472" s="2" t="s">
        <v>2219</v>
      </c>
      <c r="K472" s="2" t="s">
        <v>48</v>
      </c>
      <c r="L472" s="2" t="s">
        <v>19859</v>
      </c>
      <c r="M472" s="6" t="s">
        <v>19860</v>
      </c>
      <c r="N472" s="45" t="str">
        <f t="shared" ref="N472:N473" si="373">HYPERLINK("twitter.com/twu_bulldogssb","@twu_bulldogssb")</f>
        <v>@twu_bulldogssb</v>
      </c>
      <c r="O472" s="45" t="str">
        <f t="shared" ref="O472:O473" si="374">HYPERLINK("http://www.twcbulldogs.com/recruiting.php","Questionnaire")</f>
        <v>Questionnaire</v>
      </c>
      <c r="P472" s="6" t="s">
        <v>19862</v>
      </c>
      <c r="Q472" s="60" t="s">
        <v>346</v>
      </c>
      <c r="R472" s="48" t="s">
        <v>7762</v>
      </c>
      <c r="S472" s="48" t="s">
        <v>172</v>
      </c>
      <c r="T472" s="49" t="s">
        <v>63</v>
      </c>
      <c r="U472" s="6" t="s">
        <v>65</v>
      </c>
      <c r="V472" s="49"/>
      <c r="W472" s="65">
        <v>3.36</v>
      </c>
      <c r="X472" s="49" t="s">
        <v>8509</v>
      </c>
      <c r="Y472" s="49" t="s">
        <v>3338</v>
      </c>
      <c r="Z472" s="49" t="s">
        <v>746</v>
      </c>
      <c r="AA472" s="65">
        <v>0.61</v>
      </c>
      <c r="AB472" s="39">
        <v>33240</v>
      </c>
      <c r="AC472" s="84" t="s">
        <v>19862</v>
      </c>
      <c r="AD472" s="53" t="str">
        <f t="shared" ref="AD472:AD473" si="375">HYPERLINK("https://www.tnwesleyan.edu/academics/undergraduate-programs/","Link")</f>
        <v>Link</v>
      </c>
      <c r="AE472" s="42">
        <v>1015</v>
      </c>
      <c r="AF472" s="55"/>
      <c r="AG472" s="55"/>
      <c r="AH472" s="56">
        <v>221731</v>
      </c>
      <c r="AI472" s="85" t="s">
        <v>2459</v>
      </c>
      <c r="AJ472" s="7"/>
      <c r="AK472" s="7"/>
      <c r="AL472" s="7"/>
      <c r="AM472" s="7"/>
      <c r="AN472" s="7"/>
      <c r="AO472" s="7"/>
    </row>
    <row r="473" spans="1:41" ht="13" x14ac:dyDescent="0.15">
      <c r="A473" s="7"/>
      <c r="B473" s="31" t="s">
        <v>10627</v>
      </c>
      <c r="C473" s="2" t="s">
        <v>15218</v>
      </c>
      <c r="D473" s="7"/>
      <c r="E473" s="37">
        <v>5</v>
      </c>
      <c r="F473" s="7"/>
      <c r="G473" s="7"/>
      <c r="H473" s="2" t="s">
        <v>19857</v>
      </c>
      <c r="I473" s="2" t="s">
        <v>2580</v>
      </c>
      <c r="J473" s="2" t="s">
        <v>2482</v>
      </c>
      <c r="K473" s="2" t="s">
        <v>55</v>
      </c>
      <c r="L473" s="2" t="s">
        <v>19866</v>
      </c>
      <c r="M473" s="6"/>
      <c r="N473" s="45" t="str">
        <f t="shared" si="373"/>
        <v>@twu_bulldogssb</v>
      </c>
      <c r="O473" s="45" t="str">
        <f t="shared" si="374"/>
        <v>Questionnaire</v>
      </c>
      <c r="P473" s="6" t="s">
        <v>19862</v>
      </c>
      <c r="Q473" s="60" t="s">
        <v>346</v>
      </c>
      <c r="R473" s="48" t="s">
        <v>7762</v>
      </c>
      <c r="S473" s="48" t="s">
        <v>172</v>
      </c>
      <c r="T473" s="49" t="s">
        <v>63</v>
      </c>
      <c r="U473" s="6" t="s">
        <v>65</v>
      </c>
      <c r="V473" s="49"/>
      <c r="W473" s="65">
        <v>3.36</v>
      </c>
      <c r="X473" s="49" t="s">
        <v>8509</v>
      </c>
      <c r="Y473" s="49" t="s">
        <v>3338</v>
      </c>
      <c r="Z473" s="49" t="s">
        <v>746</v>
      </c>
      <c r="AA473" s="65">
        <v>0.61</v>
      </c>
      <c r="AB473" s="39">
        <v>33240</v>
      </c>
      <c r="AC473" s="84" t="s">
        <v>19862</v>
      </c>
      <c r="AD473" s="53" t="str">
        <f t="shared" si="375"/>
        <v>Link</v>
      </c>
      <c r="AE473" s="42">
        <v>1015</v>
      </c>
      <c r="AF473" s="55"/>
      <c r="AG473" s="55"/>
      <c r="AH473" s="56">
        <v>221731</v>
      </c>
      <c r="AI473" s="7" t="s">
        <v>2459</v>
      </c>
      <c r="AJ473" s="7"/>
      <c r="AK473" s="7"/>
      <c r="AL473" s="7"/>
      <c r="AM473" s="7"/>
      <c r="AN473" s="7"/>
      <c r="AO473" s="7"/>
    </row>
    <row r="474" spans="1:41" ht="13" x14ac:dyDescent="0.15">
      <c r="A474" s="7"/>
      <c r="B474" s="31" t="s">
        <v>2922</v>
      </c>
      <c r="C474" s="2" t="s">
        <v>15218</v>
      </c>
      <c r="D474" s="7"/>
      <c r="E474" s="37">
        <v>5</v>
      </c>
      <c r="F474" s="7"/>
      <c r="G474" s="7"/>
      <c r="H474" s="2" t="s">
        <v>19868</v>
      </c>
      <c r="I474" s="2" t="s">
        <v>1447</v>
      </c>
      <c r="J474" s="2" t="s">
        <v>19869</v>
      </c>
      <c r="K474" s="2" t="s">
        <v>48</v>
      </c>
      <c r="L474" s="2" t="s">
        <v>19870</v>
      </c>
      <c r="M474" s="6" t="s">
        <v>19872</v>
      </c>
      <c r="N474" s="48"/>
      <c r="O474" s="45" t="str">
        <f t="shared" ref="O474:O475" si="376">HYPERLINK("https://www.uhvjaguars.com/SIDHelp.php?action=form&amp;parameters=5","Questionnaire")</f>
        <v>Questionnaire</v>
      </c>
      <c r="P474" s="6" t="s">
        <v>19873</v>
      </c>
      <c r="Q474" s="60" t="s">
        <v>280</v>
      </c>
      <c r="R474" s="48" t="s">
        <v>11885</v>
      </c>
      <c r="S474" s="48" t="s">
        <v>186</v>
      </c>
      <c r="T474" s="5" t="s">
        <v>74</v>
      </c>
      <c r="U474" s="48" t="s">
        <v>75</v>
      </c>
      <c r="V474" s="49"/>
      <c r="W474" s="49" t="s">
        <v>289</v>
      </c>
      <c r="X474" s="49" t="s">
        <v>214</v>
      </c>
      <c r="Y474" s="49" t="s">
        <v>214</v>
      </c>
      <c r="Z474" s="49" t="s">
        <v>214</v>
      </c>
      <c r="AA474" s="65">
        <v>0.48</v>
      </c>
      <c r="AB474" s="48" t="s">
        <v>19875</v>
      </c>
      <c r="AC474" s="84" t="s">
        <v>19873</v>
      </c>
      <c r="AD474" s="53" t="str">
        <f t="shared" ref="AD474:AD475" si="377">HYPERLINK("https://www.uhv.edu/international/apply/academic-majors-guide/","Link")</f>
        <v>Link</v>
      </c>
      <c r="AE474" s="42">
        <v>3248</v>
      </c>
      <c r="AF474" s="55"/>
      <c r="AG474" s="55"/>
      <c r="AH474" s="56">
        <v>225502</v>
      </c>
      <c r="AI474" s="7" t="s">
        <v>2459</v>
      </c>
      <c r="AJ474" s="7"/>
      <c r="AK474" s="7"/>
      <c r="AL474" s="7"/>
      <c r="AM474" s="7"/>
      <c r="AN474" s="7"/>
      <c r="AO474" s="7"/>
    </row>
    <row r="475" spans="1:41" ht="13" x14ac:dyDescent="0.15">
      <c r="A475" s="7"/>
      <c r="B475" s="31" t="s">
        <v>2922</v>
      </c>
      <c r="C475" s="2" t="s">
        <v>15218</v>
      </c>
      <c r="D475" s="7"/>
      <c r="E475" s="37">
        <v>5</v>
      </c>
      <c r="F475" s="7"/>
      <c r="G475" s="7"/>
      <c r="H475" s="2" t="s">
        <v>19868</v>
      </c>
      <c r="I475" s="2" t="s">
        <v>19877</v>
      </c>
      <c r="J475" s="2" t="s">
        <v>11384</v>
      </c>
      <c r="K475" s="2" t="s">
        <v>55</v>
      </c>
      <c r="L475" s="2" t="s">
        <v>19879</v>
      </c>
      <c r="M475" s="6" t="s">
        <v>19881</v>
      </c>
      <c r="N475" s="48"/>
      <c r="O475" s="45" t="str">
        <f t="shared" si="376"/>
        <v>Questionnaire</v>
      </c>
      <c r="P475" s="6" t="s">
        <v>19873</v>
      </c>
      <c r="Q475" s="60" t="s">
        <v>280</v>
      </c>
      <c r="R475" s="48" t="s">
        <v>11885</v>
      </c>
      <c r="S475" s="48" t="s">
        <v>186</v>
      </c>
      <c r="T475" s="5" t="s">
        <v>74</v>
      </c>
      <c r="U475" s="48" t="s">
        <v>75</v>
      </c>
      <c r="V475" s="49"/>
      <c r="W475" s="49" t="s">
        <v>289</v>
      </c>
      <c r="X475" s="49" t="s">
        <v>214</v>
      </c>
      <c r="Y475" s="49" t="s">
        <v>214</v>
      </c>
      <c r="Z475" s="49" t="s">
        <v>214</v>
      </c>
      <c r="AA475" s="65">
        <v>0.48</v>
      </c>
      <c r="AB475" s="48" t="s">
        <v>19875</v>
      </c>
      <c r="AC475" s="84" t="s">
        <v>19873</v>
      </c>
      <c r="AD475" s="53" t="str">
        <f t="shared" si="377"/>
        <v>Link</v>
      </c>
      <c r="AE475" s="42">
        <v>3248</v>
      </c>
      <c r="AF475" s="55"/>
      <c r="AG475" s="55"/>
      <c r="AH475" s="56">
        <v>225502</v>
      </c>
      <c r="AI475" s="85" t="s">
        <v>2459</v>
      </c>
      <c r="AJ475" s="7"/>
      <c r="AK475" s="7"/>
      <c r="AL475" s="7"/>
      <c r="AM475" s="7"/>
      <c r="AN475" s="7"/>
      <c r="AO475" s="7"/>
    </row>
    <row r="476" spans="1:41" ht="15" x14ac:dyDescent="0.2">
      <c r="A476" s="7"/>
      <c r="B476" s="31" t="s">
        <v>2922</v>
      </c>
      <c r="C476" s="2" t="s">
        <v>15218</v>
      </c>
      <c r="D476" s="7" t="s">
        <v>19885</v>
      </c>
      <c r="E476" s="37">
        <v>5</v>
      </c>
      <c r="F476" s="48"/>
      <c r="G476" s="48"/>
      <c r="H476" s="2" t="s">
        <v>19886</v>
      </c>
      <c r="I476" s="2" t="s">
        <v>19887</v>
      </c>
      <c r="J476" s="2" t="s">
        <v>1934</v>
      </c>
      <c r="K476" s="2" t="s">
        <v>48</v>
      </c>
      <c r="L476" s="2" t="s">
        <v>19888</v>
      </c>
      <c r="M476" s="6" t="s">
        <v>19889</v>
      </c>
      <c r="N476" s="114" t="str">
        <f>HYPERLINK("twitter.com/softball_ht","@softball_ht")</f>
        <v>@softball_ht</v>
      </c>
      <c r="O476" s="45" t="str">
        <f>HYPERLINK("https://htu.edu/?s=prospect+form","Questionnaire")</f>
        <v>Questionnaire</v>
      </c>
      <c r="P476" s="141" t="s">
        <v>19893</v>
      </c>
      <c r="Q476" s="60" t="s">
        <v>280</v>
      </c>
      <c r="R476" s="48" t="s">
        <v>2924</v>
      </c>
      <c r="S476" s="48" t="s">
        <v>354</v>
      </c>
      <c r="T476" s="5" t="s">
        <v>63</v>
      </c>
      <c r="U476" s="48" t="s">
        <v>10820</v>
      </c>
      <c r="V476" s="49" t="s">
        <v>212</v>
      </c>
      <c r="W476" s="65">
        <v>2.79</v>
      </c>
      <c r="X476" s="49" t="s">
        <v>19894</v>
      </c>
      <c r="Y476" s="49" t="s">
        <v>15343</v>
      </c>
      <c r="Z476" s="49" t="s">
        <v>19895</v>
      </c>
      <c r="AA476" s="65">
        <v>0.36</v>
      </c>
      <c r="AB476" s="39">
        <v>28286</v>
      </c>
      <c r="AC476" s="52" t="s">
        <v>19896</v>
      </c>
      <c r="AD476" s="53" t="str">
        <f>HYPERLINK("http://htu.edu/academics/degrees","Link")</f>
        <v>Link</v>
      </c>
      <c r="AE476" s="42">
        <v>965</v>
      </c>
      <c r="AF476" s="55"/>
      <c r="AG476" s="55"/>
      <c r="AH476" s="56">
        <v>225575</v>
      </c>
      <c r="AI476" s="55"/>
      <c r="AJ476" s="162"/>
    </row>
    <row r="477" spans="1:41" ht="13" x14ac:dyDescent="0.15">
      <c r="A477" s="7"/>
      <c r="B477" s="31" t="s">
        <v>2922</v>
      </c>
      <c r="C477" s="2" t="s">
        <v>15218</v>
      </c>
      <c r="D477" s="7"/>
      <c r="E477" s="37">
        <v>5</v>
      </c>
      <c r="F477" s="7"/>
      <c r="G477" s="7"/>
      <c r="H477" s="2" t="s">
        <v>19898</v>
      </c>
      <c r="I477" s="2" t="s">
        <v>16595</v>
      </c>
      <c r="J477" s="2" t="s">
        <v>578</v>
      </c>
      <c r="K477" s="2" t="s">
        <v>48</v>
      </c>
      <c r="L477" s="2" t="s">
        <v>19899</v>
      </c>
      <c r="M477" s="6"/>
      <c r="N477" s="48"/>
      <c r="O477" s="45" t="str">
        <f>HYPERLINK("http://www.jccbulldogs.com/recruit-me","Questionnaire")</f>
        <v>Questionnaire</v>
      </c>
      <c r="P477" s="6" t="s">
        <v>19902</v>
      </c>
      <c r="Q477" s="60" t="s">
        <v>280</v>
      </c>
      <c r="R477" s="48" t="s">
        <v>267</v>
      </c>
      <c r="S477" s="60" t="s">
        <v>205</v>
      </c>
      <c r="T477" s="5" t="s">
        <v>63</v>
      </c>
      <c r="U477" s="48" t="s">
        <v>410</v>
      </c>
      <c r="V477" s="49" t="s">
        <v>212</v>
      </c>
      <c r="W477" s="65">
        <v>2.77</v>
      </c>
      <c r="X477" s="49" t="s">
        <v>19906</v>
      </c>
      <c r="Y477" s="49" t="s">
        <v>8036</v>
      </c>
      <c r="Z477" s="49" t="s">
        <v>8038</v>
      </c>
      <c r="AA477" s="65">
        <v>0.54</v>
      </c>
      <c r="AB477" s="39">
        <v>23840</v>
      </c>
      <c r="AC477" s="84" t="s">
        <v>19902</v>
      </c>
      <c r="AD477" s="53" t="str">
        <f>HYPERLINK("https://www.jarvis.edu/degree-programs","Link")</f>
        <v>Link</v>
      </c>
      <c r="AE477" s="42">
        <v>868</v>
      </c>
      <c r="AF477" s="55"/>
      <c r="AG477" s="55"/>
      <c r="AH477" s="56">
        <v>225885</v>
      </c>
      <c r="AI477" s="7" t="s">
        <v>2459</v>
      </c>
      <c r="AJ477" s="7"/>
      <c r="AK477" s="7"/>
      <c r="AL477" s="7"/>
      <c r="AM477" s="7"/>
      <c r="AN477" s="7"/>
      <c r="AO477" s="7"/>
    </row>
    <row r="478" spans="1:41" ht="13" x14ac:dyDescent="0.15">
      <c r="A478" s="7"/>
      <c r="B478" s="31" t="s">
        <v>2922</v>
      </c>
      <c r="C478" s="2" t="s">
        <v>15218</v>
      </c>
      <c r="D478" s="7" t="s">
        <v>19907</v>
      </c>
      <c r="E478" s="37">
        <v>5</v>
      </c>
      <c r="F478" s="48"/>
      <c r="G478" s="48"/>
      <c r="H478" s="2" t="s">
        <v>19909</v>
      </c>
      <c r="I478" s="2" t="s">
        <v>1212</v>
      </c>
      <c r="J478" s="2" t="s">
        <v>19911</v>
      </c>
      <c r="K478" s="2" t="s">
        <v>48</v>
      </c>
      <c r="L478" s="95" t="s">
        <v>19912</v>
      </c>
      <c r="M478" s="6" t="s">
        <v>19913</v>
      </c>
      <c r="N478" s="45" t="str">
        <f t="shared" ref="N478:N479" si="378">HYPERLINK("twitter.com/OurSoftball","@OurSoftball")</f>
        <v>@OurSoftball</v>
      </c>
      <c r="O478" s="45" t="str">
        <f t="shared" ref="O478:O479" si="379">HYPERLINK("http://www.ollusaintsathletics.com/recruiting.php","Questionnaire")</f>
        <v>Questionnaire</v>
      </c>
      <c r="P478" s="6" t="s">
        <v>19916</v>
      </c>
      <c r="Q478" s="60" t="s">
        <v>3623</v>
      </c>
      <c r="R478" s="48" t="s">
        <v>11837</v>
      </c>
      <c r="S478" s="48" t="s">
        <v>62</v>
      </c>
      <c r="T478" s="49" t="s">
        <v>63</v>
      </c>
      <c r="U478" s="6" t="s">
        <v>343</v>
      </c>
      <c r="V478" s="49"/>
      <c r="W478" s="65">
        <v>3.35</v>
      </c>
      <c r="X478" s="49" t="s">
        <v>8138</v>
      </c>
      <c r="Y478" s="49" t="s">
        <v>2522</v>
      </c>
      <c r="Z478" s="49" t="s">
        <v>3995</v>
      </c>
      <c r="AA478" s="65">
        <v>0.54</v>
      </c>
      <c r="AB478" s="39">
        <v>42280</v>
      </c>
      <c r="AC478" s="84" t="s">
        <v>19916</v>
      </c>
      <c r="AD478" s="53" t="str">
        <f t="shared" ref="AD478:AD479" si="380">HYPERLINK("http://www.ollusa.edu/s/1190/hybrid/18/acad-hybrid-ollu.aspx?sid=1190&amp;gid=1&amp;pgid=7536&amp;_ga=2.217464918.1120713972.1521824348-1558817099.1521824346#gotoDegrees","Link")</f>
        <v>Link</v>
      </c>
      <c r="AE478" s="42">
        <v>1221</v>
      </c>
      <c r="AF478" s="55"/>
      <c r="AG478" s="55"/>
      <c r="AH478" s="56">
        <v>160074</v>
      </c>
      <c r="AI478" s="55"/>
      <c r="AJ478" s="162"/>
    </row>
    <row r="479" spans="1:41" ht="13" x14ac:dyDescent="0.15">
      <c r="A479" s="7"/>
      <c r="B479" s="31" t="s">
        <v>2922</v>
      </c>
      <c r="C479" s="2" t="s">
        <v>15218</v>
      </c>
      <c r="D479" s="7" t="s">
        <v>19921</v>
      </c>
      <c r="E479" s="37">
        <v>5</v>
      </c>
      <c r="F479" s="48"/>
      <c r="G479" s="48"/>
      <c r="H479" s="2" t="s">
        <v>19909</v>
      </c>
      <c r="I479" s="2" t="s">
        <v>1692</v>
      </c>
      <c r="J479" s="2" t="s">
        <v>1226</v>
      </c>
      <c r="K479" s="2" t="s">
        <v>55</v>
      </c>
      <c r="L479" s="2" t="s">
        <v>19925</v>
      </c>
      <c r="M479" s="6" t="s">
        <v>19926</v>
      </c>
      <c r="N479" s="45" t="str">
        <f t="shared" si="378"/>
        <v>@OurSoftball</v>
      </c>
      <c r="O479" s="45" t="str">
        <f t="shared" si="379"/>
        <v>Questionnaire</v>
      </c>
      <c r="P479" s="6" t="s">
        <v>19916</v>
      </c>
      <c r="Q479" s="60" t="s">
        <v>3623</v>
      </c>
      <c r="R479" s="48" t="s">
        <v>11837</v>
      </c>
      <c r="S479" s="48" t="s">
        <v>62</v>
      </c>
      <c r="T479" s="49" t="s">
        <v>63</v>
      </c>
      <c r="U479" s="6" t="s">
        <v>343</v>
      </c>
      <c r="V479" s="49"/>
      <c r="W479" s="65">
        <v>3.35</v>
      </c>
      <c r="X479" s="49" t="s">
        <v>8138</v>
      </c>
      <c r="Y479" s="49" t="s">
        <v>2522</v>
      </c>
      <c r="Z479" s="49" t="s">
        <v>3995</v>
      </c>
      <c r="AA479" s="65">
        <v>0.54</v>
      </c>
      <c r="AB479" s="39">
        <v>42280</v>
      </c>
      <c r="AC479" s="84" t="s">
        <v>19916</v>
      </c>
      <c r="AD479" s="53" t="str">
        <f t="shared" si="380"/>
        <v>Link</v>
      </c>
      <c r="AE479" s="42">
        <v>1221</v>
      </c>
      <c r="AF479" s="55"/>
      <c r="AG479" s="55"/>
      <c r="AH479" s="56">
        <v>160074</v>
      </c>
      <c r="AI479" s="55"/>
      <c r="AJ479" s="162"/>
    </row>
    <row r="480" spans="1:41" ht="15" x14ac:dyDescent="0.2">
      <c r="A480" s="7"/>
      <c r="B480" s="31" t="s">
        <v>2922</v>
      </c>
      <c r="C480" s="2" t="s">
        <v>15218</v>
      </c>
      <c r="D480" s="7"/>
      <c r="E480" s="37">
        <v>5</v>
      </c>
      <c r="F480" s="7"/>
      <c r="G480" s="7"/>
      <c r="H480" s="2" t="s">
        <v>19930</v>
      </c>
      <c r="I480" s="7" t="s">
        <v>4611</v>
      </c>
      <c r="J480" s="7" t="s">
        <v>1460</v>
      </c>
      <c r="K480" s="7" t="s">
        <v>48</v>
      </c>
      <c r="L480" s="7" t="s">
        <v>19931</v>
      </c>
      <c r="M480" s="48" t="s">
        <v>19932</v>
      </c>
      <c r="N480" s="45" t="str">
        <f t="shared" ref="N480:N481" si="381">HYPERLINK("twitter.com/sagu_softball","@sagu_softball")</f>
        <v>@sagu_softball</v>
      </c>
      <c r="O480" s="45" t="str">
        <f t="shared" ref="O480:O481" si="382">HYPERLINK("https://www.sagu.edu/admissions/athletics-recruitment","Questionnaire")</f>
        <v>Questionnaire</v>
      </c>
      <c r="P480" s="108" t="s">
        <v>19937</v>
      </c>
      <c r="Q480" s="60" t="s">
        <v>280</v>
      </c>
      <c r="R480" s="48" t="s">
        <v>19938</v>
      </c>
      <c r="S480" s="48" t="s">
        <v>468</v>
      </c>
      <c r="T480" s="5" t="s">
        <v>63</v>
      </c>
      <c r="U480" s="6" t="s">
        <v>7034</v>
      </c>
      <c r="V480" s="49"/>
      <c r="W480" s="65">
        <v>3.14</v>
      </c>
      <c r="X480" s="49" t="s">
        <v>3950</v>
      </c>
      <c r="Y480" s="49" t="s">
        <v>2709</v>
      </c>
      <c r="Z480" s="49" t="s">
        <v>746</v>
      </c>
      <c r="AA480" s="65">
        <v>0.23</v>
      </c>
      <c r="AB480" s="39">
        <v>33732</v>
      </c>
      <c r="AC480" s="52" t="s">
        <v>19937</v>
      </c>
      <c r="AD480" s="53" t="str">
        <f t="shared" ref="AD480:AD481" si="383">HYPERLINK("https://www.sagu.edu/admissions/on-campus-online-degrees-at-sagu","Link")</f>
        <v>Link</v>
      </c>
      <c r="AE480" s="42">
        <v>1774</v>
      </c>
      <c r="AF480" s="55"/>
      <c r="AG480" s="55"/>
      <c r="AH480" s="56">
        <v>228325</v>
      </c>
      <c r="AI480" s="7" t="s">
        <v>2459</v>
      </c>
      <c r="AJ480" s="7"/>
      <c r="AK480" s="7"/>
      <c r="AL480" s="7"/>
      <c r="AM480" s="7"/>
      <c r="AN480" s="7"/>
      <c r="AO480" s="7"/>
    </row>
    <row r="481" spans="1:41" ht="15" x14ac:dyDescent="0.2">
      <c r="A481" s="7"/>
      <c r="B481" s="31" t="s">
        <v>2922</v>
      </c>
      <c r="C481" s="2" t="s">
        <v>15218</v>
      </c>
      <c r="D481" s="7"/>
      <c r="E481" s="37">
        <v>5</v>
      </c>
      <c r="F481" s="7"/>
      <c r="G481" s="7"/>
      <c r="H481" s="2" t="s">
        <v>19930</v>
      </c>
      <c r="I481" s="7" t="s">
        <v>4599</v>
      </c>
      <c r="J481" s="7" t="s">
        <v>19946</v>
      </c>
      <c r="K481" s="7" t="s">
        <v>55</v>
      </c>
      <c r="L481" s="7" t="s">
        <v>19947</v>
      </c>
      <c r="M481" s="48"/>
      <c r="N481" s="45" t="str">
        <f t="shared" si="381"/>
        <v>@sagu_softball</v>
      </c>
      <c r="O481" s="45" t="str">
        <f t="shared" si="382"/>
        <v>Questionnaire</v>
      </c>
      <c r="P481" s="108" t="s">
        <v>19937</v>
      </c>
      <c r="Q481" s="60" t="s">
        <v>280</v>
      </c>
      <c r="R481" s="48" t="s">
        <v>19938</v>
      </c>
      <c r="S481" s="48" t="s">
        <v>468</v>
      </c>
      <c r="T481" s="5" t="s">
        <v>63</v>
      </c>
      <c r="U481" s="6" t="s">
        <v>7034</v>
      </c>
      <c r="V481" s="49"/>
      <c r="W481" s="65">
        <v>3.14</v>
      </c>
      <c r="X481" s="49" t="s">
        <v>3950</v>
      </c>
      <c r="Y481" s="49" t="s">
        <v>2709</v>
      </c>
      <c r="Z481" s="49" t="s">
        <v>746</v>
      </c>
      <c r="AA481" s="65">
        <v>0.23</v>
      </c>
      <c r="AB481" s="39">
        <v>33732</v>
      </c>
      <c r="AC481" s="52" t="s">
        <v>19937</v>
      </c>
      <c r="AD481" s="53" t="str">
        <f t="shared" si="383"/>
        <v>Link</v>
      </c>
      <c r="AE481" s="42">
        <v>1774</v>
      </c>
      <c r="AF481" s="55"/>
      <c r="AG481" s="55"/>
      <c r="AH481" s="56">
        <v>228325</v>
      </c>
      <c r="AI481" s="7" t="s">
        <v>2459</v>
      </c>
      <c r="AJ481" s="7"/>
      <c r="AK481" s="7"/>
      <c r="AL481" s="7"/>
      <c r="AM481" s="7"/>
      <c r="AN481" s="7"/>
      <c r="AO481" s="7"/>
    </row>
    <row r="482" spans="1:41" ht="13" x14ac:dyDescent="0.15">
      <c r="A482" s="7" t="s">
        <v>18927</v>
      </c>
      <c r="B482" s="31" t="s">
        <v>2922</v>
      </c>
      <c r="C482" s="2" t="s">
        <v>15218</v>
      </c>
      <c r="D482" s="7" t="s">
        <v>19951</v>
      </c>
      <c r="E482" s="37">
        <v>5</v>
      </c>
      <c r="F482" s="48"/>
      <c r="G482" s="48"/>
      <c r="H482" s="2" t="s">
        <v>19952</v>
      </c>
      <c r="I482" s="2" t="s">
        <v>8620</v>
      </c>
      <c r="J482" s="2" t="s">
        <v>19953</v>
      </c>
      <c r="K482" s="2" t="s">
        <v>48</v>
      </c>
      <c r="L482" s="95" t="s">
        <v>19954</v>
      </c>
      <c r="M482" s="6" t="s">
        <v>19955</v>
      </c>
      <c r="N482" s="48"/>
      <c r="O482" s="45" t="str">
        <f>HYPERLINK("http://www.ustcelts.com/recruiting.php","Questionnaire")</f>
        <v>Questionnaire</v>
      </c>
      <c r="P482" s="48" t="s">
        <v>19958</v>
      </c>
      <c r="Q482" s="60" t="s">
        <v>280</v>
      </c>
      <c r="R482" s="48" t="s">
        <v>287</v>
      </c>
      <c r="S482" s="48" t="s">
        <v>288</v>
      </c>
      <c r="T482" s="49" t="s">
        <v>63</v>
      </c>
      <c r="U482" s="6" t="s">
        <v>343</v>
      </c>
      <c r="V482" s="49"/>
      <c r="W482" s="65">
        <v>3.61</v>
      </c>
      <c r="X482" s="49" t="s">
        <v>1785</v>
      </c>
      <c r="Y482" s="49" t="s">
        <v>1338</v>
      </c>
      <c r="Z482" s="49" t="s">
        <v>3230</v>
      </c>
      <c r="AA482" s="65">
        <v>0.54</v>
      </c>
      <c r="AB482" s="39">
        <v>48454</v>
      </c>
      <c r="AC482" s="84" t="s">
        <v>19958</v>
      </c>
      <c r="AD482" s="67" t="str">
        <f>HYPERLINK("https://www.stthom.edu/academics/index.aqf","Link")</f>
        <v>Link</v>
      </c>
      <c r="AE482" s="42">
        <v>2752</v>
      </c>
      <c r="AF482" s="55"/>
      <c r="AG482" s="55"/>
      <c r="AH482" s="56">
        <v>227863</v>
      </c>
      <c r="AI482" s="55"/>
      <c r="AJ482" s="162"/>
    </row>
    <row r="483" spans="1:41" ht="15" x14ac:dyDescent="0.2">
      <c r="A483" s="7"/>
      <c r="B483" s="31" t="s">
        <v>2922</v>
      </c>
      <c r="C483" s="2" t="s">
        <v>15218</v>
      </c>
      <c r="D483" s="7"/>
      <c r="E483" s="37">
        <v>5</v>
      </c>
      <c r="F483" s="7"/>
      <c r="G483" s="7"/>
      <c r="H483" s="2" t="s">
        <v>19961</v>
      </c>
      <c r="I483" s="2" t="s">
        <v>7864</v>
      </c>
      <c r="J483" s="2" t="s">
        <v>1133</v>
      </c>
      <c r="K483" s="2" t="s">
        <v>48</v>
      </c>
      <c r="L483" s="2" t="s">
        <v>19962</v>
      </c>
      <c r="M483" s="6" t="s">
        <v>19963</v>
      </c>
      <c r="N483" s="48"/>
      <c r="O483" s="45" t="str">
        <f t="shared" ref="O483:O484" si="384">HYPERLINK("http://www.tamuteagles.com/recruiting","Questionnaire")</f>
        <v>Questionnaire</v>
      </c>
      <c r="P483" s="108" t="s">
        <v>19969</v>
      </c>
      <c r="Q483" s="60" t="s">
        <v>280</v>
      </c>
      <c r="R483" s="48" t="s">
        <v>19970</v>
      </c>
      <c r="S483" s="48" t="s">
        <v>468</v>
      </c>
      <c r="T483" s="49" t="s">
        <v>74</v>
      </c>
      <c r="U483" s="48" t="s">
        <v>75</v>
      </c>
      <c r="V483" s="49"/>
      <c r="W483" s="65">
        <v>3.33</v>
      </c>
      <c r="X483" s="49" t="s">
        <v>19971</v>
      </c>
      <c r="Y483" s="49" t="s">
        <v>675</v>
      </c>
      <c r="Z483" s="49" t="s">
        <v>19972</v>
      </c>
      <c r="AA483" s="65">
        <v>0.56000000000000005</v>
      </c>
      <c r="AB483" s="48" t="s">
        <v>19973</v>
      </c>
      <c r="AC483" s="52" t="s">
        <v>19969</v>
      </c>
      <c r="AD483" s="53" t="str">
        <f t="shared" ref="AD483:AD484" si="385">HYPERLINK("http://www.tamut.edu/Academics/Colleges-and-Departments/index.html","Link")</f>
        <v>Link</v>
      </c>
      <c r="AE483" s="42">
        <v>1584</v>
      </c>
      <c r="AF483" s="55"/>
      <c r="AG483" s="55"/>
      <c r="AH483" s="56">
        <v>224545</v>
      </c>
      <c r="AI483" s="85" t="s">
        <v>2459</v>
      </c>
      <c r="AJ483" s="7"/>
      <c r="AK483" s="7"/>
      <c r="AL483" s="7"/>
      <c r="AM483" s="7"/>
      <c r="AN483" s="7"/>
      <c r="AO483" s="7"/>
    </row>
    <row r="484" spans="1:41" ht="15" x14ac:dyDescent="0.2">
      <c r="A484" s="7"/>
      <c r="B484" s="31" t="s">
        <v>2922</v>
      </c>
      <c r="C484" s="2" t="s">
        <v>15218</v>
      </c>
      <c r="D484" s="7"/>
      <c r="E484" s="37">
        <v>5</v>
      </c>
      <c r="F484" s="7"/>
      <c r="G484" s="7"/>
      <c r="H484" s="2" t="s">
        <v>19961</v>
      </c>
      <c r="I484" s="2" t="s">
        <v>981</v>
      </c>
      <c r="J484" s="2" t="s">
        <v>19977</v>
      </c>
      <c r="K484" s="2" t="s">
        <v>55</v>
      </c>
      <c r="L484" s="2"/>
      <c r="M484" s="6"/>
      <c r="N484" s="48"/>
      <c r="O484" s="45" t="str">
        <f t="shared" si="384"/>
        <v>Questionnaire</v>
      </c>
      <c r="P484" s="108" t="s">
        <v>19969</v>
      </c>
      <c r="Q484" s="60" t="s">
        <v>280</v>
      </c>
      <c r="R484" s="48" t="s">
        <v>19970</v>
      </c>
      <c r="S484" s="48" t="s">
        <v>468</v>
      </c>
      <c r="T484" s="49" t="s">
        <v>74</v>
      </c>
      <c r="U484" s="48" t="s">
        <v>75</v>
      </c>
      <c r="V484" s="49"/>
      <c r="W484" s="65">
        <v>3.33</v>
      </c>
      <c r="X484" s="49" t="s">
        <v>19971</v>
      </c>
      <c r="Y484" s="49" t="s">
        <v>675</v>
      </c>
      <c r="Z484" s="49" t="s">
        <v>19972</v>
      </c>
      <c r="AA484" s="65">
        <v>0.56000000000000005</v>
      </c>
      <c r="AB484" s="48" t="s">
        <v>19973</v>
      </c>
      <c r="AC484" s="52" t="s">
        <v>19969</v>
      </c>
      <c r="AD484" s="53" t="str">
        <f t="shared" si="385"/>
        <v>Link</v>
      </c>
      <c r="AE484" s="42">
        <v>1584</v>
      </c>
      <c r="AF484" s="55"/>
      <c r="AG484" s="55"/>
      <c r="AH484" s="56">
        <v>224545</v>
      </c>
      <c r="AI484" s="85" t="s">
        <v>2459</v>
      </c>
      <c r="AJ484" s="7"/>
      <c r="AK484" s="7"/>
      <c r="AL484" s="7"/>
      <c r="AM484" s="7"/>
      <c r="AN484" s="7"/>
      <c r="AO484" s="7"/>
    </row>
    <row r="485" spans="1:41" ht="13" x14ac:dyDescent="0.15">
      <c r="A485" s="7"/>
      <c r="B485" s="31" t="s">
        <v>2922</v>
      </c>
      <c r="C485" s="2" t="s">
        <v>15218</v>
      </c>
      <c r="D485" s="7" t="s">
        <v>19981</v>
      </c>
      <c r="E485" s="37">
        <v>5</v>
      </c>
      <c r="F485" s="48"/>
      <c r="G485" s="48"/>
      <c r="H485" s="2" t="s">
        <v>19982</v>
      </c>
      <c r="I485" s="2" t="s">
        <v>19983</v>
      </c>
      <c r="J485" s="2" t="s">
        <v>1955</v>
      </c>
      <c r="K485" s="2" t="s">
        <v>48</v>
      </c>
      <c r="L485" s="2" t="s">
        <v>19984</v>
      </c>
      <c r="M485" s="6" t="s">
        <v>19985</v>
      </c>
      <c r="N485" s="48"/>
      <c r="O485" s="45" t="str">
        <f t="shared" ref="O485:O486" si="386">HYPERLINK("http://www.tcsteersathletics.com/recruiting.php","Questionnaire")</f>
        <v>Questionnaire</v>
      </c>
      <c r="P485" s="6" t="s">
        <v>19982</v>
      </c>
      <c r="Q485" s="60" t="s">
        <v>280</v>
      </c>
      <c r="R485" s="48" t="s">
        <v>7130</v>
      </c>
      <c r="S485" s="48" t="s">
        <v>238</v>
      </c>
      <c r="T485" s="5" t="s">
        <v>63</v>
      </c>
      <c r="U485" s="48" t="s">
        <v>210</v>
      </c>
      <c r="V485" s="49" t="s">
        <v>212</v>
      </c>
      <c r="W485" s="65">
        <v>2.9</v>
      </c>
      <c r="X485" s="49" t="s">
        <v>214</v>
      </c>
      <c r="Y485" s="49" t="s">
        <v>214</v>
      </c>
      <c r="Z485" s="49" t="s">
        <v>214</v>
      </c>
      <c r="AA485" s="55" t="s">
        <v>214</v>
      </c>
      <c r="AB485" s="39">
        <v>21008</v>
      </c>
      <c r="AC485" s="84" t="s">
        <v>19982</v>
      </c>
      <c r="AD485" s="53" t="str">
        <f t="shared" ref="AD485:AD486" si="387">HYPERLINK("http://www.texascollege.edu/pages/academics/academic-affairs","Link")</f>
        <v>Link</v>
      </c>
      <c r="AE485" s="42">
        <v>960</v>
      </c>
      <c r="AF485" s="55"/>
      <c r="AG485" s="55"/>
      <c r="AH485" s="56">
        <v>228884</v>
      </c>
      <c r="AI485" s="55"/>
      <c r="AJ485" s="162"/>
    </row>
    <row r="486" spans="1:41" ht="13" x14ac:dyDescent="0.15">
      <c r="A486" s="7" t="s">
        <v>18927</v>
      </c>
      <c r="B486" s="31" t="s">
        <v>2922</v>
      </c>
      <c r="C486" s="2" t="s">
        <v>15218</v>
      </c>
      <c r="D486" s="7" t="s">
        <v>19994</v>
      </c>
      <c r="E486" s="44">
        <v>5</v>
      </c>
      <c r="F486" s="48" t="s">
        <v>116</v>
      </c>
      <c r="G486" s="48"/>
      <c r="H486" s="2" t="s">
        <v>19982</v>
      </c>
      <c r="I486" s="7" t="s">
        <v>19983</v>
      </c>
      <c r="J486" s="7" t="s">
        <v>1955</v>
      </c>
      <c r="K486" s="7" t="s">
        <v>48</v>
      </c>
      <c r="L486" s="7" t="s">
        <v>19984</v>
      </c>
      <c r="M486" s="48" t="s">
        <v>19985</v>
      </c>
      <c r="N486" s="48"/>
      <c r="O486" s="45" t="str">
        <f t="shared" si="386"/>
        <v>Questionnaire</v>
      </c>
      <c r="P486" s="48" t="s">
        <v>19982</v>
      </c>
      <c r="Q486" s="60" t="s">
        <v>280</v>
      </c>
      <c r="R486" s="48" t="s">
        <v>7130</v>
      </c>
      <c r="S486" s="48" t="s">
        <v>238</v>
      </c>
      <c r="T486" s="5" t="s">
        <v>63</v>
      </c>
      <c r="U486" s="48" t="s">
        <v>210</v>
      </c>
      <c r="V486" s="49" t="s">
        <v>212</v>
      </c>
      <c r="W486" s="65">
        <v>2.9</v>
      </c>
      <c r="X486" s="49" t="s">
        <v>214</v>
      </c>
      <c r="Y486" s="49" t="s">
        <v>214</v>
      </c>
      <c r="Z486" s="4" t="s">
        <v>214</v>
      </c>
      <c r="AA486" s="8" t="s">
        <v>214</v>
      </c>
      <c r="AB486" s="39">
        <v>21008</v>
      </c>
      <c r="AC486" s="84" t="s">
        <v>19982</v>
      </c>
      <c r="AD486" s="67" t="str">
        <f t="shared" si="387"/>
        <v>Link</v>
      </c>
      <c r="AE486" s="42">
        <v>960</v>
      </c>
      <c r="AF486" s="55"/>
      <c r="AG486" s="55"/>
      <c r="AH486" s="56">
        <v>228884</v>
      </c>
      <c r="AI486" s="55"/>
      <c r="AJ486" s="162"/>
    </row>
    <row r="487" spans="1:41" ht="15" x14ac:dyDescent="0.2">
      <c r="A487" s="7"/>
      <c r="B487" s="31" t="s">
        <v>2922</v>
      </c>
      <c r="C487" s="2" t="s">
        <v>15218</v>
      </c>
      <c r="D487" s="7" t="s">
        <v>19998</v>
      </c>
      <c r="E487" s="37">
        <v>5</v>
      </c>
      <c r="F487" s="48"/>
      <c r="G487" s="48"/>
      <c r="H487" s="2" t="s">
        <v>19999</v>
      </c>
      <c r="I487" s="2" t="s">
        <v>1307</v>
      </c>
      <c r="J487" s="2" t="s">
        <v>16971</v>
      </c>
      <c r="K487" s="2" t="s">
        <v>48</v>
      </c>
      <c r="L487" s="2" t="s">
        <v>20001</v>
      </c>
      <c r="M487" s="6" t="s">
        <v>20002</v>
      </c>
      <c r="N487" s="48"/>
      <c r="O487" s="45" t="str">
        <f t="shared" ref="O487:O488" si="388">HYPERLINK("https://ramsports.net/sb_output.aspx?form=5","Questionnaire")</f>
        <v>Questionnaire</v>
      </c>
      <c r="P487" s="108" t="s">
        <v>20007</v>
      </c>
      <c r="Q487" s="60" t="s">
        <v>280</v>
      </c>
      <c r="R487" s="48" t="s">
        <v>20008</v>
      </c>
      <c r="S487" s="48" t="s">
        <v>354</v>
      </c>
      <c r="T487" s="5" t="s">
        <v>63</v>
      </c>
      <c r="U487" s="6" t="s">
        <v>65</v>
      </c>
      <c r="V487" s="49"/>
      <c r="W487" s="65">
        <v>3.35</v>
      </c>
      <c r="X487" s="49" t="s">
        <v>20009</v>
      </c>
      <c r="Y487" s="49" t="s">
        <v>20010</v>
      </c>
      <c r="Z487" s="49" t="s">
        <v>3842</v>
      </c>
      <c r="AA487" s="65">
        <v>0.41</v>
      </c>
      <c r="AB487" s="39">
        <v>41530</v>
      </c>
      <c r="AC487" s="52" t="s">
        <v>20007</v>
      </c>
      <c r="AD487" s="53" t="str">
        <f t="shared" ref="AD487:AD488" si="389">HYPERLINK("https://txwes.edu/academics/undergraduate-majors/","Link")</f>
        <v>Link</v>
      </c>
      <c r="AE487" s="42">
        <v>1701</v>
      </c>
      <c r="AF487" s="55"/>
      <c r="AG487" s="55"/>
      <c r="AH487" s="56">
        <v>229160</v>
      </c>
      <c r="AI487" s="55"/>
      <c r="AJ487" s="162"/>
    </row>
    <row r="488" spans="1:41" ht="15" x14ac:dyDescent="0.2">
      <c r="A488" s="7"/>
      <c r="B488" s="31" t="s">
        <v>2922</v>
      </c>
      <c r="C488" s="2" t="s">
        <v>15218</v>
      </c>
      <c r="D488" s="7" t="s">
        <v>20014</v>
      </c>
      <c r="E488" s="37">
        <v>5</v>
      </c>
      <c r="F488" s="48"/>
      <c r="G488" s="48"/>
      <c r="H488" s="2" t="s">
        <v>19999</v>
      </c>
      <c r="I488" s="2" t="s">
        <v>11892</v>
      </c>
      <c r="J488" s="2" t="s">
        <v>20015</v>
      </c>
      <c r="K488" s="2" t="s">
        <v>55</v>
      </c>
      <c r="L488" s="2" t="s">
        <v>20016</v>
      </c>
      <c r="M488" s="6"/>
      <c r="N488" s="48"/>
      <c r="O488" s="45" t="str">
        <f t="shared" si="388"/>
        <v>Questionnaire</v>
      </c>
      <c r="P488" s="108" t="s">
        <v>20007</v>
      </c>
      <c r="Q488" s="60" t="s">
        <v>280</v>
      </c>
      <c r="R488" s="48" t="s">
        <v>20008</v>
      </c>
      <c r="S488" s="48" t="s">
        <v>354</v>
      </c>
      <c r="T488" s="5" t="s">
        <v>63</v>
      </c>
      <c r="U488" s="6" t="s">
        <v>65</v>
      </c>
      <c r="V488" s="49"/>
      <c r="W488" s="65">
        <v>3.35</v>
      </c>
      <c r="X488" s="49" t="s">
        <v>20009</v>
      </c>
      <c r="Y488" s="49" t="s">
        <v>20010</v>
      </c>
      <c r="Z488" s="49" t="s">
        <v>3842</v>
      </c>
      <c r="AA488" s="65">
        <v>0.41</v>
      </c>
      <c r="AB488" s="39">
        <v>41530</v>
      </c>
      <c r="AC488" s="52" t="s">
        <v>20007</v>
      </c>
      <c r="AD488" s="53" t="str">
        <f t="shared" si="389"/>
        <v>Link</v>
      </c>
      <c r="AE488" s="42">
        <v>1701</v>
      </c>
      <c r="AF488" s="55"/>
      <c r="AG488" s="55"/>
      <c r="AH488" s="56">
        <v>229160</v>
      </c>
      <c r="AI488" s="55"/>
      <c r="AJ488" s="162"/>
    </row>
    <row r="489" spans="1:41" ht="15" x14ac:dyDescent="0.2">
      <c r="A489" s="7"/>
      <c r="B489" s="31" t="s">
        <v>11575</v>
      </c>
      <c r="C489" s="2" t="s">
        <v>15218</v>
      </c>
      <c r="D489" s="7" t="s">
        <v>20021</v>
      </c>
      <c r="E489" s="37">
        <v>5</v>
      </c>
      <c r="F489" s="48"/>
      <c r="G489" s="48"/>
      <c r="H489" s="2" t="s">
        <v>20022</v>
      </c>
      <c r="I489" s="2" t="s">
        <v>421</v>
      </c>
      <c r="J489" s="2"/>
      <c r="K489" s="2" t="s">
        <v>48</v>
      </c>
      <c r="L489" s="2"/>
      <c r="M489" s="6" t="s">
        <v>20023</v>
      </c>
      <c r="N489" s="48"/>
      <c r="O489" s="48" t="s">
        <v>22</v>
      </c>
      <c r="P489" s="6" t="s">
        <v>20024</v>
      </c>
      <c r="Q489" s="60" t="s">
        <v>11589</v>
      </c>
      <c r="R489" s="48" t="s">
        <v>20025</v>
      </c>
      <c r="S489" s="48" t="s">
        <v>172</v>
      </c>
      <c r="T489" s="5" t="s">
        <v>63</v>
      </c>
      <c r="U489" s="6" t="s">
        <v>343</v>
      </c>
      <c r="V489" s="49"/>
      <c r="W489" s="65">
        <v>2.8</v>
      </c>
      <c r="X489" s="49" t="s">
        <v>214</v>
      </c>
      <c r="Y489" s="49" t="s">
        <v>214</v>
      </c>
      <c r="Z489" s="49" t="s">
        <v>214</v>
      </c>
      <c r="AA489" s="80">
        <v>0.57999999999999996</v>
      </c>
      <c r="AB489" s="39">
        <v>37400</v>
      </c>
      <c r="AC489" s="84" t="s">
        <v>20024</v>
      </c>
      <c r="AD489" s="53" t="str">
        <f>HYPERLINK("https://www.csj.edu/academics/undergraduate-programs/","Link")</f>
        <v>Link</v>
      </c>
      <c r="AE489" s="42">
        <v>230</v>
      </c>
      <c r="AF489" s="55"/>
      <c r="AG489" s="55"/>
      <c r="AH489" s="56">
        <v>231077</v>
      </c>
      <c r="AI489" s="55"/>
      <c r="AJ489" s="162"/>
    </row>
    <row r="490" spans="1:41" ht="13" x14ac:dyDescent="0.15">
      <c r="A490" s="7"/>
      <c r="B490" s="31" t="s">
        <v>1374</v>
      </c>
      <c r="C490" s="2" t="s">
        <v>15218</v>
      </c>
      <c r="D490" s="7" t="s">
        <v>20028</v>
      </c>
      <c r="E490" s="37">
        <v>5</v>
      </c>
      <c r="F490" s="48"/>
      <c r="G490" s="48"/>
      <c r="H490" s="2" t="s">
        <v>20029</v>
      </c>
      <c r="I490" s="2" t="s">
        <v>20030</v>
      </c>
      <c r="J490" s="2" t="s">
        <v>19787</v>
      </c>
      <c r="K490" s="2" t="s">
        <v>55</v>
      </c>
      <c r="L490" s="7" t="s">
        <v>20033</v>
      </c>
      <c r="M490" s="6"/>
      <c r="N490" s="45" t="str">
        <f t="shared" ref="N490:N491" si="390">HYPERLINK("twitter.com/ramssoftballbc","@ramssoftballbc")</f>
        <v>@ramssoftballbc</v>
      </c>
      <c r="O490" s="45" t="str">
        <f t="shared" ref="O490:O491" si="391">HYPERLINK("https://bcrams.com/sports/2013/4/22/DEPT_0422135820.aspx","Questionnaire")</f>
        <v>Questionnaire</v>
      </c>
      <c r="P490" s="60" t="s">
        <v>20039</v>
      </c>
      <c r="Q490" s="60" t="s">
        <v>1361</v>
      </c>
      <c r="R490" s="48" t="s">
        <v>11912</v>
      </c>
      <c r="S490" s="60" t="s">
        <v>205</v>
      </c>
      <c r="T490" s="49" t="s">
        <v>63</v>
      </c>
      <c r="U490" s="6" t="s">
        <v>2619</v>
      </c>
      <c r="V490" s="49"/>
      <c r="W490" s="65">
        <v>3.1</v>
      </c>
      <c r="X490" s="49" t="s">
        <v>252</v>
      </c>
      <c r="Y490" s="49" t="s">
        <v>1947</v>
      </c>
      <c r="Z490" s="49" t="s">
        <v>3230</v>
      </c>
      <c r="AA490" s="38">
        <v>0.84799999999999998</v>
      </c>
      <c r="AB490" s="39">
        <v>37028</v>
      </c>
      <c r="AC490" s="90" t="s">
        <v>20039</v>
      </c>
      <c r="AD490" s="53" t="str">
        <f t="shared" ref="AD490:AD491" si="392">HYPERLINK("http://www.bluefield.edu/academics/programs-of-study/","Link")</f>
        <v>Link</v>
      </c>
      <c r="AE490" s="42">
        <v>969</v>
      </c>
      <c r="AF490" s="55"/>
      <c r="AG490" s="55"/>
      <c r="AH490" s="56">
        <v>231554</v>
      </c>
      <c r="AI490" s="55"/>
      <c r="AJ490" s="162"/>
    </row>
    <row r="491" spans="1:41" ht="13" x14ac:dyDescent="0.15">
      <c r="A491" s="7"/>
      <c r="B491" s="31" t="s">
        <v>1374</v>
      </c>
      <c r="C491" s="2" t="s">
        <v>15218</v>
      </c>
      <c r="D491" s="7" t="s">
        <v>20043</v>
      </c>
      <c r="E491" s="37">
        <v>5</v>
      </c>
      <c r="F491" s="48"/>
      <c r="G491" s="48"/>
      <c r="H491" s="2" t="s">
        <v>20029</v>
      </c>
      <c r="I491" s="2" t="s">
        <v>8061</v>
      </c>
      <c r="J491" s="2" t="s">
        <v>852</v>
      </c>
      <c r="K491" s="2" t="s">
        <v>48</v>
      </c>
      <c r="L491" s="2" t="s">
        <v>20044</v>
      </c>
      <c r="M491" s="6" t="s">
        <v>20045</v>
      </c>
      <c r="N491" s="45" t="str">
        <f t="shared" si="390"/>
        <v>@ramssoftballbc</v>
      </c>
      <c r="O491" s="45" t="str">
        <f t="shared" si="391"/>
        <v>Questionnaire</v>
      </c>
      <c r="P491" s="60" t="s">
        <v>20039</v>
      </c>
      <c r="Q491" s="60" t="s">
        <v>1361</v>
      </c>
      <c r="R491" s="48" t="s">
        <v>11912</v>
      </c>
      <c r="S491" s="60" t="s">
        <v>205</v>
      </c>
      <c r="T491" s="49" t="s">
        <v>63</v>
      </c>
      <c r="U491" s="6" t="s">
        <v>2619</v>
      </c>
      <c r="V491" s="49"/>
      <c r="W491" s="65">
        <v>3.1</v>
      </c>
      <c r="X491" s="49" t="s">
        <v>252</v>
      </c>
      <c r="Y491" s="49" t="s">
        <v>1947</v>
      </c>
      <c r="Z491" s="49" t="s">
        <v>3230</v>
      </c>
      <c r="AA491" s="38">
        <v>0.84799999999999998</v>
      </c>
      <c r="AB491" s="39">
        <v>37028</v>
      </c>
      <c r="AC491" s="90" t="s">
        <v>20039</v>
      </c>
      <c r="AD491" s="53" t="str">
        <f t="shared" si="392"/>
        <v>Link</v>
      </c>
      <c r="AE491" s="42">
        <v>969</v>
      </c>
      <c r="AF491" s="55"/>
      <c r="AG491" s="55"/>
      <c r="AH491" s="56">
        <v>231554</v>
      </c>
      <c r="AI491" s="55"/>
      <c r="AJ491" s="162"/>
    </row>
    <row r="492" spans="1:41" ht="13" x14ac:dyDescent="0.15">
      <c r="A492" s="7"/>
      <c r="B492" s="31" t="s">
        <v>1434</v>
      </c>
      <c r="C492" s="2" t="s">
        <v>15218</v>
      </c>
      <c r="D492" s="7" t="s">
        <v>20047</v>
      </c>
      <c r="E492" s="37">
        <v>5</v>
      </c>
      <c r="F492" s="48"/>
      <c r="G492" s="48"/>
      <c r="H492" s="2" t="s">
        <v>20048</v>
      </c>
      <c r="I492" s="2" t="s">
        <v>1443</v>
      </c>
      <c r="J492" s="2" t="s">
        <v>20049</v>
      </c>
      <c r="K492" s="2" t="s">
        <v>48</v>
      </c>
      <c r="L492" s="95" t="s">
        <v>20050</v>
      </c>
      <c r="M492" s="6" t="s">
        <v>20051</v>
      </c>
      <c r="N492" s="45" t="str">
        <f t="shared" ref="N492:N495" si="393">HYPERLINK("twitter.com/softballnu","@softballnu")</f>
        <v>@softballnu</v>
      </c>
      <c r="O492" s="45" t="str">
        <f t="shared" ref="O492:O495" si="394">HYPERLINK("https://nwc.edu/athletics/recruiting/","Questionnaire")</f>
        <v>Questionnaire</v>
      </c>
      <c r="P492" s="6" t="s">
        <v>20058</v>
      </c>
      <c r="Q492" s="60" t="s">
        <v>11124</v>
      </c>
      <c r="R492" s="48" t="s">
        <v>15790</v>
      </c>
      <c r="S492" s="48" t="s">
        <v>238</v>
      </c>
      <c r="T492" s="5" t="s">
        <v>63</v>
      </c>
      <c r="U492" s="6" t="s">
        <v>7034</v>
      </c>
      <c r="V492" s="49"/>
      <c r="W492" s="65">
        <v>3.33</v>
      </c>
      <c r="X492" s="49" t="s">
        <v>20060</v>
      </c>
      <c r="Y492" s="49" t="s">
        <v>20061</v>
      </c>
      <c r="Z492" s="49" t="s">
        <v>278</v>
      </c>
      <c r="AA492" s="65">
        <v>0.93</v>
      </c>
      <c r="AB492" s="39">
        <v>41350</v>
      </c>
      <c r="AC492" s="84" t="s">
        <v>20058</v>
      </c>
      <c r="AD492" s="53" t="str">
        <f t="shared" ref="AD492:AD495" si="395">HYPERLINK("https://www.northwestu.edu/academics/","Link")</f>
        <v>Link</v>
      </c>
      <c r="AE492" s="42">
        <v>938</v>
      </c>
      <c r="AF492" s="55"/>
      <c r="AG492" s="55"/>
      <c r="AH492" s="56">
        <v>236133</v>
      </c>
      <c r="AI492" s="55"/>
      <c r="AJ492" s="162"/>
    </row>
    <row r="493" spans="1:41" ht="13" x14ac:dyDescent="0.15">
      <c r="A493" s="7"/>
      <c r="B493" s="31" t="s">
        <v>1434</v>
      </c>
      <c r="C493" s="2" t="s">
        <v>15218</v>
      </c>
      <c r="D493" s="7" t="s">
        <v>20063</v>
      </c>
      <c r="E493" s="37">
        <v>5</v>
      </c>
      <c r="F493" s="48"/>
      <c r="G493" s="48"/>
      <c r="H493" s="2" t="s">
        <v>20048</v>
      </c>
      <c r="I493" s="2" t="s">
        <v>2806</v>
      </c>
      <c r="J493" s="2" t="s">
        <v>6381</v>
      </c>
      <c r="K493" s="2" t="s">
        <v>55</v>
      </c>
      <c r="L493" s="2" t="s">
        <v>20064</v>
      </c>
      <c r="M493" s="6"/>
      <c r="N493" s="45" t="str">
        <f t="shared" si="393"/>
        <v>@softballnu</v>
      </c>
      <c r="O493" s="45" t="str">
        <f t="shared" si="394"/>
        <v>Questionnaire</v>
      </c>
      <c r="P493" s="6" t="s">
        <v>20058</v>
      </c>
      <c r="Q493" s="60" t="s">
        <v>11124</v>
      </c>
      <c r="R493" s="48" t="s">
        <v>15790</v>
      </c>
      <c r="S493" s="48" t="s">
        <v>238</v>
      </c>
      <c r="T493" s="5" t="s">
        <v>63</v>
      </c>
      <c r="U493" s="6" t="s">
        <v>7034</v>
      </c>
      <c r="V493" s="49"/>
      <c r="W493" s="65">
        <v>3.33</v>
      </c>
      <c r="X493" s="49" t="s">
        <v>20060</v>
      </c>
      <c r="Y493" s="49" t="s">
        <v>20061</v>
      </c>
      <c r="Z493" s="49" t="s">
        <v>278</v>
      </c>
      <c r="AA493" s="65">
        <v>0.93</v>
      </c>
      <c r="AB493" s="39">
        <v>41350</v>
      </c>
      <c r="AC493" s="84" t="s">
        <v>20058</v>
      </c>
      <c r="AD493" s="53" t="str">
        <f t="shared" si="395"/>
        <v>Link</v>
      </c>
      <c r="AE493" s="42">
        <v>938</v>
      </c>
      <c r="AF493" s="55"/>
      <c r="AG493" s="55"/>
      <c r="AH493" s="56">
        <v>236133</v>
      </c>
      <c r="AI493" s="55"/>
      <c r="AJ493" s="162"/>
    </row>
    <row r="494" spans="1:41" ht="13" x14ac:dyDescent="0.15">
      <c r="A494" s="7"/>
      <c r="B494" s="31" t="s">
        <v>1434</v>
      </c>
      <c r="C494" s="2" t="s">
        <v>15218</v>
      </c>
      <c r="D494" s="7" t="s">
        <v>20069</v>
      </c>
      <c r="E494" s="37">
        <v>5</v>
      </c>
      <c r="F494" s="48"/>
      <c r="G494" s="48"/>
      <c r="H494" s="2" t="s">
        <v>20048</v>
      </c>
      <c r="I494" s="2" t="s">
        <v>5963</v>
      </c>
      <c r="J494" s="2" t="s">
        <v>20070</v>
      </c>
      <c r="K494" s="2" t="s">
        <v>55</v>
      </c>
      <c r="L494" s="2"/>
      <c r="M494" s="6"/>
      <c r="N494" s="45" t="str">
        <f t="shared" si="393"/>
        <v>@softballnu</v>
      </c>
      <c r="O494" s="45" t="str">
        <f t="shared" si="394"/>
        <v>Questionnaire</v>
      </c>
      <c r="P494" s="6" t="s">
        <v>20058</v>
      </c>
      <c r="Q494" s="60" t="s">
        <v>11124</v>
      </c>
      <c r="R494" s="48" t="s">
        <v>15790</v>
      </c>
      <c r="S494" s="48" t="s">
        <v>238</v>
      </c>
      <c r="T494" s="5" t="s">
        <v>63</v>
      </c>
      <c r="U494" s="6" t="s">
        <v>7034</v>
      </c>
      <c r="V494" s="49"/>
      <c r="W494" s="65">
        <v>3.33</v>
      </c>
      <c r="X494" s="49" t="s">
        <v>20060</v>
      </c>
      <c r="Y494" s="49" t="s">
        <v>20061</v>
      </c>
      <c r="Z494" s="49" t="s">
        <v>278</v>
      </c>
      <c r="AA494" s="65">
        <v>0.93</v>
      </c>
      <c r="AB494" s="39">
        <v>41350</v>
      </c>
      <c r="AC494" s="84" t="s">
        <v>20058</v>
      </c>
      <c r="AD494" s="53" t="str">
        <f t="shared" si="395"/>
        <v>Link</v>
      </c>
      <c r="AE494" s="42">
        <v>938</v>
      </c>
      <c r="AF494" s="55"/>
      <c r="AG494" s="55"/>
      <c r="AH494" s="56">
        <v>236133</v>
      </c>
      <c r="AI494" s="55"/>
      <c r="AJ494" s="162"/>
    </row>
    <row r="495" spans="1:41" ht="13" x14ac:dyDescent="0.15">
      <c r="A495" s="7" t="s">
        <v>20071</v>
      </c>
      <c r="B495" s="31" t="s">
        <v>1434</v>
      </c>
      <c r="C495" s="2" t="s">
        <v>15218</v>
      </c>
      <c r="D495" s="7" t="s">
        <v>20072</v>
      </c>
      <c r="E495" s="44">
        <v>5</v>
      </c>
      <c r="F495" s="48" t="s">
        <v>116</v>
      </c>
      <c r="G495" s="48"/>
      <c r="H495" s="2" t="s">
        <v>20048</v>
      </c>
      <c r="I495" s="7" t="s">
        <v>20073</v>
      </c>
      <c r="J495" s="7" t="s">
        <v>6721</v>
      </c>
      <c r="K495" s="7" t="s">
        <v>120</v>
      </c>
      <c r="L495" s="7"/>
      <c r="M495" s="48"/>
      <c r="N495" s="45" t="str">
        <f t="shared" si="393"/>
        <v>@softballnu</v>
      </c>
      <c r="O495" s="45" t="str">
        <f t="shared" si="394"/>
        <v>Questionnaire</v>
      </c>
      <c r="P495" s="48" t="s">
        <v>20058</v>
      </c>
      <c r="Q495" s="60" t="s">
        <v>11124</v>
      </c>
      <c r="R495" s="48" t="s">
        <v>15790</v>
      </c>
      <c r="S495" s="48" t="s">
        <v>238</v>
      </c>
      <c r="T495" s="5" t="s">
        <v>63</v>
      </c>
      <c r="U495" s="6" t="s">
        <v>7034</v>
      </c>
      <c r="V495" s="49"/>
      <c r="W495" s="65">
        <v>3.33</v>
      </c>
      <c r="X495" s="49" t="s">
        <v>20060</v>
      </c>
      <c r="Y495" s="49" t="s">
        <v>20061</v>
      </c>
      <c r="Z495" s="49" t="s">
        <v>278</v>
      </c>
      <c r="AA495" s="65">
        <v>0.93</v>
      </c>
      <c r="AB495" s="39">
        <v>41350</v>
      </c>
      <c r="AC495" s="84" t="s">
        <v>20058</v>
      </c>
      <c r="AD495" s="67" t="str">
        <f t="shared" si="395"/>
        <v>Link</v>
      </c>
      <c r="AE495" s="42">
        <v>938</v>
      </c>
      <c r="AF495" s="55"/>
      <c r="AG495" s="55"/>
      <c r="AH495" s="56">
        <v>236133</v>
      </c>
      <c r="AI495" s="55"/>
      <c r="AJ495" s="162"/>
    </row>
    <row r="496" spans="1:41" ht="13" x14ac:dyDescent="0.15">
      <c r="A496" s="7"/>
      <c r="B496" s="31" t="s">
        <v>11856</v>
      </c>
      <c r="C496" s="2" t="s">
        <v>15218</v>
      </c>
      <c r="D496" s="7" t="s">
        <v>20074</v>
      </c>
      <c r="E496" s="37">
        <v>5</v>
      </c>
      <c r="F496" s="48"/>
      <c r="G496" s="48"/>
      <c r="H496" s="2" t="s">
        <v>20075</v>
      </c>
      <c r="I496" s="2" t="s">
        <v>4599</v>
      </c>
      <c r="J496" s="2" t="s">
        <v>20076</v>
      </c>
      <c r="K496" s="2" t="s">
        <v>48</v>
      </c>
      <c r="L496" s="2" t="s">
        <v>20077</v>
      </c>
      <c r="M496" s="6" t="s">
        <v>20078</v>
      </c>
      <c r="N496" s="48"/>
      <c r="O496" s="45" t="str">
        <f t="shared" ref="O496:O497" si="396">HYPERLINK("https://goldenbearathletics.com/sb_output.aspx?form=8&amp;&amp;tab=2","Questionnaire")</f>
        <v>Questionnaire</v>
      </c>
      <c r="P496" s="6" t="s">
        <v>20081</v>
      </c>
      <c r="Q496" s="60" t="s">
        <v>6197</v>
      </c>
      <c r="R496" s="48" t="s">
        <v>20082</v>
      </c>
      <c r="S496" s="48" t="s">
        <v>172</v>
      </c>
      <c r="T496" s="49" t="s">
        <v>74</v>
      </c>
      <c r="U496" s="48" t="s">
        <v>75</v>
      </c>
      <c r="V496" s="49"/>
      <c r="W496" s="65">
        <v>3.18</v>
      </c>
      <c r="X496" s="49" t="s">
        <v>20083</v>
      </c>
      <c r="Y496" s="49" t="s">
        <v>7584</v>
      </c>
      <c r="Z496" s="49" t="s">
        <v>125</v>
      </c>
      <c r="AA496" s="65">
        <v>0.53</v>
      </c>
      <c r="AB496" s="48" t="s">
        <v>20084</v>
      </c>
      <c r="AC496" s="84" t="s">
        <v>20081</v>
      </c>
      <c r="AD496" s="53" t="str">
        <f t="shared" ref="AD496:AD497" si="397">HYPERLINK("https://admissions.wvutech.edu/academics/majors","Link")</f>
        <v>Link</v>
      </c>
      <c r="AE496" s="42">
        <v>1347</v>
      </c>
      <c r="AF496" s="55"/>
      <c r="AG496" s="55"/>
      <c r="AH496" s="56">
        <v>237950</v>
      </c>
      <c r="AI496" s="55"/>
      <c r="AJ496" s="162"/>
    </row>
    <row r="497" spans="1:41" ht="13" x14ac:dyDescent="0.15">
      <c r="A497" s="7"/>
      <c r="B497" s="31" t="s">
        <v>11856</v>
      </c>
      <c r="C497" s="2" t="s">
        <v>15218</v>
      </c>
      <c r="D497" s="7" t="s">
        <v>20086</v>
      </c>
      <c r="E497" s="37">
        <v>5</v>
      </c>
      <c r="F497" s="48"/>
      <c r="G497" s="48"/>
      <c r="H497" s="2" t="s">
        <v>20075</v>
      </c>
      <c r="I497" s="2" t="s">
        <v>20067</v>
      </c>
      <c r="J497" s="2" t="s">
        <v>2919</v>
      </c>
      <c r="K497" s="2" t="s">
        <v>139</v>
      </c>
      <c r="L497" s="2"/>
      <c r="M497" s="6"/>
      <c r="N497" s="48"/>
      <c r="O497" s="45" t="str">
        <f t="shared" si="396"/>
        <v>Questionnaire</v>
      </c>
      <c r="P497" s="6" t="s">
        <v>20081</v>
      </c>
      <c r="Q497" s="60" t="s">
        <v>6197</v>
      </c>
      <c r="R497" s="48" t="s">
        <v>20082</v>
      </c>
      <c r="S497" s="48" t="s">
        <v>172</v>
      </c>
      <c r="T497" s="49" t="s">
        <v>74</v>
      </c>
      <c r="U497" s="48" t="s">
        <v>75</v>
      </c>
      <c r="V497" s="49"/>
      <c r="W497" s="65">
        <v>3.18</v>
      </c>
      <c r="X497" s="49" t="s">
        <v>20083</v>
      </c>
      <c r="Y497" s="49" t="s">
        <v>7584</v>
      </c>
      <c r="Z497" s="49" t="s">
        <v>125</v>
      </c>
      <c r="AA497" s="65">
        <v>0.53</v>
      </c>
      <c r="AB497" s="48" t="s">
        <v>20084</v>
      </c>
      <c r="AC497" s="84" t="s">
        <v>20081</v>
      </c>
      <c r="AD497" s="53" t="str">
        <f t="shared" si="397"/>
        <v>Link</v>
      </c>
      <c r="AE497" s="42">
        <v>1347</v>
      </c>
      <c r="AF497" s="55"/>
      <c r="AG497" s="55"/>
      <c r="AH497" s="56">
        <v>237950</v>
      </c>
      <c r="AI497" s="55"/>
      <c r="AJ497" s="162"/>
    </row>
    <row r="498" spans="1:41" ht="13" x14ac:dyDescent="0.15">
      <c r="A498" s="7"/>
      <c r="B498" s="31" t="s">
        <v>5109</v>
      </c>
      <c r="C498" s="2" t="s">
        <v>15218</v>
      </c>
      <c r="D498" s="7" t="s">
        <v>20088</v>
      </c>
      <c r="E498" s="37">
        <v>5</v>
      </c>
      <c r="F498" s="48"/>
      <c r="G498" s="48"/>
      <c r="H498" s="2" t="s">
        <v>20089</v>
      </c>
      <c r="I498" s="2" t="s">
        <v>17735</v>
      </c>
      <c r="J498" s="2" t="s">
        <v>20090</v>
      </c>
      <c r="K498" s="6" t="s">
        <v>48</v>
      </c>
      <c r="L498" s="95" t="s">
        <v>20091</v>
      </c>
      <c r="M498" s="2" t="s">
        <v>20092</v>
      </c>
      <c r="N498" s="45" t="str">
        <f>HYPERLINK("twitter.com/stritchsb","@stritchsb")</f>
        <v>@stritchsb</v>
      </c>
      <c r="O498" s="45" t="str">
        <f>HYPERLINK("https://stritchwolves.com/sports/2010/12/2/GEN_1202105533.aspx","Questionnaire")</f>
        <v>Questionnaire</v>
      </c>
      <c r="P498" s="60" t="s">
        <v>20098</v>
      </c>
      <c r="Q498" s="60" t="s">
        <v>5094</v>
      </c>
      <c r="R498" s="48" t="s">
        <v>16172</v>
      </c>
      <c r="S498" s="48" t="s">
        <v>354</v>
      </c>
      <c r="T498" s="49" t="s">
        <v>63</v>
      </c>
      <c r="U498" s="6" t="s">
        <v>343</v>
      </c>
      <c r="V498" s="49"/>
      <c r="W498" s="65">
        <v>3.22</v>
      </c>
      <c r="X498" s="49" t="s">
        <v>20100</v>
      </c>
      <c r="Y498" s="49" t="s">
        <v>20101</v>
      </c>
      <c r="Z498" s="49" t="s">
        <v>2307</v>
      </c>
      <c r="AA498" s="38">
        <v>0.81520000000000004</v>
      </c>
      <c r="AB498" s="39">
        <v>41844</v>
      </c>
      <c r="AC498" s="90" t="s">
        <v>20098</v>
      </c>
      <c r="AD498" s="53" t="str">
        <f>HYPERLINK("https://www.stritch.edu/programs","Link")</f>
        <v>Link</v>
      </c>
      <c r="AE498" s="42">
        <v>1534</v>
      </c>
      <c r="AF498" s="55"/>
      <c r="AG498" s="55"/>
      <c r="AH498" s="56">
        <v>238430</v>
      </c>
      <c r="AI498" s="55"/>
      <c r="AJ498" s="162"/>
    </row>
    <row r="499" spans="1:41" ht="13" x14ac:dyDescent="0.15">
      <c r="A499" s="7"/>
      <c r="B499" s="31" t="s">
        <v>5109</v>
      </c>
      <c r="C499" s="2" t="s">
        <v>15218</v>
      </c>
      <c r="D499" s="7" t="s">
        <v>20104</v>
      </c>
      <c r="E499" s="37">
        <v>5</v>
      </c>
      <c r="F499" s="48"/>
      <c r="G499" s="48"/>
      <c r="H499" s="2" t="s">
        <v>20106</v>
      </c>
      <c r="I499" s="2" t="s">
        <v>4954</v>
      </c>
      <c r="J499" s="2" t="s">
        <v>20107</v>
      </c>
      <c r="K499" s="2" t="s">
        <v>48</v>
      </c>
      <c r="L499" s="2" t="s">
        <v>20108</v>
      </c>
      <c r="M499" s="6" t="s">
        <v>20109</v>
      </c>
      <c r="N499" s="48"/>
      <c r="O499" s="45" t="str">
        <f t="shared" ref="O499:O500" si="398">HYPERLINK("http://www.slclakers.com/recruiting/0/1.php","Questionnaire")</f>
        <v>Questionnaire</v>
      </c>
      <c r="P499" s="6" t="s">
        <v>20110</v>
      </c>
      <c r="Q499" s="60" t="s">
        <v>5094</v>
      </c>
      <c r="R499" s="48" t="s">
        <v>20111</v>
      </c>
      <c r="S499" s="48" t="s">
        <v>468</v>
      </c>
      <c r="T499" s="49" t="s">
        <v>63</v>
      </c>
      <c r="U499" s="48" t="s">
        <v>75</v>
      </c>
      <c r="V499" s="49"/>
      <c r="W499" s="65">
        <v>2.4900000000000002</v>
      </c>
      <c r="X499" s="49" t="s">
        <v>20113</v>
      </c>
      <c r="Y499" s="49" t="s">
        <v>20115</v>
      </c>
      <c r="Z499" s="49" t="s">
        <v>20116</v>
      </c>
      <c r="AA499" s="65">
        <v>0.55000000000000004</v>
      </c>
      <c r="AB499" s="39">
        <v>41036</v>
      </c>
      <c r="AC499" s="164" t="s">
        <v>20110</v>
      </c>
      <c r="AD499" s="53" t="str">
        <f t="shared" ref="AD499:AD500" si="399">HYPERLINK("https://www.sl.edu/traditional-program/academics/majors","Link")</f>
        <v>Link</v>
      </c>
      <c r="AE499" s="42">
        <v>357</v>
      </c>
      <c r="AF499" s="55"/>
      <c r="AG499" s="55"/>
      <c r="AH499" s="56">
        <v>239743</v>
      </c>
      <c r="AI499" s="55"/>
      <c r="AJ499" s="162"/>
    </row>
    <row r="500" spans="1:41" ht="13" x14ac:dyDescent="0.15">
      <c r="A500" s="7"/>
      <c r="B500" s="31" t="s">
        <v>5109</v>
      </c>
      <c r="C500" s="2" t="s">
        <v>15218</v>
      </c>
      <c r="D500" s="7" t="s">
        <v>20125</v>
      </c>
      <c r="E500" s="37">
        <v>5</v>
      </c>
      <c r="F500" s="48"/>
      <c r="G500" s="48"/>
      <c r="H500" s="2" t="s">
        <v>20106</v>
      </c>
      <c r="I500" s="2" t="s">
        <v>20126</v>
      </c>
      <c r="J500" s="2" t="s">
        <v>20127</v>
      </c>
      <c r="K500" s="2" t="s">
        <v>55</v>
      </c>
      <c r="L500" s="2" t="s">
        <v>20128</v>
      </c>
      <c r="M500" s="6"/>
      <c r="N500" s="48"/>
      <c r="O500" s="45" t="str">
        <f t="shared" si="398"/>
        <v>Questionnaire</v>
      </c>
      <c r="P500" s="6" t="s">
        <v>20110</v>
      </c>
      <c r="Q500" s="60" t="s">
        <v>5094</v>
      </c>
      <c r="R500" s="48" t="s">
        <v>20111</v>
      </c>
      <c r="S500" s="48" t="s">
        <v>468</v>
      </c>
      <c r="T500" s="49" t="s">
        <v>63</v>
      </c>
      <c r="U500" s="48" t="s">
        <v>75</v>
      </c>
      <c r="V500" s="49"/>
      <c r="W500" s="65">
        <v>2.4900000000000002</v>
      </c>
      <c r="X500" s="49" t="s">
        <v>20113</v>
      </c>
      <c r="Y500" s="49" t="s">
        <v>20115</v>
      </c>
      <c r="Z500" s="49" t="s">
        <v>20116</v>
      </c>
      <c r="AA500" s="65">
        <v>0.55000000000000004</v>
      </c>
      <c r="AB500" s="39">
        <v>41036</v>
      </c>
      <c r="AC500" s="164" t="s">
        <v>20110</v>
      </c>
      <c r="AD500" s="53" t="str">
        <f t="shared" si="399"/>
        <v>Link</v>
      </c>
      <c r="AE500" s="42">
        <v>357</v>
      </c>
      <c r="AF500" s="55"/>
      <c r="AG500" s="55"/>
      <c r="AH500" s="56">
        <v>239743</v>
      </c>
      <c r="AI500" s="55"/>
      <c r="AJ500" s="162"/>
    </row>
    <row r="501" spans="1:41" ht="15" x14ac:dyDescent="0.2">
      <c r="A501" s="7"/>
      <c r="B501" s="110" t="s">
        <v>5109</v>
      </c>
      <c r="C501" s="2" t="s">
        <v>15218</v>
      </c>
      <c r="D501" s="7"/>
      <c r="E501" s="37">
        <v>5</v>
      </c>
      <c r="F501" s="7"/>
      <c r="G501" s="7"/>
      <c r="H501" s="2" t="s">
        <v>20134</v>
      </c>
      <c r="I501" s="2" t="s">
        <v>20135</v>
      </c>
      <c r="J501" s="2" t="s">
        <v>20136</v>
      </c>
      <c r="K501" s="2" t="s">
        <v>48</v>
      </c>
      <c r="L501" s="2" t="s">
        <v>20137</v>
      </c>
      <c r="M501" s="6" t="s">
        <v>20138</v>
      </c>
      <c r="N501" s="48"/>
      <c r="O501" s="114" t="s">
        <v>22</v>
      </c>
      <c r="P501" s="48" t="s">
        <v>20139</v>
      </c>
      <c r="Q501" s="47" t="s">
        <v>5094</v>
      </c>
      <c r="R501" s="48" t="s">
        <v>16921</v>
      </c>
      <c r="S501" s="60" t="s">
        <v>186</v>
      </c>
      <c r="T501" s="48" t="s">
        <v>63</v>
      </c>
      <c r="U501" s="49" t="s">
        <v>343</v>
      </c>
      <c r="V501" s="49"/>
      <c r="W501" s="61">
        <v>3.51</v>
      </c>
      <c r="X501" s="49" t="s">
        <v>17495</v>
      </c>
      <c r="Y501" s="49" t="s">
        <v>10920</v>
      </c>
      <c r="Z501" s="55" t="s">
        <v>278</v>
      </c>
      <c r="AA501" s="80">
        <v>0.63</v>
      </c>
      <c r="AB501" s="71">
        <v>38160</v>
      </c>
      <c r="AC501" s="62" t="s">
        <v>20139</v>
      </c>
      <c r="AD501" s="53" t="s">
        <v>16902</v>
      </c>
      <c r="AE501" s="54">
        <v>1875</v>
      </c>
      <c r="AF501" s="55"/>
      <c r="AG501" s="55"/>
      <c r="AH501" s="56">
        <v>240107</v>
      </c>
      <c r="AI501" s="85" t="s">
        <v>2459</v>
      </c>
      <c r="AJ501" s="7"/>
      <c r="AK501" s="7"/>
      <c r="AL501" s="7"/>
      <c r="AM501" s="7"/>
      <c r="AN501" s="7"/>
      <c r="AO501" s="7"/>
    </row>
    <row r="502" spans="1:41" ht="15" x14ac:dyDescent="0.2">
      <c r="A502" s="7"/>
      <c r="B502" s="110" t="s">
        <v>5109</v>
      </c>
      <c r="C502" s="2" t="s">
        <v>15218</v>
      </c>
      <c r="D502" s="7"/>
      <c r="E502" s="37">
        <v>5</v>
      </c>
      <c r="F502" s="7"/>
      <c r="G502" s="7"/>
      <c r="H502" s="2" t="s">
        <v>20134</v>
      </c>
      <c r="I502" s="2" t="s">
        <v>13580</v>
      </c>
      <c r="J502" s="2" t="s">
        <v>20142</v>
      </c>
      <c r="K502" s="2" t="s">
        <v>55</v>
      </c>
      <c r="L502" s="2" t="s">
        <v>20143</v>
      </c>
      <c r="M502" s="6"/>
      <c r="N502" s="48"/>
      <c r="O502" s="114" t="s">
        <v>22</v>
      </c>
      <c r="P502" s="48" t="s">
        <v>20139</v>
      </c>
      <c r="Q502" s="47" t="s">
        <v>5094</v>
      </c>
      <c r="R502" s="48" t="s">
        <v>16921</v>
      </c>
      <c r="S502" s="60" t="s">
        <v>186</v>
      </c>
      <c r="T502" s="48" t="s">
        <v>63</v>
      </c>
      <c r="U502" s="49" t="s">
        <v>343</v>
      </c>
      <c r="V502" s="49"/>
      <c r="W502" s="61">
        <v>3.51</v>
      </c>
      <c r="X502" s="49" t="s">
        <v>17495</v>
      </c>
      <c r="Y502" s="49" t="s">
        <v>10920</v>
      </c>
      <c r="Z502" s="55" t="s">
        <v>278</v>
      </c>
      <c r="AA502" s="80">
        <v>0.63</v>
      </c>
      <c r="AB502" s="71">
        <v>38160</v>
      </c>
      <c r="AC502" s="62" t="s">
        <v>20139</v>
      </c>
      <c r="AD502" s="53" t="s">
        <v>16902</v>
      </c>
      <c r="AE502" s="54">
        <v>1875</v>
      </c>
      <c r="AF502" s="55"/>
      <c r="AG502" s="55"/>
      <c r="AH502" s="56">
        <v>240107</v>
      </c>
      <c r="AI502" s="85" t="s">
        <v>2459</v>
      </c>
      <c r="AJ502" s="7"/>
      <c r="AK502" s="7"/>
      <c r="AL502" s="7"/>
      <c r="AM502" s="7"/>
      <c r="AN502" s="7"/>
      <c r="AO502" s="7"/>
    </row>
    <row r="503" spans="1:41" ht="15" x14ac:dyDescent="0.2">
      <c r="A503" s="7"/>
      <c r="B503" s="110" t="s">
        <v>5109</v>
      </c>
      <c r="C503" s="2" t="s">
        <v>15218</v>
      </c>
      <c r="D503" s="7"/>
      <c r="E503" s="37">
        <v>5</v>
      </c>
      <c r="F503" s="7"/>
      <c r="G503" s="7"/>
      <c r="H503" s="2" t="s">
        <v>20134</v>
      </c>
      <c r="I503" s="2" t="s">
        <v>363</v>
      </c>
      <c r="J503" s="2" t="s">
        <v>20146</v>
      </c>
      <c r="K503" s="2" t="s">
        <v>55</v>
      </c>
      <c r="L503" s="2"/>
      <c r="M503" s="6"/>
      <c r="N503" s="48"/>
      <c r="O503" s="114" t="s">
        <v>22</v>
      </c>
      <c r="P503" s="48" t="s">
        <v>20139</v>
      </c>
      <c r="Q503" s="47" t="s">
        <v>5094</v>
      </c>
      <c r="R503" s="48" t="s">
        <v>16921</v>
      </c>
      <c r="S503" s="60" t="s">
        <v>186</v>
      </c>
      <c r="T503" s="48" t="s">
        <v>63</v>
      </c>
      <c r="U503" s="49" t="s">
        <v>343</v>
      </c>
      <c r="V503" s="49"/>
      <c r="W503" s="61">
        <v>3.51</v>
      </c>
      <c r="X503" s="49" t="s">
        <v>17495</v>
      </c>
      <c r="Y503" s="49" t="s">
        <v>10920</v>
      </c>
      <c r="Z503" s="55" t="s">
        <v>278</v>
      </c>
      <c r="AA503" s="80">
        <v>0.63</v>
      </c>
      <c r="AB503" s="71">
        <v>38160</v>
      </c>
      <c r="AC503" s="62" t="s">
        <v>20139</v>
      </c>
      <c r="AD503" s="53" t="s">
        <v>16902</v>
      </c>
      <c r="AE503" s="54">
        <v>1875</v>
      </c>
      <c r="AF503" s="55"/>
      <c r="AG503" s="55"/>
      <c r="AH503" s="56">
        <v>240107</v>
      </c>
      <c r="AI503" s="85" t="s">
        <v>2459</v>
      </c>
      <c r="AJ503" s="7"/>
      <c r="AK503" s="7"/>
      <c r="AL503" s="7"/>
      <c r="AM503" s="7"/>
      <c r="AN503" s="7"/>
      <c r="AO503" s="7"/>
    </row>
    <row r="504" spans="1:41" ht="15" x14ac:dyDescent="0.2">
      <c r="A504" s="7"/>
      <c r="B504" s="110" t="s">
        <v>5109</v>
      </c>
      <c r="C504" s="2" t="s">
        <v>15218</v>
      </c>
      <c r="D504" s="7"/>
      <c r="E504" s="37">
        <v>5</v>
      </c>
      <c r="F504" s="7"/>
      <c r="G504" s="7"/>
      <c r="H504" s="2" t="s">
        <v>20134</v>
      </c>
      <c r="I504" s="2" t="s">
        <v>143</v>
      </c>
      <c r="J504" s="2" t="s">
        <v>20152</v>
      </c>
      <c r="K504" s="2" t="s">
        <v>55</v>
      </c>
      <c r="L504" s="2"/>
      <c r="M504" s="6"/>
      <c r="N504" s="48"/>
      <c r="O504" s="114" t="s">
        <v>22</v>
      </c>
      <c r="P504" s="48" t="s">
        <v>20139</v>
      </c>
      <c r="Q504" s="47" t="s">
        <v>5094</v>
      </c>
      <c r="R504" s="48" t="s">
        <v>16921</v>
      </c>
      <c r="S504" s="60" t="s">
        <v>186</v>
      </c>
      <c r="T504" s="48" t="s">
        <v>63</v>
      </c>
      <c r="U504" s="49" t="s">
        <v>343</v>
      </c>
      <c r="V504" s="49"/>
      <c r="W504" s="61">
        <v>3.51</v>
      </c>
      <c r="X504" s="49" t="s">
        <v>17495</v>
      </c>
      <c r="Y504" s="49" t="s">
        <v>10920</v>
      </c>
      <c r="Z504" s="55" t="s">
        <v>278</v>
      </c>
      <c r="AA504" s="80">
        <v>0.63</v>
      </c>
      <c r="AB504" s="71">
        <v>38160</v>
      </c>
      <c r="AC504" s="62" t="s">
        <v>20139</v>
      </c>
      <c r="AD504" s="53" t="s">
        <v>16902</v>
      </c>
      <c r="AE504" s="54">
        <v>1875</v>
      </c>
      <c r="AF504" s="55"/>
      <c r="AG504" s="55"/>
      <c r="AH504" s="56">
        <v>240107</v>
      </c>
      <c r="AI504" s="85" t="s">
        <v>2459</v>
      </c>
      <c r="AJ504" s="7"/>
      <c r="AK504" s="7"/>
      <c r="AL504" s="7"/>
      <c r="AM504" s="7"/>
      <c r="AN504" s="7"/>
      <c r="AO504" s="7"/>
    </row>
    <row r="505" spans="1:41" ht="13" x14ac:dyDescent="0.15">
      <c r="M505" s="165"/>
      <c r="N505" s="165"/>
      <c r="O505" s="165"/>
      <c r="P505" s="165"/>
      <c r="Q505" s="165"/>
      <c r="R505" s="165"/>
      <c r="S505" s="166"/>
      <c r="T505" s="165"/>
      <c r="U505" s="166"/>
      <c r="W505" s="166"/>
      <c r="X505" s="166"/>
      <c r="Y505" s="166"/>
      <c r="Z505" s="167"/>
      <c r="AA505" s="165"/>
      <c r="AB505" s="167"/>
      <c r="AC505" s="167"/>
      <c r="AD505" s="167"/>
      <c r="AE505" s="167"/>
      <c r="AF505" s="167"/>
      <c r="AG505" s="137"/>
    </row>
    <row r="506" spans="1:41" ht="13" x14ac:dyDescent="0.15">
      <c r="M506" s="165"/>
      <c r="N506" s="165"/>
      <c r="O506" s="165"/>
      <c r="P506" s="165"/>
      <c r="Q506" s="165"/>
      <c r="R506" s="165"/>
      <c r="S506" s="166"/>
      <c r="T506" s="165"/>
      <c r="U506" s="166"/>
      <c r="W506" s="166"/>
      <c r="X506" s="166"/>
      <c r="Y506" s="166"/>
      <c r="Z506" s="166"/>
      <c r="AA506" s="165"/>
      <c r="AB506" s="167"/>
      <c r="AC506" s="167"/>
      <c r="AD506" s="167"/>
      <c r="AE506" s="167"/>
      <c r="AF506" s="167"/>
      <c r="AG506" s="137"/>
      <c r="AH506" s="137"/>
      <c r="AI506" s="137"/>
    </row>
    <row r="507" spans="1:41" ht="13" x14ac:dyDescent="0.15">
      <c r="M507" s="165"/>
      <c r="N507" s="165"/>
      <c r="O507" s="165"/>
      <c r="P507" s="165"/>
      <c r="Q507" s="165"/>
      <c r="R507" s="165"/>
      <c r="S507" s="166"/>
      <c r="T507" s="165"/>
      <c r="U507" s="166"/>
      <c r="W507" s="166"/>
      <c r="X507" s="166"/>
      <c r="Y507" s="166"/>
      <c r="Z507" s="166"/>
      <c r="AA507" s="165"/>
      <c r="AB507" s="167"/>
      <c r="AC507" s="167"/>
      <c r="AD507" s="167"/>
      <c r="AE507" s="167"/>
      <c r="AF507" s="167"/>
      <c r="AG507" s="137"/>
      <c r="AH507" s="137"/>
      <c r="AI507" s="137"/>
    </row>
    <row r="508" spans="1:41" ht="13" x14ac:dyDescent="0.15">
      <c r="M508" s="165"/>
      <c r="N508" s="165"/>
      <c r="O508" s="165"/>
      <c r="P508" s="165"/>
      <c r="Q508" s="165"/>
      <c r="R508" s="165"/>
      <c r="S508" s="166"/>
      <c r="T508" s="165"/>
      <c r="U508" s="166"/>
      <c r="W508" s="166"/>
      <c r="X508" s="166"/>
      <c r="Y508" s="166"/>
      <c r="Z508" s="166"/>
      <c r="AA508" s="165"/>
      <c r="AB508" s="167"/>
      <c r="AC508" s="167"/>
      <c r="AD508" s="167"/>
      <c r="AE508" s="167"/>
      <c r="AF508" s="167"/>
      <c r="AG508" s="137"/>
      <c r="AH508" s="137"/>
      <c r="AI508" s="137"/>
    </row>
    <row r="509" spans="1:41" ht="13" x14ac:dyDescent="0.15">
      <c r="M509" s="165"/>
      <c r="N509" s="165"/>
      <c r="O509" s="165"/>
      <c r="P509" s="165"/>
      <c r="Q509" s="165"/>
      <c r="R509" s="165"/>
      <c r="S509" s="166"/>
      <c r="T509" s="165"/>
      <c r="U509" s="166"/>
      <c r="W509" s="166"/>
      <c r="X509" s="166"/>
      <c r="Y509" s="166"/>
      <c r="Z509" s="167"/>
      <c r="AA509" s="165"/>
      <c r="AB509" s="167"/>
      <c r="AC509" s="167"/>
      <c r="AD509" s="167"/>
      <c r="AE509" s="167"/>
      <c r="AF509" s="167"/>
      <c r="AG509" s="137"/>
      <c r="AH509" s="137"/>
      <c r="AI509" s="137"/>
    </row>
    <row r="510" spans="1:41" ht="13" x14ac:dyDescent="0.15">
      <c r="M510" s="165"/>
      <c r="N510" s="165"/>
      <c r="O510" s="165"/>
      <c r="P510" s="165"/>
      <c r="Q510" s="165"/>
      <c r="R510" s="165"/>
      <c r="S510" s="166"/>
      <c r="T510" s="165"/>
      <c r="U510" s="166"/>
      <c r="W510" s="166"/>
      <c r="X510" s="166"/>
      <c r="Y510" s="166"/>
      <c r="Z510" s="167"/>
      <c r="AA510" s="165"/>
      <c r="AB510" s="167"/>
      <c r="AC510" s="167"/>
      <c r="AD510" s="167"/>
      <c r="AE510" s="167"/>
      <c r="AF510" s="167"/>
      <c r="AG510" s="137"/>
      <c r="AH510" s="137"/>
      <c r="AI510" s="137"/>
    </row>
    <row r="511" spans="1:41" ht="13" x14ac:dyDescent="0.15">
      <c r="M511" s="165"/>
      <c r="N511" s="165"/>
      <c r="O511" s="165"/>
      <c r="P511" s="165"/>
      <c r="Q511" s="165"/>
      <c r="R511" s="165"/>
      <c r="S511" s="166"/>
      <c r="T511" s="165"/>
      <c r="U511" s="166"/>
      <c r="W511" s="166"/>
      <c r="X511" s="166"/>
      <c r="Y511" s="166"/>
      <c r="Z511" s="167"/>
      <c r="AA511" s="165"/>
      <c r="AB511" s="167"/>
      <c r="AC511" s="167"/>
      <c r="AD511" s="167"/>
      <c r="AE511" s="167"/>
      <c r="AF511" s="167"/>
      <c r="AG511" s="137"/>
      <c r="AH511" s="137"/>
      <c r="AI511" s="137"/>
    </row>
    <row r="512" spans="1:41" ht="13" x14ac:dyDescent="0.15">
      <c r="M512" s="165"/>
      <c r="N512" s="165"/>
      <c r="O512" s="165"/>
      <c r="P512" s="165"/>
      <c r="Q512" s="165"/>
      <c r="R512" s="165"/>
      <c r="S512" s="166"/>
      <c r="T512" s="165"/>
      <c r="U512" s="166"/>
      <c r="W512" s="166"/>
      <c r="X512" s="166"/>
      <c r="Y512" s="166"/>
      <c r="Z512" s="167"/>
      <c r="AA512" s="165"/>
      <c r="AB512" s="167"/>
      <c r="AC512" s="167"/>
      <c r="AD512" s="167"/>
      <c r="AE512" s="167"/>
      <c r="AF512" s="167"/>
      <c r="AG512" s="137"/>
      <c r="AH512" s="137"/>
      <c r="AI512" s="137"/>
    </row>
    <row r="513" spans="13:35" ht="13" x14ac:dyDescent="0.15">
      <c r="M513" s="165"/>
      <c r="N513" s="165"/>
      <c r="O513" s="165"/>
      <c r="P513" s="165"/>
      <c r="Q513" s="165"/>
      <c r="R513" s="165"/>
      <c r="S513" s="166"/>
      <c r="T513" s="165"/>
      <c r="U513" s="166"/>
      <c r="W513" s="166"/>
      <c r="X513" s="166"/>
      <c r="Y513" s="166"/>
      <c r="Z513" s="167"/>
      <c r="AA513" s="165"/>
      <c r="AB513" s="167"/>
      <c r="AC513" s="167"/>
      <c r="AD513" s="167"/>
      <c r="AE513" s="167"/>
      <c r="AF513" s="167"/>
      <c r="AG513" s="137"/>
      <c r="AH513" s="137"/>
      <c r="AI513" s="137"/>
    </row>
    <row r="514" spans="13:35" ht="13" x14ac:dyDescent="0.15">
      <c r="M514" s="165"/>
      <c r="N514" s="165"/>
      <c r="O514" s="165"/>
      <c r="P514" s="165"/>
      <c r="Q514" s="165"/>
      <c r="R514" s="165"/>
      <c r="S514" s="166"/>
      <c r="T514" s="165"/>
      <c r="U514" s="166"/>
      <c r="W514" s="166"/>
      <c r="X514" s="166"/>
      <c r="Y514" s="166"/>
      <c r="Z514" s="167"/>
      <c r="AA514" s="165"/>
      <c r="AB514" s="167"/>
      <c r="AC514" s="167"/>
      <c r="AD514" s="167"/>
      <c r="AE514" s="167"/>
      <c r="AF514" s="167"/>
      <c r="AG514" s="137"/>
      <c r="AH514" s="137"/>
      <c r="AI514" s="137"/>
    </row>
    <row r="515" spans="13:35" ht="13" x14ac:dyDescent="0.15">
      <c r="M515" s="165"/>
      <c r="N515" s="165"/>
      <c r="O515" s="165"/>
      <c r="P515" s="165"/>
      <c r="Q515" s="165"/>
      <c r="R515" s="165"/>
      <c r="S515" s="166"/>
      <c r="T515" s="165"/>
      <c r="U515" s="166"/>
      <c r="W515" s="166"/>
      <c r="X515" s="166"/>
      <c r="Y515" s="166"/>
      <c r="Z515" s="167"/>
      <c r="AA515" s="165"/>
      <c r="AB515" s="167"/>
      <c r="AC515" s="167"/>
      <c r="AD515" s="167"/>
      <c r="AE515" s="167"/>
      <c r="AF515" s="167"/>
      <c r="AG515" s="137"/>
      <c r="AH515" s="137"/>
      <c r="AI515" s="137"/>
    </row>
    <row r="516" spans="13:35" ht="13" x14ac:dyDescent="0.15">
      <c r="M516" s="165"/>
      <c r="N516" s="165"/>
      <c r="O516" s="165"/>
      <c r="P516" s="165"/>
      <c r="Q516" s="165"/>
      <c r="R516" s="165"/>
      <c r="S516" s="166"/>
      <c r="T516" s="165"/>
      <c r="U516" s="166"/>
      <c r="W516" s="166"/>
      <c r="X516" s="166"/>
      <c r="Y516" s="166"/>
      <c r="Z516" s="167"/>
      <c r="AA516" s="165"/>
      <c r="AB516" s="167"/>
      <c r="AC516" s="167"/>
      <c r="AD516" s="167"/>
      <c r="AE516" s="167"/>
      <c r="AF516" s="167"/>
      <c r="AG516" s="137"/>
      <c r="AH516" s="137"/>
      <c r="AI516" s="137"/>
    </row>
    <row r="517" spans="13:35" ht="13" x14ac:dyDescent="0.15">
      <c r="M517" s="165"/>
      <c r="N517" s="165"/>
      <c r="O517" s="165"/>
      <c r="P517" s="165"/>
      <c r="Q517" s="165"/>
      <c r="R517" s="165"/>
      <c r="S517" s="166"/>
      <c r="T517" s="165"/>
      <c r="U517" s="166"/>
      <c r="W517" s="166"/>
      <c r="X517" s="166"/>
      <c r="Y517" s="166"/>
      <c r="Z517" s="167"/>
      <c r="AA517" s="165"/>
      <c r="AB517" s="167"/>
      <c r="AC517" s="167"/>
      <c r="AD517" s="167"/>
      <c r="AE517" s="167"/>
      <c r="AF517" s="167"/>
      <c r="AG517" s="137"/>
      <c r="AH517" s="137"/>
      <c r="AI517" s="137"/>
    </row>
    <row r="518" spans="13:35" ht="13" x14ac:dyDescent="0.15">
      <c r="M518" s="165"/>
      <c r="N518" s="165"/>
      <c r="O518" s="165"/>
      <c r="P518" s="165"/>
      <c r="Q518" s="165"/>
      <c r="R518" s="165"/>
      <c r="S518" s="166"/>
      <c r="T518" s="165"/>
      <c r="U518" s="166"/>
      <c r="W518" s="166"/>
      <c r="X518" s="166"/>
      <c r="Y518" s="166"/>
      <c r="Z518" s="167"/>
      <c r="AA518" s="165"/>
      <c r="AB518" s="167"/>
      <c r="AC518" s="167"/>
      <c r="AD518" s="167"/>
      <c r="AE518" s="167"/>
      <c r="AF518" s="167"/>
      <c r="AG518" s="137"/>
      <c r="AH518" s="137"/>
      <c r="AI518" s="137"/>
    </row>
    <row r="519" spans="13:35" ht="13" x14ac:dyDescent="0.15">
      <c r="M519" s="165"/>
      <c r="N519" s="165"/>
      <c r="O519" s="165"/>
      <c r="P519" s="165"/>
      <c r="Q519" s="165"/>
      <c r="R519" s="165"/>
      <c r="S519" s="166"/>
      <c r="T519" s="165"/>
      <c r="U519" s="166"/>
      <c r="W519" s="166"/>
      <c r="X519" s="166"/>
      <c r="Y519" s="166"/>
      <c r="Z519" s="167"/>
      <c r="AA519" s="165"/>
      <c r="AB519" s="167"/>
      <c r="AC519" s="167"/>
      <c r="AD519" s="167"/>
      <c r="AE519" s="167"/>
      <c r="AF519" s="167"/>
      <c r="AG519" s="137"/>
      <c r="AH519" s="137"/>
      <c r="AI519" s="137"/>
    </row>
    <row r="520" spans="13:35" ht="13" x14ac:dyDescent="0.15">
      <c r="M520" s="165"/>
      <c r="N520" s="165"/>
      <c r="O520" s="165"/>
      <c r="P520" s="165"/>
      <c r="Q520" s="165"/>
      <c r="R520" s="165"/>
      <c r="S520" s="166"/>
      <c r="T520" s="165"/>
      <c r="U520" s="166"/>
      <c r="W520" s="166"/>
      <c r="X520" s="166"/>
      <c r="Y520" s="166"/>
      <c r="Z520" s="167"/>
      <c r="AA520" s="165"/>
      <c r="AB520" s="167"/>
      <c r="AC520" s="167"/>
      <c r="AD520" s="167"/>
      <c r="AE520" s="167"/>
      <c r="AF520" s="167"/>
      <c r="AG520" s="137"/>
    </row>
    <row r="521" spans="13:35" ht="13" x14ac:dyDescent="0.15">
      <c r="M521" s="165"/>
      <c r="N521" s="165"/>
      <c r="O521" s="165"/>
      <c r="P521" s="165"/>
      <c r="Q521" s="165"/>
      <c r="R521" s="165"/>
      <c r="S521" s="166"/>
      <c r="T521" s="165"/>
      <c r="U521" s="166"/>
      <c r="W521" s="166"/>
      <c r="X521" s="166"/>
      <c r="Y521" s="166"/>
      <c r="Z521" s="167"/>
      <c r="AA521" s="165"/>
      <c r="AB521" s="167"/>
      <c r="AC521" s="167"/>
      <c r="AD521" s="167"/>
      <c r="AE521" s="167"/>
      <c r="AF521" s="167"/>
      <c r="AG521" s="137"/>
    </row>
    <row r="522" spans="13:35" ht="13" x14ac:dyDescent="0.15">
      <c r="M522" s="165"/>
      <c r="N522" s="165"/>
      <c r="O522" s="165"/>
      <c r="P522" s="165"/>
      <c r="Q522" s="165"/>
      <c r="R522" s="165"/>
      <c r="S522" s="166"/>
      <c r="T522" s="165"/>
      <c r="U522" s="166"/>
      <c r="W522" s="166"/>
      <c r="X522" s="166"/>
      <c r="Y522" s="166"/>
      <c r="Z522" s="167"/>
      <c r="AA522" s="165"/>
      <c r="AB522" s="167"/>
      <c r="AC522" s="167"/>
      <c r="AD522" s="167"/>
      <c r="AE522" s="167"/>
      <c r="AF522" s="167"/>
      <c r="AG522" s="137"/>
    </row>
    <row r="523" spans="13:35" ht="13" x14ac:dyDescent="0.15">
      <c r="M523" s="165"/>
      <c r="N523" s="165"/>
      <c r="O523" s="165"/>
      <c r="P523" s="165"/>
      <c r="Q523" s="165"/>
      <c r="R523" s="165"/>
      <c r="S523" s="166"/>
      <c r="T523" s="165"/>
      <c r="U523" s="166"/>
      <c r="W523" s="166"/>
      <c r="X523" s="166"/>
      <c r="Y523" s="166"/>
      <c r="Z523" s="167"/>
      <c r="AA523" s="165"/>
      <c r="AB523" s="167"/>
      <c r="AC523" s="167"/>
      <c r="AD523" s="167"/>
      <c r="AE523" s="167"/>
      <c r="AF523" s="167"/>
      <c r="AG523" s="137"/>
    </row>
    <row r="524" spans="13:35" ht="13" x14ac:dyDescent="0.15">
      <c r="M524" s="165"/>
      <c r="N524" s="165"/>
      <c r="O524" s="165"/>
      <c r="P524" s="165"/>
      <c r="Q524" s="165"/>
      <c r="R524" s="165"/>
      <c r="S524" s="166"/>
      <c r="T524" s="165"/>
      <c r="U524" s="166"/>
      <c r="W524" s="166"/>
      <c r="X524" s="166"/>
      <c r="Y524" s="166"/>
      <c r="Z524" s="167"/>
      <c r="AA524" s="165"/>
      <c r="AB524" s="167"/>
      <c r="AC524" s="167"/>
      <c r="AD524" s="167"/>
      <c r="AE524" s="167"/>
      <c r="AF524" s="167"/>
      <c r="AG524" s="137"/>
    </row>
    <row r="525" spans="13:35" ht="13" x14ac:dyDescent="0.15">
      <c r="M525" s="165"/>
      <c r="N525" s="165"/>
      <c r="O525" s="165"/>
      <c r="P525" s="165"/>
      <c r="Q525" s="165"/>
      <c r="R525" s="165"/>
      <c r="S525" s="166"/>
      <c r="T525" s="165"/>
      <c r="U525" s="166"/>
      <c r="W525" s="166"/>
      <c r="X525" s="166"/>
      <c r="Y525" s="166"/>
      <c r="Z525" s="167"/>
      <c r="AA525" s="165"/>
      <c r="AB525" s="167"/>
      <c r="AC525" s="167"/>
      <c r="AD525" s="167"/>
      <c r="AE525" s="167"/>
      <c r="AF525" s="167"/>
      <c r="AG525" s="137"/>
    </row>
    <row r="526" spans="13:35" ht="13" x14ac:dyDescent="0.15">
      <c r="M526" s="165"/>
      <c r="N526" s="165"/>
      <c r="O526" s="165"/>
      <c r="P526" s="165"/>
      <c r="Q526" s="165"/>
      <c r="R526" s="165"/>
      <c r="S526" s="166"/>
      <c r="T526" s="165"/>
      <c r="U526" s="166"/>
      <c r="W526" s="166"/>
      <c r="X526" s="166"/>
      <c r="Y526" s="166"/>
      <c r="Z526" s="167"/>
      <c r="AA526" s="165"/>
      <c r="AB526" s="167"/>
      <c r="AC526" s="167"/>
      <c r="AD526" s="167"/>
      <c r="AE526" s="167"/>
      <c r="AF526" s="167"/>
      <c r="AG526" s="137"/>
      <c r="AH526" s="137"/>
      <c r="AI526" s="137"/>
    </row>
    <row r="527" spans="13:35" ht="13" x14ac:dyDescent="0.15">
      <c r="M527" s="165"/>
      <c r="N527" s="165"/>
      <c r="O527" s="165"/>
      <c r="P527" s="165"/>
      <c r="Q527" s="165"/>
      <c r="R527" s="165"/>
      <c r="S527" s="166"/>
      <c r="T527" s="165"/>
      <c r="U527" s="166"/>
      <c r="W527" s="166"/>
      <c r="X527" s="166"/>
      <c r="Y527" s="166"/>
      <c r="Z527" s="167"/>
      <c r="AA527" s="165"/>
      <c r="AB527" s="167"/>
      <c r="AC527" s="167"/>
      <c r="AD527" s="167"/>
      <c r="AE527" s="167"/>
      <c r="AF527" s="167"/>
      <c r="AG527" s="137"/>
      <c r="AH527" s="137"/>
      <c r="AI527" s="137"/>
    </row>
    <row r="528" spans="13:35" ht="13" x14ac:dyDescent="0.15">
      <c r="M528" s="165"/>
      <c r="N528" s="165"/>
      <c r="O528" s="165"/>
      <c r="P528" s="165"/>
      <c r="Q528" s="165"/>
      <c r="R528" s="165"/>
      <c r="S528" s="166"/>
      <c r="T528" s="165"/>
      <c r="U528" s="166"/>
      <c r="W528" s="166"/>
      <c r="X528" s="166"/>
      <c r="Y528" s="166"/>
      <c r="Z528" s="166"/>
      <c r="AA528" s="165"/>
      <c r="AB528" s="167"/>
      <c r="AC528" s="167"/>
      <c r="AD528" s="167"/>
      <c r="AE528" s="167"/>
      <c r="AF528" s="167"/>
      <c r="AG528" s="137"/>
      <c r="AH528" s="137"/>
      <c r="AI528" s="137"/>
    </row>
    <row r="529" spans="13:35" ht="13" x14ac:dyDescent="0.15">
      <c r="M529" s="165"/>
      <c r="N529" s="165"/>
      <c r="O529" s="165"/>
      <c r="P529" s="165"/>
      <c r="Q529" s="165"/>
      <c r="R529" s="165"/>
      <c r="S529" s="166"/>
      <c r="T529" s="165"/>
      <c r="U529" s="166"/>
      <c r="W529" s="166"/>
      <c r="X529" s="166"/>
      <c r="Y529" s="166"/>
      <c r="Z529" s="166"/>
      <c r="AA529" s="165"/>
      <c r="AB529" s="167"/>
      <c r="AC529" s="167"/>
      <c r="AD529" s="167"/>
      <c r="AE529" s="167"/>
      <c r="AF529" s="167"/>
      <c r="AG529" s="137"/>
      <c r="AH529" s="137"/>
      <c r="AI529" s="137"/>
    </row>
    <row r="530" spans="13:35" ht="13" x14ac:dyDescent="0.15">
      <c r="M530" s="165"/>
      <c r="N530" s="165"/>
      <c r="O530" s="165"/>
      <c r="P530" s="165"/>
      <c r="Q530" s="165"/>
      <c r="R530" s="165"/>
      <c r="S530" s="166"/>
      <c r="T530" s="165"/>
      <c r="U530" s="166"/>
      <c r="W530" s="166"/>
      <c r="X530" s="166"/>
      <c r="Y530" s="166"/>
      <c r="Z530" s="167"/>
      <c r="AA530" s="165"/>
      <c r="AB530" s="167"/>
      <c r="AC530" s="167"/>
      <c r="AD530" s="167"/>
      <c r="AE530" s="167"/>
      <c r="AF530" s="167"/>
      <c r="AG530" s="137"/>
    </row>
    <row r="531" spans="13:35" ht="13" x14ac:dyDescent="0.15">
      <c r="M531" s="165"/>
      <c r="N531" s="165"/>
      <c r="O531" s="165"/>
      <c r="P531" s="165"/>
      <c r="Q531" s="165"/>
      <c r="R531" s="165"/>
      <c r="S531" s="166"/>
      <c r="T531" s="165"/>
      <c r="U531" s="166"/>
      <c r="W531" s="166"/>
      <c r="X531" s="166"/>
      <c r="Y531" s="166"/>
      <c r="Z531" s="167"/>
      <c r="AA531" s="165"/>
      <c r="AB531" s="167"/>
      <c r="AC531" s="167"/>
      <c r="AD531" s="167"/>
      <c r="AE531" s="167"/>
      <c r="AF531" s="167"/>
      <c r="AG531" s="137"/>
      <c r="AH531" s="137"/>
      <c r="AI531" s="137"/>
    </row>
    <row r="532" spans="13:35" ht="13" x14ac:dyDescent="0.15">
      <c r="M532" s="165"/>
      <c r="N532" s="165"/>
      <c r="O532" s="165"/>
      <c r="P532" s="165"/>
      <c r="Q532" s="165"/>
      <c r="R532" s="165"/>
      <c r="S532" s="166"/>
      <c r="T532" s="165"/>
      <c r="U532" s="166"/>
      <c r="W532" s="166"/>
      <c r="X532" s="166"/>
      <c r="Y532" s="166"/>
      <c r="Z532" s="167"/>
      <c r="AA532" s="165"/>
      <c r="AB532" s="167"/>
      <c r="AC532" s="167"/>
      <c r="AD532" s="167"/>
      <c r="AE532" s="167"/>
      <c r="AF532" s="167"/>
      <c r="AG532" s="137"/>
      <c r="AH532" s="137"/>
      <c r="AI532" s="137"/>
    </row>
    <row r="533" spans="13:35" ht="13" x14ac:dyDescent="0.15">
      <c r="M533" s="165"/>
      <c r="N533" s="165"/>
      <c r="O533" s="165"/>
      <c r="P533" s="165"/>
      <c r="Q533" s="165"/>
      <c r="R533" s="165"/>
      <c r="S533" s="166"/>
      <c r="T533" s="165"/>
      <c r="U533" s="166"/>
      <c r="W533" s="166"/>
      <c r="X533" s="166"/>
      <c r="Y533" s="166"/>
      <c r="Z533" s="167"/>
      <c r="AA533" s="165"/>
      <c r="AB533" s="167"/>
      <c r="AC533" s="167"/>
      <c r="AD533" s="167"/>
      <c r="AE533" s="167"/>
      <c r="AF533" s="167"/>
      <c r="AG533" s="137"/>
      <c r="AH533" s="137"/>
      <c r="AI533" s="137"/>
    </row>
    <row r="534" spans="13:35" ht="13" x14ac:dyDescent="0.15">
      <c r="M534" s="165"/>
      <c r="N534" s="165"/>
      <c r="O534" s="165"/>
      <c r="P534" s="165"/>
      <c r="Q534" s="165"/>
      <c r="R534" s="165"/>
      <c r="S534" s="166"/>
      <c r="T534" s="165"/>
      <c r="U534" s="166"/>
      <c r="W534" s="166"/>
      <c r="X534" s="166"/>
      <c r="Y534" s="166"/>
      <c r="Z534" s="167"/>
      <c r="AA534" s="165"/>
      <c r="AB534" s="167"/>
      <c r="AC534" s="167"/>
      <c r="AD534" s="167"/>
      <c r="AE534" s="167"/>
      <c r="AF534" s="167"/>
      <c r="AG534" s="137"/>
      <c r="AH534" s="137"/>
      <c r="AI534" s="137"/>
    </row>
    <row r="535" spans="13:35" ht="13" x14ac:dyDescent="0.15">
      <c r="M535" s="165"/>
      <c r="N535" s="165"/>
      <c r="O535" s="165"/>
      <c r="P535" s="165"/>
      <c r="Q535" s="165"/>
      <c r="R535" s="165"/>
      <c r="S535" s="166"/>
      <c r="T535" s="165"/>
      <c r="U535" s="166"/>
      <c r="W535" s="166"/>
      <c r="X535" s="166"/>
      <c r="Y535" s="166"/>
      <c r="Z535" s="167"/>
      <c r="AA535" s="165"/>
      <c r="AB535" s="167"/>
      <c r="AC535" s="167"/>
      <c r="AD535" s="167"/>
      <c r="AE535" s="167"/>
      <c r="AF535" s="167"/>
      <c r="AG535" s="137"/>
      <c r="AH535" s="137"/>
      <c r="AI535" s="137"/>
    </row>
    <row r="536" spans="13:35" ht="13" x14ac:dyDescent="0.15">
      <c r="M536" s="165"/>
      <c r="N536" s="165"/>
      <c r="O536" s="165"/>
      <c r="P536" s="165"/>
      <c r="Q536" s="165"/>
      <c r="R536" s="165"/>
      <c r="S536" s="166"/>
      <c r="T536" s="165"/>
      <c r="U536" s="166"/>
      <c r="W536" s="166"/>
      <c r="X536" s="166"/>
      <c r="Y536" s="166"/>
      <c r="Z536" s="167"/>
      <c r="AA536" s="165"/>
      <c r="AB536" s="167"/>
      <c r="AC536" s="167"/>
      <c r="AD536" s="167"/>
      <c r="AE536" s="167"/>
      <c r="AF536" s="167"/>
      <c r="AG536" s="137"/>
      <c r="AH536" s="137"/>
      <c r="AI536" s="137"/>
    </row>
    <row r="537" spans="13:35" ht="13" x14ac:dyDescent="0.15">
      <c r="M537" s="165"/>
      <c r="N537" s="165"/>
      <c r="O537" s="165"/>
      <c r="P537" s="165"/>
      <c r="Q537" s="165"/>
      <c r="R537" s="165"/>
      <c r="S537" s="166"/>
      <c r="T537" s="165"/>
      <c r="U537" s="166"/>
      <c r="W537" s="166"/>
      <c r="X537" s="166"/>
      <c r="Y537" s="166"/>
      <c r="Z537" s="167"/>
      <c r="AA537" s="165"/>
      <c r="AB537" s="167"/>
      <c r="AC537" s="167"/>
      <c r="AD537" s="167"/>
      <c r="AE537" s="167"/>
      <c r="AF537" s="167"/>
      <c r="AG537" s="137"/>
      <c r="AH537" s="137"/>
      <c r="AI537" s="137"/>
    </row>
    <row r="538" spans="13:35" ht="13" x14ac:dyDescent="0.15">
      <c r="M538" s="165"/>
      <c r="N538" s="165"/>
      <c r="O538" s="165"/>
      <c r="P538" s="165"/>
      <c r="Q538" s="165"/>
      <c r="R538" s="165"/>
      <c r="S538" s="166"/>
      <c r="T538" s="165"/>
      <c r="U538" s="166"/>
      <c r="W538" s="166"/>
      <c r="X538" s="166"/>
      <c r="Y538" s="166"/>
      <c r="Z538" s="167"/>
      <c r="AA538" s="165"/>
      <c r="AB538" s="167"/>
      <c r="AC538" s="167"/>
      <c r="AD538" s="167"/>
      <c r="AE538" s="167"/>
      <c r="AF538" s="167"/>
      <c r="AG538" s="137"/>
      <c r="AH538" s="137"/>
      <c r="AI538" s="137"/>
    </row>
    <row r="539" spans="13:35" ht="13" x14ac:dyDescent="0.15">
      <c r="M539" s="165"/>
      <c r="N539" s="165"/>
      <c r="O539" s="165"/>
      <c r="P539" s="165"/>
      <c r="Q539" s="165"/>
      <c r="R539" s="165"/>
      <c r="S539" s="166"/>
      <c r="T539" s="165"/>
      <c r="U539" s="166"/>
      <c r="W539" s="166"/>
      <c r="X539" s="166"/>
      <c r="Y539" s="166"/>
      <c r="Z539" s="167"/>
      <c r="AA539" s="165"/>
      <c r="AB539" s="167"/>
      <c r="AC539" s="167"/>
      <c r="AD539" s="167"/>
      <c r="AE539" s="167"/>
      <c r="AF539" s="167"/>
      <c r="AG539" s="137"/>
      <c r="AH539" s="137"/>
      <c r="AI539" s="137"/>
    </row>
    <row r="540" spans="13:35" ht="13" x14ac:dyDescent="0.15">
      <c r="M540" s="165"/>
      <c r="N540" s="165"/>
      <c r="O540" s="165"/>
      <c r="P540" s="165"/>
      <c r="Q540" s="165"/>
      <c r="R540" s="165"/>
      <c r="S540" s="166"/>
      <c r="T540" s="165"/>
      <c r="U540" s="166"/>
      <c r="W540" s="166"/>
      <c r="X540" s="166"/>
      <c r="Y540" s="166"/>
      <c r="Z540" s="167"/>
      <c r="AA540" s="165"/>
      <c r="AB540" s="167"/>
      <c r="AC540" s="167"/>
      <c r="AD540" s="167"/>
      <c r="AE540" s="167"/>
      <c r="AF540" s="167"/>
      <c r="AG540" s="137"/>
      <c r="AH540" s="137"/>
      <c r="AI540" s="137"/>
    </row>
    <row r="541" spans="13:35" ht="13" x14ac:dyDescent="0.15">
      <c r="M541" s="165"/>
      <c r="N541" s="165"/>
      <c r="O541" s="165"/>
      <c r="P541" s="165"/>
      <c r="Q541" s="165"/>
      <c r="R541" s="165"/>
      <c r="S541" s="166"/>
      <c r="T541" s="165"/>
      <c r="U541" s="166"/>
      <c r="W541" s="166"/>
      <c r="X541" s="166"/>
      <c r="Y541" s="166"/>
      <c r="Z541" s="167"/>
      <c r="AA541" s="165"/>
      <c r="AB541" s="167"/>
      <c r="AC541" s="167"/>
      <c r="AD541" s="167"/>
      <c r="AE541" s="167"/>
      <c r="AF541" s="167"/>
      <c r="AG541" s="137"/>
      <c r="AH541" s="137"/>
      <c r="AI541" s="137"/>
    </row>
    <row r="542" spans="13:35" ht="13" x14ac:dyDescent="0.15">
      <c r="M542" s="165"/>
      <c r="N542" s="165"/>
      <c r="O542" s="165"/>
      <c r="P542" s="165"/>
      <c r="Q542" s="165"/>
      <c r="R542" s="165"/>
      <c r="S542" s="166"/>
      <c r="T542" s="165"/>
      <c r="U542" s="166"/>
      <c r="W542" s="166"/>
      <c r="X542" s="166"/>
      <c r="Y542" s="166"/>
      <c r="Z542" s="167"/>
      <c r="AA542" s="165"/>
      <c r="AB542" s="167"/>
      <c r="AC542" s="167"/>
      <c r="AD542" s="167"/>
      <c r="AE542" s="167"/>
      <c r="AF542" s="167"/>
      <c r="AG542" s="137"/>
      <c r="AH542" s="137"/>
      <c r="AI542" s="137"/>
    </row>
    <row r="543" spans="13:35" ht="13" x14ac:dyDescent="0.15">
      <c r="M543" s="165"/>
      <c r="N543" s="165"/>
      <c r="O543" s="165"/>
      <c r="P543" s="165"/>
      <c r="Q543" s="165"/>
      <c r="R543" s="165"/>
      <c r="S543" s="166"/>
      <c r="T543" s="165"/>
      <c r="U543" s="166"/>
      <c r="W543" s="166"/>
      <c r="X543" s="166"/>
      <c r="Y543" s="166"/>
      <c r="Z543" s="167"/>
      <c r="AA543" s="165"/>
      <c r="AB543" s="167"/>
      <c r="AC543" s="167"/>
      <c r="AD543" s="167"/>
      <c r="AE543" s="167"/>
      <c r="AF543" s="167"/>
      <c r="AG543" s="137"/>
      <c r="AH543" s="137"/>
      <c r="AI543" s="137"/>
    </row>
    <row r="544" spans="13:35" ht="13" x14ac:dyDescent="0.15">
      <c r="M544" s="165"/>
      <c r="N544" s="165"/>
      <c r="O544" s="165"/>
      <c r="P544" s="165"/>
      <c r="Q544" s="165"/>
      <c r="R544" s="165"/>
      <c r="S544" s="166"/>
      <c r="T544" s="165"/>
      <c r="U544" s="166"/>
      <c r="W544" s="166"/>
      <c r="X544" s="166"/>
      <c r="Y544" s="166"/>
      <c r="Z544" s="167"/>
      <c r="AA544" s="165"/>
      <c r="AB544" s="167"/>
      <c r="AC544" s="167"/>
      <c r="AD544" s="167"/>
      <c r="AE544" s="167"/>
      <c r="AF544" s="167"/>
      <c r="AG544" s="137"/>
      <c r="AH544" s="137"/>
      <c r="AI544" s="137"/>
    </row>
    <row r="545" spans="11:35" ht="13" x14ac:dyDescent="0.15">
      <c r="M545" s="165"/>
      <c r="N545" s="165"/>
      <c r="O545" s="165"/>
      <c r="P545" s="165"/>
      <c r="Q545" s="165"/>
      <c r="R545" s="165"/>
      <c r="S545" s="166"/>
      <c r="T545" s="165"/>
      <c r="U545" s="166"/>
      <c r="W545" s="166"/>
      <c r="X545" s="166"/>
      <c r="Y545" s="166"/>
      <c r="Z545" s="167"/>
      <c r="AA545" s="165"/>
      <c r="AB545" s="167"/>
      <c r="AC545" s="167"/>
      <c r="AD545" s="167"/>
      <c r="AE545" s="167"/>
      <c r="AF545" s="167"/>
      <c r="AG545" s="137"/>
      <c r="AH545" s="137"/>
      <c r="AI545" s="137"/>
    </row>
    <row r="546" spans="11:35" ht="13" x14ac:dyDescent="0.15">
      <c r="M546" s="165"/>
      <c r="N546" s="165"/>
      <c r="O546" s="165"/>
      <c r="P546" s="165"/>
      <c r="Q546" s="165"/>
      <c r="R546" s="165"/>
      <c r="S546" s="166"/>
      <c r="T546" s="165"/>
      <c r="U546" s="166"/>
      <c r="W546" s="166"/>
      <c r="X546" s="166"/>
      <c r="Y546" s="166"/>
      <c r="Z546" s="167"/>
      <c r="AA546" s="165"/>
      <c r="AB546" s="167"/>
      <c r="AC546" s="167"/>
      <c r="AD546" s="167"/>
      <c r="AE546" s="167"/>
      <c r="AF546" s="167"/>
      <c r="AG546" s="137"/>
      <c r="AH546" s="137"/>
      <c r="AI546" s="137"/>
    </row>
    <row r="547" spans="11:35" ht="13" x14ac:dyDescent="0.15">
      <c r="M547" s="165"/>
      <c r="N547" s="165"/>
      <c r="O547" s="165"/>
      <c r="P547" s="165"/>
      <c r="Q547" s="165"/>
      <c r="R547" s="165"/>
      <c r="S547" s="166"/>
      <c r="T547" s="165"/>
      <c r="U547" s="166"/>
      <c r="W547" s="166"/>
      <c r="X547" s="166"/>
      <c r="Y547" s="166"/>
      <c r="Z547" s="167"/>
      <c r="AA547" s="165"/>
      <c r="AB547" s="167"/>
      <c r="AC547" s="167"/>
      <c r="AD547" s="167"/>
      <c r="AE547" s="167"/>
      <c r="AF547" s="167"/>
      <c r="AG547" s="137"/>
      <c r="AH547" s="137"/>
      <c r="AI547" s="137"/>
    </row>
    <row r="548" spans="11:35" ht="13" x14ac:dyDescent="0.15">
      <c r="M548" s="165"/>
      <c r="N548" s="165"/>
      <c r="O548" s="165"/>
      <c r="P548" s="165"/>
      <c r="Q548" s="165"/>
      <c r="R548" s="165"/>
      <c r="S548" s="166"/>
      <c r="T548" s="165"/>
      <c r="U548" s="166"/>
      <c r="W548" s="166"/>
      <c r="X548" s="166"/>
      <c r="Y548" s="166"/>
      <c r="Z548" s="167"/>
      <c r="AA548" s="165"/>
      <c r="AB548" s="167"/>
      <c r="AC548" s="167"/>
      <c r="AD548" s="167"/>
      <c r="AE548" s="167"/>
      <c r="AF548" s="167"/>
      <c r="AG548" s="137"/>
      <c r="AH548" s="137"/>
      <c r="AI548" s="137"/>
    </row>
    <row r="549" spans="11:35" ht="13" x14ac:dyDescent="0.15">
      <c r="M549" s="165"/>
      <c r="N549" s="165"/>
      <c r="O549" s="165"/>
      <c r="P549" s="165"/>
      <c r="Q549" s="165"/>
      <c r="R549" s="165"/>
      <c r="S549" s="166"/>
      <c r="T549" s="165"/>
      <c r="U549" s="166"/>
      <c r="W549" s="166"/>
      <c r="X549" s="166"/>
      <c r="Y549" s="166"/>
      <c r="Z549" s="167"/>
      <c r="AA549" s="165"/>
      <c r="AB549" s="167"/>
      <c r="AC549" s="167"/>
      <c r="AD549" s="167"/>
      <c r="AE549" s="167"/>
      <c r="AF549" s="167"/>
      <c r="AG549" s="137"/>
      <c r="AH549" s="137"/>
      <c r="AI549" s="137"/>
    </row>
    <row r="550" spans="11:35" ht="13" x14ac:dyDescent="0.15">
      <c r="K550" s="165"/>
      <c r="N550" s="165"/>
      <c r="O550" s="165"/>
      <c r="P550" s="165"/>
      <c r="Q550" s="165"/>
      <c r="R550" s="165"/>
      <c r="S550" s="166"/>
      <c r="T550" s="165"/>
      <c r="U550" s="166"/>
      <c r="W550" s="166"/>
      <c r="X550" s="166"/>
      <c r="Y550" s="166"/>
      <c r="Z550" s="167"/>
      <c r="AA550" s="165"/>
      <c r="AB550" s="167"/>
      <c r="AC550" s="167"/>
      <c r="AD550" s="167"/>
      <c r="AE550" s="167"/>
      <c r="AF550" s="167"/>
      <c r="AG550" s="137"/>
      <c r="AH550" s="137"/>
      <c r="AI550" s="137"/>
    </row>
    <row r="551" spans="11:35" ht="13" x14ac:dyDescent="0.15">
      <c r="M551" s="165"/>
      <c r="N551" s="165"/>
      <c r="O551" s="165"/>
      <c r="P551" s="165"/>
      <c r="Q551" s="165"/>
      <c r="R551" s="165"/>
      <c r="S551" s="166"/>
      <c r="T551" s="165"/>
      <c r="U551" s="166"/>
      <c r="W551" s="166"/>
      <c r="X551" s="166"/>
      <c r="Y551" s="166"/>
      <c r="Z551" s="167"/>
      <c r="AA551" s="165"/>
      <c r="AB551" s="167"/>
      <c r="AC551" s="167"/>
      <c r="AD551" s="167"/>
      <c r="AE551" s="167"/>
      <c r="AF551" s="167"/>
      <c r="AG551" s="137"/>
      <c r="AH551" s="137"/>
      <c r="AI551" s="137"/>
    </row>
    <row r="552" spans="11:35" ht="13" x14ac:dyDescent="0.15">
      <c r="M552" s="165"/>
      <c r="N552" s="165"/>
      <c r="O552" s="165"/>
      <c r="P552" s="165"/>
      <c r="Q552" s="165"/>
      <c r="R552" s="165"/>
      <c r="S552" s="166"/>
      <c r="T552" s="165"/>
      <c r="U552" s="166"/>
      <c r="W552" s="166"/>
      <c r="X552" s="166"/>
      <c r="Y552" s="166"/>
      <c r="Z552" s="167"/>
      <c r="AA552" s="165"/>
      <c r="AB552" s="167"/>
      <c r="AC552" s="167"/>
      <c r="AD552" s="167"/>
      <c r="AE552" s="167"/>
      <c r="AF552" s="167"/>
      <c r="AG552" s="137"/>
      <c r="AH552" s="137"/>
      <c r="AI552" s="137"/>
    </row>
    <row r="553" spans="11:35" ht="13" x14ac:dyDescent="0.15">
      <c r="M553" s="165"/>
      <c r="N553" s="165"/>
      <c r="O553" s="165"/>
      <c r="P553" s="165"/>
      <c r="Q553" s="165"/>
      <c r="R553" s="165"/>
      <c r="S553" s="166"/>
      <c r="T553" s="165"/>
      <c r="U553" s="166"/>
      <c r="W553" s="166"/>
      <c r="X553" s="166"/>
      <c r="Y553" s="166"/>
      <c r="Z553" s="167"/>
      <c r="AA553" s="165"/>
      <c r="AB553" s="167"/>
      <c r="AC553" s="167"/>
      <c r="AD553" s="167"/>
      <c r="AE553" s="167"/>
      <c r="AF553" s="167"/>
      <c r="AG553" s="137"/>
      <c r="AH553" s="137"/>
      <c r="AI553" s="137"/>
    </row>
    <row r="554" spans="11:35" ht="13" x14ac:dyDescent="0.15">
      <c r="M554" s="165"/>
      <c r="N554" s="165"/>
      <c r="O554" s="165"/>
      <c r="P554" s="165"/>
      <c r="Q554" s="165"/>
      <c r="R554" s="165"/>
      <c r="S554" s="166"/>
      <c r="T554" s="165"/>
      <c r="U554" s="166"/>
      <c r="W554" s="166"/>
      <c r="X554" s="166"/>
      <c r="Y554" s="166"/>
      <c r="Z554" s="167"/>
      <c r="AA554" s="165"/>
      <c r="AB554" s="167"/>
      <c r="AC554" s="167"/>
      <c r="AD554" s="167"/>
      <c r="AE554" s="167"/>
      <c r="AF554" s="167"/>
      <c r="AG554" s="137"/>
      <c r="AH554" s="137"/>
      <c r="AI554" s="137"/>
    </row>
    <row r="555" spans="11:35" ht="13" x14ac:dyDescent="0.15">
      <c r="M555" s="165"/>
      <c r="N555" s="165"/>
      <c r="O555" s="165"/>
      <c r="P555" s="165"/>
      <c r="Q555" s="165"/>
      <c r="R555" s="165"/>
      <c r="S555" s="166"/>
      <c r="T555" s="165"/>
      <c r="U555" s="166"/>
      <c r="W555" s="166"/>
      <c r="X555" s="166"/>
      <c r="Y555" s="166"/>
      <c r="Z555" s="167"/>
      <c r="AA555" s="165"/>
      <c r="AB555" s="167"/>
      <c r="AC555" s="167"/>
      <c r="AD555" s="167"/>
      <c r="AE555" s="167"/>
      <c r="AF555" s="167"/>
      <c r="AG555" s="137"/>
      <c r="AH555" s="137"/>
      <c r="AI555" s="137"/>
    </row>
    <row r="556" spans="11:35" ht="13" x14ac:dyDescent="0.15">
      <c r="M556" s="165"/>
      <c r="N556" s="165"/>
      <c r="O556" s="165"/>
      <c r="P556" s="165"/>
      <c r="Q556" s="165"/>
      <c r="R556" s="165"/>
      <c r="S556" s="166"/>
      <c r="T556" s="165"/>
      <c r="U556" s="166"/>
      <c r="W556" s="166"/>
      <c r="X556" s="166"/>
      <c r="Y556" s="166"/>
      <c r="Z556" s="167"/>
      <c r="AA556" s="165"/>
      <c r="AB556" s="167"/>
      <c r="AC556" s="167"/>
      <c r="AD556" s="167"/>
      <c r="AE556" s="167"/>
      <c r="AF556" s="167"/>
      <c r="AG556" s="137"/>
      <c r="AH556" s="137"/>
      <c r="AI556" s="137"/>
    </row>
    <row r="557" spans="11:35" ht="13" x14ac:dyDescent="0.15">
      <c r="M557" s="165"/>
      <c r="N557" s="165"/>
      <c r="O557" s="165"/>
      <c r="P557" s="165"/>
      <c r="Q557" s="165"/>
      <c r="R557" s="165"/>
      <c r="S557" s="166"/>
      <c r="T557" s="165"/>
      <c r="U557" s="166"/>
      <c r="W557" s="166"/>
      <c r="X557" s="166"/>
      <c r="Y557" s="166"/>
      <c r="Z557" s="167"/>
      <c r="AA557" s="165"/>
      <c r="AB557" s="167"/>
      <c r="AC557" s="167"/>
      <c r="AD557" s="167"/>
      <c r="AE557" s="167"/>
      <c r="AF557" s="167"/>
      <c r="AG557" s="137"/>
      <c r="AH557" s="137"/>
      <c r="AI557" s="137"/>
    </row>
    <row r="558" spans="11:35" ht="13" x14ac:dyDescent="0.15">
      <c r="M558" s="165"/>
      <c r="N558" s="165"/>
      <c r="O558" s="165"/>
      <c r="P558" s="165"/>
      <c r="Q558" s="165"/>
      <c r="R558" s="165"/>
      <c r="S558" s="166"/>
      <c r="T558" s="165"/>
      <c r="U558" s="166"/>
      <c r="W558" s="166"/>
      <c r="X558" s="166"/>
      <c r="Y558" s="166"/>
      <c r="Z558" s="167"/>
      <c r="AA558" s="165"/>
      <c r="AB558" s="167"/>
      <c r="AC558" s="167"/>
      <c r="AD558" s="167"/>
      <c r="AE558" s="167"/>
      <c r="AF558" s="167"/>
      <c r="AG558" s="137"/>
      <c r="AH558" s="137"/>
      <c r="AI558" s="137"/>
    </row>
    <row r="559" spans="11:35" ht="13" x14ac:dyDescent="0.15">
      <c r="M559" s="165"/>
      <c r="N559" s="165"/>
      <c r="O559" s="165"/>
      <c r="P559" s="165"/>
      <c r="Q559" s="165"/>
      <c r="R559" s="165"/>
      <c r="S559" s="166"/>
      <c r="T559" s="165"/>
      <c r="U559" s="166"/>
      <c r="W559" s="166"/>
      <c r="X559" s="166"/>
      <c r="Y559" s="166"/>
      <c r="Z559" s="167"/>
      <c r="AA559" s="165"/>
      <c r="AB559" s="167"/>
      <c r="AC559" s="167"/>
      <c r="AD559" s="167"/>
      <c r="AE559" s="167"/>
      <c r="AF559" s="167"/>
      <c r="AG559" s="137"/>
      <c r="AH559" s="137"/>
      <c r="AI559" s="137"/>
    </row>
    <row r="560" spans="11:35" ht="13" x14ac:dyDescent="0.15">
      <c r="M560" s="165"/>
      <c r="N560" s="165"/>
      <c r="O560" s="165"/>
      <c r="P560" s="165"/>
      <c r="Q560" s="165"/>
      <c r="R560" s="165"/>
      <c r="S560" s="166"/>
      <c r="T560" s="165"/>
      <c r="U560" s="166"/>
      <c r="W560" s="166"/>
      <c r="X560" s="166"/>
      <c r="Y560" s="166"/>
      <c r="Z560" s="167"/>
      <c r="AA560" s="165"/>
      <c r="AB560" s="167"/>
      <c r="AC560" s="167"/>
      <c r="AD560" s="167"/>
      <c r="AE560" s="167"/>
      <c r="AF560" s="167"/>
      <c r="AG560" s="137"/>
      <c r="AH560" s="137"/>
      <c r="AI560" s="137"/>
    </row>
    <row r="561" spans="13:35" ht="13" x14ac:dyDescent="0.15">
      <c r="M561" s="165"/>
      <c r="N561" s="165"/>
      <c r="O561" s="165"/>
      <c r="P561" s="165"/>
      <c r="Q561" s="165"/>
      <c r="R561" s="165"/>
      <c r="S561" s="166"/>
      <c r="T561" s="165"/>
      <c r="U561" s="166"/>
      <c r="W561" s="166"/>
      <c r="X561" s="166"/>
      <c r="Y561" s="166"/>
      <c r="Z561" s="167"/>
      <c r="AA561" s="165"/>
      <c r="AB561" s="167"/>
      <c r="AC561" s="167"/>
      <c r="AD561" s="167"/>
      <c r="AE561" s="167"/>
      <c r="AF561" s="167"/>
      <c r="AG561" s="137"/>
      <c r="AH561" s="137"/>
      <c r="AI561" s="137"/>
    </row>
    <row r="562" spans="13:35" ht="13" x14ac:dyDescent="0.15">
      <c r="M562" s="165"/>
      <c r="N562" s="165"/>
      <c r="O562" s="165"/>
      <c r="P562" s="165"/>
      <c r="Q562" s="165"/>
      <c r="R562" s="165"/>
      <c r="S562" s="166"/>
      <c r="T562" s="165"/>
      <c r="U562" s="166"/>
      <c r="W562" s="166"/>
      <c r="X562" s="166"/>
      <c r="Y562" s="166"/>
      <c r="Z562" s="167"/>
      <c r="AA562" s="165"/>
      <c r="AB562" s="167"/>
      <c r="AC562" s="167"/>
      <c r="AD562" s="167"/>
      <c r="AE562" s="167"/>
      <c r="AF562" s="167"/>
      <c r="AG562" s="137"/>
      <c r="AH562" s="137"/>
      <c r="AI562" s="137"/>
    </row>
    <row r="563" spans="13:35" ht="13" x14ac:dyDescent="0.15">
      <c r="M563" s="165"/>
      <c r="N563" s="165"/>
      <c r="O563" s="165"/>
      <c r="P563" s="165"/>
      <c r="Q563" s="165"/>
      <c r="R563" s="165"/>
      <c r="S563" s="166"/>
      <c r="T563" s="165"/>
      <c r="U563" s="166"/>
      <c r="W563" s="166"/>
      <c r="X563" s="166"/>
      <c r="Y563" s="166"/>
      <c r="Z563" s="167"/>
      <c r="AA563" s="165"/>
      <c r="AB563" s="167"/>
      <c r="AC563" s="167"/>
      <c r="AD563" s="167"/>
      <c r="AE563" s="167"/>
      <c r="AF563" s="167"/>
      <c r="AG563" s="137"/>
      <c r="AH563" s="137"/>
      <c r="AI563" s="137"/>
    </row>
    <row r="564" spans="13:35" ht="13" x14ac:dyDescent="0.15">
      <c r="M564" s="165"/>
      <c r="N564" s="165"/>
      <c r="O564" s="165"/>
      <c r="P564" s="165"/>
      <c r="Q564" s="165"/>
      <c r="R564" s="165"/>
      <c r="S564" s="166"/>
      <c r="T564" s="165"/>
      <c r="U564" s="166"/>
      <c r="W564" s="166"/>
      <c r="X564" s="166"/>
      <c r="Y564" s="166"/>
      <c r="Z564" s="167"/>
      <c r="AA564" s="165"/>
      <c r="AB564" s="167"/>
      <c r="AC564" s="167"/>
      <c r="AD564" s="167"/>
      <c r="AE564" s="167"/>
      <c r="AF564" s="167"/>
      <c r="AG564" s="137"/>
      <c r="AH564" s="137"/>
      <c r="AI564" s="137"/>
    </row>
    <row r="565" spans="13:35" ht="13" x14ac:dyDescent="0.15">
      <c r="M565" s="165"/>
      <c r="N565" s="165"/>
      <c r="O565" s="165"/>
      <c r="P565" s="165"/>
      <c r="Q565" s="165"/>
      <c r="R565" s="165"/>
      <c r="S565" s="166"/>
      <c r="T565" s="165"/>
      <c r="U565" s="166"/>
      <c r="W565" s="166"/>
      <c r="X565" s="166"/>
      <c r="Y565" s="166"/>
      <c r="Z565" s="167"/>
      <c r="AA565" s="165"/>
      <c r="AB565" s="167"/>
      <c r="AC565" s="167"/>
      <c r="AD565" s="167"/>
      <c r="AE565" s="167"/>
      <c r="AF565" s="167"/>
      <c r="AG565" s="137"/>
      <c r="AH565" s="137"/>
      <c r="AI565" s="137"/>
    </row>
    <row r="566" spans="13:35" ht="13" x14ac:dyDescent="0.15">
      <c r="M566" s="165"/>
      <c r="N566" s="165"/>
      <c r="O566" s="165"/>
      <c r="P566" s="165"/>
      <c r="Q566" s="165"/>
      <c r="R566" s="165"/>
      <c r="S566" s="166"/>
      <c r="T566" s="165"/>
      <c r="U566" s="166"/>
      <c r="W566" s="166"/>
      <c r="X566" s="166"/>
      <c r="Y566" s="166"/>
      <c r="Z566" s="167"/>
      <c r="AA566" s="165"/>
      <c r="AB566" s="167"/>
      <c r="AC566" s="167"/>
      <c r="AD566" s="167"/>
      <c r="AE566" s="167"/>
      <c r="AF566" s="167"/>
      <c r="AG566" s="137"/>
      <c r="AH566" s="137"/>
      <c r="AI566" s="137"/>
    </row>
    <row r="567" spans="13:35" ht="13" x14ac:dyDescent="0.15">
      <c r="M567" s="165"/>
      <c r="N567" s="165"/>
      <c r="O567" s="165"/>
      <c r="P567" s="165"/>
      <c r="Q567" s="165"/>
      <c r="R567" s="165"/>
      <c r="S567" s="166"/>
      <c r="T567" s="165"/>
      <c r="U567" s="166"/>
      <c r="W567" s="166"/>
      <c r="X567" s="166"/>
      <c r="Y567" s="166"/>
      <c r="Z567" s="167"/>
      <c r="AA567" s="165"/>
      <c r="AB567" s="167"/>
      <c r="AC567" s="167"/>
      <c r="AD567" s="167"/>
      <c r="AE567" s="167"/>
      <c r="AF567" s="167"/>
      <c r="AG567" s="137"/>
      <c r="AH567" s="137"/>
      <c r="AI567" s="137"/>
    </row>
    <row r="568" spans="13:35" ht="13" x14ac:dyDescent="0.15">
      <c r="M568" s="165"/>
      <c r="N568" s="165"/>
      <c r="O568" s="165"/>
      <c r="P568" s="165"/>
      <c r="Q568" s="165"/>
      <c r="R568" s="165"/>
      <c r="S568" s="166"/>
      <c r="T568" s="165"/>
      <c r="U568" s="166"/>
      <c r="W568" s="166"/>
      <c r="X568" s="166"/>
      <c r="Y568" s="166"/>
      <c r="Z568" s="167"/>
      <c r="AA568" s="165"/>
      <c r="AB568" s="167"/>
      <c r="AC568" s="167"/>
      <c r="AD568" s="167"/>
      <c r="AE568" s="167"/>
      <c r="AF568" s="167"/>
      <c r="AG568" s="137"/>
      <c r="AH568" s="137"/>
      <c r="AI568" s="137"/>
    </row>
    <row r="569" spans="13:35" ht="13" x14ac:dyDescent="0.15">
      <c r="M569" s="165"/>
      <c r="N569" s="165"/>
      <c r="O569" s="165"/>
      <c r="P569" s="165"/>
      <c r="Q569" s="165"/>
      <c r="R569" s="165"/>
      <c r="S569" s="166"/>
      <c r="T569" s="165"/>
      <c r="U569" s="166"/>
      <c r="W569" s="166"/>
      <c r="X569" s="166"/>
      <c r="Y569" s="166"/>
      <c r="Z569" s="167"/>
      <c r="AA569" s="165"/>
      <c r="AB569" s="167"/>
      <c r="AC569" s="167"/>
      <c r="AD569" s="167"/>
      <c r="AE569" s="167"/>
      <c r="AF569" s="167"/>
      <c r="AG569" s="137"/>
      <c r="AH569" s="137"/>
      <c r="AI569" s="137"/>
    </row>
    <row r="570" spans="13:35" ht="13" x14ac:dyDescent="0.15">
      <c r="M570" s="165"/>
      <c r="N570" s="165"/>
      <c r="O570" s="165"/>
      <c r="P570" s="165"/>
      <c r="Q570" s="165"/>
      <c r="R570" s="165"/>
      <c r="S570" s="166"/>
      <c r="T570" s="165"/>
      <c r="U570" s="166"/>
      <c r="W570" s="166"/>
      <c r="X570" s="166"/>
      <c r="Y570" s="166"/>
      <c r="Z570" s="167"/>
      <c r="AA570" s="165"/>
      <c r="AB570" s="167"/>
      <c r="AC570" s="167"/>
      <c r="AD570" s="167"/>
      <c r="AE570" s="167"/>
      <c r="AF570" s="167"/>
      <c r="AG570" s="137"/>
      <c r="AH570" s="137"/>
      <c r="AI570" s="137"/>
    </row>
    <row r="571" spans="13:35" ht="13" x14ac:dyDescent="0.15">
      <c r="M571" s="165"/>
      <c r="N571" s="165"/>
      <c r="O571" s="165"/>
      <c r="P571" s="165"/>
      <c r="Q571" s="165"/>
      <c r="R571" s="165"/>
      <c r="S571" s="166"/>
      <c r="T571" s="165"/>
      <c r="U571" s="166"/>
      <c r="W571" s="166"/>
      <c r="X571" s="166"/>
      <c r="Y571" s="166"/>
      <c r="Z571" s="167"/>
      <c r="AA571" s="165"/>
      <c r="AB571" s="167"/>
      <c r="AC571" s="167"/>
      <c r="AD571" s="167"/>
      <c r="AE571" s="167"/>
      <c r="AF571" s="167"/>
      <c r="AG571" s="137"/>
      <c r="AH571" s="137"/>
      <c r="AI571" s="137"/>
    </row>
    <row r="572" spans="13:35" ht="13" x14ac:dyDescent="0.15">
      <c r="M572" s="165"/>
      <c r="N572" s="165"/>
      <c r="O572" s="165"/>
      <c r="P572" s="165"/>
      <c r="Q572" s="165"/>
      <c r="R572" s="165"/>
      <c r="S572" s="166"/>
      <c r="T572" s="165"/>
      <c r="U572" s="166"/>
      <c r="W572" s="166"/>
      <c r="X572" s="166"/>
      <c r="Y572" s="166"/>
      <c r="Z572" s="167"/>
      <c r="AA572" s="165"/>
      <c r="AB572" s="167"/>
      <c r="AC572" s="167"/>
      <c r="AD572" s="167"/>
      <c r="AE572" s="167"/>
      <c r="AF572" s="167"/>
      <c r="AG572" s="137"/>
      <c r="AH572" s="137"/>
      <c r="AI572" s="137"/>
    </row>
    <row r="573" spans="13:35" ht="13" x14ac:dyDescent="0.15">
      <c r="M573" s="165"/>
      <c r="N573" s="165"/>
      <c r="O573" s="165"/>
      <c r="P573" s="165"/>
      <c r="Q573" s="165"/>
      <c r="R573" s="165"/>
      <c r="S573" s="166"/>
      <c r="T573" s="165"/>
      <c r="U573" s="166"/>
      <c r="W573" s="166"/>
      <c r="X573" s="166"/>
      <c r="Y573" s="166"/>
      <c r="Z573" s="167"/>
      <c r="AA573" s="165"/>
      <c r="AB573" s="167"/>
      <c r="AC573" s="167"/>
      <c r="AD573" s="167"/>
      <c r="AE573" s="167"/>
      <c r="AF573" s="167"/>
      <c r="AG573" s="137"/>
      <c r="AH573" s="137"/>
      <c r="AI573" s="137"/>
    </row>
    <row r="574" spans="13:35" ht="13" x14ac:dyDescent="0.15">
      <c r="M574" s="165"/>
      <c r="N574" s="165"/>
      <c r="O574" s="165"/>
      <c r="P574" s="165"/>
      <c r="Q574" s="165"/>
      <c r="R574" s="165"/>
      <c r="S574" s="166"/>
      <c r="T574" s="165"/>
      <c r="U574" s="166"/>
      <c r="W574" s="166"/>
      <c r="X574" s="166"/>
      <c r="Y574" s="166"/>
      <c r="Z574" s="166"/>
      <c r="AA574" s="165"/>
      <c r="AB574" s="167"/>
      <c r="AC574" s="167"/>
      <c r="AD574" s="167"/>
      <c r="AE574" s="167"/>
      <c r="AF574" s="167"/>
      <c r="AG574" s="137"/>
    </row>
    <row r="575" spans="13:35" ht="13" x14ac:dyDescent="0.15">
      <c r="M575" s="165"/>
      <c r="N575" s="165"/>
      <c r="O575" s="165"/>
      <c r="P575" s="165"/>
      <c r="Q575" s="165"/>
      <c r="R575" s="165"/>
      <c r="S575" s="166"/>
      <c r="T575" s="165"/>
      <c r="U575" s="166"/>
      <c r="W575" s="166"/>
      <c r="X575" s="166"/>
      <c r="Y575" s="166"/>
      <c r="Z575" s="166"/>
      <c r="AA575" s="165"/>
      <c r="AB575" s="167"/>
      <c r="AC575" s="167"/>
      <c r="AD575" s="167"/>
      <c r="AE575" s="167"/>
      <c r="AF575" s="167"/>
      <c r="AG575" s="137"/>
    </row>
    <row r="576" spans="13:35" ht="13" x14ac:dyDescent="0.15">
      <c r="M576" s="165"/>
      <c r="N576" s="165"/>
      <c r="O576" s="165"/>
      <c r="P576" s="165"/>
      <c r="Q576" s="165"/>
      <c r="R576" s="165"/>
      <c r="S576" s="166"/>
      <c r="T576" s="165"/>
      <c r="U576" s="166"/>
      <c r="W576" s="166"/>
      <c r="X576" s="166"/>
      <c r="Y576" s="166"/>
      <c r="Z576" s="167"/>
      <c r="AA576" s="165"/>
      <c r="AB576" s="167"/>
      <c r="AC576" s="167"/>
      <c r="AD576" s="167"/>
      <c r="AE576" s="167"/>
      <c r="AF576" s="167"/>
      <c r="AG576" s="137"/>
      <c r="AH576" s="137"/>
      <c r="AI576" s="137"/>
    </row>
    <row r="577" spans="13:35" ht="13" x14ac:dyDescent="0.15">
      <c r="M577" s="165"/>
      <c r="N577" s="165"/>
      <c r="O577" s="165"/>
      <c r="P577" s="165"/>
      <c r="Q577" s="165"/>
      <c r="R577" s="165"/>
      <c r="S577" s="166"/>
      <c r="T577" s="165"/>
      <c r="U577" s="166"/>
      <c r="W577" s="166"/>
      <c r="X577" s="166"/>
      <c r="Y577" s="166"/>
      <c r="Z577" s="167"/>
      <c r="AA577" s="165"/>
      <c r="AB577" s="167"/>
      <c r="AC577" s="167"/>
      <c r="AD577" s="167"/>
      <c r="AE577" s="167"/>
      <c r="AF577" s="167"/>
      <c r="AG577" s="137"/>
      <c r="AH577" s="137"/>
      <c r="AI577" s="137"/>
    </row>
    <row r="578" spans="13:35" ht="13" x14ac:dyDescent="0.15">
      <c r="M578" s="165"/>
      <c r="N578" s="165"/>
      <c r="O578" s="165"/>
      <c r="P578" s="165"/>
      <c r="Q578" s="165"/>
      <c r="R578" s="165"/>
      <c r="S578" s="166"/>
      <c r="T578" s="165"/>
      <c r="U578" s="166"/>
      <c r="W578" s="166"/>
      <c r="X578" s="166"/>
      <c r="Y578" s="166"/>
      <c r="Z578" s="167"/>
      <c r="AA578" s="165"/>
      <c r="AB578" s="167"/>
      <c r="AC578" s="167"/>
      <c r="AD578" s="167"/>
      <c r="AE578" s="167"/>
      <c r="AF578" s="167"/>
      <c r="AG578" s="137"/>
      <c r="AH578" s="137"/>
      <c r="AI578" s="137"/>
    </row>
    <row r="579" spans="13:35" ht="13" x14ac:dyDescent="0.15">
      <c r="M579" s="165"/>
      <c r="N579" s="165"/>
      <c r="O579" s="165"/>
      <c r="P579" s="165"/>
      <c r="Q579" s="165"/>
      <c r="R579" s="165"/>
      <c r="S579" s="166"/>
      <c r="T579" s="165"/>
      <c r="U579" s="166"/>
      <c r="W579" s="166"/>
      <c r="X579" s="166"/>
      <c r="Y579" s="166"/>
      <c r="Z579" s="167"/>
      <c r="AA579" s="165"/>
      <c r="AB579" s="167"/>
      <c r="AC579" s="167"/>
      <c r="AD579" s="167"/>
      <c r="AE579" s="167"/>
      <c r="AF579" s="167"/>
      <c r="AG579" s="137"/>
      <c r="AH579" s="137"/>
      <c r="AI579" s="137"/>
    </row>
    <row r="580" spans="13:35" ht="13" x14ac:dyDescent="0.15">
      <c r="M580" s="165"/>
      <c r="N580" s="165"/>
      <c r="O580" s="165"/>
      <c r="P580" s="165"/>
      <c r="Q580" s="165"/>
      <c r="R580" s="165"/>
      <c r="S580" s="166"/>
      <c r="T580" s="165"/>
      <c r="U580" s="166"/>
      <c r="W580" s="166"/>
      <c r="X580" s="166"/>
      <c r="Y580" s="166"/>
      <c r="Z580" s="167"/>
      <c r="AA580" s="165"/>
      <c r="AB580" s="167"/>
      <c r="AC580" s="167"/>
      <c r="AD580" s="167"/>
      <c r="AE580" s="167"/>
      <c r="AF580" s="167"/>
      <c r="AG580" s="137"/>
      <c r="AH580" s="137"/>
      <c r="AI580" s="137"/>
    </row>
    <row r="581" spans="13:35" ht="13" x14ac:dyDescent="0.15">
      <c r="M581" s="165"/>
      <c r="N581" s="165"/>
      <c r="O581" s="165"/>
      <c r="P581" s="165"/>
      <c r="Q581" s="165"/>
      <c r="R581" s="165"/>
      <c r="S581" s="166"/>
      <c r="T581" s="165"/>
      <c r="U581" s="166"/>
      <c r="W581" s="166"/>
      <c r="X581" s="166"/>
      <c r="Y581" s="166"/>
      <c r="Z581" s="167"/>
      <c r="AA581" s="165"/>
      <c r="AB581" s="167"/>
      <c r="AC581" s="167"/>
      <c r="AD581" s="167"/>
      <c r="AE581" s="167"/>
      <c r="AF581" s="167"/>
      <c r="AG581" s="137"/>
      <c r="AH581" s="137"/>
      <c r="AI581" s="137"/>
    </row>
    <row r="582" spans="13:35" ht="13" x14ac:dyDescent="0.15">
      <c r="M582" s="165"/>
      <c r="N582" s="165"/>
      <c r="O582" s="165"/>
      <c r="P582" s="165"/>
      <c r="Q582" s="165"/>
      <c r="R582" s="165"/>
      <c r="S582" s="166"/>
      <c r="T582" s="165"/>
      <c r="U582" s="166"/>
      <c r="W582" s="166"/>
      <c r="X582" s="166"/>
      <c r="Y582" s="166"/>
      <c r="Z582" s="167"/>
      <c r="AA582" s="165"/>
      <c r="AB582" s="167"/>
      <c r="AC582" s="167"/>
      <c r="AD582" s="167"/>
      <c r="AE582" s="167"/>
      <c r="AF582" s="167"/>
      <c r="AG582" s="137"/>
      <c r="AH582" s="137"/>
      <c r="AI582" s="137"/>
    </row>
    <row r="583" spans="13:35" ht="13" x14ac:dyDescent="0.15">
      <c r="M583" s="165"/>
      <c r="N583" s="165"/>
      <c r="O583" s="165"/>
      <c r="P583" s="165"/>
      <c r="Q583" s="165"/>
      <c r="R583" s="165"/>
      <c r="S583" s="166"/>
      <c r="T583" s="165"/>
      <c r="U583" s="166"/>
      <c r="W583" s="166"/>
      <c r="X583" s="166"/>
      <c r="Y583" s="166"/>
      <c r="Z583" s="167"/>
      <c r="AA583" s="165"/>
      <c r="AB583" s="167"/>
      <c r="AC583" s="167"/>
      <c r="AD583" s="167"/>
      <c r="AE583" s="167"/>
      <c r="AF583" s="167"/>
      <c r="AG583" s="137"/>
      <c r="AH583" s="137"/>
      <c r="AI583" s="137"/>
    </row>
    <row r="584" spans="13:35" ht="13" x14ac:dyDescent="0.15">
      <c r="M584" s="165"/>
      <c r="N584" s="165"/>
      <c r="O584" s="165"/>
      <c r="P584" s="165"/>
      <c r="Q584" s="165"/>
      <c r="R584" s="165"/>
      <c r="S584" s="166"/>
      <c r="T584" s="165"/>
      <c r="U584" s="166"/>
      <c r="W584" s="166"/>
      <c r="X584" s="166"/>
      <c r="Y584" s="166"/>
      <c r="Z584" s="167"/>
      <c r="AA584" s="165"/>
      <c r="AB584" s="167"/>
      <c r="AC584" s="167"/>
      <c r="AD584" s="167"/>
      <c r="AE584" s="167"/>
      <c r="AF584" s="167"/>
      <c r="AG584" s="137"/>
      <c r="AH584" s="137"/>
      <c r="AI584" s="137"/>
    </row>
    <row r="585" spans="13:35" ht="13" x14ac:dyDescent="0.15">
      <c r="M585" s="165"/>
      <c r="N585" s="165"/>
      <c r="O585" s="165"/>
      <c r="P585" s="165"/>
      <c r="Q585" s="165"/>
      <c r="R585" s="165"/>
      <c r="S585" s="166"/>
      <c r="T585" s="165"/>
      <c r="U585" s="166"/>
      <c r="W585" s="166"/>
      <c r="X585" s="166"/>
      <c r="Y585" s="166"/>
      <c r="Z585" s="167"/>
      <c r="AA585" s="165"/>
      <c r="AB585" s="167"/>
      <c r="AC585" s="167"/>
      <c r="AD585" s="167"/>
      <c r="AE585" s="167"/>
      <c r="AF585" s="167"/>
      <c r="AG585" s="137"/>
      <c r="AH585" s="137"/>
      <c r="AI585" s="137"/>
    </row>
    <row r="586" spans="13:35" ht="13" x14ac:dyDescent="0.15">
      <c r="M586" s="165"/>
      <c r="N586" s="165"/>
      <c r="O586" s="165"/>
      <c r="P586" s="165"/>
      <c r="Q586" s="165"/>
      <c r="R586" s="165"/>
      <c r="S586" s="166"/>
      <c r="T586" s="165"/>
      <c r="U586" s="166"/>
      <c r="W586" s="166"/>
      <c r="X586" s="166"/>
      <c r="Y586" s="166"/>
      <c r="Z586" s="166"/>
      <c r="AA586" s="165"/>
      <c r="AB586" s="167"/>
      <c r="AC586" s="167"/>
      <c r="AD586" s="167"/>
      <c r="AE586" s="167"/>
      <c r="AF586" s="167"/>
      <c r="AG586" s="137"/>
      <c r="AH586" s="137"/>
      <c r="AI586" s="137"/>
    </row>
    <row r="587" spans="13:35" ht="13" x14ac:dyDescent="0.15">
      <c r="M587" s="165"/>
      <c r="N587" s="165"/>
      <c r="O587" s="165"/>
      <c r="P587" s="165"/>
      <c r="Q587" s="165"/>
      <c r="R587" s="165"/>
      <c r="S587" s="166"/>
      <c r="T587" s="165"/>
      <c r="U587" s="166"/>
      <c r="W587" s="166"/>
      <c r="X587" s="166"/>
      <c r="Y587" s="166"/>
      <c r="Z587" s="166"/>
      <c r="AA587" s="165"/>
      <c r="AB587" s="167"/>
      <c r="AC587" s="167"/>
      <c r="AD587" s="167"/>
      <c r="AE587" s="167"/>
      <c r="AF587" s="167"/>
      <c r="AG587" s="137"/>
      <c r="AH587" s="137"/>
      <c r="AI587" s="137"/>
    </row>
    <row r="588" spans="13:35" ht="13" x14ac:dyDescent="0.15">
      <c r="M588" s="165"/>
      <c r="N588" s="165"/>
      <c r="O588" s="165"/>
      <c r="P588" s="165"/>
      <c r="Q588" s="165"/>
      <c r="R588" s="165"/>
      <c r="S588" s="166"/>
      <c r="T588" s="165"/>
      <c r="U588" s="166"/>
      <c r="W588" s="166"/>
      <c r="X588" s="166"/>
      <c r="Y588" s="166"/>
      <c r="Z588" s="167"/>
      <c r="AA588" s="165"/>
      <c r="AB588" s="167"/>
      <c r="AC588" s="167"/>
      <c r="AD588" s="167"/>
      <c r="AE588" s="167"/>
      <c r="AF588" s="167"/>
      <c r="AG588" s="137"/>
      <c r="AH588" s="137"/>
      <c r="AI588" s="137"/>
    </row>
    <row r="589" spans="13:35" ht="13" x14ac:dyDescent="0.15">
      <c r="M589" s="165"/>
      <c r="N589" s="165"/>
      <c r="O589" s="165"/>
      <c r="P589" s="165"/>
      <c r="Q589" s="165"/>
      <c r="R589" s="165"/>
      <c r="S589" s="166"/>
      <c r="T589" s="165"/>
      <c r="U589" s="166"/>
      <c r="W589" s="166"/>
      <c r="X589" s="166"/>
      <c r="Y589" s="166"/>
      <c r="Z589" s="167"/>
      <c r="AA589" s="165"/>
      <c r="AB589" s="167"/>
      <c r="AC589" s="167"/>
      <c r="AD589" s="167"/>
      <c r="AE589" s="167"/>
      <c r="AF589" s="167"/>
      <c r="AG589" s="137"/>
      <c r="AH589" s="137"/>
      <c r="AI589" s="137"/>
    </row>
    <row r="590" spans="13:35" ht="13" x14ac:dyDescent="0.15">
      <c r="M590" s="165"/>
      <c r="N590" s="165"/>
      <c r="O590" s="165"/>
      <c r="P590" s="165"/>
      <c r="Q590" s="165"/>
      <c r="R590" s="165"/>
      <c r="S590" s="166"/>
      <c r="T590" s="165"/>
      <c r="U590" s="166"/>
      <c r="W590" s="166"/>
      <c r="X590" s="166"/>
      <c r="Y590" s="166"/>
      <c r="Z590" s="167"/>
      <c r="AA590" s="165"/>
      <c r="AB590" s="167"/>
      <c r="AC590" s="167"/>
      <c r="AD590" s="167"/>
      <c r="AE590" s="167"/>
      <c r="AF590" s="167"/>
      <c r="AG590" s="137"/>
      <c r="AH590" s="137"/>
      <c r="AI590" s="137"/>
    </row>
    <row r="591" spans="13:35" ht="13" x14ac:dyDescent="0.15">
      <c r="M591" s="165"/>
      <c r="N591" s="165"/>
      <c r="O591" s="165"/>
      <c r="P591" s="165"/>
      <c r="Q591" s="165"/>
      <c r="R591" s="165"/>
      <c r="S591" s="166"/>
      <c r="T591" s="165"/>
      <c r="U591" s="166"/>
      <c r="W591" s="166"/>
      <c r="X591" s="166"/>
      <c r="Y591" s="166"/>
      <c r="Z591" s="167"/>
      <c r="AA591" s="165"/>
      <c r="AB591" s="167"/>
      <c r="AC591" s="167"/>
      <c r="AD591" s="167"/>
      <c r="AE591" s="167"/>
      <c r="AF591" s="167"/>
      <c r="AG591" s="137"/>
      <c r="AH591" s="137"/>
      <c r="AI591" s="137"/>
    </row>
    <row r="592" spans="13:35" ht="13" x14ac:dyDescent="0.15">
      <c r="M592" s="165"/>
      <c r="N592" s="165"/>
      <c r="O592" s="165"/>
      <c r="P592" s="165"/>
      <c r="Q592" s="165"/>
      <c r="R592" s="165"/>
      <c r="S592" s="166"/>
      <c r="T592" s="165"/>
      <c r="U592" s="166"/>
      <c r="W592" s="166"/>
      <c r="X592" s="166"/>
      <c r="Y592" s="166"/>
      <c r="Z592" s="167"/>
      <c r="AA592" s="165"/>
      <c r="AB592" s="167"/>
      <c r="AC592" s="167"/>
      <c r="AD592" s="167"/>
      <c r="AE592" s="167"/>
      <c r="AF592" s="167"/>
      <c r="AG592" s="137"/>
      <c r="AH592" s="137"/>
      <c r="AI592" s="137"/>
    </row>
    <row r="593" spans="13:35" ht="13" x14ac:dyDescent="0.15">
      <c r="M593" s="165"/>
      <c r="N593" s="165"/>
      <c r="O593" s="165"/>
      <c r="P593" s="165"/>
      <c r="Q593" s="165"/>
      <c r="R593" s="165"/>
      <c r="S593" s="166"/>
      <c r="T593" s="165"/>
      <c r="U593" s="166"/>
      <c r="W593" s="166"/>
      <c r="X593" s="166"/>
      <c r="Y593" s="166"/>
      <c r="Z593" s="167"/>
      <c r="AA593" s="165"/>
      <c r="AB593" s="167"/>
      <c r="AC593" s="167"/>
      <c r="AD593" s="167"/>
      <c r="AE593" s="167"/>
      <c r="AF593" s="167"/>
      <c r="AG593" s="137"/>
      <c r="AH593" s="137"/>
      <c r="AI593" s="137"/>
    </row>
    <row r="594" spans="13:35" ht="13" x14ac:dyDescent="0.15">
      <c r="M594" s="165"/>
      <c r="N594" s="165"/>
      <c r="O594" s="165"/>
      <c r="P594" s="165"/>
      <c r="Q594" s="165"/>
      <c r="R594" s="165"/>
      <c r="S594" s="166"/>
      <c r="T594" s="165"/>
      <c r="U594" s="166"/>
      <c r="W594" s="166"/>
      <c r="X594" s="166"/>
      <c r="Y594" s="166"/>
      <c r="Z594" s="167"/>
      <c r="AA594" s="165"/>
      <c r="AB594" s="167"/>
      <c r="AC594" s="167"/>
      <c r="AD594" s="167"/>
      <c r="AE594" s="167"/>
      <c r="AF594" s="167"/>
      <c r="AG594" s="137"/>
      <c r="AH594" s="137"/>
      <c r="AI594" s="137"/>
    </row>
    <row r="595" spans="13:35" ht="13" x14ac:dyDescent="0.15">
      <c r="M595" s="165"/>
      <c r="N595" s="165"/>
      <c r="O595" s="165"/>
      <c r="P595" s="165"/>
      <c r="Q595" s="165"/>
      <c r="R595" s="165"/>
      <c r="S595" s="166"/>
      <c r="T595" s="165"/>
      <c r="U595" s="166"/>
      <c r="W595" s="166"/>
      <c r="X595" s="166"/>
      <c r="Y595" s="166"/>
      <c r="Z595" s="167"/>
      <c r="AA595" s="165"/>
      <c r="AB595" s="167"/>
      <c r="AC595" s="167"/>
      <c r="AD595" s="167"/>
      <c r="AE595" s="167"/>
      <c r="AF595" s="167"/>
      <c r="AG595" s="137"/>
      <c r="AH595" s="137"/>
      <c r="AI595" s="137"/>
    </row>
    <row r="596" spans="13:35" ht="13" x14ac:dyDescent="0.15">
      <c r="M596" s="165"/>
      <c r="N596" s="165"/>
      <c r="O596" s="165"/>
      <c r="P596" s="165"/>
      <c r="Q596" s="165"/>
      <c r="R596" s="165"/>
      <c r="S596" s="166"/>
      <c r="T596" s="165"/>
      <c r="U596" s="166"/>
      <c r="W596" s="166"/>
      <c r="X596" s="166"/>
      <c r="Y596" s="166"/>
      <c r="Z596" s="167"/>
      <c r="AA596" s="165"/>
      <c r="AB596" s="167"/>
      <c r="AC596" s="167"/>
      <c r="AD596" s="167"/>
      <c r="AE596" s="167"/>
      <c r="AF596" s="167"/>
      <c r="AG596" s="137"/>
      <c r="AH596" s="137"/>
      <c r="AI596" s="137"/>
    </row>
    <row r="597" spans="13:35" ht="13" x14ac:dyDescent="0.15">
      <c r="M597" s="165"/>
      <c r="N597" s="165"/>
      <c r="O597" s="165"/>
      <c r="P597" s="165"/>
      <c r="Q597" s="165"/>
      <c r="R597" s="165"/>
      <c r="S597" s="166"/>
      <c r="T597" s="165"/>
      <c r="U597" s="166"/>
      <c r="W597" s="166"/>
      <c r="X597" s="166"/>
      <c r="Y597" s="166"/>
      <c r="Z597" s="167"/>
      <c r="AA597" s="165"/>
      <c r="AB597" s="167"/>
      <c r="AC597" s="167"/>
      <c r="AD597" s="167"/>
      <c r="AE597" s="167"/>
      <c r="AF597" s="167"/>
      <c r="AG597" s="137"/>
      <c r="AH597" s="137"/>
      <c r="AI597" s="137"/>
    </row>
    <row r="598" spans="13:35" ht="13" x14ac:dyDescent="0.15">
      <c r="M598" s="165"/>
      <c r="N598" s="165"/>
      <c r="O598" s="165"/>
      <c r="P598" s="165"/>
      <c r="Q598" s="165"/>
      <c r="R598" s="165"/>
      <c r="S598" s="166"/>
      <c r="T598" s="165"/>
      <c r="U598" s="166"/>
      <c r="W598" s="166"/>
      <c r="X598" s="166"/>
      <c r="Y598" s="166"/>
      <c r="Z598" s="167"/>
      <c r="AA598" s="165"/>
      <c r="AB598" s="167"/>
      <c r="AC598" s="167"/>
      <c r="AD598" s="167"/>
      <c r="AE598" s="167"/>
      <c r="AF598" s="167"/>
      <c r="AG598" s="137"/>
      <c r="AH598" s="137"/>
      <c r="AI598" s="137"/>
    </row>
    <row r="599" spans="13:35" ht="13" x14ac:dyDescent="0.15">
      <c r="M599" s="165"/>
      <c r="N599" s="165"/>
      <c r="O599" s="165"/>
      <c r="P599" s="165"/>
      <c r="Q599" s="165"/>
      <c r="R599" s="165"/>
      <c r="S599" s="166"/>
      <c r="T599" s="165"/>
      <c r="U599" s="166"/>
      <c r="W599" s="166"/>
      <c r="X599" s="166"/>
      <c r="Y599" s="166"/>
      <c r="Z599" s="167"/>
      <c r="AA599" s="165"/>
      <c r="AB599" s="167"/>
      <c r="AC599" s="167"/>
      <c r="AD599" s="167"/>
      <c r="AE599" s="167"/>
      <c r="AF599" s="167"/>
      <c r="AG599" s="137"/>
      <c r="AH599" s="137"/>
      <c r="AI599" s="137"/>
    </row>
    <row r="600" spans="13:35" ht="13" x14ac:dyDescent="0.15">
      <c r="M600" s="165"/>
      <c r="N600" s="165"/>
      <c r="O600" s="165"/>
      <c r="P600" s="165"/>
      <c r="Q600" s="165"/>
      <c r="R600" s="165"/>
      <c r="S600" s="166"/>
      <c r="T600" s="165"/>
      <c r="U600" s="166"/>
      <c r="W600" s="166"/>
      <c r="X600" s="166"/>
      <c r="Y600" s="166"/>
      <c r="Z600" s="167"/>
      <c r="AA600" s="165"/>
      <c r="AB600" s="167"/>
      <c r="AC600" s="167"/>
      <c r="AD600" s="167"/>
      <c r="AE600" s="167"/>
      <c r="AF600" s="167"/>
      <c r="AG600" s="137"/>
      <c r="AH600" s="137"/>
      <c r="AI600" s="137"/>
    </row>
    <row r="601" spans="13:35" ht="13" x14ac:dyDescent="0.15">
      <c r="M601" s="165"/>
      <c r="N601" s="165"/>
      <c r="O601" s="165"/>
      <c r="P601" s="165"/>
      <c r="Q601" s="165"/>
      <c r="R601" s="165"/>
      <c r="S601" s="166"/>
      <c r="T601" s="165"/>
      <c r="U601" s="166"/>
      <c r="W601" s="166"/>
      <c r="X601" s="166"/>
      <c r="Y601" s="166"/>
      <c r="Z601" s="167"/>
      <c r="AA601" s="165"/>
      <c r="AB601" s="167"/>
      <c r="AC601" s="167"/>
      <c r="AD601" s="167"/>
      <c r="AE601" s="167"/>
      <c r="AF601" s="167"/>
      <c r="AG601" s="137"/>
      <c r="AH601" s="137"/>
      <c r="AI601" s="137"/>
    </row>
    <row r="602" spans="13:35" ht="13" x14ac:dyDescent="0.15">
      <c r="M602" s="165"/>
      <c r="N602" s="165"/>
      <c r="O602" s="165"/>
      <c r="P602" s="165"/>
      <c r="Q602" s="165"/>
      <c r="R602" s="165"/>
      <c r="S602" s="166"/>
      <c r="T602" s="165"/>
      <c r="U602" s="166"/>
      <c r="W602" s="166"/>
      <c r="X602" s="166"/>
      <c r="Y602" s="166"/>
      <c r="Z602" s="167"/>
      <c r="AA602" s="165"/>
      <c r="AB602" s="167"/>
      <c r="AC602" s="167"/>
      <c r="AD602" s="167"/>
      <c r="AE602" s="167"/>
      <c r="AF602" s="167"/>
      <c r="AG602" s="137"/>
      <c r="AH602" s="137"/>
      <c r="AI602" s="137"/>
    </row>
    <row r="603" spans="13:35" ht="13" x14ac:dyDescent="0.15">
      <c r="M603" s="165"/>
      <c r="N603" s="165"/>
      <c r="O603" s="165"/>
      <c r="P603" s="165"/>
      <c r="Q603" s="165"/>
      <c r="R603" s="165"/>
      <c r="S603" s="166"/>
      <c r="T603" s="165"/>
      <c r="U603" s="166"/>
      <c r="W603" s="166"/>
      <c r="X603" s="166"/>
      <c r="Y603" s="166"/>
      <c r="Z603" s="167"/>
      <c r="AA603" s="165"/>
      <c r="AB603" s="167"/>
      <c r="AC603" s="167"/>
      <c r="AD603" s="167"/>
      <c r="AE603" s="167"/>
      <c r="AF603" s="167"/>
      <c r="AG603" s="137"/>
      <c r="AH603" s="137"/>
      <c r="AI603" s="137"/>
    </row>
    <row r="604" spans="13:35" ht="13" x14ac:dyDescent="0.15">
      <c r="M604" s="165"/>
      <c r="N604" s="165"/>
      <c r="O604" s="165"/>
      <c r="P604" s="165"/>
      <c r="Q604" s="165"/>
      <c r="R604" s="165"/>
      <c r="S604" s="166"/>
      <c r="T604" s="165"/>
      <c r="U604" s="166"/>
      <c r="W604" s="166"/>
      <c r="X604" s="166"/>
      <c r="Y604" s="166"/>
      <c r="Z604" s="167"/>
      <c r="AA604" s="165"/>
      <c r="AB604" s="167"/>
      <c r="AC604" s="167"/>
      <c r="AD604" s="167"/>
      <c r="AE604" s="167"/>
      <c r="AF604" s="167"/>
      <c r="AG604" s="137"/>
      <c r="AH604" s="137"/>
      <c r="AI604" s="137"/>
    </row>
    <row r="605" spans="13:35" ht="13" x14ac:dyDescent="0.15">
      <c r="M605" s="165"/>
      <c r="N605" s="165"/>
      <c r="O605" s="165"/>
      <c r="P605" s="165"/>
      <c r="Q605" s="165"/>
      <c r="R605" s="165"/>
      <c r="S605" s="166"/>
      <c r="T605" s="165"/>
      <c r="U605" s="166"/>
      <c r="W605" s="166"/>
      <c r="X605" s="166"/>
      <c r="Y605" s="166"/>
      <c r="Z605" s="167"/>
      <c r="AA605" s="165"/>
      <c r="AB605" s="167"/>
      <c r="AC605" s="167"/>
      <c r="AD605" s="167"/>
      <c r="AE605" s="167"/>
      <c r="AF605" s="167"/>
      <c r="AG605" s="137"/>
      <c r="AH605" s="137"/>
      <c r="AI605" s="137"/>
    </row>
    <row r="606" spans="13:35" ht="13" x14ac:dyDescent="0.15">
      <c r="M606" s="165"/>
      <c r="N606" s="165"/>
      <c r="O606" s="165"/>
      <c r="P606" s="165"/>
      <c r="Q606" s="165"/>
      <c r="R606" s="165"/>
      <c r="S606" s="166"/>
      <c r="T606" s="165"/>
      <c r="U606" s="166"/>
      <c r="W606" s="166"/>
      <c r="X606" s="166"/>
      <c r="Y606" s="166"/>
      <c r="Z606" s="167"/>
      <c r="AA606" s="165"/>
      <c r="AB606" s="167"/>
      <c r="AC606" s="167"/>
      <c r="AD606" s="167"/>
      <c r="AE606" s="167"/>
      <c r="AF606" s="167"/>
      <c r="AG606" s="137"/>
      <c r="AH606" s="137"/>
      <c r="AI606" s="137"/>
    </row>
    <row r="607" spans="13:35" ht="13" x14ac:dyDescent="0.15">
      <c r="M607" s="165"/>
      <c r="N607" s="165"/>
      <c r="O607" s="165"/>
      <c r="P607" s="165"/>
      <c r="Q607" s="165"/>
      <c r="R607" s="165"/>
      <c r="S607" s="166"/>
      <c r="T607" s="165"/>
      <c r="U607" s="166"/>
      <c r="W607" s="166"/>
      <c r="X607" s="166"/>
      <c r="Y607" s="166"/>
      <c r="Z607" s="167"/>
      <c r="AA607" s="165"/>
      <c r="AB607" s="167"/>
      <c r="AC607" s="167"/>
      <c r="AD607" s="167"/>
      <c r="AE607" s="167"/>
      <c r="AF607" s="167"/>
      <c r="AG607" s="137"/>
      <c r="AH607" s="137"/>
      <c r="AI607" s="137"/>
    </row>
    <row r="608" spans="13:35" ht="13" x14ac:dyDescent="0.15">
      <c r="M608" s="165"/>
      <c r="N608" s="165"/>
      <c r="O608" s="165"/>
      <c r="P608" s="165"/>
      <c r="Q608" s="165"/>
      <c r="R608" s="165"/>
      <c r="S608" s="166"/>
      <c r="T608" s="165"/>
      <c r="U608" s="166"/>
      <c r="W608" s="166"/>
      <c r="X608" s="166"/>
      <c r="Y608" s="166"/>
      <c r="Z608" s="167"/>
      <c r="AA608" s="165"/>
      <c r="AB608" s="167"/>
      <c r="AC608" s="167"/>
      <c r="AD608" s="167"/>
      <c r="AE608" s="167"/>
      <c r="AF608" s="167"/>
      <c r="AG608" s="137"/>
      <c r="AH608" s="137"/>
      <c r="AI608" s="137"/>
    </row>
    <row r="609" spans="13:35" ht="13" x14ac:dyDescent="0.15">
      <c r="M609" s="165"/>
      <c r="N609" s="165"/>
      <c r="O609" s="165"/>
      <c r="P609" s="165"/>
      <c r="Q609" s="165"/>
      <c r="R609" s="165"/>
      <c r="S609" s="166"/>
      <c r="T609" s="165"/>
      <c r="U609" s="166"/>
      <c r="W609" s="166"/>
      <c r="X609" s="166"/>
      <c r="Y609" s="166"/>
      <c r="Z609" s="167"/>
      <c r="AA609" s="165"/>
      <c r="AB609" s="167"/>
      <c r="AC609" s="167"/>
      <c r="AD609" s="167"/>
      <c r="AE609" s="167"/>
      <c r="AF609" s="167"/>
      <c r="AG609" s="137"/>
      <c r="AH609" s="137"/>
      <c r="AI609" s="137"/>
    </row>
    <row r="610" spans="13:35" ht="13" x14ac:dyDescent="0.15">
      <c r="M610" s="165"/>
      <c r="N610" s="165"/>
      <c r="O610" s="165"/>
      <c r="P610" s="165"/>
      <c r="Q610" s="165"/>
      <c r="R610" s="165"/>
      <c r="S610" s="166"/>
      <c r="T610" s="165"/>
      <c r="U610" s="166"/>
      <c r="W610" s="166"/>
      <c r="X610" s="166"/>
      <c r="Y610" s="166"/>
      <c r="Z610" s="167"/>
      <c r="AA610" s="165"/>
      <c r="AB610" s="167"/>
      <c r="AC610" s="167"/>
      <c r="AD610" s="167"/>
      <c r="AE610" s="167"/>
      <c r="AF610" s="167"/>
      <c r="AG610" s="137"/>
      <c r="AH610" s="137"/>
      <c r="AI610" s="137"/>
    </row>
    <row r="611" spans="13:35" ht="13" x14ac:dyDescent="0.15">
      <c r="M611" s="165"/>
      <c r="N611" s="165"/>
      <c r="O611" s="165"/>
      <c r="P611" s="165"/>
      <c r="Q611" s="165"/>
      <c r="R611" s="165"/>
      <c r="S611" s="166"/>
      <c r="T611" s="165"/>
      <c r="U611" s="166"/>
      <c r="W611" s="166"/>
      <c r="X611" s="166"/>
      <c r="Y611" s="166"/>
      <c r="Z611" s="167"/>
      <c r="AA611" s="165"/>
      <c r="AB611" s="167"/>
      <c r="AC611" s="167"/>
      <c r="AD611" s="167"/>
      <c r="AE611" s="167"/>
      <c r="AF611" s="167"/>
      <c r="AG611" s="137"/>
      <c r="AH611" s="137"/>
      <c r="AI611" s="137"/>
    </row>
    <row r="612" spans="13:35" ht="13" x14ac:dyDescent="0.15">
      <c r="M612" s="165"/>
      <c r="N612" s="165"/>
      <c r="O612" s="165"/>
      <c r="P612" s="165"/>
      <c r="Q612" s="165"/>
      <c r="R612" s="165"/>
      <c r="S612" s="166"/>
      <c r="T612" s="165"/>
      <c r="U612" s="166"/>
      <c r="W612" s="166"/>
      <c r="X612" s="166"/>
      <c r="Y612" s="166"/>
      <c r="Z612" s="167"/>
      <c r="AA612" s="165"/>
      <c r="AB612" s="167"/>
      <c r="AC612" s="167"/>
      <c r="AD612" s="167"/>
      <c r="AE612" s="167"/>
      <c r="AF612" s="167"/>
      <c r="AG612" s="137"/>
      <c r="AH612" s="137"/>
      <c r="AI612" s="137"/>
    </row>
    <row r="613" spans="13:35" ht="13" x14ac:dyDescent="0.15">
      <c r="M613" s="165"/>
      <c r="N613" s="165"/>
      <c r="O613" s="165"/>
      <c r="P613" s="165"/>
      <c r="Q613" s="165"/>
      <c r="R613" s="165"/>
      <c r="S613" s="166"/>
      <c r="T613" s="165"/>
      <c r="U613" s="166"/>
      <c r="W613" s="166"/>
      <c r="X613" s="166"/>
      <c r="Y613" s="166"/>
      <c r="Z613" s="167"/>
      <c r="AA613" s="165"/>
      <c r="AB613" s="167"/>
      <c r="AC613" s="167"/>
      <c r="AD613" s="167"/>
      <c r="AE613" s="167"/>
      <c r="AF613" s="167"/>
      <c r="AG613" s="137"/>
      <c r="AH613" s="137"/>
      <c r="AI613" s="137"/>
    </row>
    <row r="614" spans="13:35" ht="13" x14ac:dyDescent="0.15">
      <c r="M614" s="165"/>
      <c r="N614" s="165"/>
      <c r="O614" s="165"/>
      <c r="P614" s="165"/>
      <c r="Q614" s="165"/>
      <c r="R614" s="165"/>
      <c r="S614" s="166"/>
      <c r="T614" s="165"/>
      <c r="U614" s="166"/>
      <c r="W614" s="166"/>
      <c r="X614" s="166"/>
      <c r="Y614" s="166"/>
      <c r="Z614" s="167"/>
      <c r="AA614" s="165"/>
      <c r="AB614" s="167"/>
      <c r="AC614" s="167"/>
      <c r="AD614" s="167"/>
      <c r="AE614" s="167"/>
      <c r="AF614" s="167"/>
      <c r="AG614" s="137"/>
      <c r="AH614" s="137"/>
      <c r="AI614" s="137"/>
    </row>
    <row r="615" spans="13:35" ht="13" x14ac:dyDescent="0.15">
      <c r="M615" s="165"/>
      <c r="N615" s="165"/>
      <c r="O615" s="165"/>
      <c r="P615" s="165"/>
      <c r="Q615" s="165"/>
      <c r="R615" s="165"/>
      <c r="S615" s="166"/>
      <c r="T615" s="165"/>
      <c r="U615" s="166"/>
      <c r="W615" s="166"/>
      <c r="X615" s="166"/>
      <c r="Y615" s="166"/>
      <c r="Z615" s="167"/>
      <c r="AA615" s="165"/>
      <c r="AB615" s="167"/>
      <c r="AC615" s="167"/>
      <c r="AD615" s="167"/>
      <c r="AE615" s="167"/>
      <c r="AF615" s="167"/>
      <c r="AG615" s="137"/>
      <c r="AH615" s="137"/>
      <c r="AI615" s="137"/>
    </row>
    <row r="616" spans="13:35" ht="13" x14ac:dyDescent="0.15">
      <c r="M616" s="165"/>
      <c r="N616" s="165"/>
      <c r="O616" s="165"/>
      <c r="P616" s="165"/>
      <c r="Q616" s="165"/>
      <c r="R616" s="165"/>
      <c r="S616" s="166"/>
      <c r="T616" s="165"/>
      <c r="U616" s="166"/>
      <c r="W616" s="166"/>
      <c r="X616" s="166"/>
      <c r="Y616" s="166"/>
      <c r="Z616" s="167"/>
      <c r="AA616" s="165"/>
      <c r="AB616" s="167"/>
      <c r="AC616" s="167"/>
      <c r="AD616" s="167"/>
      <c r="AE616" s="167"/>
      <c r="AF616" s="167"/>
      <c r="AG616" s="137"/>
      <c r="AH616" s="137"/>
      <c r="AI616" s="137"/>
    </row>
    <row r="617" spans="13:35" ht="13" x14ac:dyDescent="0.15">
      <c r="M617" s="165"/>
      <c r="N617" s="165"/>
      <c r="O617" s="165"/>
      <c r="P617" s="165"/>
      <c r="Q617" s="165"/>
      <c r="R617" s="165"/>
      <c r="S617" s="166"/>
      <c r="T617" s="165"/>
      <c r="U617" s="166"/>
      <c r="W617" s="166"/>
      <c r="X617" s="166"/>
      <c r="Y617" s="166"/>
      <c r="Z617" s="167"/>
      <c r="AA617" s="165"/>
      <c r="AB617" s="167"/>
      <c r="AC617" s="167"/>
      <c r="AD617" s="167"/>
      <c r="AE617" s="167"/>
      <c r="AF617" s="167"/>
      <c r="AG617" s="137"/>
      <c r="AH617" s="137"/>
      <c r="AI617" s="137"/>
    </row>
    <row r="618" spans="13:35" ht="13" x14ac:dyDescent="0.15">
      <c r="M618" s="165"/>
      <c r="N618" s="165"/>
      <c r="O618" s="165"/>
      <c r="P618" s="165"/>
      <c r="Q618" s="165"/>
      <c r="R618" s="165"/>
      <c r="S618" s="166"/>
      <c r="T618" s="165"/>
      <c r="U618" s="166"/>
      <c r="W618" s="166"/>
      <c r="X618" s="166"/>
      <c r="Y618" s="166"/>
      <c r="Z618" s="167"/>
      <c r="AA618" s="165"/>
      <c r="AB618" s="167"/>
      <c r="AC618" s="167"/>
      <c r="AD618" s="167"/>
      <c r="AE618" s="167"/>
      <c r="AF618" s="167"/>
      <c r="AG618" s="137"/>
      <c r="AH618" s="137"/>
      <c r="AI618" s="137"/>
    </row>
    <row r="619" spans="13:35" ht="13" x14ac:dyDescent="0.15">
      <c r="M619" s="165"/>
      <c r="N619" s="165"/>
      <c r="O619" s="165"/>
      <c r="P619" s="165"/>
      <c r="Q619" s="165"/>
      <c r="R619" s="165"/>
      <c r="S619" s="166"/>
      <c r="T619" s="165"/>
      <c r="U619" s="166"/>
      <c r="W619" s="166"/>
      <c r="X619" s="166"/>
      <c r="Y619" s="166"/>
      <c r="Z619" s="167"/>
      <c r="AA619" s="165"/>
      <c r="AB619" s="167"/>
      <c r="AC619" s="167"/>
      <c r="AD619" s="167"/>
      <c r="AE619" s="167"/>
      <c r="AF619" s="167"/>
      <c r="AG619" s="137"/>
      <c r="AH619" s="137"/>
      <c r="AI619" s="137"/>
    </row>
    <row r="620" spans="13:35" ht="13" x14ac:dyDescent="0.15">
      <c r="M620" s="165"/>
      <c r="N620" s="165"/>
      <c r="O620" s="165"/>
      <c r="P620" s="165"/>
      <c r="Q620" s="165"/>
      <c r="R620" s="165"/>
      <c r="S620" s="166"/>
      <c r="T620" s="165"/>
      <c r="U620" s="166"/>
      <c r="W620" s="166"/>
      <c r="X620" s="166"/>
      <c r="Y620" s="166"/>
      <c r="Z620" s="167"/>
      <c r="AA620" s="165"/>
      <c r="AB620" s="167"/>
      <c r="AC620" s="167"/>
      <c r="AD620" s="167"/>
      <c r="AE620" s="167"/>
      <c r="AF620" s="167"/>
      <c r="AG620" s="137"/>
      <c r="AH620" s="137"/>
      <c r="AI620" s="137"/>
    </row>
    <row r="621" spans="13:35" ht="13" x14ac:dyDescent="0.15">
      <c r="M621" s="165"/>
      <c r="N621" s="165"/>
      <c r="O621" s="165"/>
      <c r="P621" s="165"/>
      <c r="Q621" s="165"/>
      <c r="R621" s="165"/>
      <c r="S621" s="166"/>
      <c r="T621" s="165"/>
      <c r="U621" s="166"/>
      <c r="W621" s="166"/>
      <c r="X621" s="166"/>
      <c r="Y621" s="166"/>
      <c r="Z621" s="167"/>
      <c r="AA621" s="165"/>
      <c r="AB621" s="167"/>
      <c r="AC621" s="167"/>
      <c r="AD621" s="167"/>
      <c r="AE621" s="167"/>
      <c r="AF621" s="167"/>
      <c r="AG621" s="137"/>
      <c r="AH621" s="137"/>
      <c r="AI621" s="137"/>
    </row>
    <row r="622" spans="13:35" ht="13" x14ac:dyDescent="0.15">
      <c r="M622" s="165"/>
      <c r="N622" s="165"/>
      <c r="O622" s="165"/>
      <c r="P622" s="165"/>
      <c r="Q622" s="165"/>
      <c r="R622" s="165"/>
      <c r="S622" s="166"/>
      <c r="T622" s="165"/>
      <c r="U622" s="166"/>
      <c r="W622" s="166"/>
      <c r="X622" s="166"/>
      <c r="Y622" s="166"/>
      <c r="Z622" s="167"/>
      <c r="AA622" s="165"/>
      <c r="AB622" s="167"/>
      <c r="AC622" s="167"/>
      <c r="AD622" s="167"/>
      <c r="AE622" s="167"/>
      <c r="AF622" s="167"/>
      <c r="AG622" s="137"/>
      <c r="AH622" s="137"/>
      <c r="AI622" s="137"/>
    </row>
    <row r="623" spans="13:35" ht="13" x14ac:dyDescent="0.15">
      <c r="M623" s="165"/>
      <c r="N623" s="165"/>
      <c r="O623" s="165"/>
      <c r="P623" s="165"/>
      <c r="Q623" s="165"/>
      <c r="R623" s="165"/>
      <c r="S623" s="168"/>
      <c r="T623" s="165"/>
      <c r="U623" s="166"/>
      <c r="W623" s="166"/>
      <c r="X623" s="166"/>
      <c r="Y623" s="166"/>
      <c r="Z623" s="167"/>
      <c r="AA623" s="165"/>
      <c r="AB623" s="167"/>
      <c r="AC623" s="167"/>
      <c r="AD623" s="167"/>
      <c r="AE623" s="167"/>
      <c r="AF623" s="167"/>
      <c r="AG623" s="137"/>
      <c r="AH623" s="137"/>
      <c r="AI623" s="137"/>
    </row>
    <row r="624" spans="13:35" ht="13" x14ac:dyDescent="0.15">
      <c r="M624" s="165"/>
      <c r="N624" s="165"/>
      <c r="O624" s="165"/>
      <c r="P624" s="165"/>
      <c r="Q624" s="165"/>
      <c r="R624" s="165"/>
      <c r="S624" s="168"/>
      <c r="T624" s="165"/>
      <c r="U624" s="166"/>
      <c r="W624" s="166"/>
      <c r="X624" s="166"/>
      <c r="Y624" s="166"/>
      <c r="Z624" s="167"/>
      <c r="AA624" s="165"/>
      <c r="AB624" s="167"/>
      <c r="AC624" s="167"/>
      <c r="AD624" s="167"/>
      <c r="AE624" s="167"/>
      <c r="AF624" s="167"/>
      <c r="AG624" s="137"/>
      <c r="AH624" s="137"/>
      <c r="AI624" s="137"/>
    </row>
    <row r="625" spans="13:35" ht="13" x14ac:dyDescent="0.15">
      <c r="M625" s="165"/>
      <c r="N625" s="165"/>
      <c r="O625" s="165"/>
      <c r="P625" s="165"/>
      <c r="Q625" s="165"/>
      <c r="R625" s="165"/>
      <c r="S625" s="166"/>
      <c r="T625" s="165"/>
      <c r="U625" s="166"/>
      <c r="W625" s="166"/>
      <c r="X625" s="166"/>
      <c r="Y625" s="166"/>
      <c r="Z625" s="167"/>
      <c r="AA625" s="165"/>
      <c r="AB625" s="167"/>
      <c r="AC625" s="167"/>
      <c r="AD625" s="167"/>
      <c r="AE625" s="167"/>
      <c r="AF625" s="167"/>
      <c r="AG625" s="137"/>
      <c r="AH625" s="137"/>
      <c r="AI625" s="137"/>
    </row>
    <row r="626" spans="13:35" ht="13" x14ac:dyDescent="0.15">
      <c r="M626" s="165"/>
      <c r="N626" s="165"/>
      <c r="O626" s="165"/>
      <c r="P626" s="165"/>
      <c r="Q626" s="165"/>
      <c r="R626" s="165"/>
      <c r="S626" s="166"/>
      <c r="T626" s="165"/>
      <c r="U626" s="166"/>
      <c r="W626" s="166"/>
      <c r="X626" s="166"/>
      <c r="Y626" s="166"/>
      <c r="Z626" s="167"/>
      <c r="AA626" s="165"/>
      <c r="AB626" s="167"/>
      <c r="AC626" s="167"/>
      <c r="AD626" s="167"/>
      <c r="AE626" s="167"/>
      <c r="AF626" s="167"/>
      <c r="AG626" s="137"/>
      <c r="AH626" s="137"/>
      <c r="AI626" s="137"/>
    </row>
    <row r="627" spans="13:35" ht="13" x14ac:dyDescent="0.15">
      <c r="M627" s="165"/>
      <c r="N627" s="165"/>
      <c r="O627" s="165"/>
      <c r="P627" s="165"/>
      <c r="Q627" s="165"/>
      <c r="R627" s="165"/>
      <c r="S627" s="168"/>
      <c r="T627" s="165"/>
      <c r="U627" s="166"/>
      <c r="W627" s="166"/>
      <c r="X627" s="166"/>
      <c r="Y627" s="166"/>
      <c r="Z627" s="167"/>
      <c r="AA627" s="165"/>
      <c r="AB627" s="167"/>
      <c r="AC627" s="167"/>
      <c r="AD627" s="167"/>
      <c r="AE627" s="167"/>
      <c r="AF627" s="167"/>
      <c r="AG627" s="137"/>
      <c r="AH627" s="137"/>
      <c r="AI627" s="137"/>
    </row>
    <row r="628" spans="13:35" ht="13" x14ac:dyDescent="0.15">
      <c r="M628" s="165"/>
      <c r="N628" s="165"/>
      <c r="O628" s="165"/>
      <c r="P628" s="165"/>
      <c r="Q628" s="165"/>
      <c r="R628" s="165"/>
      <c r="S628" s="168"/>
      <c r="T628" s="165"/>
      <c r="U628" s="166"/>
      <c r="W628" s="166"/>
      <c r="X628" s="166"/>
      <c r="Y628" s="166"/>
      <c r="Z628" s="167"/>
      <c r="AA628" s="165"/>
      <c r="AB628" s="167"/>
      <c r="AC628" s="167"/>
      <c r="AD628" s="167"/>
      <c r="AE628" s="167"/>
      <c r="AF628" s="167"/>
      <c r="AG628" s="137"/>
      <c r="AH628" s="137"/>
      <c r="AI628" s="137"/>
    </row>
    <row r="629" spans="13:35" ht="13" x14ac:dyDescent="0.15">
      <c r="M629" s="165"/>
      <c r="N629" s="165"/>
      <c r="O629" s="165"/>
      <c r="P629" s="165"/>
      <c r="Q629" s="165"/>
      <c r="R629" s="165"/>
      <c r="S629" s="168"/>
      <c r="T629" s="165"/>
      <c r="U629" s="166"/>
      <c r="W629" s="166"/>
      <c r="X629" s="166"/>
      <c r="Y629" s="166"/>
      <c r="Z629" s="167"/>
      <c r="AA629" s="165"/>
      <c r="AB629" s="167"/>
      <c r="AC629" s="167"/>
      <c r="AD629" s="167"/>
      <c r="AE629" s="167"/>
      <c r="AF629" s="167"/>
      <c r="AG629" s="137"/>
      <c r="AH629" s="137"/>
      <c r="AI629" s="137"/>
    </row>
    <row r="630" spans="13:35" ht="13" x14ac:dyDescent="0.15">
      <c r="M630" s="165"/>
      <c r="N630" s="165"/>
      <c r="O630" s="165"/>
      <c r="P630" s="165"/>
      <c r="Q630" s="165"/>
      <c r="R630" s="165"/>
      <c r="S630" s="166"/>
      <c r="T630" s="165"/>
      <c r="U630" s="166"/>
      <c r="W630" s="166"/>
      <c r="X630" s="166"/>
      <c r="Y630" s="166"/>
      <c r="Z630" s="167"/>
      <c r="AA630" s="165"/>
      <c r="AB630" s="167"/>
      <c r="AC630" s="167"/>
      <c r="AD630" s="167"/>
      <c r="AE630" s="167"/>
      <c r="AF630" s="167"/>
      <c r="AG630" s="137"/>
    </row>
    <row r="631" spans="13:35" ht="13" x14ac:dyDescent="0.15">
      <c r="M631" s="165"/>
      <c r="N631" s="165"/>
      <c r="O631" s="165"/>
      <c r="P631" s="165"/>
      <c r="Q631" s="165"/>
      <c r="R631" s="165"/>
      <c r="S631" s="166"/>
      <c r="T631" s="165"/>
      <c r="U631" s="166"/>
      <c r="W631" s="166"/>
      <c r="X631" s="166"/>
      <c r="Y631" s="166"/>
      <c r="Z631" s="167"/>
      <c r="AA631" s="165"/>
      <c r="AB631" s="167"/>
      <c r="AC631" s="167"/>
      <c r="AD631" s="167"/>
      <c r="AE631" s="167"/>
      <c r="AF631" s="167"/>
      <c r="AG631" s="137"/>
    </row>
    <row r="632" spans="13:35" ht="13" x14ac:dyDescent="0.15">
      <c r="M632" s="165"/>
      <c r="N632" s="165"/>
      <c r="O632" s="165"/>
      <c r="P632" s="165"/>
      <c r="Q632" s="165"/>
      <c r="R632" s="165"/>
      <c r="S632" s="166"/>
      <c r="T632" s="165"/>
      <c r="U632" s="166"/>
      <c r="W632" s="166"/>
      <c r="X632" s="166"/>
      <c r="Y632" s="166"/>
      <c r="Z632" s="167"/>
      <c r="AA632" s="165"/>
      <c r="AB632" s="167"/>
      <c r="AC632" s="167"/>
      <c r="AD632" s="167"/>
      <c r="AE632" s="167"/>
      <c r="AF632" s="167"/>
      <c r="AG632" s="137"/>
    </row>
    <row r="633" spans="13:35" ht="13" x14ac:dyDescent="0.15">
      <c r="M633" s="165"/>
      <c r="N633" s="165"/>
      <c r="O633" s="165"/>
      <c r="P633" s="165"/>
      <c r="Q633" s="165"/>
      <c r="R633" s="165"/>
      <c r="S633" s="166"/>
      <c r="T633" s="165"/>
      <c r="U633" s="166"/>
      <c r="W633" s="166"/>
      <c r="X633" s="166"/>
      <c r="Y633" s="166"/>
      <c r="Z633" s="167"/>
      <c r="AA633" s="165"/>
      <c r="AB633" s="167"/>
      <c r="AC633" s="167"/>
      <c r="AD633" s="167"/>
      <c r="AE633" s="167"/>
      <c r="AF633" s="167"/>
      <c r="AG633" s="137"/>
    </row>
    <row r="634" spans="13:35" ht="13" x14ac:dyDescent="0.15">
      <c r="M634" s="165"/>
      <c r="N634" s="165"/>
      <c r="O634" s="165"/>
      <c r="P634" s="165"/>
      <c r="Q634" s="165"/>
      <c r="R634" s="165"/>
      <c r="S634" s="166"/>
      <c r="T634" s="165"/>
      <c r="U634" s="166"/>
      <c r="W634" s="166"/>
      <c r="X634" s="166"/>
      <c r="Y634" s="166"/>
      <c r="Z634" s="167"/>
      <c r="AA634" s="165"/>
      <c r="AB634" s="167"/>
      <c r="AC634" s="167"/>
      <c r="AD634" s="167"/>
      <c r="AE634" s="167"/>
      <c r="AF634" s="167"/>
      <c r="AG634" s="137"/>
      <c r="AH634" s="137"/>
      <c r="AI634" s="137"/>
    </row>
    <row r="635" spans="13:35" ht="13" x14ac:dyDescent="0.15">
      <c r="M635" s="165"/>
      <c r="N635" s="165"/>
      <c r="O635" s="165"/>
      <c r="P635" s="165"/>
      <c r="Q635" s="165"/>
      <c r="R635" s="165"/>
      <c r="S635" s="166"/>
      <c r="T635" s="165"/>
      <c r="U635" s="166"/>
      <c r="W635" s="166"/>
      <c r="X635" s="166"/>
      <c r="Y635" s="166"/>
      <c r="Z635" s="167"/>
      <c r="AA635" s="165"/>
      <c r="AB635" s="167"/>
      <c r="AC635" s="167"/>
      <c r="AD635" s="167"/>
      <c r="AE635" s="167"/>
      <c r="AF635" s="167"/>
      <c r="AG635" s="137"/>
      <c r="AH635" s="137"/>
      <c r="AI635" s="137"/>
    </row>
    <row r="636" spans="13:35" ht="13" x14ac:dyDescent="0.15">
      <c r="M636" s="165"/>
      <c r="N636" s="165"/>
      <c r="O636" s="165"/>
      <c r="P636" s="165"/>
      <c r="Q636" s="165"/>
      <c r="R636" s="165"/>
      <c r="S636" s="166"/>
      <c r="T636" s="165"/>
      <c r="U636" s="166"/>
      <c r="W636" s="166"/>
      <c r="X636" s="166"/>
      <c r="Y636" s="166"/>
      <c r="Z636" s="167"/>
      <c r="AA636" s="165"/>
      <c r="AB636" s="167"/>
      <c r="AC636" s="167"/>
      <c r="AD636" s="167"/>
      <c r="AE636" s="167"/>
      <c r="AF636" s="167"/>
      <c r="AG636" s="137"/>
      <c r="AH636" s="137"/>
      <c r="AI636" s="137"/>
    </row>
    <row r="637" spans="13:35" ht="13" x14ac:dyDescent="0.15">
      <c r="M637" s="165"/>
      <c r="N637" s="165"/>
      <c r="O637" s="165"/>
      <c r="P637" s="165"/>
      <c r="Q637" s="165"/>
      <c r="R637" s="165"/>
      <c r="S637" s="166"/>
      <c r="T637" s="165"/>
      <c r="U637" s="166"/>
      <c r="W637" s="166"/>
      <c r="X637" s="166"/>
      <c r="Y637" s="166"/>
      <c r="Z637" s="167"/>
      <c r="AA637" s="165"/>
      <c r="AB637" s="167"/>
      <c r="AC637" s="167"/>
      <c r="AD637" s="167"/>
      <c r="AE637" s="167"/>
      <c r="AF637" s="167"/>
      <c r="AG637" s="137"/>
      <c r="AH637" s="137"/>
      <c r="AI637" s="137"/>
    </row>
    <row r="638" spans="13:35" ht="13" x14ac:dyDescent="0.15">
      <c r="M638" s="165"/>
      <c r="N638" s="165"/>
      <c r="O638" s="165"/>
      <c r="P638" s="165"/>
      <c r="Q638" s="165"/>
      <c r="R638" s="165"/>
      <c r="S638" s="166"/>
      <c r="T638" s="166"/>
      <c r="U638" s="168"/>
      <c r="W638" s="166"/>
      <c r="X638" s="166"/>
      <c r="Y638" s="166"/>
      <c r="Z638" s="167"/>
      <c r="AA638" s="165"/>
      <c r="AB638" s="167"/>
      <c r="AC638" s="167"/>
      <c r="AD638" s="167"/>
      <c r="AE638" s="167"/>
      <c r="AF638" s="167"/>
      <c r="AG638" s="137"/>
      <c r="AH638" s="137"/>
      <c r="AI638" s="137"/>
    </row>
    <row r="639" spans="13:35" ht="13" x14ac:dyDescent="0.15">
      <c r="M639" s="165"/>
      <c r="N639" s="165"/>
      <c r="O639" s="165"/>
      <c r="P639" s="165"/>
      <c r="Q639" s="165"/>
      <c r="R639" s="165"/>
      <c r="S639" s="166"/>
      <c r="T639" s="165"/>
      <c r="U639" s="166"/>
      <c r="W639" s="166"/>
      <c r="X639" s="166"/>
      <c r="Y639" s="166"/>
      <c r="Z639" s="167"/>
      <c r="AA639" s="165"/>
      <c r="AB639" s="167"/>
      <c r="AC639" s="167"/>
      <c r="AD639" s="167"/>
      <c r="AE639" s="167"/>
      <c r="AF639" s="167"/>
      <c r="AG639" s="137"/>
      <c r="AH639" s="137"/>
      <c r="AI639" s="137"/>
    </row>
    <row r="640" spans="13:35" ht="13" x14ac:dyDescent="0.15">
      <c r="M640" s="165"/>
      <c r="N640" s="165"/>
      <c r="O640" s="165"/>
      <c r="P640" s="165"/>
      <c r="Q640" s="165"/>
      <c r="R640" s="165"/>
      <c r="S640" s="166"/>
      <c r="T640" s="165"/>
      <c r="U640" s="166"/>
      <c r="W640" s="166"/>
      <c r="X640" s="166"/>
      <c r="Y640" s="166"/>
      <c r="Z640" s="167"/>
      <c r="AA640" s="165"/>
      <c r="AB640" s="167"/>
      <c r="AC640" s="167"/>
      <c r="AD640" s="167"/>
      <c r="AE640" s="167"/>
      <c r="AF640" s="167"/>
      <c r="AG640" s="137"/>
      <c r="AH640" s="137"/>
      <c r="AI640" s="137"/>
    </row>
    <row r="641" spans="13:35" ht="13" x14ac:dyDescent="0.15">
      <c r="M641" s="165"/>
      <c r="N641" s="165"/>
      <c r="O641" s="165"/>
      <c r="P641" s="165"/>
      <c r="Q641" s="165"/>
      <c r="R641" s="165"/>
      <c r="S641" s="166"/>
      <c r="T641" s="165"/>
      <c r="U641" s="166"/>
      <c r="W641" s="166"/>
      <c r="X641" s="166"/>
      <c r="Y641" s="166"/>
      <c r="Z641" s="167"/>
      <c r="AA641" s="165"/>
      <c r="AB641" s="167"/>
      <c r="AC641" s="167"/>
      <c r="AD641" s="167"/>
      <c r="AE641" s="167"/>
      <c r="AF641" s="167"/>
      <c r="AG641" s="137"/>
      <c r="AH641" s="137"/>
      <c r="AI641" s="137"/>
    </row>
    <row r="642" spans="13:35" ht="13" x14ac:dyDescent="0.15">
      <c r="M642" s="165"/>
      <c r="N642" s="165"/>
      <c r="O642" s="165"/>
      <c r="P642" s="165"/>
      <c r="Q642" s="165"/>
      <c r="R642" s="165"/>
      <c r="S642" s="166"/>
      <c r="T642" s="165"/>
      <c r="U642" s="166"/>
      <c r="W642" s="166"/>
      <c r="X642" s="166"/>
      <c r="Y642" s="166"/>
      <c r="Z642" s="167"/>
      <c r="AA642" s="165"/>
      <c r="AB642" s="167"/>
      <c r="AC642" s="167"/>
      <c r="AD642" s="167"/>
      <c r="AE642" s="167"/>
      <c r="AF642" s="167"/>
      <c r="AG642" s="137"/>
      <c r="AH642" s="137"/>
      <c r="AI642" s="137"/>
    </row>
    <row r="643" spans="13:35" ht="13" x14ac:dyDescent="0.15">
      <c r="M643" s="165"/>
      <c r="N643" s="165"/>
      <c r="O643" s="165"/>
      <c r="P643" s="165"/>
      <c r="Q643" s="165"/>
      <c r="R643" s="165"/>
      <c r="S643" s="166"/>
      <c r="T643" s="165"/>
      <c r="U643" s="166"/>
      <c r="W643" s="166"/>
      <c r="X643" s="166"/>
      <c r="Y643" s="166"/>
      <c r="Z643" s="167"/>
      <c r="AA643" s="165"/>
      <c r="AB643" s="167"/>
      <c r="AC643" s="167"/>
      <c r="AD643" s="167"/>
      <c r="AE643" s="167"/>
      <c r="AF643" s="167"/>
      <c r="AG643" s="137"/>
      <c r="AH643" s="137"/>
      <c r="AI643" s="137"/>
    </row>
    <row r="644" spans="13:35" ht="13" x14ac:dyDescent="0.15">
      <c r="M644" s="165"/>
      <c r="N644" s="165"/>
      <c r="O644" s="165"/>
      <c r="P644" s="165"/>
      <c r="Q644" s="165"/>
      <c r="R644" s="165"/>
      <c r="S644" s="166"/>
      <c r="T644" s="166"/>
      <c r="U644" s="168"/>
      <c r="W644" s="166"/>
      <c r="X644" s="166"/>
      <c r="Y644" s="166"/>
      <c r="Z644" s="167"/>
      <c r="AA644" s="165"/>
      <c r="AB644" s="167"/>
      <c r="AC644" s="167"/>
      <c r="AD644" s="167"/>
      <c r="AE644" s="167"/>
      <c r="AF644" s="167"/>
      <c r="AG644" s="137"/>
      <c r="AH644" s="137"/>
      <c r="AI644" s="137"/>
    </row>
    <row r="645" spans="13:35" ht="13" x14ac:dyDescent="0.15">
      <c r="M645" s="165"/>
      <c r="N645" s="165"/>
      <c r="O645" s="165"/>
      <c r="P645" s="165"/>
      <c r="Q645" s="165"/>
      <c r="R645" s="165"/>
      <c r="S645" s="166"/>
      <c r="T645" s="165"/>
      <c r="U645" s="166"/>
      <c r="W645" s="166"/>
      <c r="X645" s="166"/>
      <c r="Y645" s="166"/>
      <c r="Z645" s="167"/>
      <c r="AA645" s="165"/>
      <c r="AB645" s="167"/>
      <c r="AC645" s="167"/>
      <c r="AD645" s="167"/>
      <c r="AE645" s="167"/>
      <c r="AF645" s="167"/>
      <c r="AG645" s="137"/>
      <c r="AH645" s="137"/>
      <c r="AI645" s="137"/>
    </row>
    <row r="646" spans="13:35" ht="13" x14ac:dyDescent="0.15">
      <c r="M646" s="165"/>
      <c r="N646" s="165"/>
      <c r="O646" s="165"/>
      <c r="P646" s="165"/>
      <c r="Q646" s="165"/>
      <c r="R646" s="165"/>
      <c r="S646" s="166"/>
      <c r="T646" s="166"/>
      <c r="U646" s="168"/>
      <c r="W646" s="166"/>
      <c r="X646" s="166"/>
      <c r="Y646" s="166"/>
      <c r="Z646" s="167"/>
      <c r="AA646" s="165"/>
      <c r="AB646" s="167"/>
      <c r="AC646" s="167"/>
      <c r="AD646" s="167"/>
      <c r="AE646" s="167"/>
      <c r="AF646" s="167"/>
      <c r="AG646" s="137"/>
      <c r="AH646" s="137"/>
      <c r="AI646" s="137"/>
    </row>
    <row r="647" spans="13:35" ht="13" x14ac:dyDescent="0.15">
      <c r="M647" s="165"/>
      <c r="N647" s="165"/>
      <c r="O647" s="165"/>
      <c r="P647" s="165"/>
      <c r="Q647" s="165"/>
      <c r="R647" s="165"/>
      <c r="S647" s="166"/>
      <c r="T647" s="166"/>
      <c r="U647" s="168"/>
      <c r="W647" s="166"/>
      <c r="X647" s="166"/>
      <c r="Y647" s="166"/>
      <c r="Z647" s="167"/>
      <c r="AA647" s="165"/>
      <c r="AB647" s="167"/>
      <c r="AC647" s="167"/>
      <c r="AD647" s="167"/>
      <c r="AE647" s="167"/>
      <c r="AF647" s="167"/>
      <c r="AG647" s="137"/>
      <c r="AH647" s="137"/>
      <c r="AI647" s="137"/>
    </row>
    <row r="648" spans="13:35" ht="13" x14ac:dyDescent="0.15">
      <c r="M648" s="165"/>
      <c r="N648" s="165"/>
      <c r="O648" s="165"/>
      <c r="P648" s="165"/>
      <c r="Q648" s="165"/>
      <c r="R648" s="165"/>
      <c r="S648" s="166"/>
      <c r="T648" s="166"/>
      <c r="U648" s="168"/>
      <c r="W648" s="166"/>
      <c r="X648" s="166"/>
      <c r="Y648" s="166"/>
      <c r="Z648" s="167"/>
      <c r="AA648" s="165"/>
      <c r="AB648" s="167"/>
      <c r="AC648" s="167"/>
      <c r="AD648" s="167"/>
      <c r="AE648" s="167"/>
      <c r="AF648" s="167"/>
      <c r="AG648" s="137"/>
      <c r="AH648" s="137"/>
      <c r="AI648" s="137"/>
    </row>
    <row r="649" spans="13:35" ht="13" x14ac:dyDescent="0.15">
      <c r="M649" s="165"/>
      <c r="N649" s="165"/>
      <c r="O649" s="165"/>
      <c r="P649" s="165"/>
      <c r="Q649" s="165"/>
      <c r="R649" s="165"/>
      <c r="S649" s="166"/>
      <c r="T649" s="165"/>
      <c r="U649" s="166"/>
      <c r="W649" s="166"/>
      <c r="X649" s="166"/>
      <c r="Y649" s="166"/>
      <c r="Z649" s="167"/>
      <c r="AA649" s="165"/>
      <c r="AB649" s="167"/>
      <c r="AC649" s="167"/>
      <c r="AD649" s="167"/>
      <c r="AE649" s="167"/>
      <c r="AF649" s="167"/>
      <c r="AG649" s="137"/>
      <c r="AH649" s="137"/>
      <c r="AI649" s="137"/>
    </row>
    <row r="650" spans="13:35" ht="13" x14ac:dyDescent="0.15">
      <c r="M650" s="165"/>
      <c r="N650" s="165"/>
      <c r="O650" s="165"/>
      <c r="P650" s="165"/>
      <c r="Q650" s="165"/>
      <c r="R650" s="165"/>
      <c r="S650" s="166"/>
      <c r="T650" s="165"/>
      <c r="U650" s="166"/>
      <c r="W650" s="166"/>
      <c r="X650" s="166"/>
      <c r="Y650" s="166"/>
      <c r="Z650" s="167"/>
      <c r="AA650" s="165"/>
      <c r="AB650" s="167"/>
      <c r="AC650" s="167"/>
      <c r="AD650" s="167"/>
      <c r="AE650" s="167"/>
      <c r="AF650" s="167"/>
      <c r="AG650" s="137"/>
      <c r="AH650" s="137"/>
      <c r="AI650" s="137"/>
    </row>
    <row r="651" spans="13:35" ht="13" x14ac:dyDescent="0.15">
      <c r="M651" s="165"/>
      <c r="N651" s="165"/>
      <c r="O651" s="165"/>
      <c r="P651" s="165"/>
      <c r="Q651" s="165"/>
      <c r="R651" s="165"/>
      <c r="S651" s="166"/>
      <c r="T651" s="165"/>
      <c r="U651" s="166"/>
      <c r="W651" s="166"/>
      <c r="X651" s="166"/>
      <c r="Y651" s="166"/>
      <c r="Z651" s="167"/>
      <c r="AA651" s="165"/>
      <c r="AB651" s="167"/>
      <c r="AC651" s="167"/>
      <c r="AD651" s="167"/>
      <c r="AE651" s="167"/>
      <c r="AF651" s="167"/>
      <c r="AG651" s="137"/>
      <c r="AH651" s="137"/>
      <c r="AI651" s="137"/>
    </row>
    <row r="652" spans="13:35" ht="13" x14ac:dyDescent="0.15">
      <c r="M652" s="165"/>
      <c r="N652" s="165"/>
      <c r="O652" s="165"/>
      <c r="P652" s="165"/>
      <c r="Q652" s="165"/>
      <c r="R652" s="165"/>
      <c r="S652" s="166"/>
      <c r="T652" s="165"/>
      <c r="U652" s="166"/>
      <c r="W652" s="166"/>
      <c r="X652" s="166"/>
      <c r="Y652" s="166"/>
      <c r="Z652" s="167"/>
      <c r="AA652" s="165"/>
      <c r="AB652" s="167"/>
      <c r="AC652" s="167"/>
      <c r="AD652" s="167"/>
      <c r="AE652" s="167"/>
      <c r="AF652" s="167"/>
      <c r="AG652" s="137"/>
      <c r="AH652" s="137"/>
      <c r="AI652" s="137"/>
    </row>
    <row r="653" spans="13:35" ht="13" x14ac:dyDescent="0.15">
      <c r="M653" s="165"/>
      <c r="N653" s="165"/>
      <c r="O653" s="165"/>
      <c r="P653" s="165"/>
      <c r="Q653" s="165"/>
      <c r="R653" s="165"/>
      <c r="S653" s="166"/>
      <c r="T653" s="165"/>
      <c r="U653" s="166"/>
      <c r="W653" s="166"/>
      <c r="X653" s="166"/>
      <c r="Y653" s="166"/>
      <c r="Z653" s="167"/>
      <c r="AA653" s="165"/>
      <c r="AB653" s="167"/>
      <c r="AC653" s="167"/>
      <c r="AD653" s="167"/>
      <c r="AE653" s="167"/>
      <c r="AF653" s="167"/>
      <c r="AG653" s="137"/>
      <c r="AH653" s="137"/>
      <c r="AI653" s="137"/>
    </row>
    <row r="654" spans="13:35" ht="13" x14ac:dyDescent="0.15">
      <c r="M654" s="165"/>
      <c r="N654" s="165"/>
      <c r="O654" s="165"/>
      <c r="P654" s="165"/>
      <c r="Q654" s="165"/>
      <c r="R654" s="165"/>
      <c r="S654" s="166"/>
      <c r="T654" s="165"/>
      <c r="U654" s="166"/>
      <c r="W654" s="166"/>
      <c r="X654" s="166"/>
      <c r="Y654" s="166"/>
      <c r="Z654" s="167"/>
      <c r="AA654" s="165"/>
      <c r="AB654" s="167"/>
      <c r="AC654" s="167"/>
      <c r="AD654" s="167"/>
      <c r="AE654" s="167"/>
      <c r="AF654" s="167"/>
      <c r="AG654" s="137"/>
      <c r="AH654" s="137"/>
      <c r="AI654" s="137"/>
    </row>
    <row r="655" spans="13:35" ht="13" x14ac:dyDescent="0.15">
      <c r="M655" s="165"/>
      <c r="N655" s="165"/>
      <c r="O655" s="165"/>
      <c r="P655" s="165"/>
      <c r="Q655" s="165"/>
      <c r="R655" s="165"/>
      <c r="S655" s="166"/>
      <c r="T655" s="165"/>
      <c r="U655" s="166"/>
      <c r="W655" s="166"/>
      <c r="X655" s="166"/>
      <c r="Y655" s="166"/>
      <c r="Z655" s="167"/>
      <c r="AA655" s="165"/>
      <c r="AB655" s="167"/>
      <c r="AC655" s="167"/>
      <c r="AD655" s="167"/>
      <c r="AE655" s="167"/>
      <c r="AF655" s="167"/>
      <c r="AG655" s="137"/>
      <c r="AH655" s="137"/>
      <c r="AI655" s="137"/>
    </row>
    <row r="656" spans="13:35" ht="13" x14ac:dyDescent="0.15">
      <c r="M656" s="165"/>
      <c r="N656" s="165"/>
      <c r="O656" s="165"/>
      <c r="P656" s="165"/>
      <c r="Q656" s="165"/>
      <c r="R656" s="165"/>
      <c r="S656" s="166"/>
      <c r="T656" s="165"/>
      <c r="U656" s="166"/>
      <c r="W656" s="166"/>
      <c r="X656" s="166"/>
      <c r="Y656" s="166"/>
      <c r="Z656" s="167"/>
      <c r="AA656" s="165"/>
      <c r="AB656" s="167"/>
      <c r="AC656" s="167"/>
      <c r="AD656" s="167"/>
      <c r="AE656" s="167"/>
      <c r="AF656" s="167"/>
      <c r="AG656" s="137"/>
      <c r="AH656" s="137"/>
      <c r="AI656" s="137"/>
    </row>
    <row r="657" spans="13:35" ht="13" x14ac:dyDescent="0.15">
      <c r="M657" s="165"/>
      <c r="N657" s="165"/>
      <c r="O657" s="165"/>
      <c r="P657" s="165"/>
      <c r="Q657" s="165"/>
      <c r="R657" s="165"/>
      <c r="S657" s="166"/>
      <c r="T657" s="165"/>
      <c r="U657" s="166"/>
      <c r="W657" s="166"/>
      <c r="X657" s="166"/>
      <c r="Y657" s="166"/>
      <c r="Z657" s="167"/>
      <c r="AA657" s="165"/>
      <c r="AB657" s="167"/>
      <c r="AC657" s="167"/>
      <c r="AD657" s="167"/>
      <c r="AE657" s="167"/>
      <c r="AF657" s="167"/>
      <c r="AG657" s="137"/>
      <c r="AH657" s="137"/>
      <c r="AI657" s="137"/>
    </row>
    <row r="658" spans="13:35" ht="13" x14ac:dyDescent="0.15">
      <c r="M658" s="165"/>
      <c r="N658" s="165"/>
      <c r="O658" s="165"/>
      <c r="P658" s="165"/>
      <c r="Q658" s="165"/>
      <c r="R658" s="165"/>
      <c r="S658" s="166"/>
      <c r="T658" s="165"/>
      <c r="U658" s="166"/>
      <c r="W658" s="166"/>
      <c r="X658" s="166"/>
      <c r="Y658" s="166"/>
      <c r="Z658" s="167"/>
      <c r="AA658" s="165"/>
      <c r="AB658" s="167"/>
      <c r="AC658" s="167"/>
      <c r="AD658" s="167"/>
      <c r="AE658" s="167"/>
      <c r="AF658" s="167"/>
      <c r="AG658" s="137"/>
      <c r="AH658" s="137"/>
      <c r="AI658" s="137"/>
    </row>
    <row r="659" spans="13:35" ht="13" x14ac:dyDescent="0.15">
      <c r="M659" s="165"/>
      <c r="N659" s="165"/>
      <c r="O659" s="165"/>
      <c r="P659" s="165"/>
      <c r="Q659" s="165"/>
      <c r="R659" s="165"/>
      <c r="S659" s="166"/>
      <c r="T659" s="165"/>
      <c r="U659" s="166"/>
      <c r="W659" s="166"/>
      <c r="X659" s="166"/>
      <c r="Y659" s="166"/>
      <c r="Z659" s="167"/>
      <c r="AA659" s="165"/>
      <c r="AB659" s="167"/>
      <c r="AC659" s="167"/>
      <c r="AD659" s="167"/>
      <c r="AE659" s="167"/>
      <c r="AF659" s="167"/>
      <c r="AG659" s="137"/>
      <c r="AH659" s="137"/>
      <c r="AI659" s="137"/>
    </row>
    <row r="660" spans="13:35" ht="13" x14ac:dyDescent="0.15">
      <c r="M660" s="165"/>
      <c r="N660" s="165"/>
      <c r="O660" s="165"/>
      <c r="P660" s="165"/>
      <c r="Q660" s="165"/>
      <c r="R660" s="165"/>
      <c r="S660" s="166"/>
      <c r="T660" s="165"/>
      <c r="U660" s="166"/>
      <c r="W660" s="166"/>
      <c r="X660" s="166"/>
      <c r="Y660" s="166"/>
      <c r="Z660" s="167"/>
      <c r="AA660" s="165"/>
      <c r="AB660" s="167"/>
      <c r="AC660" s="167"/>
      <c r="AD660" s="167"/>
      <c r="AE660" s="167"/>
      <c r="AF660" s="167"/>
      <c r="AG660" s="137"/>
      <c r="AH660" s="137"/>
      <c r="AI660" s="137"/>
    </row>
    <row r="661" spans="13:35" ht="13" x14ac:dyDescent="0.15">
      <c r="M661" s="165"/>
      <c r="N661" s="165"/>
      <c r="O661" s="165"/>
      <c r="P661" s="165"/>
      <c r="Q661" s="165"/>
      <c r="R661" s="165"/>
      <c r="S661" s="166"/>
      <c r="T661" s="165"/>
      <c r="U661" s="166"/>
      <c r="W661" s="166"/>
      <c r="X661" s="166"/>
      <c r="Y661" s="166"/>
      <c r="Z661" s="167"/>
      <c r="AA661" s="165"/>
      <c r="AB661" s="167"/>
      <c r="AC661" s="167"/>
      <c r="AD661" s="167"/>
      <c r="AE661" s="167"/>
      <c r="AF661" s="167"/>
      <c r="AG661" s="137"/>
      <c r="AH661" s="137"/>
      <c r="AI661" s="137"/>
    </row>
    <row r="662" spans="13:35" ht="13" x14ac:dyDescent="0.15">
      <c r="M662" s="165"/>
      <c r="N662" s="165"/>
      <c r="O662" s="165"/>
      <c r="P662" s="165"/>
      <c r="Q662" s="165"/>
      <c r="R662" s="165"/>
      <c r="S662" s="166"/>
      <c r="T662" s="165"/>
      <c r="U662" s="166"/>
      <c r="W662" s="166"/>
      <c r="X662" s="166"/>
      <c r="Y662" s="166"/>
      <c r="Z662" s="167"/>
      <c r="AA662" s="165"/>
      <c r="AB662" s="167"/>
      <c r="AC662" s="167"/>
      <c r="AD662" s="167"/>
      <c r="AE662" s="167"/>
      <c r="AF662" s="167"/>
      <c r="AG662" s="137"/>
      <c r="AH662" s="137"/>
      <c r="AI662" s="137"/>
    </row>
    <row r="663" spans="13:35" ht="13" x14ac:dyDescent="0.15">
      <c r="M663" s="165"/>
      <c r="N663" s="165"/>
      <c r="O663" s="165"/>
      <c r="P663" s="165"/>
      <c r="Q663" s="165"/>
      <c r="R663" s="165"/>
      <c r="S663" s="166"/>
      <c r="T663" s="165"/>
      <c r="U663" s="166"/>
      <c r="W663" s="166"/>
      <c r="X663" s="166"/>
      <c r="Y663" s="166"/>
      <c r="Z663" s="167"/>
      <c r="AA663" s="165"/>
      <c r="AB663" s="167"/>
      <c r="AC663" s="167"/>
      <c r="AD663" s="167"/>
      <c r="AE663" s="167"/>
      <c r="AF663" s="167"/>
      <c r="AG663" s="137"/>
      <c r="AH663" s="137"/>
      <c r="AI663" s="137"/>
    </row>
    <row r="664" spans="13:35" ht="13" x14ac:dyDescent="0.15">
      <c r="M664" s="165"/>
      <c r="N664" s="165"/>
      <c r="O664" s="165"/>
      <c r="P664" s="165"/>
      <c r="Q664" s="165"/>
      <c r="R664" s="165"/>
      <c r="S664" s="166"/>
      <c r="T664" s="165"/>
      <c r="U664" s="166"/>
      <c r="W664" s="166"/>
      <c r="X664" s="166"/>
      <c r="Y664" s="166"/>
      <c r="Z664" s="167"/>
      <c r="AA664" s="165"/>
      <c r="AB664" s="167"/>
      <c r="AC664" s="167"/>
      <c r="AD664" s="167"/>
      <c r="AE664" s="167"/>
      <c r="AF664" s="167"/>
      <c r="AG664" s="137"/>
      <c r="AH664" s="137"/>
      <c r="AI664" s="137"/>
    </row>
    <row r="665" spans="13:35" ht="13" x14ac:dyDescent="0.15">
      <c r="M665" s="165"/>
      <c r="N665" s="165"/>
      <c r="O665" s="165"/>
      <c r="P665" s="165"/>
      <c r="Q665" s="165"/>
      <c r="R665" s="165"/>
      <c r="S665" s="166"/>
      <c r="T665" s="165"/>
      <c r="U665" s="166"/>
      <c r="W665" s="166"/>
      <c r="X665" s="166"/>
      <c r="Y665" s="166"/>
      <c r="Z665" s="167"/>
      <c r="AA665" s="165"/>
      <c r="AB665" s="167"/>
      <c r="AC665" s="167"/>
      <c r="AD665" s="167"/>
      <c r="AE665" s="167"/>
      <c r="AF665" s="167"/>
      <c r="AG665" s="137"/>
      <c r="AH665" s="137"/>
      <c r="AI665" s="137"/>
    </row>
    <row r="666" spans="13:35" ht="13" x14ac:dyDescent="0.15">
      <c r="M666" s="165"/>
      <c r="N666" s="165"/>
      <c r="O666" s="165"/>
      <c r="P666" s="165"/>
      <c r="Q666" s="165"/>
      <c r="R666" s="165"/>
      <c r="S666" s="166"/>
      <c r="T666" s="165"/>
      <c r="U666" s="166"/>
      <c r="W666" s="166"/>
      <c r="X666" s="166"/>
      <c r="Y666" s="166"/>
      <c r="Z666" s="167"/>
      <c r="AA666" s="165"/>
      <c r="AB666" s="167"/>
      <c r="AC666" s="167"/>
      <c r="AD666" s="167"/>
      <c r="AE666" s="167"/>
      <c r="AF666" s="167"/>
      <c r="AG666" s="137"/>
      <c r="AH666" s="137"/>
      <c r="AI666" s="137"/>
    </row>
    <row r="667" spans="13:35" ht="13" x14ac:dyDescent="0.15">
      <c r="M667" s="165"/>
      <c r="N667" s="165"/>
      <c r="O667" s="165"/>
      <c r="P667" s="165"/>
      <c r="Q667" s="165"/>
      <c r="R667" s="165"/>
      <c r="S667" s="166"/>
      <c r="T667" s="165"/>
      <c r="U667" s="166"/>
      <c r="W667" s="166"/>
      <c r="X667" s="166"/>
      <c r="Y667" s="166"/>
      <c r="Z667" s="167"/>
      <c r="AA667" s="165"/>
      <c r="AB667" s="167"/>
      <c r="AC667" s="167"/>
      <c r="AD667" s="167"/>
      <c r="AE667" s="167"/>
      <c r="AF667" s="167"/>
      <c r="AG667" s="137"/>
      <c r="AH667" s="137"/>
      <c r="AI667" s="137"/>
    </row>
    <row r="668" spans="13:35" ht="13" x14ac:dyDescent="0.15">
      <c r="M668" s="165"/>
      <c r="N668" s="165"/>
      <c r="O668" s="165"/>
      <c r="P668" s="165"/>
      <c r="Q668" s="165"/>
      <c r="R668" s="165"/>
      <c r="S668" s="166"/>
      <c r="T668" s="165"/>
      <c r="U668" s="166"/>
      <c r="W668" s="166"/>
      <c r="X668" s="166"/>
      <c r="Y668" s="166"/>
      <c r="Z668" s="167"/>
      <c r="AA668" s="165"/>
      <c r="AB668" s="167"/>
      <c r="AC668" s="167"/>
      <c r="AD668" s="167"/>
      <c r="AE668" s="167"/>
      <c r="AF668" s="167"/>
      <c r="AG668" s="137"/>
      <c r="AH668" s="137"/>
      <c r="AI668" s="137"/>
    </row>
    <row r="669" spans="13:35" ht="13" x14ac:dyDescent="0.15">
      <c r="M669" s="165"/>
      <c r="N669" s="165"/>
      <c r="O669" s="165"/>
      <c r="P669" s="165"/>
      <c r="Q669" s="165"/>
      <c r="R669" s="165"/>
      <c r="S669" s="166"/>
      <c r="T669" s="165"/>
      <c r="U669" s="166"/>
      <c r="W669" s="166"/>
      <c r="X669" s="166"/>
      <c r="Y669" s="166"/>
      <c r="Z669" s="167"/>
      <c r="AA669" s="165"/>
      <c r="AB669" s="167"/>
      <c r="AC669" s="167"/>
      <c r="AD669" s="167"/>
      <c r="AE669" s="167"/>
      <c r="AF669" s="167"/>
      <c r="AG669" s="137"/>
      <c r="AH669" s="137"/>
      <c r="AI669" s="137"/>
    </row>
    <row r="670" spans="13:35" ht="13" x14ac:dyDescent="0.15">
      <c r="M670" s="165"/>
      <c r="N670" s="165"/>
      <c r="O670" s="165"/>
      <c r="P670" s="165"/>
      <c r="Q670" s="165"/>
      <c r="R670" s="165"/>
      <c r="S670" s="166"/>
      <c r="T670" s="165"/>
      <c r="U670" s="166"/>
      <c r="W670" s="166"/>
      <c r="X670" s="166"/>
      <c r="Y670" s="166"/>
      <c r="Z670" s="167"/>
      <c r="AA670" s="165"/>
      <c r="AB670" s="167"/>
      <c r="AC670" s="167"/>
      <c r="AD670" s="167"/>
      <c r="AE670" s="167"/>
      <c r="AF670" s="167"/>
      <c r="AG670" s="137"/>
      <c r="AH670" s="137"/>
      <c r="AI670" s="137"/>
    </row>
    <row r="671" spans="13:35" ht="13" x14ac:dyDescent="0.15">
      <c r="M671" s="165"/>
      <c r="N671" s="165"/>
      <c r="O671" s="165"/>
      <c r="P671" s="165"/>
      <c r="Q671" s="165"/>
      <c r="R671" s="165"/>
      <c r="S671" s="166"/>
      <c r="T671" s="165"/>
      <c r="U671" s="166"/>
      <c r="W671" s="166"/>
      <c r="X671" s="166"/>
      <c r="Y671" s="166"/>
      <c r="Z671" s="167"/>
      <c r="AA671" s="165"/>
      <c r="AB671" s="167"/>
      <c r="AC671" s="167"/>
      <c r="AD671" s="167"/>
      <c r="AE671" s="167"/>
      <c r="AF671" s="167"/>
      <c r="AG671" s="137"/>
      <c r="AH671" s="137"/>
      <c r="AI671" s="137"/>
    </row>
    <row r="672" spans="13:35" ht="13" x14ac:dyDescent="0.15">
      <c r="M672" s="165"/>
      <c r="N672" s="165"/>
      <c r="O672" s="165"/>
      <c r="P672" s="165"/>
      <c r="Q672" s="165"/>
      <c r="R672" s="165"/>
      <c r="S672" s="166"/>
      <c r="T672" s="165"/>
      <c r="U672" s="166"/>
      <c r="W672" s="166"/>
      <c r="X672" s="166"/>
      <c r="Y672" s="166"/>
      <c r="Z672" s="167"/>
      <c r="AA672" s="165"/>
      <c r="AB672" s="167"/>
      <c r="AC672" s="167"/>
      <c r="AD672" s="167"/>
      <c r="AE672" s="167"/>
      <c r="AF672" s="167"/>
      <c r="AG672" s="137"/>
      <c r="AH672" s="137"/>
      <c r="AI672" s="137"/>
    </row>
    <row r="673" spans="13:35" ht="13" x14ac:dyDescent="0.15">
      <c r="M673" s="165"/>
      <c r="N673" s="165"/>
      <c r="O673" s="165"/>
      <c r="P673" s="165"/>
      <c r="Q673" s="165"/>
      <c r="R673" s="165"/>
      <c r="S673" s="168"/>
      <c r="T673" s="165"/>
      <c r="U673" s="166"/>
      <c r="W673" s="166"/>
      <c r="X673" s="166"/>
      <c r="Y673" s="166"/>
      <c r="Z673" s="167"/>
      <c r="AA673" s="165"/>
      <c r="AB673" s="167"/>
      <c r="AC673" s="167"/>
      <c r="AD673" s="167"/>
      <c r="AE673" s="167"/>
      <c r="AF673" s="167"/>
      <c r="AG673" s="137"/>
      <c r="AH673" s="137"/>
      <c r="AI673" s="137"/>
    </row>
    <row r="674" spans="13:35" ht="13" x14ac:dyDescent="0.15">
      <c r="M674" s="165"/>
      <c r="N674" s="165"/>
      <c r="O674" s="165"/>
      <c r="P674" s="165"/>
      <c r="Q674" s="165"/>
      <c r="R674" s="165"/>
      <c r="S674" s="168"/>
      <c r="T674" s="165"/>
      <c r="U674" s="166"/>
      <c r="W674" s="166"/>
      <c r="X674" s="166"/>
      <c r="Y674" s="166"/>
      <c r="Z674" s="167"/>
      <c r="AA674" s="165"/>
      <c r="AB674" s="167"/>
      <c r="AC674" s="167"/>
      <c r="AD674" s="167"/>
      <c r="AE674" s="167"/>
      <c r="AF674" s="167"/>
      <c r="AG674" s="137"/>
      <c r="AH674" s="137"/>
      <c r="AI674" s="137"/>
    </row>
    <row r="675" spans="13:35" ht="13" x14ac:dyDescent="0.15">
      <c r="M675" s="165"/>
      <c r="N675" s="165"/>
      <c r="O675" s="165"/>
      <c r="P675" s="165"/>
      <c r="Q675" s="165"/>
      <c r="R675" s="165"/>
      <c r="S675" s="168"/>
      <c r="T675" s="165"/>
      <c r="U675" s="166"/>
      <c r="W675" s="166"/>
      <c r="X675" s="166"/>
      <c r="Y675" s="166"/>
      <c r="Z675" s="167"/>
      <c r="AA675" s="165"/>
      <c r="AB675" s="167"/>
      <c r="AC675" s="167"/>
      <c r="AD675" s="167"/>
      <c r="AE675" s="167"/>
      <c r="AF675" s="167"/>
      <c r="AG675" s="137"/>
      <c r="AH675" s="137"/>
      <c r="AI675" s="137"/>
    </row>
    <row r="676" spans="13:35" ht="13" x14ac:dyDescent="0.15">
      <c r="M676" s="165"/>
      <c r="N676" s="165"/>
      <c r="O676" s="165"/>
      <c r="P676" s="165"/>
      <c r="Q676" s="165"/>
      <c r="R676" s="165"/>
      <c r="S676" s="166"/>
      <c r="T676" s="165"/>
      <c r="U676" s="166"/>
      <c r="W676" s="166"/>
      <c r="X676" s="166"/>
      <c r="Y676" s="166"/>
      <c r="Z676" s="167"/>
      <c r="AA676" s="165"/>
      <c r="AB676" s="167"/>
      <c r="AC676" s="167"/>
      <c r="AD676" s="167"/>
      <c r="AE676" s="167"/>
      <c r="AF676" s="167"/>
      <c r="AG676" s="137"/>
    </row>
    <row r="677" spans="13:35" ht="13" x14ac:dyDescent="0.15">
      <c r="M677" s="165"/>
      <c r="N677" s="165"/>
      <c r="O677" s="165"/>
      <c r="P677" s="165"/>
      <c r="Q677" s="165"/>
      <c r="R677" s="165"/>
      <c r="S677" s="166"/>
      <c r="T677" s="165"/>
      <c r="U677" s="166"/>
      <c r="W677" s="166"/>
      <c r="X677" s="166"/>
      <c r="Y677" s="166"/>
      <c r="Z677" s="167"/>
      <c r="AA677" s="165"/>
      <c r="AB677" s="167"/>
      <c r="AC677" s="167"/>
      <c r="AD677" s="167"/>
      <c r="AE677" s="167"/>
      <c r="AF677" s="167"/>
      <c r="AG677" s="137"/>
    </row>
    <row r="678" spans="13:35" ht="13" x14ac:dyDescent="0.15">
      <c r="M678" s="165"/>
      <c r="N678" s="165"/>
      <c r="O678" s="165"/>
      <c r="P678" s="165"/>
      <c r="Q678" s="165"/>
      <c r="R678" s="165"/>
      <c r="S678" s="166"/>
      <c r="T678" s="165"/>
      <c r="U678" s="166"/>
      <c r="W678" s="166"/>
      <c r="X678" s="166"/>
      <c r="Y678" s="166"/>
      <c r="Z678" s="167"/>
      <c r="AA678" s="165"/>
      <c r="AB678" s="167"/>
      <c r="AC678" s="167"/>
      <c r="AD678" s="167"/>
      <c r="AE678" s="167"/>
      <c r="AF678" s="167"/>
      <c r="AG678" s="137"/>
    </row>
    <row r="679" spans="13:35" ht="13" x14ac:dyDescent="0.15">
      <c r="M679" s="165"/>
      <c r="N679" s="165"/>
      <c r="O679" s="165"/>
      <c r="P679" s="165"/>
      <c r="Q679" s="165"/>
      <c r="R679" s="165"/>
      <c r="S679" s="166"/>
      <c r="T679" s="165"/>
      <c r="U679" s="166"/>
      <c r="W679" s="166"/>
      <c r="X679" s="166"/>
      <c r="Y679" s="166"/>
      <c r="Z679" s="167"/>
      <c r="AA679" s="165"/>
      <c r="AB679" s="167"/>
      <c r="AC679" s="167"/>
      <c r="AD679" s="167"/>
      <c r="AE679" s="167"/>
      <c r="AF679" s="167"/>
      <c r="AG679" s="137"/>
      <c r="AH679" s="137"/>
      <c r="AI679" s="137"/>
    </row>
    <row r="680" spans="13:35" ht="13" x14ac:dyDescent="0.15">
      <c r="M680" s="165"/>
      <c r="N680" s="165"/>
      <c r="O680" s="165"/>
      <c r="P680" s="165"/>
      <c r="Q680" s="165"/>
      <c r="R680" s="165"/>
      <c r="S680" s="166"/>
      <c r="T680" s="165"/>
      <c r="U680" s="166"/>
      <c r="W680" s="166"/>
      <c r="X680" s="166"/>
      <c r="Y680" s="166"/>
      <c r="Z680" s="167"/>
      <c r="AA680" s="165"/>
      <c r="AB680" s="167"/>
      <c r="AC680" s="167"/>
      <c r="AD680" s="167"/>
      <c r="AE680" s="167"/>
      <c r="AF680" s="167"/>
      <c r="AG680" s="137"/>
      <c r="AH680" s="137"/>
      <c r="AI680" s="137"/>
    </row>
    <row r="681" spans="13:35" ht="13" x14ac:dyDescent="0.15">
      <c r="M681" s="165"/>
      <c r="N681" s="165"/>
      <c r="O681" s="165"/>
      <c r="P681" s="165"/>
      <c r="Q681" s="165"/>
      <c r="R681" s="165"/>
      <c r="S681" s="166"/>
      <c r="T681" s="165"/>
      <c r="U681" s="166"/>
      <c r="W681" s="166"/>
      <c r="X681" s="166"/>
      <c r="Y681" s="166"/>
      <c r="Z681" s="167"/>
      <c r="AA681" s="165"/>
      <c r="AB681" s="167"/>
      <c r="AC681" s="167"/>
      <c r="AD681" s="167"/>
      <c r="AE681" s="167"/>
      <c r="AF681" s="167"/>
      <c r="AG681" s="137"/>
    </row>
    <row r="682" spans="13:35" ht="13" x14ac:dyDescent="0.15">
      <c r="M682" s="165"/>
      <c r="N682" s="165"/>
      <c r="O682" s="165"/>
      <c r="P682" s="165"/>
      <c r="Q682" s="165"/>
      <c r="R682" s="165"/>
      <c r="S682" s="166"/>
      <c r="T682" s="165"/>
      <c r="U682" s="166"/>
      <c r="W682" s="166"/>
      <c r="X682" s="166"/>
      <c r="Y682" s="166"/>
      <c r="Z682" s="167"/>
      <c r="AA682" s="165"/>
      <c r="AB682" s="167"/>
      <c r="AC682" s="167"/>
      <c r="AD682" s="167"/>
      <c r="AE682" s="167"/>
      <c r="AF682" s="167"/>
      <c r="AG682" s="137"/>
    </row>
    <row r="683" spans="13:35" ht="13" x14ac:dyDescent="0.15">
      <c r="M683" s="165"/>
      <c r="N683" s="165"/>
      <c r="O683" s="165"/>
      <c r="P683" s="165"/>
      <c r="Q683" s="165"/>
      <c r="R683" s="165"/>
      <c r="S683" s="166"/>
      <c r="T683" s="165"/>
      <c r="U683" s="166"/>
      <c r="W683" s="166"/>
      <c r="X683" s="166"/>
      <c r="Y683" s="166"/>
      <c r="Z683" s="167"/>
      <c r="AA683" s="165"/>
      <c r="AB683" s="167"/>
      <c r="AC683" s="167"/>
      <c r="AD683" s="167"/>
      <c r="AE683" s="167"/>
      <c r="AF683" s="167"/>
      <c r="AG683" s="137"/>
      <c r="AH683" s="137"/>
      <c r="AI683" s="137"/>
    </row>
    <row r="684" spans="13:35" ht="13" x14ac:dyDescent="0.15">
      <c r="M684" s="165"/>
      <c r="N684" s="165"/>
      <c r="O684" s="165"/>
      <c r="P684" s="165"/>
      <c r="Q684" s="165"/>
      <c r="R684" s="165"/>
      <c r="S684" s="166"/>
      <c r="T684" s="165"/>
      <c r="U684" s="166"/>
      <c r="W684" s="166"/>
      <c r="X684" s="166"/>
      <c r="Y684" s="166"/>
      <c r="Z684" s="167"/>
      <c r="AA684" s="165"/>
      <c r="AB684" s="167"/>
      <c r="AC684" s="167"/>
      <c r="AD684" s="167"/>
      <c r="AE684" s="167"/>
      <c r="AF684" s="167"/>
      <c r="AG684" s="137"/>
      <c r="AH684" s="137"/>
      <c r="AI684" s="137"/>
    </row>
    <row r="685" spans="13:35" ht="13" x14ac:dyDescent="0.15">
      <c r="M685" s="165"/>
      <c r="N685" s="165"/>
      <c r="O685" s="165"/>
      <c r="P685" s="165"/>
      <c r="Q685" s="165"/>
      <c r="R685" s="165"/>
      <c r="S685" s="166"/>
      <c r="T685" s="165"/>
      <c r="U685" s="166"/>
      <c r="W685" s="166"/>
      <c r="X685" s="166"/>
      <c r="Y685" s="166"/>
      <c r="Z685" s="167"/>
      <c r="AA685" s="165"/>
      <c r="AB685" s="167"/>
      <c r="AC685" s="167"/>
      <c r="AD685" s="167"/>
      <c r="AE685" s="167"/>
      <c r="AF685" s="167"/>
      <c r="AG685" s="137"/>
      <c r="AH685" s="137"/>
      <c r="AI685" s="137"/>
    </row>
    <row r="686" spans="13:35" ht="13" x14ac:dyDescent="0.15">
      <c r="M686" s="165"/>
      <c r="N686" s="165"/>
      <c r="O686" s="165"/>
      <c r="P686" s="165"/>
      <c r="Q686" s="165"/>
      <c r="R686" s="165"/>
      <c r="S686" s="166"/>
      <c r="T686" s="165"/>
      <c r="U686" s="166"/>
      <c r="W686" s="166"/>
      <c r="X686" s="166"/>
      <c r="Y686" s="166"/>
      <c r="Z686" s="167"/>
      <c r="AA686" s="165"/>
      <c r="AB686" s="167"/>
      <c r="AC686" s="167"/>
      <c r="AD686" s="167"/>
      <c r="AE686" s="167"/>
      <c r="AF686" s="167"/>
      <c r="AG686" s="137"/>
      <c r="AH686" s="137"/>
      <c r="AI686" s="137"/>
    </row>
    <row r="687" spans="13:35" ht="13" x14ac:dyDescent="0.15">
      <c r="M687" s="165"/>
      <c r="N687" s="165"/>
      <c r="O687" s="165"/>
      <c r="P687" s="165"/>
      <c r="Q687" s="165"/>
      <c r="R687" s="165"/>
      <c r="S687" s="166"/>
      <c r="T687" s="165"/>
      <c r="U687" s="166"/>
      <c r="W687" s="166"/>
      <c r="X687" s="166"/>
      <c r="Y687" s="166"/>
      <c r="Z687" s="167"/>
      <c r="AA687" s="165"/>
      <c r="AB687" s="167"/>
      <c r="AC687" s="167"/>
      <c r="AD687" s="167"/>
      <c r="AE687" s="167"/>
      <c r="AF687" s="167"/>
      <c r="AG687" s="137"/>
      <c r="AH687" s="137"/>
      <c r="AI687" s="137"/>
    </row>
    <row r="688" spans="13:35" ht="13" x14ac:dyDescent="0.15">
      <c r="M688" s="165"/>
      <c r="N688" s="165"/>
      <c r="O688" s="165"/>
      <c r="P688" s="165"/>
      <c r="Q688" s="165"/>
      <c r="R688" s="165"/>
      <c r="S688" s="166"/>
      <c r="T688" s="165"/>
      <c r="U688" s="166"/>
      <c r="W688" s="166"/>
      <c r="X688" s="166"/>
      <c r="Y688" s="166"/>
      <c r="Z688" s="167"/>
      <c r="AA688" s="165"/>
      <c r="AB688" s="167"/>
      <c r="AC688" s="167"/>
      <c r="AD688" s="167"/>
      <c r="AE688" s="167"/>
      <c r="AF688" s="167"/>
      <c r="AG688" s="137"/>
      <c r="AH688" s="137"/>
      <c r="AI688" s="137"/>
    </row>
    <row r="689" spans="13:35" ht="13" x14ac:dyDescent="0.15">
      <c r="M689" s="165"/>
      <c r="N689" s="165"/>
      <c r="O689" s="165"/>
      <c r="P689" s="165"/>
      <c r="Q689" s="165"/>
      <c r="R689" s="165"/>
      <c r="S689" s="166"/>
      <c r="T689" s="165"/>
      <c r="U689" s="166"/>
      <c r="W689" s="166"/>
      <c r="X689" s="166"/>
      <c r="Y689" s="166"/>
      <c r="Z689" s="167"/>
      <c r="AA689" s="165"/>
      <c r="AB689" s="167"/>
      <c r="AC689" s="167"/>
      <c r="AD689" s="167"/>
      <c r="AE689" s="167"/>
      <c r="AF689" s="167"/>
      <c r="AG689" s="137"/>
      <c r="AH689" s="137"/>
      <c r="AI689" s="137"/>
    </row>
    <row r="690" spans="13:35" ht="13" x14ac:dyDescent="0.15">
      <c r="M690" s="165"/>
      <c r="N690" s="165"/>
      <c r="O690" s="165"/>
      <c r="P690" s="165"/>
      <c r="Q690" s="165"/>
      <c r="R690" s="165"/>
      <c r="S690" s="166"/>
      <c r="T690" s="165"/>
      <c r="U690" s="166"/>
      <c r="W690" s="166"/>
      <c r="X690" s="166"/>
      <c r="Y690" s="166"/>
      <c r="Z690" s="167"/>
      <c r="AA690" s="165"/>
      <c r="AB690" s="167"/>
      <c r="AC690" s="167"/>
      <c r="AD690" s="167"/>
      <c r="AE690" s="167"/>
      <c r="AF690" s="167"/>
      <c r="AG690" s="137"/>
      <c r="AH690" s="137"/>
      <c r="AI690" s="137"/>
    </row>
    <row r="691" spans="13:35" ht="13" x14ac:dyDescent="0.15">
      <c r="M691" s="165"/>
      <c r="N691" s="165"/>
      <c r="O691" s="165"/>
      <c r="P691" s="165"/>
      <c r="Q691" s="165"/>
      <c r="R691" s="165"/>
      <c r="S691" s="166"/>
      <c r="T691" s="165"/>
      <c r="U691" s="166"/>
      <c r="W691" s="166"/>
      <c r="X691" s="166"/>
      <c r="Y691" s="166"/>
      <c r="Z691" s="167"/>
      <c r="AA691" s="165"/>
      <c r="AB691" s="167"/>
      <c r="AC691" s="167"/>
      <c r="AD691" s="167"/>
      <c r="AE691" s="167"/>
      <c r="AF691" s="167"/>
      <c r="AG691" s="137"/>
      <c r="AH691" s="137"/>
      <c r="AI691" s="137"/>
    </row>
    <row r="692" spans="13:35" ht="13" x14ac:dyDescent="0.15">
      <c r="M692" s="165"/>
      <c r="N692" s="165"/>
      <c r="O692" s="165"/>
      <c r="P692" s="165"/>
      <c r="Q692" s="165"/>
      <c r="R692" s="165"/>
      <c r="S692" s="166"/>
      <c r="T692" s="165"/>
      <c r="U692" s="166"/>
      <c r="W692" s="166"/>
      <c r="X692" s="166"/>
      <c r="Y692" s="166"/>
      <c r="Z692" s="167"/>
      <c r="AA692" s="165"/>
      <c r="AB692" s="167"/>
      <c r="AC692" s="167"/>
      <c r="AD692" s="167"/>
      <c r="AE692" s="167"/>
      <c r="AF692" s="167"/>
      <c r="AG692" s="137"/>
      <c r="AH692" s="137"/>
      <c r="AI692" s="137"/>
    </row>
    <row r="693" spans="13:35" ht="13" x14ac:dyDescent="0.15">
      <c r="M693" s="165"/>
      <c r="N693" s="165"/>
      <c r="O693" s="165"/>
      <c r="P693" s="165"/>
      <c r="Q693" s="165"/>
      <c r="R693" s="165"/>
      <c r="S693" s="166"/>
      <c r="T693" s="165"/>
      <c r="U693" s="166"/>
      <c r="W693" s="166"/>
      <c r="X693" s="166"/>
      <c r="Y693" s="166"/>
      <c r="Z693" s="167"/>
      <c r="AA693" s="165"/>
      <c r="AB693" s="167"/>
      <c r="AC693" s="167"/>
      <c r="AD693" s="167"/>
      <c r="AE693" s="167"/>
      <c r="AF693" s="167"/>
      <c r="AG693" s="137"/>
      <c r="AH693" s="137"/>
      <c r="AI693" s="137"/>
    </row>
    <row r="694" spans="13:35" ht="13" x14ac:dyDescent="0.15">
      <c r="M694" s="165"/>
      <c r="N694" s="165"/>
      <c r="O694" s="165"/>
      <c r="P694" s="165"/>
      <c r="Q694" s="165"/>
      <c r="R694" s="165"/>
      <c r="S694" s="166"/>
      <c r="T694" s="165"/>
      <c r="U694" s="166"/>
      <c r="W694" s="166"/>
      <c r="X694" s="166"/>
      <c r="Y694" s="166"/>
      <c r="Z694" s="167"/>
      <c r="AA694" s="165"/>
      <c r="AB694" s="167"/>
      <c r="AC694" s="167"/>
      <c r="AD694" s="167"/>
      <c r="AE694" s="167"/>
      <c r="AF694" s="167"/>
      <c r="AG694" s="137"/>
      <c r="AH694" s="137"/>
      <c r="AI694" s="137"/>
    </row>
    <row r="695" spans="13:35" ht="13" x14ac:dyDescent="0.15">
      <c r="M695" s="165"/>
      <c r="N695" s="165"/>
      <c r="O695" s="165"/>
      <c r="P695" s="165"/>
      <c r="Q695" s="165"/>
      <c r="R695" s="165"/>
      <c r="S695" s="166"/>
      <c r="T695" s="165"/>
      <c r="U695" s="166"/>
      <c r="W695" s="166"/>
      <c r="X695" s="166"/>
      <c r="Y695" s="166"/>
      <c r="Z695" s="167"/>
      <c r="AA695" s="165"/>
      <c r="AB695" s="167"/>
      <c r="AC695" s="167"/>
      <c r="AD695" s="167"/>
      <c r="AE695" s="167"/>
      <c r="AF695" s="167"/>
      <c r="AG695" s="137"/>
      <c r="AH695" s="137"/>
      <c r="AI695" s="137"/>
    </row>
    <row r="696" spans="13:35" ht="13" x14ac:dyDescent="0.15">
      <c r="M696" s="165"/>
      <c r="N696" s="165"/>
      <c r="O696" s="165"/>
      <c r="P696" s="165"/>
      <c r="Q696" s="165"/>
      <c r="R696" s="165"/>
      <c r="S696" s="166"/>
      <c r="T696" s="165"/>
      <c r="U696" s="166"/>
      <c r="W696" s="166"/>
      <c r="X696" s="166"/>
      <c r="Y696" s="166"/>
      <c r="Z696" s="167"/>
      <c r="AA696" s="165"/>
      <c r="AB696" s="167"/>
      <c r="AC696" s="167"/>
      <c r="AD696" s="167"/>
      <c r="AE696" s="167"/>
      <c r="AF696" s="167"/>
      <c r="AG696" s="137"/>
      <c r="AH696" s="137"/>
      <c r="AI696" s="137"/>
    </row>
    <row r="697" spans="13:35" ht="13" x14ac:dyDescent="0.15">
      <c r="M697" s="165"/>
      <c r="N697" s="165"/>
      <c r="O697" s="165"/>
      <c r="P697" s="165"/>
      <c r="Q697" s="165"/>
      <c r="R697" s="165"/>
      <c r="S697" s="166"/>
      <c r="T697" s="165"/>
      <c r="U697" s="166"/>
      <c r="W697" s="166"/>
      <c r="X697" s="166"/>
      <c r="Y697" s="166"/>
      <c r="Z697" s="167"/>
      <c r="AA697" s="165"/>
      <c r="AB697" s="167"/>
      <c r="AC697" s="167"/>
      <c r="AD697" s="167"/>
      <c r="AE697" s="167"/>
      <c r="AF697" s="167"/>
      <c r="AG697" s="137"/>
      <c r="AH697" s="137"/>
      <c r="AI697" s="137"/>
    </row>
    <row r="698" spans="13:35" ht="13" x14ac:dyDescent="0.15">
      <c r="M698" s="165"/>
      <c r="N698" s="165"/>
      <c r="O698" s="165"/>
      <c r="P698" s="165"/>
      <c r="Q698" s="165"/>
      <c r="R698" s="165"/>
      <c r="S698" s="166"/>
      <c r="T698" s="165"/>
      <c r="U698" s="166"/>
      <c r="W698" s="166"/>
      <c r="X698" s="166"/>
      <c r="Y698" s="166"/>
      <c r="Z698" s="167"/>
      <c r="AA698" s="165"/>
      <c r="AB698" s="167"/>
      <c r="AC698" s="167"/>
      <c r="AD698" s="167"/>
      <c r="AE698" s="167"/>
      <c r="AF698" s="167"/>
      <c r="AG698" s="137"/>
      <c r="AH698" s="137"/>
      <c r="AI698" s="137"/>
    </row>
    <row r="699" spans="13:35" ht="13" x14ac:dyDescent="0.15">
      <c r="M699" s="165"/>
      <c r="N699" s="165"/>
      <c r="O699" s="165"/>
      <c r="P699" s="165"/>
      <c r="Q699" s="165"/>
      <c r="R699" s="165"/>
      <c r="S699" s="166"/>
      <c r="T699" s="165"/>
      <c r="U699" s="166"/>
      <c r="W699" s="166"/>
      <c r="X699" s="166"/>
      <c r="Y699" s="166"/>
      <c r="Z699" s="167"/>
      <c r="AA699" s="165"/>
      <c r="AB699" s="167"/>
      <c r="AC699" s="167"/>
      <c r="AD699" s="167"/>
      <c r="AE699" s="167"/>
      <c r="AF699" s="167"/>
      <c r="AG699" s="137"/>
      <c r="AH699" s="137"/>
      <c r="AI699" s="137"/>
    </row>
    <row r="700" spans="13:35" ht="13" x14ac:dyDescent="0.15">
      <c r="M700" s="165"/>
      <c r="N700" s="165"/>
      <c r="O700" s="165"/>
      <c r="P700" s="165"/>
      <c r="Q700" s="165"/>
      <c r="R700" s="165"/>
      <c r="S700" s="166"/>
      <c r="T700" s="165"/>
      <c r="U700" s="166"/>
      <c r="W700" s="166"/>
      <c r="X700" s="166"/>
      <c r="Y700" s="166"/>
      <c r="Z700" s="167"/>
      <c r="AA700" s="165"/>
      <c r="AB700" s="167"/>
      <c r="AC700" s="167"/>
      <c r="AD700" s="167"/>
      <c r="AE700" s="167"/>
      <c r="AF700" s="167"/>
      <c r="AG700" s="137"/>
      <c r="AH700" s="137"/>
      <c r="AI700" s="137"/>
    </row>
    <row r="701" spans="13:35" ht="13" x14ac:dyDescent="0.15">
      <c r="M701" s="165"/>
      <c r="N701" s="165"/>
      <c r="O701" s="165"/>
      <c r="P701" s="165"/>
      <c r="Q701" s="165"/>
      <c r="R701" s="165"/>
      <c r="S701" s="166"/>
      <c r="T701" s="165"/>
      <c r="U701" s="166"/>
      <c r="W701" s="166"/>
      <c r="X701" s="166"/>
      <c r="Y701" s="166"/>
      <c r="Z701" s="167"/>
      <c r="AA701" s="165"/>
      <c r="AB701" s="167"/>
      <c r="AC701" s="167"/>
      <c r="AD701" s="167"/>
      <c r="AE701" s="167"/>
      <c r="AF701" s="167"/>
      <c r="AG701" s="137"/>
      <c r="AH701" s="137"/>
      <c r="AI701" s="137"/>
    </row>
    <row r="702" spans="13:35" ht="13" x14ac:dyDescent="0.15">
      <c r="M702" s="165"/>
      <c r="N702" s="165"/>
      <c r="O702" s="165"/>
      <c r="P702" s="165"/>
      <c r="Q702" s="165"/>
      <c r="R702" s="165"/>
      <c r="S702" s="166"/>
      <c r="T702" s="165"/>
      <c r="U702" s="166"/>
      <c r="W702" s="166"/>
      <c r="X702" s="166"/>
      <c r="Y702" s="166"/>
      <c r="Z702" s="167"/>
      <c r="AA702" s="165"/>
      <c r="AB702" s="167"/>
      <c r="AC702" s="167"/>
      <c r="AD702" s="167"/>
      <c r="AE702" s="167"/>
      <c r="AF702" s="167"/>
      <c r="AG702" s="137"/>
      <c r="AH702" s="137"/>
      <c r="AI702" s="137"/>
    </row>
    <row r="703" spans="13:35" ht="13" x14ac:dyDescent="0.15">
      <c r="M703" s="165"/>
      <c r="N703" s="165"/>
      <c r="O703" s="165"/>
      <c r="P703" s="165"/>
      <c r="Q703" s="165"/>
      <c r="R703" s="165"/>
      <c r="S703" s="166"/>
      <c r="T703" s="165"/>
      <c r="U703" s="166"/>
      <c r="W703" s="166"/>
      <c r="X703" s="166"/>
      <c r="Y703" s="166"/>
      <c r="Z703" s="167"/>
      <c r="AA703" s="165"/>
      <c r="AB703" s="167"/>
      <c r="AC703" s="167"/>
      <c r="AD703" s="167"/>
      <c r="AE703" s="167"/>
      <c r="AF703" s="167"/>
      <c r="AG703" s="137"/>
      <c r="AH703" s="137"/>
      <c r="AI703" s="137"/>
    </row>
    <row r="704" spans="13:35" ht="13" x14ac:dyDescent="0.15">
      <c r="M704" s="165"/>
      <c r="N704" s="165"/>
      <c r="O704" s="165"/>
      <c r="P704" s="165"/>
      <c r="Q704" s="165"/>
      <c r="R704" s="165"/>
      <c r="S704" s="166"/>
      <c r="T704" s="165"/>
      <c r="U704" s="166"/>
      <c r="W704" s="166"/>
      <c r="X704" s="166"/>
      <c r="Y704" s="166"/>
      <c r="Z704" s="167"/>
      <c r="AA704" s="165"/>
      <c r="AB704" s="167"/>
      <c r="AC704" s="167"/>
      <c r="AD704" s="167"/>
      <c r="AE704" s="167"/>
      <c r="AF704" s="167"/>
      <c r="AG704" s="137"/>
    </row>
    <row r="705" spans="13:35" ht="13" x14ac:dyDescent="0.15">
      <c r="M705" s="165"/>
      <c r="N705" s="165"/>
      <c r="O705" s="165"/>
      <c r="P705" s="165"/>
      <c r="Q705" s="165"/>
      <c r="R705" s="165"/>
      <c r="S705" s="166"/>
      <c r="T705" s="165"/>
      <c r="U705" s="166"/>
      <c r="W705" s="166"/>
      <c r="X705" s="166"/>
      <c r="Y705" s="166"/>
      <c r="Z705" s="167"/>
      <c r="AA705" s="165"/>
      <c r="AB705" s="167"/>
      <c r="AC705" s="167"/>
      <c r="AD705" s="167"/>
      <c r="AE705" s="167"/>
      <c r="AF705" s="167"/>
      <c r="AG705" s="137"/>
    </row>
    <row r="706" spans="13:35" ht="13" x14ac:dyDescent="0.15">
      <c r="M706" s="165"/>
      <c r="N706" s="165"/>
      <c r="O706" s="165"/>
      <c r="P706" s="165"/>
      <c r="Q706" s="165"/>
      <c r="R706" s="165"/>
      <c r="S706" s="166"/>
      <c r="T706" s="165"/>
      <c r="U706" s="166"/>
      <c r="W706" s="166"/>
      <c r="X706" s="166"/>
      <c r="Y706" s="166"/>
      <c r="Z706" s="167"/>
      <c r="AA706" s="165"/>
      <c r="AB706" s="167"/>
      <c r="AC706" s="167"/>
      <c r="AD706" s="167"/>
      <c r="AE706" s="167"/>
      <c r="AF706" s="167"/>
      <c r="AG706" s="137"/>
    </row>
    <row r="707" spans="13:35" ht="13" x14ac:dyDescent="0.15">
      <c r="M707" s="165"/>
      <c r="N707" s="165"/>
      <c r="O707" s="165"/>
      <c r="P707" s="165"/>
      <c r="Q707" s="165"/>
      <c r="R707" s="165"/>
      <c r="S707" s="166"/>
      <c r="T707" s="165"/>
      <c r="U707" s="166"/>
      <c r="W707" s="166"/>
      <c r="X707" s="166"/>
      <c r="Y707" s="166"/>
      <c r="Z707" s="167"/>
      <c r="AA707" s="165"/>
      <c r="AB707" s="167"/>
      <c r="AC707" s="167"/>
      <c r="AD707" s="167"/>
      <c r="AE707" s="167"/>
      <c r="AF707" s="167"/>
      <c r="AG707" s="137"/>
    </row>
    <row r="708" spans="13:35" ht="13" x14ac:dyDescent="0.15">
      <c r="M708" s="165"/>
      <c r="N708" s="165"/>
      <c r="O708" s="165"/>
      <c r="P708" s="165"/>
      <c r="Q708" s="165"/>
      <c r="R708" s="165"/>
      <c r="S708" s="166"/>
      <c r="T708" s="165"/>
      <c r="U708" s="166"/>
      <c r="W708" s="166"/>
      <c r="X708" s="166"/>
      <c r="Y708" s="166"/>
      <c r="Z708" s="167"/>
      <c r="AA708" s="165"/>
      <c r="AB708" s="167"/>
      <c r="AC708" s="167"/>
      <c r="AD708" s="167"/>
      <c r="AE708" s="167"/>
      <c r="AF708" s="167"/>
      <c r="AG708" s="137"/>
    </row>
    <row r="709" spans="13:35" ht="13" x14ac:dyDescent="0.15">
      <c r="M709" s="165"/>
      <c r="N709" s="165"/>
      <c r="O709" s="165"/>
      <c r="P709" s="165"/>
      <c r="Q709" s="165"/>
      <c r="R709" s="165"/>
      <c r="S709" s="166"/>
      <c r="T709" s="165"/>
      <c r="U709" s="166"/>
      <c r="W709" s="166"/>
      <c r="X709" s="166"/>
      <c r="Y709" s="166"/>
      <c r="Z709" s="167"/>
      <c r="AA709" s="165"/>
      <c r="AB709" s="167"/>
      <c r="AC709" s="167"/>
      <c r="AD709" s="167"/>
      <c r="AE709" s="167"/>
      <c r="AF709" s="167"/>
      <c r="AG709" s="137"/>
      <c r="AH709" s="137"/>
      <c r="AI709" s="137"/>
    </row>
    <row r="710" spans="13:35" ht="13" x14ac:dyDescent="0.15">
      <c r="M710" s="165"/>
      <c r="N710" s="165"/>
      <c r="O710" s="165"/>
      <c r="P710" s="165"/>
      <c r="Q710" s="165"/>
      <c r="R710" s="165"/>
      <c r="S710" s="166"/>
      <c r="T710" s="165"/>
      <c r="U710" s="166"/>
      <c r="W710" s="166"/>
      <c r="X710" s="166"/>
      <c r="Y710" s="166"/>
      <c r="Z710" s="167"/>
      <c r="AA710" s="165"/>
      <c r="AB710" s="167"/>
      <c r="AC710" s="167"/>
      <c r="AD710" s="167"/>
      <c r="AE710" s="167"/>
      <c r="AF710" s="167"/>
      <c r="AG710" s="137"/>
    </row>
    <row r="711" spans="13:35" ht="13" x14ac:dyDescent="0.15">
      <c r="M711" s="165"/>
      <c r="N711" s="165"/>
      <c r="O711" s="165"/>
      <c r="P711" s="165"/>
      <c r="Q711" s="165"/>
      <c r="R711" s="165"/>
      <c r="S711" s="166"/>
      <c r="T711" s="165"/>
      <c r="U711" s="166"/>
      <c r="W711" s="166"/>
      <c r="X711" s="166"/>
      <c r="Y711" s="166"/>
      <c r="Z711" s="167"/>
      <c r="AA711" s="165"/>
      <c r="AB711" s="167"/>
      <c r="AC711" s="167"/>
      <c r="AD711" s="167"/>
      <c r="AE711" s="167"/>
      <c r="AF711" s="167"/>
      <c r="AG711" s="137"/>
      <c r="AH711" s="137"/>
      <c r="AI711" s="137"/>
    </row>
    <row r="712" spans="13:35" ht="13" x14ac:dyDescent="0.15">
      <c r="M712" s="165"/>
      <c r="N712" s="165"/>
      <c r="O712" s="165"/>
      <c r="P712" s="165"/>
      <c r="Q712" s="165"/>
      <c r="R712" s="165"/>
      <c r="S712" s="166"/>
      <c r="T712" s="165"/>
      <c r="U712" s="166"/>
      <c r="W712" s="166"/>
      <c r="X712" s="166"/>
      <c r="Y712" s="166"/>
      <c r="Z712" s="167"/>
      <c r="AA712" s="165"/>
      <c r="AB712" s="167"/>
      <c r="AC712" s="167"/>
      <c r="AD712" s="167"/>
      <c r="AE712" s="167"/>
      <c r="AF712" s="167"/>
      <c r="AG712" s="137"/>
    </row>
    <row r="713" spans="13:35" ht="13" x14ac:dyDescent="0.15">
      <c r="M713" s="165"/>
      <c r="N713" s="165"/>
      <c r="O713" s="165"/>
      <c r="P713" s="165"/>
      <c r="Q713" s="165"/>
      <c r="R713" s="165"/>
      <c r="S713" s="166"/>
      <c r="T713" s="165"/>
      <c r="U713" s="166"/>
      <c r="W713" s="166"/>
      <c r="X713" s="166"/>
      <c r="Y713" s="166"/>
      <c r="Z713" s="167"/>
      <c r="AA713" s="165"/>
      <c r="AB713" s="167"/>
      <c r="AC713" s="167"/>
      <c r="AD713" s="167"/>
      <c r="AE713" s="167"/>
      <c r="AF713" s="167"/>
      <c r="AG713" s="137"/>
    </row>
    <row r="714" spans="13:35" ht="13" x14ac:dyDescent="0.15">
      <c r="M714" s="165"/>
      <c r="N714" s="165"/>
      <c r="O714" s="165"/>
      <c r="P714" s="165"/>
      <c r="Q714" s="165"/>
      <c r="R714" s="165"/>
      <c r="S714" s="166"/>
      <c r="T714" s="165"/>
      <c r="U714" s="166"/>
      <c r="W714" s="166"/>
      <c r="X714" s="166"/>
      <c r="Y714" s="166"/>
      <c r="Z714" s="167"/>
      <c r="AA714" s="165"/>
      <c r="AB714" s="167"/>
      <c r="AC714" s="167"/>
      <c r="AD714" s="167"/>
      <c r="AE714" s="167"/>
      <c r="AF714" s="167"/>
      <c r="AG714" s="137"/>
    </row>
    <row r="715" spans="13:35" ht="13" x14ac:dyDescent="0.15">
      <c r="M715" s="165"/>
      <c r="N715" s="165"/>
      <c r="O715" s="165"/>
      <c r="P715" s="165"/>
      <c r="Q715" s="165"/>
      <c r="R715" s="165"/>
      <c r="S715" s="166"/>
      <c r="T715" s="165"/>
      <c r="U715" s="166"/>
      <c r="W715" s="166"/>
      <c r="X715" s="166"/>
      <c r="Y715" s="166"/>
      <c r="Z715" s="167"/>
      <c r="AA715" s="165"/>
      <c r="AB715" s="167"/>
      <c r="AC715" s="167"/>
      <c r="AD715" s="167"/>
      <c r="AE715" s="167"/>
      <c r="AF715" s="167"/>
      <c r="AG715" s="137"/>
      <c r="AH715" s="137"/>
      <c r="AI715" s="137"/>
    </row>
    <row r="716" spans="13:35" ht="13" x14ac:dyDescent="0.15">
      <c r="M716" s="165"/>
      <c r="N716" s="165"/>
      <c r="O716" s="165"/>
      <c r="P716" s="165"/>
      <c r="Q716" s="165"/>
      <c r="R716" s="165"/>
      <c r="S716" s="166"/>
      <c r="T716" s="165"/>
      <c r="U716" s="166"/>
      <c r="W716" s="166"/>
      <c r="X716" s="166"/>
      <c r="Y716" s="166"/>
      <c r="Z716" s="167"/>
      <c r="AA716" s="165"/>
      <c r="AB716" s="167"/>
      <c r="AC716" s="167"/>
      <c r="AD716" s="167"/>
      <c r="AE716" s="167"/>
      <c r="AF716" s="167"/>
      <c r="AG716" s="137"/>
      <c r="AH716" s="137"/>
      <c r="AI716" s="137"/>
    </row>
    <row r="717" spans="13:35" ht="13" x14ac:dyDescent="0.15">
      <c r="M717" s="165"/>
      <c r="N717" s="165"/>
      <c r="O717" s="165"/>
      <c r="P717" s="165"/>
      <c r="Q717" s="165"/>
      <c r="R717" s="165"/>
      <c r="S717" s="166"/>
      <c r="T717" s="165"/>
      <c r="U717" s="166"/>
      <c r="W717" s="166"/>
      <c r="X717" s="166"/>
      <c r="Y717" s="166"/>
      <c r="Z717" s="167"/>
      <c r="AA717" s="165"/>
      <c r="AB717" s="167"/>
      <c r="AC717" s="167"/>
      <c r="AD717" s="167"/>
      <c r="AE717" s="167"/>
      <c r="AF717" s="167"/>
      <c r="AG717" s="137"/>
      <c r="AH717" s="137"/>
      <c r="AI717" s="137"/>
    </row>
    <row r="718" spans="13:35" ht="13" x14ac:dyDescent="0.15">
      <c r="M718" s="165"/>
      <c r="N718" s="165"/>
      <c r="O718" s="165"/>
      <c r="P718" s="165"/>
      <c r="Q718" s="165"/>
      <c r="R718" s="165"/>
      <c r="S718" s="166"/>
      <c r="T718" s="165"/>
      <c r="U718" s="166"/>
      <c r="W718" s="166"/>
      <c r="X718" s="166"/>
      <c r="Y718" s="166"/>
      <c r="Z718" s="167"/>
      <c r="AA718" s="165"/>
      <c r="AB718" s="167"/>
      <c r="AC718" s="167"/>
      <c r="AD718" s="167"/>
      <c r="AE718" s="167"/>
      <c r="AF718" s="167"/>
      <c r="AG718" s="137"/>
      <c r="AH718" s="137"/>
      <c r="AI718" s="137"/>
    </row>
    <row r="719" spans="13:35" ht="13" x14ac:dyDescent="0.15">
      <c r="M719" s="165"/>
      <c r="N719" s="165"/>
      <c r="O719" s="165"/>
      <c r="P719" s="165"/>
      <c r="Q719" s="165"/>
      <c r="R719" s="165"/>
      <c r="S719" s="166"/>
      <c r="T719" s="165"/>
      <c r="U719" s="166"/>
      <c r="W719" s="166"/>
      <c r="X719" s="166"/>
      <c r="Y719" s="166"/>
      <c r="Z719" s="167"/>
      <c r="AA719" s="165"/>
      <c r="AB719" s="167"/>
      <c r="AC719" s="167"/>
      <c r="AD719" s="167"/>
      <c r="AE719" s="167"/>
      <c r="AF719" s="167"/>
      <c r="AG719" s="137"/>
    </row>
    <row r="720" spans="13:35" ht="13" x14ac:dyDescent="0.15">
      <c r="M720" s="165"/>
      <c r="N720" s="165"/>
      <c r="O720" s="165"/>
      <c r="P720" s="165"/>
      <c r="Q720" s="165"/>
      <c r="R720" s="165"/>
      <c r="S720" s="166"/>
      <c r="T720" s="165"/>
      <c r="U720" s="166"/>
      <c r="W720" s="166"/>
      <c r="X720" s="166"/>
      <c r="Y720" s="166"/>
      <c r="Z720" s="167"/>
      <c r="AA720" s="165"/>
      <c r="AB720" s="167"/>
      <c r="AC720" s="167"/>
      <c r="AD720" s="167"/>
      <c r="AE720" s="167"/>
      <c r="AF720" s="167"/>
      <c r="AG720" s="137"/>
    </row>
    <row r="721" spans="11:35" ht="13" x14ac:dyDescent="0.15">
      <c r="M721" s="165"/>
      <c r="N721" s="165"/>
      <c r="O721" s="165"/>
      <c r="P721" s="165"/>
      <c r="Q721" s="165"/>
      <c r="R721" s="165"/>
      <c r="S721" s="166"/>
      <c r="T721" s="165"/>
      <c r="U721" s="166"/>
      <c r="W721" s="166"/>
      <c r="X721" s="166"/>
      <c r="Y721" s="166"/>
      <c r="Z721" s="167"/>
      <c r="AA721" s="165"/>
      <c r="AB721" s="167"/>
      <c r="AC721" s="167"/>
      <c r="AD721" s="167"/>
      <c r="AE721" s="167"/>
      <c r="AF721" s="167"/>
      <c r="AG721" s="137"/>
    </row>
    <row r="722" spans="11:35" ht="13" x14ac:dyDescent="0.15">
      <c r="M722" s="165"/>
      <c r="N722" s="165"/>
      <c r="O722" s="165"/>
      <c r="P722" s="165"/>
      <c r="Q722" s="165"/>
      <c r="R722" s="165"/>
      <c r="S722" s="166"/>
      <c r="T722" s="165"/>
      <c r="U722" s="166"/>
      <c r="W722" s="166"/>
      <c r="X722" s="166"/>
      <c r="Y722" s="166"/>
      <c r="Z722" s="167"/>
      <c r="AA722" s="165"/>
      <c r="AB722" s="167"/>
      <c r="AC722" s="167"/>
      <c r="AD722" s="167"/>
      <c r="AE722" s="167"/>
      <c r="AF722" s="167"/>
      <c r="AG722" s="137"/>
      <c r="AH722" s="137"/>
      <c r="AI722" s="137"/>
    </row>
    <row r="723" spans="11:35" ht="13" x14ac:dyDescent="0.15">
      <c r="M723" s="165"/>
      <c r="N723" s="165"/>
      <c r="O723" s="165"/>
      <c r="P723" s="165"/>
      <c r="Q723" s="165"/>
      <c r="R723" s="165"/>
      <c r="S723" s="166"/>
      <c r="T723" s="165"/>
      <c r="U723" s="166"/>
      <c r="W723" s="166"/>
      <c r="X723" s="166"/>
      <c r="Y723" s="166"/>
      <c r="Z723" s="167"/>
      <c r="AA723" s="165"/>
      <c r="AB723" s="167"/>
      <c r="AC723" s="167"/>
      <c r="AD723" s="167"/>
      <c r="AE723" s="167"/>
      <c r="AF723" s="167"/>
      <c r="AG723" s="137"/>
    </row>
    <row r="724" spans="11:35" ht="13" x14ac:dyDescent="0.15">
      <c r="M724" s="165"/>
      <c r="N724" s="165"/>
      <c r="O724" s="165"/>
      <c r="P724" s="165"/>
      <c r="Q724" s="165"/>
      <c r="R724" s="165"/>
      <c r="S724" s="166"/>
      <c r="T724" s="165"/>
      <c r="U724" s="166"/>
      <c r="W724" s="166"/>
      <c r="X724" s="166"/>
      <c r="Y724" s="166"/>
      <c r="Z724" s="167"/>
      <c r="AA724" s="165"/>
      <c r="AB724" s="167"/>
      <c r="AC724" s="167"/>
      <c r="AD724" s="167"/>
      <c r="AE724" s="167"/>
      <c r="AF724" s="167"/>
      <c r="AG724" s="137"/>
    </row>
    <row r="725" spans="11:35" ht="13" x14ac:dyDescent="0.15">
      <c r="M725" s="165"/>
      <c r="N725" s="165"/>
      <c r="O725" s="165"/>
      <c r="P725" s="165"/>
      <c r="Q725" s="165"/>
      <c r="R725" s="165"/>
      <c r="S725" s="166"/>
      <c r="T725" s="165"/>
      <c r="U725" s="166"/>
      <c r="W725" s="166"/>
      <c r="X725" s="166"/>
      <c r="Y725" s="166"/>
      <c r="Z725" s="167"/>
      <c r="AA725" s="165"/>
      <c r="AB725" s="167"/>
      <c r="AC725" s="167"/>
      <c r="AD725" s="167"/>
      <c r="AE725" s="167"/>
      <c r="AF725" s="167"/>
      <c r="AG725" s="137"/>
    </row>
    <row r="726" spans="11:35" ht="13" x14ac:dyDescent="0.15">
      <c r="M726" s="165"/>
      <c r="N726" s="165"/>
      <c r="O726" s="165"/>
      <c r="P726" s="165"/>
      <c r="Q726" s="165"/>
      <c r="R726" s="165"/>
      <c r="S726" s="166"/>
      <c r="T726" s="165"/>
      <c r="U726" s="166"/>
      <c r="W726" s="166"/>
      <c r="X726" s="166"/>
      <c r="Y726" s="166"/>
      <c r="Z726" s="167"/>
      <c r="AA726" s="165"/>
      <c r="AB726" s="167"/>
      <c r="AC726" s="167"/>
      <c r="AD726" s="167"/>
      <c r="AE726" s="167"/>
      <c r="AF726" s="167"/>
      <c r="AG726" s="137"/>
      <c r="AH726" s="137"/>
      <c r="AI726" s="137"/>
    </row>
    <row r="727" spans="11:35" ht="13" x14ac:dyDescent="0.15">
      <c r="M727" s="165"/>
      <c r="N727" s="165"/>
      <c r="O727" s="165"/>
      <c r="P727" s="165"/>
      <c r="Q727" s="165"/>
      <c r="R727" s="165"/>
      <c r="S727" s="168"/>
      <c r="T727" s="165"/>
      <c r="U727" s="166"/>
      <c r="W727" s="166"/>
      <c r="X727" s="166"/>
      <c r="Y727" s="166"/>
      <c r="Z727" s="167"/>
      <c r="AA727" s="165"/>
      <c r="AB727" s="167"/>
      <c r="AC727" s="167"/>
      <c r="AD727" s="167"/>
      <c r="AE727" s="167"/>
      <c r="AF727" s="167"/>
      <c r="AG727" s="137"/>
      <c r="AH727" s="137"/>
      <c r="AI727" s="137"/>
    </row>
    <row r="728" spans="11:35" ht="13" x14ac:dyDescent="0.15">
      <c r="M728" s="165"/>
      <c r="N728" s="165"/>
      <c r="O728" s="165"/>
      <c r="P728" s="165"/>
      <c r="Q728" s="165"/>
      <c r="R728" s="165"/>
      <c r="S728" s="168"/>
      <c r="T728" s="165"/>
      <c r="U728" s="166"/>
      <c r="W728" s="166"/>
      <c r="X728" s="166"/>
      <c r="Y728" s="166"/>
      <c r="Z728" s="166"/>
      <c r="AA728" s="165"/>
      <c r="AB728" s="167"/>
      <c r="AC728" s="167"/>
      <c r="AD728" s="167"/>
      <c r="AE728" s="167"/>
      <c r="AF728" s="167"/>
      <c r="AG728" s="137"/>
      <c r="AH728" s="137"/>
      <c r="AI728" s="137"/>
    </row>
    <row r="729" spans="11:35" ht="13" x14ac:dyDescent="0.15">
      <c r="M729" s="165"/>
      <c r="N729" s="165"/>
      <c r="O729" s="165"/>
      <c r="P729" s="165"/>
      <c r="Q729" s="165"/>
      <c r="R729" s="165"/>
      <c r="S729" s="168"/>
      <c r="T729" s="165"/>
      <c r="U729" s="166"/>
      <c r="W729" s="166"/>
      <c r="X729" s="166"/>
      <c r="Y729" s="166"/>
      <c r="Z729" s="166"/>
      <c r="AA729" s="165"/>
      <c r="AB729" s="167"/>
      <c r="AC729" s="167"/>
      <c r="AD729" s="167"/>
      <c r="AE729" s="167"/>
      <c r="AF729" s="167"/>
      <c r="AG729" s="137"/>
      <c r="AH729" s="137"/>
      <c r="AI729" s="137"/>
    </row>
    <row r="730" spans="11:35" ht="13" x14ac:dyDescent="0.15">
      <c r="M730" s="165"/>
      <c r="N730" s="165"/>
      <c r="O730" s="165"/>
      <c r="P730" s="165"/>
      <c r="Q730" s="165"/>
      <c r="R730" s="165"/>
      <c r="S730" s="166"/>
      <c r="T730" s="165"/>
      <c r="U730" s="166"/>
      <c r="W730" s="166"/>
      <c r="X730" s="166"/>
      <c r="Y730" s="166"/>
      <c r="Z730" s="167"/>
      <c r="AA730" s="165"/>
      <c r="AB730" s="167"/>
      <c r="AC730" s="167"/>
      <c r="AD730" s="167"/>
      <c r="AE730" s="167"/>
      <c r="AF730" s="167"/>
      <c r="AG730" s="137"/>
    </row>
    <row r="731" spans="11:35" ht="13" x14ac:dyDescent="0.15">
      <c r="M731" s="165"/>
      <c r="N731" s="165"/>
      <c r="O731" s="165"/>
      <c r="P731" s="165"/>
      <c r="Q731" s="165"/>
      <c r="R731" s="165"/>
      <c r="S731" s="166"/>
      <c r="T731" s="165"/>
      <c r="U731" s="166"/>
      <c r="W731" s="166"/>
      <c r="X731" s="166"/>
      <c r="Y731" s="166"/>
      <c r="Z731" s="167"/>
      <c r="AA731" s="165"/>
      <c r="AB731" s="167"/>
      <c r="AC731" s="167"/>
      <c r="AD731" s="167"/>
      <c r="AE731" s="167"/>
      <c r="AF731" s="167"/>
      <c r="AG731" s="137"/>
    </row>
    <row r="732" spans="11:35" ht="13" x14ac:dyDescent="0.15">
      <c r="M732" s="165"/>
      <c r="N732" s="165"/>
      <c r="O732" s="165"/>
      <c r="P732" s="165"/>
      <c r="Q732" s="165"/>
      <c r="R732" s="165"/>
      <c r="S732" s="166"/>
      <c r="T732" s="165"/>
      <c r="U732" s="166"/>
      <c r="W732" s="166"/>
      <c r="X732" s="166"/>
      <c r="Y732" s="166"/>
      <c r="Z732" s="167"/>
      <c r="AA732" s="165"/>
      <c r="AB732" s="167"/>
      <c r="AC732" s="167"/>
      <c r="AD732" s="167"/>
      <c r="AE732" s="167"/>
      <c r="AF732" s="167"/>
      <c r="AG732" s="137"/>
    </row>
    <row r="733" spans="11:35" ht="13" x14ac:dyDescent="0.15">
      <c r="M733" s="165"/>
      <c r="N733" s="165"/>
      <c r="O733" s="165"/>
      <c r="P733" s="165"/>
      <c r="Q733" s="165"/>
      <c r="R733" s="165"/>
      <c r="S733" s="166"/>
      <c r="T733" s="165"/>
      <c r="U733" s="166"/>
      <c r="W733" s="166"/>
      <c r="X733" s="166"/>
      <c r="Y733" s="166"/>
      <c r="Z733" s="167"/>
      <c r="AA733" s="165"/>
      <c r="AB733" s="167"/>
      <c r="AC733" s="167"/>
      <c r="AD733" s="167"/>
      <c r="AE733" s="167"/>
      <c r="AF733" s="167"/>
      <c r="AG733" s="137"/>
    </row>
    <row r="734" spans="11:35" ht="13" x14ac:dyDescent="0.15">
      <c r="M734" s="165"/>
      <c r="N734" s="165"/>
      <c r="O734" s="165"/>
      <c r="P734" s="165"/>
      <c r="Q734" s="165"/>
      <c r="R734" s="165"/>
      <c r="S734" s="166"/>
      <c r="T734" s="165"/>
      <c r="U734" s="166"/>
      <c r="W734" s="166"/>
      <c r="X734" s="166"/>
      <c r="Y734" s="166"/>
      <c r="Z734" s="167"/>
      <c r="AA734" s="165"/>
      <c r="AB734" s="167"/>
      <c r="AC734" s="167"/>
      <c r="AD734" s="167"/>
      <c r="AE734" s="167"/>
      <c r="AF734" s="167"/>
      <c r="AG734" s="137"/>
      <c r="AH734" s="137"/>
      <c r="AI734" s="137"/>
    </row>
    <row r="735" spans="11:35" ht="13" x14ac:dyDescent="0.15">
      <c r="K735" s="165"/>
      <c r="M735" s="165"/>
      <c r="N735" s="165"/>
      <c r="O735" s="165"/>
      <c r="P735" s="165"/>
      <c r="Q735" s="165"/>
      <c r="R735" s="165"/>
      <c r="S735" s="166"/>
      <c r="T735" s="165"/>
      <c r="U735" s="166"/>
      <c r="W735" s="166"/>
      <c r="X735" s="166"/>
      <c r="Y735" s="166"/>
      <c r="Z735" s="167"/>
      <c r="AA735" s="165"/>
      <c r="AB735" s="167"/>
      <c r="AC735" s="167"/>
      <c r="AD735" s="167"/>
      <c r="AE735" s="167"/>
      <c r="AF735" s="167"/>
      <c r="AG735" s="137"/>
      <c r="AH735" s="137"/>
      <c r="AI735" s="137"/>
    </row>
    <row r="736" spans="11:35" ht="13" x14ac:dyDescent="0.15">
      <c r="M736" s="165"/>
      <c r="N736" s="165"/>
      <c r="O736" s="165"/>
      <c r="P736" s="165"/>
      <c r="Q736" s="165"/>
      <c r="R736" s="165"/>
      <c r="S736" s="166"/>
      <c r="T736" s="165"/>
      <c r="U736" s="166"/>
      <c r="W736" s="166"/>
      <c r="X736" s="166"/>
      <c r="Y736" s="166"/>
      <c r="Z736" s="167"/>
      <c r="AA736" s="165"/>
      <c r="AB736" s="167"/>
      <c r="AC736" s="167"/>
      <c r="AD736" s="167"/>
      <c r="AE736" s="167"/>
      <c r="AF736" s="167"/>
      <c r="AG736" s="137"/>
    </row>
    <row r="737" spans="13:35" ht="13" x14ac:dyDescent="0.15">
      <c r="M737" s="165"/>
      <c r="N737" s="165"/>
      <c r="O737" s="165"/>
      <c r="P737" s="165"/>
      <c r="Q737" s="165"/>
      <c r="R737" s="165"/>
      <c r="S737" s="166"/>
      <c r="T737" s="165"/>
      <c r="U737" s="166"/>
      <c r="W737" s="166"/>
      <c r="X737" s="166"/>
      <c r="Y737" s="166"/>
      <c r="Z737" s="167"/>
      <c r="AA737" s="165"/>
      <c r="AB737" s="167"/>
      <c r="AC737" s="167"/>
      <c r="AD737" s="167"/>
      <c r="AE737" s="167"/>
      <c r="AF737" s="167"/>
      <c r="AG737" s="137"/>
      <c r="AH737" s="137"/>
      <c r="AI737" s="137"/>
    </row>
    <row r="738" spans="13:35" ht="13" x14ac:dyDescent="0.15">
      <c r="M738" s="165"/>
      <c r="N738" s="165"/>
      <c r="O738" s="165"/>
      <c r="P738" s="165"/>
      <c r="Q738" s="165"/>
      <c r="R738" s="165"/>
      <c r="S738" s="166"/>
      <c r="T738" s="165"/>
      <c r="U738" s="166"/>
      <c r="W738" s="166"/>
      <c r="X738" s="166"/>
      <c r="Y738" s="166"/>
      <c r="Z738" s="167"/>
      <c r="AA738" s="165"/>
      <c r="AB738" s="167"/>
      <c r="AC738" s="167"/>
      <c r="AD738" s="167"/>
      <c r="AE738" s="167"/>
      <c r="AF738" s="167"/>
      <c r="AG738" s="137"/>
      <c r="AH738" s="137"/>
      <c r="AI738" s="137"/>
    </row>
    <row r="739" spans="13:35" ht="13" x14ac:dyDescent="0.15">
      <c r="M739" s="165"/>
      <c r="N739" s="165"/>
      <c r="O739" s="165"/>
      <c r="P739" s="165"/>
      <c r="Q739" s="165"/>
      <c r="R739" s="166"/>
      <c r="S739" s="166"/>
      <c r="T739" s="166"/>
      <c r="U739" s="168"/>
      <c r="W739" s="166"/>
      <c r="X739" s="166"/>
      <c r="Y739" s="166"/>
      <c r="Z739" s="167"/>
      <c r="AA739" s="165"/>
      <c r="AB739" s="167"/>
      <c r="AC739" s="167"/>
      <c r="AD739" s="167"/>
      <c r="AE739" s="167"/>
      <c r="AF739" s="167"/>
      <c r="AG739" s="137"/>
      <c r="AH739" s="137"/>
      <c r="AI739" s="137"/>
    </row>
    <row r="740" spans="13:35" ht="13" x14ac:dyDescent="0.15">
      <c r="M740" s="165"/>
      <c r="N740" s="165"/>
      <c r="O740" s="165"/>
      <c r="P740" s="165"/>
      <c r="Q740" s="165"/>
      <c r="R740" s="165"/>
      <c r="S740" s="166"/>
      <c r="T740" s="165"/>
      <c r="U740" s="166"/>
      <c r="W740" s="166"/>
      <c r="X740" s="166"/>
      <c r="Y740" s="166"/>
      <c r="Z740" s="167"/>
      <c r="AA740" s="165"/>
      <c r="AB740" s="167"/>
      <c r="AC740" s="167"/>
      <c r="AD740" s="167"/>
      <c r="AE740" s="167"/>
      <c r="AF740" s="167"/>
      <c r="AG740" s="137"/>
      <c r="AH740" s="137"/>
      <c r="AI740" s="137"/>
    </row>
    <row r="741" spans="13:35" ht="13" x14ac:dyDescent="0.15">
      <c r="M741" s="165"/>
      <c r="N741" s="165"/>
      <c r="O741" s="165"/>
      <c r="P741" s="165"/>
      <c r="Q741" s="165"/>
      <c r="R741" s="165"/>
      <c r="S741" s="166"/>
      <c r="T741" s="165"/>
      <c r="U741" s="166"/>
      <c r="W741" s="166"/>
      <c r="X741" s="166"/>
      <c r="Y741" s="166"/>
      <c r="Z741" s="167"/>
      <c r="AA741" s="165"/>
      <c r="AB741" s="167"/>
      <c r="AC741" s="167"/>
      <c r="AD741" s="167"/>
      <c r="AE741" s="167"/>
      <c r="AF741" s="167"/>
      <c r="AG741" s="137"/>
      <c r="AH741" s="137"/>
      <c r="AI741" s="137"/>
    </row>
    <row r="742" spans="13:35" ht="13" x14ac:dyDescent="0.15">
      <c r="M742" s="165"/>
      <c r="N742" s="165"/>
      <c r="O742" s="165"/>
      <c r="P742" s="165"/>
      <c r="Q742" s="165"/>
      <c r="R742" s="165"/>
      <c r="S742" s="168"/>
      <c r="T742" s="165"/>
      <c r="U742" s="166"/>
      <c r="W742" s="166"/>
      <c r="X742" s="166"/>
      <c r="Y742" s="166"/>
      <c r="Z742" s="167"/>
      <c r="AA742" s="165"/>
      <c r="AB742" s="167"/>
      <c r="AC742" s="167"/>
      <c r="AD742" s="167"/>
      <c r="AE742" s="167"/>
      <c r="AF742" s="167"/>
      <c r="AG742" s="137"/>
      <c r="AH742" s="137"/>
      <c r="AI742" s="137"/>
    </row>
    <row r="743" spans="13:35" ht="13" x14ac:dyDescent="0.15">
      <c r="M743" s="165"/>
      <c r="N743" s="165"/>
      <c r="O743" s="165"/>
      <c r="P743" s="165"/>
      <c r="Q743" s="165"/>
      <c r="R743" s="165"/>
      <c r="S743" s="168"/>
      <c r="T743" s="165"/>
      <c r="U743" s="166"/>
      <c r="W743" s="166"/>
      <c r="X743" s="166"/>
      <c r="Y743" s="166"/>
      <c r="Z743" s="167"/>
      <c r="AA743" s="165"/>
      <c r="AB743" s="167"/>
      <c r="AC743" s="167"/>
      <c r="AD743" s="167"/>
      <c r="AE743" s="167"/>
      <c r="AF743" s="167"/>
      <c r="AG743" s="137"/>
      <c r="AH743" s="137"/>
      <c r="AI743" s="137"/>
    </row>
    <row r="744" spans="13:35" ht="13" x14ac:dyDescent="0.15">
      <c r="M744" s="165"/>
      <c r="N744" s="165"/>
      <c r="O744" s="165"/>
      <c r="P744" s="165"/>
      <c r="Q744" s="165"/>
      <c r="R744" s="165"/>
      <c r="S744" s="166"/>
      <c r="T744" s="165"/>
      <c r="U744" s="166"/>
      <c r="W744" s="166"/>
      <c r="X744" s="166"/>
      <c r="Y744" s="166"/>
      <c r="Z744" s="167"/>
      <c r="AA744" s="165"/>
      <c r="AB744" s="167"/>
      <c r="AC744" s="167"/>
      <c r="AD744" s="167"/>
      <c r="AE744" s="167"/>
      <c r="AF744" s="167"/>
      <c r="AG744" s="137"/>
      <c r="AH744" s="137"/>
      <c r="AI744" s="137"/>
    </row>
    <row r="745" spans="13:35" ht="13" x14ac:dyDescent="0.15">
      <c r="M745" s="165"/>
      <c r="N745" s="165"/>
      <c r="O745" s="165"/>
      <c r="P745" s="165"/>
      <c r="Q745" s="165"/>
      <c r="R745" s="165"/>
      <c r="S745" s="166"/>
      <c r="T745" s="165"/>
      <c r="U745" s="166"/>
      <c r="W745" s="166"/>
      <c r="X745" s="166"/>
      <c r="Y745" s="166"/>
      <c r="Z745" s="167"/>
      <c r="AA745" s="165"/>
      <c r="AB745" s="167"/>
      <c r="AC745" s="167"/>
      <c r="AD745" s="167"/>
      <c r="AE745" s="167"/>
      <c r="AF745" s="167"/>
      <c r="AG745" s="137"/>
      <c r="AH745" s="137"/>
      <c r="AI745" s="137"/>
    </row>
    <row r="746" spans="13:35" ht="13" x14ac:dyDescent="0.15">
      <c r="M746" s="165"/>
      <c r="N746" s="165"/>
      <c r="O746" s="165"/>
      <c r="P746" s="165"/>
      <c r="Q746" s="165"/>
      <c r="R746" s="165"/>
      <c r="S746" s="166"/>
      <c r="T746" s="165"/>
      <c r="U746" s="168"/>
      <c r="W746" s="166"/>
      <c r="X746" s="166"/>
      <c r="Y746" s="166"/>
      <c r="Z746" s="167"/>
      <c r="AA746" s="165"/>
      <c r="AB746" s="167"/>
      <c r="AC746" s="167"/>
      <c r="AD746" s="167"/>
      <c r="AE746" s="167"/>
      <c r="AF746" s="167"/>
      <c r="AG746" s="137"/>
      <c r="AH746" s="137"/>
      <c r="AI746" s="137"/>
    </row>
    <row r="747" spans="13:35" ht="13" x14ac:dyDescent="0.15">
      <c r="M747" s="165"/>
      <c r="N747" s="165"/>
      <c r="O747" s="165"/>
      <c r="P747" s="165"/>
      <c r="Q747" s="165"/>
      <c r="R747" s="165"/>
      <c r="S747" s="166"/>
      <c r="T747" s="165"/>
      <c r="U747" s="168"/>
      <c r="W747" s="166"/>
      <c r="X747" s="166"/>
      <c r="Y747" s="166"/>
      <c r="Z747" s="167"/>
      <c r="AA747" s="165"/>
      <c r="AB747" s="167"/>
      <c r="AC747" s="167"/>
      <c r="AD747" s="167"/>
      <c r="AE747" s="167"/>
      <c r="AF747" s="167"/>
      <c r="AG747" s="137"/>
      <c r="AH747" s="137"/>
      <c r="AI747" s="137"/>
    </row>
    <row r="748" spans="13:35" ht="13" x14ac:dyDescent="0.15">
      <c r="M748" s="165"/>
      <c r="N748" s="165"/>
      <c r="O748" s="165"/>
      <c r="P748" s="165"/>
      <c r="Q748" s="165"/>
      <c r="R748" s="165"/>
      <c r="S748" s="166"/>
      <c r="T748" s="165"/>
      <c r="U748" s="168"/>
      <c r="W748" s="166"/>
      <c r="X748" s="166"/>
      <c r="Y748" s="166"/>
      <c r="Z748" s="167"/>
      <c r="AA748" s="165"/>
      <c r="AB748" s="167"/>
      <c r="AC748" s="167"/>
      <c r="AD748" s="167"/>
      <c r="AE748" s="167"/>
      <c r="AF748" s="167"/>
      <c r="AG748" s="137"/>
      <c r="AH748" s="137"/>
      <c r="AI748" s="137"/>
    </row>
    <row r="749" spans="13:35" ht="13" x14ac:dyDescent="0.15">
      <c r="M749" s="165"/>
      <c r="N749" s="165"/>
      <c r="O749" s="165"/>
      <c r="P749" s="165"/>
      <c r="Q749" s="165"/>
      <c r="R749" s="165"/>
      <c r="S749" s="166"/>
      <c r="T749" s="165"/>
      <c r="U749" s="168"/>
      <c r="W749" s="166"/>
      <c r="X749" s="166"/>
      <c r="Y749" s="166"/>
      <c r="Z749" s="167"/>
      <c r="AA749" s="165"/>
      <c r="AB749" s="167"/>
      <c r="AC749" s="167"/>
      <c r="AD749" s="167"/>
      <c r="AE749" s="167"/>
      <c r="AF749" s="167"/>
      <c r="AG749" s="137"/>
      <c r="AH749" s="137"/>
      <c r="AI749" s="137"/>
    </row>
    <row r="750" spans="13:35" ht="13" x14ac:dyDescent="0.15">
      <c r="M750" s="165"/>
      <c r="N750" s="165"/>
      <c r="O750" s="165"/>
      <c r="P750" s="165"/>
      <c r="Q750" s="165"/>
      <c r="R750" s="165"/>
      <c r="S750" s="166"/>
      <c r="T750" s="165"/>
      <c r="U750" s="168"/>
      <c r="W750" s="166"/>
      <c r="X750" s="166"/>
      <c r="Y750" s="166"/>
      <c r="Z750" s="167"/>
      <c r="AA750" s="165"/>
      <c r="AB750" s="167"/>
      <c r="AC750" s="167"/>
      <c r="AD750" s="167"/>
      <c r="AE750" s="167"/>
      <c r="AF750" s="167"/>
      <c r="AG750" s="137"/>
      <c r="AH750" s="137"/>
      <c r="AI750" s="137"/>
    </row>
    <row r="751" spans="13:35" ht="13" x14ac:dyDescent="0.15">
      <c r="M751" s="165"/>
      <c r="N751" s="165"/>
      <c r="O751" s="165"/>
      <c r="P751" s="165"/>
      <c r="Q751" s="165"/>
      <c r="R751" s="165"/>
      <c r="S751" s="166"/>
      <c r="T751" s="165"/>
      <c r="U751" s="168"/>
      <c r="W751" s="166"/>
      <c r="X751" s="166"/>
      <c r="Y751" s="166"/>
      <c r="Z751" s="167"/>
      <c r="AA751" s="165"/>
      <c r="AB751" s="167"/>
      <c r="AC751" s="167"/>
      <c r="AD751" s="167"/>
      <c r="AE751" s="167"/>
      <c r="AF751" s="167"/>
      <c r="AG751" s="137"/>
      <c r="AH751" s="137"/>
      <c r="AI751" s="137"/>
    </row>
    <row r="752" spans="13:35" ht="13" x14ac:dyDescent="0.15">
      <c r="M752" s="165"/>
      <c r="N752" s="165"/>
      <c r="O752" s="165"/>
      <c r="P752" s="165"/>
      <c r="Q752" s="165"/>
      <c r="R752" s="165"/>
      <c r="S752" s="166"/>
      <c r="T752" s="165"/>
      <c r="U752" s="168"/>
      <c r="W752" s="166"/>
      <c r="X752" s="166"/>
      <c r="Y752" s="166"/>
      <c r="Z752" s="167"/>
      <c r="AA752" s="165"/>
      <c r="AB752" s="167"/>
      <c r="AC752" s="167"/>
      <c r="AD752" s="167"/>
      <c r="AE752" s="167"/>
      <c r="AF752" s="167"/>
      <c r="AG752" s="137"/>
      <c r="AH752" s="137"/>
      <c r="AI752" s="137"/>
    </row>
    <row r="753" spans="13:35" ht="13" x14ac:dyDescent="0.15">
      <c r="M753" s="165"/>
      <c r="N753" s="165"/>
      <c r="O753" s="165"/>
      <c r="P753" s="165"/>
      <c r="Q753" s="165"/>
      <c r="R753" s="165"/>
      <c r="S753" s="166"/>
      <c r="T753" s="165"/>
      <c r="U753" s="168"/>
      <c r="W753" s="166"/>
      <c r="X753" s="166"/>
      <c r="Y753" s="166"/>
      <c r="Z753" s="167"/>
      <c r="AA753" s="165"/>
      <c r="AB753" s="167"/>
      <c r="AC753" s="167"/>
      <c r="AD753" s="167"/>
      <c r="AE753" s="167"/>
      <c r="AF753" s="167"/>
      <c r="AG753" s="137"/>
      <c r="AH753" s="137"/>
      <c r="AI753" s="137"/>
    </row>
    <row r="754" spans="13:35" ht="13" x14ac:dyDescent="0.15">
      <c r="M754" s="165"/>
      <c r="N754" s="165"/>
      <c r="O754" s="165"/>
      <c r="P754" s="165"/>
      <c r="Q754" s="165"/>
      <c r="R754" s="165"/>
      <c r="S754" s="166"/>
      <c r="T754" s="165"/>
      <c r="U754" s="168"/>
      <c r="W754" s="166"/>
      <c r="X754" s="166"/>
      <c r="Y754" s="166"/>
      <c r="Z754" s="167"/>
      <c r="AA754" s="165"/>
      <c r="AB754" s="167"/>
      <c r="AC754" s="167"/>
      <c r="AD754" s="167"/>
      <c r="AE754" s="167"/>
      <c r="AF754" s="167"/>
      <c r="AG754" s="137"/>
      <c r="AH754" s="137"/>
      <c r="AI754" s="137"/>
    </row>
    <row r="755" spans="13:35" ht="13" x14ac:dyDescent="0.15">
      <c r="M755" s="165"/>
      <c r="N755" s="165"/>
      <c r="O755" s="165"/>
      <c r="P755" s="165"/>
      <c r="Q755" s="165"/>
      <c r="R755" s="165"/>
      <c r="S755" s="166"/>
      <c r="T755" s="165"/>
      <c r="U755" s="168"/>
      <c r="W755" s="166"/>
      <c r="X755" s="166"/>
      <c r="Y755" s="166"/>
      <c r="Z755" s="167"/>
      <c r="AA755" s="165"/>
      <c r="AB755" s="167"/>
      <c r="AC755" s="167"/>
      <c r="AD755" s="167"/>
      <c r="AE755" s="167"/>
      <c r="AF755" s="167"/>
      <c r="AG755" s="137"/>
      <c r="AH755" s="137"/>
      <c r="AI755" s="137"/>
    </row>
    <row r="756" spans="13:35" ht="13" x14ac:dyDescent="0.15">
      <c r="M756" s="165"/>
      <c r="N756" s="165"/>
      <c r="O756" s="165"/>
      <c r="P756" s="165"/>
      <c r="Q756" s="165"/>
      <c r="R756" s="165"/>
      <c r="S756" s="166"/>
      <c r="T756" s="165"/>
      <c r="U756" s="168"/>
      <c r="W756" s="166"/>
      <c r="X756" s="166"/>
      <c r="Y756" s="166"/>
      <c r="Z756" s="167"/>
      <c r="AA756" s="165"/>
      <c r="AB756" s="167"/>
      <c r="AC756" s="167"/>
      <c r="AD756" s="167"/>
      <c r="AE756" s="167"/>
      <c r="AF756" s="167"/>
      <c r="AG756" s="137"/>
      <c r="AH756" s="137"/>
      <c r="AI756" s="137"/>
    </row>
    <row r="757" spans="13:35" ht="13" x14ac:dyDescent="0.15">
      <c r="M757" s="165"/>
      <c r="N757" s="165"/>
      <c r="O757" s="165"/>
      <c r="P757" s="165"/>
      <c r="Q757" s="165"/>
      <c r="R757" s="165"/>
      <c r="S757" s="166"/>
      <c r="T757" s="165"/>
      <c r="U757" s="168"/>
      <c r="W757" s="166"/>
      <c r="X757" s="166"/>
      <c r="Y757" s="166"/>
      <c r="Z757" s="167"/>
      <c r="AA757" s="165"/>
      <c r="AB757" s="167"/>
      <c r="AC757" s="167"/>
      <c r="AD757" s="167"/>
      <c r="AE757" s="167"/>
      <c r="AF757" s="167"/>
      <c r="AG757" s="137"/>
      <c r="AH757" s="137"/>
      <c r="AI757" s="137"/>
    </row>
    <row r="758" spans="13:35" ht="13" x14ac:dyDescent="0.15">
      <c r="M758" s="165"/>
      <c r="N758" s="165"/>
      <c r="O758" s="165"/>
      <c r="P758" s="165"/>
      <c r="Q758" s="165"/>
      <c r="R758" s="165"/>
      <c r="S758" s="166"/>
      <c r="T758" s="165"/>
      <c r="U758" s="168"/>
      <c r="W758" s="166"/>
      <c r="X758" s="166"/>
      <c r="Y758" s="166"/>
      <c r="Z758" s="167"/>
      <c r="AA758" s="165"/>
      <c r="AB758" s="167"/>
      <c r="AC758" s="167"/>
      <c r="AD758" s="167"/>
      <c r="AE758" s="167"/>
      <c r="AF758" s="167"/>
      <c r="AG758" s="137"/>
      <c r="AH758" s="137"/>
      <c r="AI758" s="137"/>
    </row>
    <row r="759" spans="13:35" ht="13" x14ac:dyDescent="0.15">
      <c r="M759" s="165"/>
      <c r="N759" s="165"/>
      <c r="O759" s="165"/>
      <c r="P759" s="165"/>
      <c r="Q759" s="165"/>
      <c r="R759" s="165"/>
      <c r="S759" s="166"/>
      <c r="T759" s="165"/>
      <c r="U759" s="168"/>
      <c r="W759" s="166"/>
      <c r="X759" s="166"/>
      <c r="Y759" s="166"/>
      <c r="Z759" s="167"/>
      <c r="AA759" s="165"/>
      <c r="AB759" s="167"/>
      <c r="AC759" s="167"/>
      <c r="AD759" s="167"/>
      <c r="AE759" s="167"/>
      <c r="AF759" s="167"/>
      <c r="AG759" s="137"/>
      <c r="AH759" s="137"/>
      <c r="AI759" s="137"/>
    </row>
    <row r="760" spans="13:35" ht="13" x14ac:dyDescent="0.15">
      <c r="M760" s="165"/>
      <c r="N760" s="165"/>
      <c r="O760" s="165"/>
      <c r="P760" s="165"/>
      <c r="Q760" s="165"/>
      <c r="R760" s="165"/>
      <c r="S760" s="166"/>
      <c r="T760" s="165"/>
      <c r="U760" s="168"/>
      <c r="W760" s="166"/>
      <c r="X760" s="166"/>
      <c r="Y760" s="166"/>
      <c r="Z760" s="167"/>
      <c r="AA760" s="165"/>
      <c r="AB760" s="167"/>
      <c r="AC760" s="167"/>
      <c r="AD760" s="167"/>
      <c r="AE760" s="167"/>
      <c r="AF760" s="167"/>
      <c r="AG760" s="137"/>
      <c r="AH760" s="137"/>
      <c r="AI760" s="137"/>
    </row>
    <row r="761" spans="13:35" ht="13" x14ac:dyDescent="0.15">
      <c r="M761" s="165"/>
      <c r="N761" s="165"/>
      <c r="O761" s="165"/>
      <c r="P761" s="165"/>
      <c r="Q761" s="165"/>
      <c r="R761" s="165"/>
      <c r="S761" s="166"/>
      <c r="T761" s="165"/>
      <c r="U761" s="168"/>
      <c r="W761" s="166"/>
      <c r="X761" s="166"/>
      <c r="Y761" s="166"/>
      <c r="Z761" s="167"/>
      <c r="AA761" s="165"/>
      <c r="AB761" s="167"/>
      <c r="AC761" s="167"/>
      <c r="AD761" s="167"/>
      <c r="AE761" s="167"/>
      <c r="AF761" s="167"/>
      <c r="AG761" s="137"/>
      <c r="AH761" s="137"/>
      <c r="AI761" s="137"/>
    </row>
    <row r="762" spans="13:35" ht="13" x14ac:dyDescent="0.15">
      <c r="M762" s="165"/>
      <c r="N762" s="165"/>
      <c r="O762" s="165"/>
      <c r="P762" s="165"/>
      <c r="Q762" s="165"/>
      <c r="R762" s="165"/>
      <c r="S762" s="168"/>
      <c r="T762" s="165"/>
      <c r="U762" s="168"/>
      <c r="W762" s="166"/>
      <c r="X762" s="166"/>
      <c r="Y762" s="166"/>
      <c r="Z762" s="167"/>
      <c r="AA762" s="165"/>
      <c r="AB762" s="167"/>
      <c r="AC762" s="167"/>
      <c r="AD762" s="167"/>
      <c r="AE762" s="167"/>
      <c r="AF762" s="167"/>
      <c r="AG762" s="137"/>
      <c r="AH762" s="137"/>
      <c r="AI762" s="137"/>
    </row>
    <row r="763" spans="13:35" ht="13" x14ac:dyDescent="0.15">
      <c r="M763" s="165"/>
      <c r="N763" s="165"/>
      <c r="O763" s="165"/>
      <c r="P763" s="165"/>
      <c r="Q763" s="165"/>
      <c r="R763" s="165"/>
      <c r="S763" s="168"/>
      <c r="T763" s="165"/>
      <c r="U763" s="168"/>
      <c r="W763" s="166"/>
      <c r="X763" s="166"/>
      <c r="Y763" s="166"/>
      <c r="Z763" s="167"/>
      <c r="AA763" s="165"/>
      <c r="AB763" s="167"/>
      <c r="AC763" s="167"/>
      <c r="AD763" s="167"/>
      <c r="AE763" s="167"/>
      <c r="AF763" s="167"/>
      <c r="AG763" s="137"/>
      <c r="AH763" s="137"/>
      <c r="AI763" s="137"/>
    </row>
    <row r="764" spans="13:35" ht="13" x14ac:dyDescent="0.15">
      <c r="M764" s="165"/>
      <c r="N764" s="165"/>
      <c r="O764" s="165"/>
      <c r="P764" s="165"/>
      <c r="Q764" s="165"/>
      <c r="R764" s="165"/>
      <c r="S764" s="168"/>
      <c r="T764" s="165"/>
      <c r="U764" s="168"/>
      <c r="W764" s="166"/>
      <c r="X764" s="166"/>
      <c r="Y764" s="166"/>
      <c r="Z764" s="167"/>
      <c r="AA764" s="165"/>
      <c r="AB764" s="167"/>
      <c r="AC764" s="167"/>
      <c r="AD764" s="167"/>
      <c r="AE764" s="167"/>
      <c r="AF764" s="167"/>
      <c r="AG764" s="137"/>
      <c r="AH764" s="137"/>
      <c r="AI764" s="137"/>
    </row>
    <row r="765" spans="13:35" ht="13" x14ac:dyDescent="0.15">
      <c r="M765" s="165"/>
      <c r="N765" s="165"/>
      <c r="O765" s="165"/>
      <c r="P765" s="165"/>
      <c r="Q765" s="165"/>
      <c r="R765" s="165"/>
      <c r="S765" s="166"/>
      <c r="T765" s="165"/>
      <c r="U765" s="168"/>
      <c r="W765" s="166"/>
      <c r="X765" s="166"/>
      <c r="Y765" s="166"/>
      <c r="Z765" s="167"/>
      <c r="AA765" s="165"/>
      <c r="AB765" s="167"/>
      <c r="AC765" s="167"/>
      <c r="AD765" s="167"/>
      <c r="AE765" s="167"/>
      <c r="AF765" s="167"/>
      <c r="AG765" s="137"/>
      <c r="AH765" s="137"/>
      <c r="AI765" s="137"/>
    </row>
    <row r="766" spans="13:35" ht="13" x14ac:dyDescent="0.15">
      <c r="M766" s="165"/>
      <c r="N766" s="165"/>
      <c r="O766" s="165"/>
      <c r="P766" s="165"/>
      <c r="Q766" s="165"/>
      <c r="R766" s="165"/>
      <c r="S766" s="166"/>
      <c r="T766" s="165"/>
      <c r="U766" s="166"/>
      <c r="W766" s="166"/>
      <c r="X766" s="166"/>
      <c r="Y766" s="166"/>
      <c r="Z766" s="167"/>
      <c r="AA766" s="165"/>
      <c r="AB766" s="167"/>
      <c r="AC766" s="167"/>
      <c r="AD766" s="167"/>
      <c r="AE766" s="167"/>
      <c r="AF766" s="167"/>
      <c r="AG766" s="137"/>
      <c r="AH766" s="137"/>
      <c r="AI766" s="137"/>
    </row>
    <row r="767" spans="13:35" ht="13" x14ac:dyDescent="0.15">
      <c r="M767" s="165"/>
      <c r="N767" s="165"/>
      <c r="O767" s="165"/>
      <c r="P767" s="165"/>
      <c r="Q767" s="165"/>
      <c r="R767" s="165"/>
      <c r="S767" s="166"/>
      <c r="T767" s="165"/>
      <c r="U767" s="166"/>
      <c r="W767" s="166"/>
      <c r="X767" s="166"/>
      <c r="Y767" s="166"/>
      <c r="Z767" s="167"/>
      <c r="AA767" s="165"/>
      <c r="AB767" s="167"/>
      <c r="AC767" s="167"/>
      <c r="AD767" s="167"/>
      <c r="AE767" s="167"/>
      <c r="AF767" s="167"/>
      <c r="AG767" s="137"/>
      <c r="AH767" s="137"/>
      <c r="AI767" s="137"/>
    </row>
    <row r="768" spans="13:35" ht="13" x14ac:dyDescent="0.15">
      <c r="M768" s="165"/>
      <c r="N768" s="165"/>
      <c r="O768" s="165"/>
      <c r="P768" s="165"/>
      <c r="Q768" s="165"/>
      <c r="R768" s="165"/>
      <c r="S768" s="166"/>
      <c r="T768" s="165"/>
      <c r="U768" s="166"/>
      <c r="W768" s="166"/>
      <c r="X768" s="166"/>
      <c r="Y768" s="166"/>
      <c r="Z768" s="167"/>
      <c r="AA768" s="165"/>
      <c r="AB768" s="167"/>
      <c r="AC768" s="167"/>
      <c r="AD768" s="167"/>
      <c r="AE768" s="167"/>
      <c r="AF768" s="167"/>
      <c r="AG768" s="137"/>
      <c r="AH768" s="137"/>
      <c r="AI768" s="137"/>
    </row>
    <row r="769" spans="13:35" ht="13" x14ac:dyDescent="0.15">
      <c r="M769" s="165"/>
      <c r="N769" s="165"/>
      <c r="O769" s="165"/>
      <c r="P769" s="165"/>
      <c r="Q769" s="165"/>
      <c r="R769" s="165"/>
      <c r="S769" s="166"/>
      <c r="T769" s="165"/>
      <c r="U769" s="168"/>
      <c r="W769" s="166"/>
      <c r="X769" s="166"/>
      <c r="Y769" s="166"/>
      <c r="Z769" s="167"/>
      <c r="AA769" s="165"/>
      <c r="AB769" s="167"/>
      <c r="AC769" s="167"/>
      <c r="AD769" s="167"/>
      <c r="AE769" s="167"/>
      <c r="AF769" s="167"/>
      <c r="AG769" s="137"/>
      <c r="AH769" s="137"/>
      <c r="AI769" s="137"/>
    </row>
    <row r="770" spans="13:35" ht="13" x14ac:dyDescent="0.15">
      <c r="M770" s="165"/>
      <c r="N770" s="165"/>
      <c r="O770" s="165"/>
      <c r="P770" s="165"/>
      <c r="Q770" s="165"/>
      <c r="R770" s="165"/>
      <c r="S770" s="166"/>
      <c r="T770" s="165"/>
      <c r="U770" s="168"/>
      <c r="W770" s="166"/>
      <c r="X770" s="166"/>
      <c r="Y770" s="166"/>
      <c r="Z770" s="167"/>
      <c r="AA770" s="165"/>
      <c r="AB770" s="167"/>
      <c r="AC770" s="167"/>
      <c r="AD770" s="167"/>
      <c r="AE770" s="167"/>
      <c r="AF770" s="167"/>
      <c r="AG770" s="137"/>
      <c r="AH770" s="137"/>
      <c r="AI770" s="137"/>
    </row>
    <row r="771" spans="13:35" ht="13" x14ac:dyDescent="0.15">
      <c r="M771" s="165"/>
      <c r="N771" s="165"/>
      <c r="O771" s="165"/>
      <c r="P771" s="165"/>
      <c r="Q771" s="165"/>
      <c r="R771" s="165"/>
      <c r="S771" s="166"/>
      <c r="T771" s="165"/>
      <c r="U771" s="168"/>
      <c r="W771" s="166"/>
      <c r="X771" s="166"/>
      <c r="Y771" s="166"/>
      <c r="Z771" s="167"/>
      <c r="AA771" s="165"/>
      <c r="AB771" s="167"/>
      <c r="AC771" s="167"/>
      <c r="AD771" s="167"/>
      <c r="AE771" s="167"/>
      <c r="AF771" s="167"/>
      <c r="AG771" s="137"/>
      <c r="AH771" s="137"/>
      <c r="AI771" s="137"/>
    </row>
    <row r="772" spans="13:35" ht="13" x14ac:dyDescent="0.15">
      <c r="M772" s="165"/>
      <c r="N772" s="165"/>
      <c r="O772" s="165"/>
      <c r="P772" s="165"/>
      <c r="Q772" s="165"/>
      <c r="R772" s="165"/>
      <c r="S772" s="166"/>
      <c r="T772" s="165"/>
      <c r="U772" s="168"/>
      <c r="W772" s="166"/>
      <c r="X772" s="166"/>
      <c r="Y772" s="166"/>
      <c r="Z772" s="167"/>
      <c r="AA772" s="165"/>
      <c r="AB772" s="167"/>
      <c r="AC772" s="167"/>
      <c r="AD772" s="167"/>
      <c r="AE772" s="167"/>
      <c r="AF772" s="167"/>
      <c r="AG772" s="137"/>
      <c r="AH772" s="137"/>
      <c r="AI772" s="137"/>
    </row>
    <row r="773" spans="13:35" ht="13" x14ac:dyDescent="0.15">
      <c r="M773" s="165"/>
      <c r="N773" s="165"/>
      <c r="O773" s="165"/>
      <c r="P773" s="165"/>
      <c r="Q773" s="165"/>
      <c r="R773" s="165"/>
      <c r="S773" s="166"/>
      <c r="T773" s="165"/>
      <c r="U773" s="168"/>
      <c r="W773" s="166"/>
      <c r="X773" s="166"/>
      <c r="Y773" s="166"/>
      <c r="Z773" s="167"/>
      <c r="AA773" s="165"/>
      <c r="AB773" s="167"/>
      <c r="AC773" s="167"/>
      <c r="AD773" s="167"/>
      <c r="AE773" s="167"/>
      <c r="AF773" s="167"/>
      <c r="AG773" s="137"/>
      <c r="AH773" s="137"/>
      <c r="AI773" s="137"/>
    </row>
    <row r="774" spans="13:35" ht="13" x14ac:dyDescent="0.15">
      <c r="M774" s="165"/>
      <c r="N774" s="165"/>
      <c r="O774" s="165"/>
      <c r="P774" s="165"/>
      <c r="Q774" s="165"/>
      <c r="R774" s="165"/>
      <c r="S774" s="166"/>
      <c r="T774" s="165"/>
      <c r="U774" s="168"/>
      <c r="W774" s="166"/>
      <c r="X774" s="166"/>
      <c r="Y774" s="166"/>
      <c r="Z774" s="167"/>
      <c r="AA774" s="165"/>
      <c r="AB774" s="167"/>
      <c r="AC774" s="167"/>
      <c r="AD774" s="167"/>
      <c r="AE774" s="167"/>
      <c r="AF774" s="167"/>
      <c r="AG774" s="137"/>
      <c r="AH774" s="137"/>
      <c r="AI774" s="137"/>
    </row>
    <row r="775" spans="13:35" ht="13" x14ac:dyDescent="0.15">
      <c r="M775" s="165"/>
      <c r="N775" s="165"/>
      <c r="O775" s="165"/>
      <c r="P775" s="165"/>
      <c r="Q775" s="165"/>
      <c r="R775" s="166"/>
      <c r="S775" s="166"/>
      <c r="T775" s="165"/>
      <c r="U775" s="166"/>
      <c r="W775" s="166"/>
      <c r="X775" s="166"/>
      <c r="Y775" s="166"/>
      <c r="Z775" s="167"/>
      <c r="AA775" s="165"/>
      <c r="AB775" s="167"/>
      <c r="AC775" s="167"/>
      <c r="AD775" s="167"/>
      <c r="AE775" s="167"/>
      <c r="AF775" s="167"/>
      <c r="AG775" s="137"/>
      <c r="AH775" s="137"/>
      <c r="AI775" s="137"/>
    </row>
    <row r="776" spans="13:35" ht="13" x14ac:dyDescent="0.15">
      <c r="M776" s="165"/>
      <c r="N776" s="165"/>
      <c r="O776" s="165"/>
      <c r="P776" s="165"/>
      <c r="Q776" s="165"/>
      <c r="R776" s="165"/>
      <c r="S776" s="166"/>
      <c r="T776" s="165"/>
      <c r="U776" s="166"/>
      <c r="W776" s="166"/>
      <c r="X776" s="166"/>
      <c r="Y776" s="166"/>
      <c r="Z776" s="167"/>
      <c r="AA776" s="165"/>
      <c r="AB776" s="167"/>
      <c r="AC776" s="167"/>
      <c r="AD776" s="167"/>
      <c r="AE776" s="167"/>
      <c r="AF776" s="167"/>
      <c r="AG776" s="137"/>
      <c r="AH776" s="137"/>
      <c r="AI776" s="137"/>
    </row>
    <row r="777" spans="13:35" ht="13" x14ac:dyDescent="0.15">
      <c r="M777" s="165"/>
      <c r="N777" s="165"/>
      <c r="O777" s="165"/>
      <c r="P777" s="165"/>
      <c r="Q777" s="165"/>
      <c r="R777" s="165"/>
      <c r="S777" s="166"/>
      <c r="T777" s="165"/>
      <c r="U777" s="166"/>
      <c r="W777" s="166"/>
      <c r="X777" s="166"/>
      <c r="Y777" s="166"/>
      <c r="Z777" s="167"/>
      <c r="AA777" s="165"/>
      <c r="AB777" s="167"/>
      <c r="AC777" s="167"/>
      <c r="AD777" s="167"/>
      <c r="AE777" s="167"/>
      <c r="AF777" s="167"/>
      <c r="AG777" s="137"/>
      <c r="AH777" s="137"/>
      <c r="AI777" s="137"/>
    </row>
    <row r="778" spans="13:35" ht="13" x14ac:dyDescent="0.15">
      <c r="M778" s="165"/>
      <c r="N778" s="165"/>
      <c r="O778" s="165"/>
      <c r="P778" s="165"/>
      <c r="Q778" s="165"/>
      <c r="R778" s="165"/>
      <c r="S778" s="166"/>
      <c r="T778" s="165"/>
      <c r="U778" s="166"/>
      <c r="W778" s="166"/>
      <c r="X778" s="166"/>
      <c r="Y778" s="166"/>
      <c r="Z778" s="167"/>
      <c r="AA778" s="165"/>
      <c r="AB778" s="167"/>
      <c r="AC778" s="167"/>
      <c r="AD778" s="167"/>
      <c r="AE778" s="167"/>
      <c r="AF778" s="167"/>
      <c r="AG778" s="137"/>
      <c r="AH778" s="137"/>
      <c r="AI778" s="137"/>
    </row>
    <row r="779" spans="13:35" ht="13" x14ac:dyDescent="0.15">
      <c r="M779" s="165"/>
      <c r="N779" s="165"/>
      <c r="O779" s="165"/>
      <c r="P779" s="165"/>
      <c r="Q779" s="165"/>
      <c r="R779" s="165"/>
      <c r="S779" s="166"/>
      <c r="T779" s="165"/>
      <c r="U779" s="166"/>
      <c r="W779" s="166"/>
      <c r="X779" s="166"/>
      <c r="Y779" s="166"/>
      <c r="Z779" s="167"/>
      <c r="AA779" s="165"/>
      <c r="AB779" s="167"/>
      <c r="AC779" s="167"/>
      <c r="AD779" s="167"/>
      <c r="AE779" s="167"/>
      <c r="AF779" s="167"/>
      <c r="AG779" s="137"/>
    </row>
    <row r="780" spans="13:35" ht="13" x14ac:dyDescent="0.15">
      <c r="M780" s="165"/>
      <c r="N780" s="165"/>
      <c r="O780" s="165"/>
      <c r="P780" s="165"/>
      <c r="Q780" s="165"/>
      <c r="R780" s="165"/>
      <c r="S780" s="166"/>
      <c r="T780" s="165"/>
      <c r="U780" s="166"/>
      <c r="W780" s="166"/>
      <c r="X780" s="166"/>
      <c r="Y780" s="166"/>
      <c r="Z780" s="167"/>
      <c r="AA780" s="165"/>
      <c r="AB780" s="167"/>
      <c r="AC780" s="167"/>
      <c r="AD780" s="167"/>
      <c r="AE780" s="167"/>
      <c r="AF780" s="167"/>
      <c r="AG780" s="137"/>
    </row>
    <row r="781" spans="13:35" ht="13" x14ac:dyDescent="0.15">
      <c r="M781" s="165"/>
      <c r="N781" s="165"/>
      <c r="O781" s="165"/>
      <c r="P781" s="165"/>
      <c r="Q781" s="165"/>
      <c r="R781" s="165"/>
      <c r="S781" s="166"/>
      <c r="T781" s="165"/>
      <c r="U781" s="166"/>
      <c r="W781" s="166"/>
      <c r="X781" s="166"/>
      <c r="Y781" s="166"/>
      <c r="Z781" s="167"/>
      <c r="AA781" s="165"/>
      <c r="AB781" s="167"/>
      <c r="AC781" s="167"/>
      <c r="AD781" s="167"/>
      <c r="AE781" s="167"/>
      <c r="AF781" s="167"/>
      <c r="AG781" s="137"/>
    </row>
    <row r="782" spans="13:35" ht="13" x14ac:dyDescent="0.15">
      <c r="M782" s="165"/>
      <c r="N782" s="165"/>
      <c r="O782" s="165"/>
      <c r="P782" s="165"/>
      <c r="Q782" s="165"/>
      <c r="R782" s="165"/>
      <c r="S782" s="166"/>
      <c r="T782" s="165"/>
      <c r="U782" s="166"/>
      <c r="W782" s="166"/>
      <c r="X782" s="166"/>
      <c r="Y782" s="166"/>
      <c r="Z782" s="167"/>
      <c r="AA782" s="165"/>
      <c r="AB782" s="167"/>
      <c r="AC782" s="167"/>
      <c r="AD782" s="167"/>
      <c r="AE782" s="167"/>
      <c r="AF782" s="167"/>
      <c r="AG782" s="137"/>
      <c r="AH782" s="137"/>
      <c r="AI782" s="137"/>
    </row>
    <row r="783" spans="13:35" ht="13" x14ac:dyDescent="0.15">
      <c r="M783" s="165"/>
      <c r="N783" s="165"/>
      <c r="O783" s="165"/>
      <c r="P783" s="165"/>
      <c r="Q783" s="165"/>
      <c r="R783" s="165"/>
      <c r="S783" s="166"/>
      <c r="T783" s="165"/>
      <c r="U783" s="166"/>
      <c r="W783" s="166"/>
      <c r="X783" s="166"/>
      <c r="Y783" s="166"/>
      <c r="Z783" s="167"/>
      <c r="AA783" s="165"/>
      <c r="AB783" s="167"/>
      <c r="AC783" s="167"/>
      <c r="AD783" s="167"/>
      <c r="AE783" s="167"/>
      <c r="AF783" s="167"/>
      <c r="AG783" s="137"/>
      <c r="AH783" s="137"/>
      <c r="AI783" s="137"/>
    </row>
    <row r="784" spans="13:35" ht="13" x14ac:dyDescent="0.15">
      <c r="M784" s="165"/>
      <c r="N784" s="165"/>
      <c r="O784" s="165"/>
      <c r="P784" s="165"/>
      <c r="Q784" s="165"/>
      <c r="R784" s="165"/>
      <c r="S784" s="166"/>
      <c r="T784" s="165"/>
      <c r="U784" s="166"/>
      <c r="W784" s="166"/>
      <c r="X784" s="166"/>
      <c r="Y784" s="166"/>
      <c r="Z784" s="167"/>
      <c r="AA784" s="165"/>
      <c r="AB784" s="167"/>
      <c r="AC784" s="167"/>
      <c r="AD784" s="167"/>
      <c r="AE784" s="167"/>
      <c r="AF784" s="167"/>
      <c r="AG784" s="137"/>
      <c r="AH784" s="137"/>
      <c r="AI784" s="137"/>
    </row>
    <row r="785" spans="13:35" ht="13" x14ac:dyDescent="0.15">
      <c r="M785" s="165"/>
      <c r="N785" s="165"/>
      <c r="O785" s="165"/>
      <c r="P785" s="165"/>
      <c r="Q785" s="165"/>
      <c r="R785" s="165"/>
      <c r="S785" s="166"/>
      <c r="T785" s="165"/>
      <c r="U785" s="166"/>
      <c r="W785" s="166"/>
      <c r="X785" s="166"/>
      <c r="Y785" s="166"/>
      <c r="Z785" s="167"/>
      <c r="AA785" s="165"/>
      <c r="AB785" s="167"/>
      <c r="AC785" s="167"/>
      <c r="AD785" s="167"/>
      <c r="AE785" s="167"/>
      <c r="AF785" s="167"/>
      <c r="AG785" s="137"/>
    </row>
    <row r="786" spans="13:35" ht="13" x14ac:dyDescent="0.15">
      <c r="M786" s="165"/>
      <c r="N786" s="165"/>
      <c r="O786" s="165"/>
      <c r="P786" s="165"/>
      <c r="Q786" s="165"/>
      <c r="R786" s="165"/>
      <c r="S786" s="166"/>
      <c r="T786" s="165"/>
      <c r="U786" s="166"/>
      <c r="W786" s="166"/>
      <c r="X786" s="166"/>
      <c r="Y786" s="166"/>
      <c r="Z786" s="167"/>
      <c r="AA786" s="165"/>
      <c r="AB786" s="167"/>
      <c r="AC786" s="167"/>
      <c r="AD786" s="167"/>
      <c r="AE786" s="167"/>
      <c r="AF786" s="167"/>
      <c r="AG786" s="137"/>
    </row>
    <row r="787" spans="13:35" ht="13" x14ac:dyDescent="0.15">
      <c r="M787" s="165"/>
      <c r="N787" s="165"/>
      <c r="O787" s="165"/>
      <c r="P787" s="165"/>
      <c r="Q787" s="165"/>
      <c r="R787" s="165"/>
      <c r="S787" s="166"/>
      <c r="T787" s="165"/>
      <c r="U787" s="166"/>
      <c r="W787" s="166"/>
      <c r="X787" s="166"/>
      <c r="Y787" s="166"/>
      <c r="Z787" s="167"/>
      <c r="AA787" s="165"/>
      <c r="AB787" s="167"/>
      <c r="AC787" s="167"/>
      <c r="AD787" s="167"/>
      <c r="AE787" s="167"/>
      <c r="AF787" s="167"/>
      <c r="AG787" s="137"/>
      <c r="AH787" s="137"/>
      <c r="AI787" s="137"/>
    </row>
    <row r="788" spans="13:35" ht="13" x14ac:dyDescent="0.15">
      <c r="M788" s="165"/>
      <c r="N788" s="165"/>
      <c r="O788" s="165"/>
      <c r="P788" s="165"/>
      <c r="Q788" s="165"/>
      <c r="R788" s="165"/>
      <c r="S788" s="166"/>
      <c r="T788" s="165"/>
      <c r="U788" s="166"/>
      <c r="W788" s="166"/>
      <c r="X788" s="166"/>
      <c r="Y788" s="166"/>
      <c r="Z788" s="167"/>
      <c r="AA788" s="165"/>
      <c r="AB788" s="167"/>
      <c r="AC788" s="167"/>
      <c r="AD788" s="167"/>
      <c r="AE788" s="167"/>
      <c r="AF788" s="167"/>
      <c r="AG788" s="137"/>
      <c r="AH788" s="137"/>
      <c r="AI788" s="137"/>
    </row>
    <row r="789" spans="13:35" ht="13" x14ac:dyDescent="0.15">
      <c r="M789" s="165"/>
      <c r="N789" s="165"/>
      <c r="O789" s="165"/>
      <c r="P789" s="165"/>
      <c r="Q789" s="165"/>
      <c r="R789" s="165"/>
      <c r="S789" s="166"/>
      <c r="T789" s="165"/>
      <c r="U789" s="166"/>
      <c r="W789" s="166"/>
      <c r="X789" s="166"/>
      <c r="Y789" s="166"/>
      <c r="Z789" s="167"/>
      <c r="AA789" s="165"/>
      <c r="AB789" s="167"/>
      <c r="AC789" s="167"/>
      <c r="AD789" s="167"/>
      <c r="AE789" s="167"/>
      <c r="AF789" s="167"/>
      <c r="AG789" s="137"/>
      <c r="AH789" s="137"/>
      <c r="AI789" s="137"/>
    </row>
    <row r="790" spans="13:35" ht="13" x14ac:dyDescent="0.15">
      <c r="M790" s="165"/>
      <c r="N790" s="165"/>
      <c r="O790" s="165"/>
      <c r="P790" s="165"/>
      <c r="Q790" s="165"/>
      <c r="R790" s="165"/>
      <c r="S790" s="166"/>
      <c r="T790" s="165"/>
      <c r="U790" s="166"/>
      <c r="W790" s="166"/>
      <c r="X790" s="166"/>
      <c r="Y790" s="166"/>
      <c r="Z790" s="167"/>
      <c r="AA790" s="165"/>
      <c r="AB790" s="167"/>
      <c r="AC790" s="167"/>
      <c r="AD790" s="167"/>
      <c r="AE790" s="167"/>
      <c r="AF790" s="167"/>
      <c r="AG790" s="137"/>
      <c r="AH790" s="137"/>
      <c r="AI790" s="137"/>
    </row>
    <row r="791" spans="13:35" ht="13" x14ac:dyDescent="0.15">
      <c r="M791" s="165"/>
      <c r="N791" s="165"/>
      <c r="O791" s="165"/>
      <c r="P791" s="165"/>
      <c r="Q791" s="165"/>
      <c r="R791" s="165"/>
      <c r="S791" s="166"/>
      <c r="T791" s="165"/>
      <c r="U791" s="166"/>
      <c r="W791" s="166"/>
      <c r="X791" s="166"/>
      <c r="Y791" s="166"/>
      <c r="Z791" s="167"/>
      <c r="AA791" s="165"/>
      <c r="AB791" s="167"/>
      <c r="AC791" s="167"/>
      <c r="AD791" s="167"/>
      <c r="AE791" s="167"/>
      <c r="AF791" s="167"/>
      <c r="AG791" s="137"/>
      <c r="AH791" s="137"/>
      <c r="AI791" s="137"/>
    </row>
    <row r="792" spans="13:35" ht="13" x14ac:dyDescent="0.15">
      <c r="M792" s="165"/>
      <c r="N792" s="165"/>
      <c r="O792" s="165"/>
      <c r="P792" s="165"/>
      <c r="Q792" s="165"/>
      <c r="R792" s="165"/>
      <c r="S792" s="166"/>
      <c r="T792" s="165"/>
      <c r="U792" s="166"/>
      <c r="W792" s="166"/>
      <c r="X792" s="166"/>
      <c r="Y792" s="166"/>
      <c r="Z792" s="167"/>
      <c r="AA792" s="165"/>
      <c r="AB792" s="167"/>
      <c r="AC792" s="167"/>
      <c r="AD792" s="167"/>
      <c r="AE792" s="167"/>
      <c r="AF792" s="167"/>
      <c r="AG792" s="137"/>
      <c r="AH792" s="137"/>
      <c r="AI792" s="137"/>
    </row>
    <row r="793" spans="13:35" ht="13" x14ac:dyDescent="0.15">
      <c r="M793" s="165"/>
      <c r="N793" s="165"/>
      <c r="O793" s="165"/>
      <c r="P793" s="165"/>
      <c r="Q793" s="165"/>
      <c r="R793" s="165"/>
      <c r="S793" s="166"/>
      <c r="T793" s="165"/>
      <c r="U793" s="166"/>
      <c r="W793" s="166"/>
      <c r="X793" s="166"/>
      <c r="Y793" s="166"/>
      <c r="Z793" s="167"/>
      <c r="AA793" s="165"/>
      <c r="AB793" s="167"/>
      <c r="AC793" s="167"/>
      <c r="AD793" s="167"/>
      <c r="AE793" s="167"/>
      <c r="AF793" s="167"/>
      <c r="AG793" s="137"/>
      <c r="AH793" s="137"/>
      <c r="AI793" s="137"/>
    </row>
    <row r="794" spans="13:35" ht="13" x14ac:dyDescent="0.15">
      <c r="M794" s="165"/>
      <c r="N794" s="165"/>
      <c r="O794" s="165"/>
      <c r="P794" s="165"/>
      <c r="Q794" s="165"/>
      <c r="R794" s="165"/>
      <c r="S794" s="166"/>
      <c r="T794" s="165"/>
      <c r="U794" s="166"/>
      <c r="W794" s="166"/>
      <c r="X794" s="166"/>
      <c r="Y794" s="166"/>
      <c r="Z794" s="167"/>
      <c r="AA794" s="165"/>
      <c r="AB794" s="167"/>
      <c r="AC794" s="167"/>
      <c r="AD794" s="167"/>
      <c r="AE794" s="167"/>
      <c r="AF794" s="167"/>
      <c r="AG794" s="137"/>
      <c r="AH794" s="137"/>
      <c r="AI794" s="137"/>
    </row>
    <row r="795" spans="13:35" ht="13" x14ac:dyDescent="0.15">
      <c r="M795" s="165"/>
      <c r="N795" s="165"/>
      <c r="O795" s="165"/>
      <c r="P795" s="165"/>
      <c r="Q795" s="165"/>
      <c r="R795" s="165"/>
      <c r="S795" s="166"/>
      <c r="T795" s="165"/>
      <c r="U795" s="166"/>
      <c r="W795" s="166"/>
      <c r="X795" s="166"/>
      <c r="Y795" s="166"/>
      <c r="Z795" s="167"/>
      <c r="AA795" s="165"/>
      <c r="AB795" s="167"/>
      <c r="AC795" s="167"/>
      <c r="AD795" s="167"/>
      <c r="AE795" s="167"/>
      <c r="AF795" s="167"/>
      <c r="AG795" s="137"/>
      <c r="AH795" s="137"/>
      <c r="AI795" s="137"/>
    </row>
    <row r="796" spans="13:35" ht="13" x14ac:dyDescent="0.15">
      <c r="M796" s="165"/>
      <c r="N796" s="165"/>
      <c r="O796" s="165"/>
      <c r="P796" s="165"/>
      <c r="Q796" s="165"/>
      <c r="R796" s="165"/>
      <c r="S796" s="166"/>
      <c r="T796" s="165"/>
      <c r="U796" s="166"/>
      <c r="W796" s="166"/>
      <c r="X796" s="166"/>
      <c r="Y796" s="166"/>
      <c r="Z796" s="167"/>
      <c r="AA796" s="165"/>
      <c r="AB796" s="167"/>
      <c r="AC796" s="167"/>
      <c r="AD796" s="167"/>
      <c r="AE796" s="167"/>
      <c r="AF796" s="167"/>
      <c r="AG796" s="137"/>
      <c r="AH796" s="137"/>
      <c r="AI796" s="137"/>
    </row>
    <row r="797" spans="13:35" ht="13" x14ac:dyDescent="0.15">
      <c r="M797" s="165"/>
      <c r="N797" s="165"/>
      <c r="O797" s="165"/>
      <c r="P797" s="165"/>
      <c r="Q797" s="165"/>
      <c r="R797" s="165"/>
      <c r="S797" s="166"/>
      <c r="T797" s="165"/>
      <c r="U797" s="166"/>
      <c r="W797" s="166"/>
      <c r="X797" s="166"/>
      <c r="Y797" s="166"/>
      <c r="Z797" s="167"/>
      <c r="AA797" s="165"/>
      <c r="AB797" s="167"/>
      <c r="AC797" s="167"/>
      <c r="AD797" s="167"/>
      <c r="AE797" s="167"/>
      <c r="AF797" s="167"/>
      <c r="AG797" s="137"/>
      <c r="AH797" s="137"/>
      <c r="AI797" s="137"/>
    </row>
    <row r="798" spans="13:35" ht="13" x14ac:dyDescent="0.15">
      <c r="M798" s="165"/>
      <c r="N798" s="165"/>
      <c r="O798" s="165"/>
      <c r="P798" s="165"/>
      <c r="Q798" s="165"/>
      <c r="R798" s="165"/>
      <c r="S798" s="166"/>
      <c r="T798" s="165"/>
      <c r="U798" s="166"/>
      <c r="W798" s="166"/>
      <c r="X798" s="166"/>
      <c r="Y798" s="166"/>
      <c r="Z798" s="167"/>
      <c r="AA798" s="165"/>
      <c r="AB798" s="167"/>
      <c r="AC798" s="167"/>
      <c r="AD798" s="167"/>
      <c r="AE798" s="167"/>
      <c r="AF798" s="167"/>
      <c r="AG798" s="137"/>
      <c r="AH798" s="137"/>
      <c r="AI798" s="137"/>
    </row>
    <row r="799" spans="13:35" ht="13" x14ac:dyDescent="0.15">
      <c r="M799" s="165"/>
      <c r="N799" s="165"/>
      <c r="O799" s="165"/>
      <c r="P799" s="165"/>
      <c r="Q799" s="165"/>
      <c r="R799" s="165"/>
      <c r="S799" s="166"/>
      <c r="T799" s="165"/>
      <c r="U799" s="166"/>
      <c r="W799" s="166"/>
      <c r="X799" s="166"/>
      <c r="Y799" s="166"/>
      <c r="Z799" s="167"/>
      <c r="AA799" s="165"/>
      <c r="AB799" s="167"/>
      <c r="AC799" s="167"/>
      <c r="AD799" s="167"/>
      <c r="AE799" s="167"/>
      <c r="AF799" s="167"/>
      <c r="AG799" s="137"/>
      <c r="AH799" s="137"/>
      <c r="AI799" s="137"/>
    </row>
    <row r="800" spans="13:35" ht="13" x14ac:dyDescent="0.15">
      <c r="M800" s="165"/>
      <c r="N800" s="165"/>
      <c r="O800" s="165"/>
      <c r="P800" s="165"/>
      <c r="Q800" s="165"/>
      <c r="R800" s="165"/>
      <c r="S800" s="166"/>
      <c r="T800" s="165"/>
      <c r="U800" s="166"/>
      <c r="W800" s="166"/>
      <c r="X800" s="166"/>
      <c r="Y800" s="166"/>
      <c r="Z800" s="167"/>
      <c r="AA800" s="165"/>
      <c r="AB800" s="167"/>
      <c r="AC800" s="167"/>
      <c r="AD800" s="167"/>
      <c r="AE800" s="167"/>
      <c r="AF800" s="167"/>
      <c r="AG800" s="137"/>
      <c r="AH800" s="137"/>
      <c r="AI800" s="137"/>
    </row>
    <row r="801" spans="13:37" ht="13" x14ac:dyDescent="0.15">
      <c r="M801" s="165"/>
      <c r="N801" s="165"/>
      <c r="O801" s="165"/>
      <c r="P801" s="165"/>
      <c r="Q801" s="165"/>
      <c r="R801" s="165"/>
      <c r="S801" s="166"/>
      <c r="T801" s="165"/>
      <c r="U801" s="166"/>
      <c r="W801" s="166"/>
      <c r="X801" s="166"/>
      <c r="Y801" s="166"/>
      <c r="Z801" s="167"/>
      <c r="AA801" s="165"/>
      <c r="AB801" s="167"/>
      <c r="AC801" s="167"/>
      <c r="AD801" s="167"/>
      <c r="AE801" s="167"/>
      <c r="AF801" s="167"/>
      <c r="AG801" s="137"/>
      <c r="AH801" s="137"/>
      <c r="AI801" s="137"/>
    </row>
    <row r="802" spans="13:37" ht="13" x14ac:dyDescent="0.15">
      <c r="M802" s="165"/>
      <c r="N802" s="165"/>
      <c r="O802" s="165"/>
      <c r="P802" s="165"/>
      <c r="Q802" s="165"/>
      <c r="R802" s="165"/>
      <c r="S802" s="166"/>
      <c r="T802" s="165"/>
      <c r="U802" s="166"/>
      <c r="W802" s="166"/>
      <c r="X802" s="166"/>
      <c r="Y802" s="166"/>
      <c r="Z802" s="167"/>
      <c r="AA802" s="165"/>
      <c r="AB802" s="167"/>
      <c r="AC802" s="167"/>
      <c r="AD802" s="167"/>
      <c r="AE802" s="167"/>
      <c r="AF802" s="167"/>
      <c r="AG802" s="137"/>
      <c r="AH802" s="137"/>
      <c r="AI802" s="137"/>
    </row>
    <row r="803" spans="13:37" ht="13" x14ac:dyDescent="0.15">
      <c r="M803" s="165"/>
      <c r="N803" s="165"/>
      <c r="O803" s="165"/>
      <c r="P803" s="165"/>
      <c r="Q803" s="165"/>
      <c r="R803" s="165"/>
      <c r="S803" s="166"/>
      <c r="T803" s="165"/>
      <c r="U803" s="166"/>
      <c r="W803" s="166"/>
      <c r="X803" s="166"/>
      <c r="Y803" s="166"/>
      <c r="Z803" s="167"/>
      <c r="AA803" s="165"/>
      <c r="AB803" s="167"/>
      <c r="AC803" s="167"/>
      <c r="AD803" s="167"/>
      <c r="AE803" s="167"/>
      <c r="AF803" s="167"/>
      <c r="AG803" s="137"/>
      <c r="AH803" s="137"/>
      <c r="AI803" s="137"/>
    </row>
    <row r="804" spans="13:37" ht="13" x14ac:dyDescent="0.15">
      <c r="M804" s="165"/>
      <c r="N804" s="165"/>
      <c r="O804" s="165"/>
      <c r="P804" s="165"/>
      <c r="Q804" s="165"/>
      <c r="R804" s="165"/>
      <c r="S804" s="166"/>
      <c r="T804" s="165"/>
      <c r="U804" s="166"/>
      <c r="W804" s="166"/>
      <c r="X804" s="166"/>
      <c r="Y804" s="166"/>
      <c r="Z804" s="167"/>
      <c r="AA804" s="165"/>
      <c r="AB804" s="167"/>
      <c r="AC804" s="167"/>
      <c r="AD804" s="167"/>
      <c r="AE804" s="167"/>
      <c r="AF804" s="167"/>
      <c r="AG804" s="137"/>
      <c r="AH804" s="137"/>
      <c r="AI804" s="137"/>
    </row>
    <row r="805" spans="13:37" ht="13" x14ac:dyDescent="0.15">
      <c r="M805" s="165"/>
      <c r="N805" s="165"/>
      <c r="O805" s="165"/>
      <c r="P805" s="165"/>
      <c r="Q805" s="165"/>
      <c r="R805" s="165"/>
      <c r="S805" s="166"/>
      <c r="T805" s="165"/>
      <c r="U805" s="166"/>
      <c r="W805" s="166"/>
      <c r="X805" s="166"/>
      <c r="Y805" s="166"/>
      <c r="Z805" s="167"/>
      <c r="AA805" s="165"/>
      <c r="AB805" s="167"/>
      <c r="AC805" s="167"/>
      <c r="AD805" s="167"/>
      <c r="AE805" s="167"/>
      <c r="AF805" s="167"/>
      <c r="AG805" s="137"/>
      <c r="AH805" s="137"/>
      <c r="AI805" s="137"/>
    </row>
    <row r="806" spans="13:37" ht="13" x14ac:dyDescent="0.15">
      <c r="M806" s="165"/>
      <c r="N806" s="165"/>
      <c r="O806" s="165"/>
      <c r="P806" s="165"/>
      <c r="Q806" s="165"/>
      <c r="R806" s="165"/>
      <c r="S806" s="166"/>
      <c r="T806" s="165"/>
      <c r="U806" s="166"/>
      <c r="W806" s="166"/>
      <c r="X806" s="166"/>
      <c r="Y806" s="166"/>
      <c r="Z806" s="167"/>
      <c r="AA806" s="165"/>
      <c r="AB806" s="167"/>
      <c r="AC806" s="167"/>
      <c r="AD806" s="167"/>
      <c r="AE806" s="167"/>
      <c r="AF806" s="167"/>
      <c r="AG806" s="137"/>
      <c r="AH806" s="137"/>
      <c r="AI806" s="137"/>
    </row>
    <row r="807" spans="13:37" ht="13" x14ac:dyDescent="0.15">
      <c r="M807" s="165"/>
      <c r="N807" s="165"/>
      <c r="O807" s="165"/>
      <c r="P807" s="165"/>
      <c r="Q807" s="165"/>
      <c r="R807" s="165"/>
      <c r="S807" s="166"/>
      <c r="T807" s="165"/>
      <c r="U807" s="166"/>
      <c r="W807" s="166"/>
      <c r="X807" s="166"/>
      <c r="Y807" s="166"/>
      <c r="Z807" s="167"/>
      <c r="AA807" s="165"/>
      <c r="AB807" s="167"/>
      <c r="AC807" s="167"/>
      <c r="AD807" s="167"/>
      <c r="AE807" s="167"/>
      <c r="AF807" s="167"/>
      <c r="AG807" s="137"/>
      <c r="AH807" s="137"/>
      <c r="AI807" s="137"/>
      <c r="AJ807" s="137"/>
      <c r="AK807" s="137"/>
    </row>
    <row r="808" spans="13:37" ht="13" x14ac:dyDescent="0.15">
      <c r="M808" s="165"/>
      <c r="N808" s="165"/>
      <c r="O808" s="165"/>
      <c r="P808" s="165"/>
      <c r="Q808" s="165"/>
      <c r="R808" s="165"/>
      <c r="S808" s="166"/>
      <c r="T808" s="165"/>
      <c r="U808" s="166"/>
      <c r="W808" s="166"/>
      <c r="X808" s="166"/>
      <c r="Y808" s="166"/>
      <c r="Z808" s="167"/>
      <c r="AA808" s="165"/>
      <c r="AB808" s="167"/>
      <c r="AC808" s="167"/>
      <c r="AD808" s="167"/>
      <c r="AE808" s="167"/>
      <c r="AF808" s="167"/>
      <c r="AG808" s="137"/>
      <c r="AH808" s="137"/>
      <c r="AI808" s="137"/>
      <c r="AJ808" s="137"/>
      <c r="AK808" s="137"/>
    </row>
    <row r="809" spans="13:37" ht="13" x14ac:dyDescent="0.15">
      <c r="M809" s="165"/>
      <c r="N809" s="165"/>
      <c r="O809" s="165"/>
      <c r="P809" s="165"/>
      <c r="Q809" s="165"/>
      <c r="R809" s="165"/>
      <c r="S809" s="166"/>
      <c r="T809" s="165"/>
      <c r="U809" s="166"/>
      <c r="W809" s="166"/>
      <c r="X809" s="166"/>
      <c r="Y809" s="166"/>
      <c r="Z809" s="167"/>
      <c r="AA809" s="165"/>
      <c r="AB809" s="167"/>
      <c r="AC809" s="167"/>
      <c r="AD809" s="167"/>
      <c r="AE809" s="167"/>
      <c r="AF809" s="167"/>
    </row>
    <row r="810" spans="13:37" ht="13" x14ac:dyDescent="0.15">
      <c r="M810" s="165"/>
      <c r="N810" s="165"/>
      <c r="O810" s="165"/>
      <c r="P810" s="165"/>
      <c r="Q810" s="165"/>
      <c r="R810" s="165"/>
      <c r="S810" s="166"/>
      <c r="T810" s="165"/>
      <c r="U810" s="166"/>
      <c r="W810" s="166"/>
      <c r="X810" s="166"/>
      <c r="Y810" s="166"/>
      <c r="Z810" s="167"/>
      <c r="AA810" s="165"/>
      <c r="AB810" s="167"/>
      <c r="AC810" s="167"/>
      <c r="AD810" s="167"/>
      <c r="AE810" s="167"/>
      <c r="AF810" s="167"/>
    </row>
    <row r="811" spans="13:37" ht="13" x14ac:dyDescent="0.15">
      <c r="M811" s="165"/>
      <c r="N811" s="165"/>
      <c r="O811" s="165"/>
      <c r="P811" s="165"/>
      <c r="Q811" s="165"/>
      <c r="R811" s="165"/>
      <c r="S811" s="166"/>
      <c r="T811" s="165"/>
      <c r="U811" s="166"/>
      <c r="W811" s="166"/>
      <c r="X811" s="166"/>
      <c r="Y811" s="166"/>
      <c r="Z811" s="167"/>
      <c r="AA811" s="165"/>
      <c r="AB811" s="167"/>
      <c r="AC811" s="167"/>
      <c r="AD811" s="167"/>
      <c r="AE811" s="167"/>
      <c r="AF811" s="167"/>
    </row>
    <row r="812" spans="13:37" ht="13" x14ac:dyDescent="0.15">
      <c r="M812" s="165"/>
      <c r="N812" s="165"/>
      <c r="O812" s="165"/>
      <c r="P812" s="165"/>
      <c r="Q812" s="165"/>
      <c r="R812" s="165"/>
      <c r="S812" s="166"/>
      <c r="T812" s="165"/>
      <c r="U812" s="166"/>
      <c r="W812" s="166"/>
      <c r="X812" s="166"/>
      <c r="Y812" s="166"/>
      <c r="Z812" s="167"/>
      <c r="AA812" s="165"/>
      <c r="AB812" s="167"/>
      <c r="AC812" s="167"/>
      <c r="AD812" s="167"/>
      <c r="AE812" s="167"/>
      <c r="AF812" s="167"/>
    </row>
    <row r="813" spans="13:37" ht="13" x14ac:dyDescent="0.15">
      <c r="M813" s="165"/>
      <c r="N813" s="165"/>
      <c r="O813" s="165"/>
      <c r="P813" s="165"/>
      <c r="Q813" s="165"/>
      <c r="R813" s="165"/>
      <c r="S813" s="166"/>
      <c r="T813" s="165"/>
      <c r="U813" s="166"/>
      <c r="W813" s="166"/>
      <c r="X813" s="166"/>
      <c r="Y813" s="166"/>
      <c r="Z813" s="167"/>
      <c r="AA813" s="165"/>
      <c r="AB813" s="167"/>
      <c r="AC813" s="167"/>
      <c r="AD813" s="167"/>
      <c r="AE813" s="167"/>
      <c r="AF813" s="167"/>
    </row>
    <row r="814" spans="13:37" ht="13" x14ac:dyDescent="0.15">
      <c r="M814" s="165"/>
      <c r="N814" s="165"/>
      <c r="O814" s="165"/>
      <c r="P814" s="165"/>
      <c r="Q814" s="165"/>
      <c r="R814" s="165"/>
      <c r="S814" s="166"/>
      <c r="T814" s="165"/>
      <c r="U814" s="166"/>
      <c r="W814" s="166"/>
      <c r="X814" s="166"/>
      <c r="Y814" s="166"/>
      <c r="Z814" s="167"/>
      <c r="AA814" s="165"/>
      <c r="AB814" s="167"/>
      <c r="AC814" s="167"/>
      <c r="AD814" s="167"/>
      <c r="AE814" s="167"/>
      <c r="AF814" s="167"/>
      <c r="AG814" s="137"/>
      <c r="AH814" s="137"/>
      <c r="AI814" s="137"/>
      <c r="AJ814" s="137"/>
      <c r="AK814" s="137"/>
    </row>
    <row r="815" spans="13:37" ht="13" x14ac:dyDescent="0.15">
      <c r="M815" s="165"/>
      <c r="N815" s="165"/>
      <c r="O815" s="165"/>
      <c r="P815" s="165"/>
      <c r="Q815" s="165"/>
      <c r="R815" s="165"/>
      <c r="S815" s="166"/>
      <c r="T815" s="165"/>
      <c r="U815" s="166"/>
      <c r="W815" s="166"/>
      <c r="X815" s="166"/>
      <c r="Y815" s="166"/>
      <c r="Z815" s="167"/>
      <c r="AA815" s="165"/>
      <c r="AB815" s="167"/>
      <c r="AC815" s="167"/>
      <c r="AD815" s="167"/>
      <c r="AE815" s="167"/>
      <c r="AF815" s="167"/>
      <c r="AG815" s="137"/>
      <c r="AH815" s="137"/>
      <c r="AI815" s="137"/>
      <c r="AJ815" s="137"/>
      <c r="AK815" s="137"/>
    </row>
    <row r="816" spans="13:37" ht="13" x14ac:dyDescent="0.15">
      <c r="M816" s="165"/>
      <c r="N816" s="165"/>
      <c r="O816" s="165"/>
      <c r="P816" s="165"/>
      <c r="Q816" s="165"/>
      <c r="R816" s="165"/>
      <c r="S816" s="166"/>
      <c r="T816" s="165"/>
      <c r="U816" s="166"/>
      <c r="W816" s="166"/>
      <c r="X816" s="166"/>
      <c r="Y816" s="166"/>
      <c r="Z816" s="167"/>
      <c r="AA816" s="165"/>
      <c r="AB816" s="167"/>
      <c r="AC816" s="167"/>
      <c r="AD816" s="167"/>
      <c r="AE816" s="167"/>
      <c r="AF816" s="167"/>
      <c r="AG816" s="137"/>
      <c r="AH816" s="137"/>
      <c r="AI816" s="137"/>
      <c r="AJ816" s="137"/>
      <c r="AK816" s="137"/>
    </row>
    <row r="817" spans="13:37" ht="13" x14ac:dyDescent="0.15">
      <c r="M817" s="165"/>
      <c r="N817" s="165"/>
      <c r="O817" s="165"/>
      <c r="P817" s="165"/>
      <c r="Q817" s="165"/>
      <c r="R817" s="165"/>
      <c r="S817" s="166"/>
      <c r="T817" s="165"/>
      <c r="U817" s="166"/>
      <c r="W817" s="166"/>
      <c r="X817" s="166"/>
      <c r="Y817" s="166"/>
      <c r="Z817" s="167"/>
      <c r="AA817" s="165"/>
      <c r="AB817" s="167"/>
      <c r="AC817" s="167"/>
      <c r="AD817" s="167"/>
      <c r="AE817" s="167"/>
      <c r="AF817" s="167"/>
      <c r="AG817" s="137"/>
      <c r="AH817" s="137"/>
      <c r="AI817" s="137"/>
      <c r="AJ817" s="137"/>
      <c r="AK817" s="137"/>
    </row>
    <row r="818" spans="13:37" ht="13" x14ac:dyDescent="0.15">
      <c r="M818" s="165"/>
      <c r="N818" s="165"/>
      <c r="O818" s="165"/>
      <c r="P818" s="165"/>
      <c r="Q818" s="165"/>
      <c r="R818" s="165"/>
      <c r="S818" s="166"/>
      <c r="T818" s="165"/>
      <c r="U818" s="166"/>
      <c r="W818" s="166"/>
      <c r="X818" s="166"/>
      <c r="Y818" s="166"/>
      <c r="Z818" s="167"/>
      <c r="AA818" s="165"/>
      <c r="AB818" s="167"/>
      <c r="AC818" s="167"/>
      <c r="AD818" s="167"/>
      <c r="AE818" s="167"/>
      <c r="AF818" s="167"/>
      <c r="AG818" s="137"/>
      <c r="AH818" s="137"/>
      <c r="AI818" s="137"/>
      <c r="AJ818" s="137"/>
      <c r="AK818" s="137"/>
    </row>
    <row r="819" spans="13:37" ht="13" x14ac:dyDescent="0.15">
      <c r="M819" s="165"/>
      <c r="N819" s="165"/>
      <c r="O819" s="165"/>
      <c r="P819" s="165"/>
      <c r="Q819" s="165"/>
      <c r="R819" s="165"/>
      <c r="S819" s="166"/>
      <c r="T819" s="165"/>
      <c r="U819" s="166"/>
      <c r="V819" s="165"/>
      <c r="W819" s="166"/>
      <c r="X819" s="166"/>
      <c r="Y819" s="166"/>
      <c r="Z819" s="167"/>
      <c r="AA819" s="165"/>
      <c r="AB819" s="167"/>
      <c r="AC819" s="167"/>
      <c r="AD819" s="167"/>
      <c r="AE819" s="167"/>
      <c r="AF819" s="167"/>
      <c r="AG819" s="137"/>
      <c r="AH819" s="167"/>
      <c r="AI819" s="167"/>
      <c r="AJ819" s="167"/>
      <c r="AK819" s="137"/>
    </row>
    <row r="820" spans="13:37" ht="13" x14ac:dyDescent="0.15">
      <c r="M820" s="165"/>
      <c r="N820" s="165"/>
      <c r="O820" s="165"/>
      <c r="P820" s="165"/>
      <c r="Q820" s="165"/>
      <c r="R820" s="165"/>
      <c r="S820" s="166"/>
      <c r="T820" s="165"/>
      <c r="U820" s="166"/>
      <c r="V820" s="165"/>
      <c r="W820" s="166"/>
      <c r="X820" s="166"/>
      <c r="Y820" s="166"/>
      <c r="Z820" s="167"/>
      <c r="AA820" s="165"/>
      <c r="AB820" s="167"/>
      <c r="AC820" s="167"/>
      <c r="AD820" s="167"/>
      <c r="AE820" s="167"/>
      <c r="AF820" s="167"/>
      <c r="AG820" s="137"/>
      <c r="AH820" s="167"/>
      <c r="AI820" s="167"/>
      <c r="AJ820" s="167"/>
      <c r="AK820" s="137"/>
    </row>
    <row r="821" spans="13:37" ht="13" x14ac:dyDescent="0.15">
      <c r="M821" s="165"/>
      <c r="N821" s="165"/>
      <c r="O821" s="165"/>
      <c r="P821" s="165"/>
      <c r="Q821" s="165"/>
      <c r="R821" s="165"/>
      <c r="S821" s="166"/>
      <c r="T821" s="165"/>
      <c r="U821" s="166"/>
      <c r="W821" s="166"/>
      <c r="X821" s="166"/>
      <c r="Y821" s="166"/>
      <c r="Z821" s="167"/>
      <c r="AA821" s="165"/>
      <c r="AB821" s="167"/>
      <c r="AC821" s="167"/>
      <c r="AD821" s="167"/>
      <c r="AE821" s="167"/>
      <c r="AF821" s="167"/>
      <c r="AG821" s="137"/>
      <c r="AH821" s="137"/>
      <c r="AI821" s="137"/>
      <c r="AJ821" s="137"/>
      <c r="AK821" s="137"/>
    </row>
    <row r="822" spans="13:37" ht="13" x14ac:dyDescent="0.15">
      <c r="M822" s="165"/>
      <c r="N822" s="165"/>
      <c r="O822" s="165"/>
      <c r="P822" s="165"/>
      <c r="Q822" s="165"/>
      <c r="R822" s="165"/>
      <c r="S822" s="166"/>
      <c r="T822" s="165"/>
      <c r="U822" s="166"/>
      <c r="W822" s="166"/>
      <c r="X822" s="166"/>
      <c r="Y822" s="166"/>
      <c r="Z822" s="167"/>
      <c r="AA822" s="165"/>
      <c r="AB822" s="167"/>
      <c r="AC822" s="167"/>
      <c r="AD822" s="167"/>
      <c r="AE822" s="167"/>
      <c r="AF822" s="167"/>
      <c r="AG822" s="137"/>
      <c r="AH822" s="137"/>
      <c r="AI822" s="137"/>
      <c r="AJ822" s="137"/>
      <c r="AK822" s="137"/>
    </row>
    <row r="823" spans="13:37" ht="13" x14ac:dyDescent="0.15">
      <c r="M823" s="165"/>
      <c r="N823" s="165"/>
      <c r="O823" s="165"/>
      <c r="P823" s="165"/>
      <c r="Q823" s="165"/>
      <c r="R823" s="165"/>
      <c r="S823" s="166"/>
      <c r="T823" s="165"/>
      <c r="U823" s="166"/>
      <c r="W823" s="166"/>
      <c r="X823" s="166"/>
      <c r="Y823" s="166"/>
      <c r="Z823" s="167"/>
      <c r="AA823" s="165"/>
      <c r="AB823" s="167"/>
      <c r="AC823" s="167"/>
      <c r="AD823" s="167"/>
      <c r="AE823" s="167"/>
      <c r="AF823" s="167"/>
      <c r="AG823" s="137"/>
      <c r="AH823" s="137"/>
      <c r="AI823" s="137"/>
      <c r="AJ823" s="137"/>
      <c r="AK823" s="137"/>
    </row>
    <row r="824" spans="13:37" ht="13" x14ac:dyDescent="0.15">
      <c r="M824" s="165"/>
      <c r="N824" s="165"/>
      <c r="O824" s="165"/>
      <c r="P824" s="165"/>
      <c r="Q824" s="165"/>
      <c r="R824" s="165"/>
      <c r="S824" s="166"/>
      <c r="T824" s="165"/>
      <c r="U824" s="166"/>
      <c r="W824" s="166"/>
      <c r="X824" s="166"/>
      <c r="Y824" s="166"/>
      <c r="Z824" s="167"/>
      <c r="AA824" s="165"/>
      <c r="AB824" s="167"/>
      <c r="AC824" s="167"/>
      <c r="AD824" s="167"/>
      <c r="AE824" s="167"/>
      <c r="AF824" s="167"/>
      <c r="AG824" s="137"/>
      <c r="AH824" s="137"/>
      <c r="AI824" s="137"/>
      <c r="AJ824" s="137"/>
      <c r="AK824" s="137"/>
    </row>
    <row r="825" spans="13:37" ht="13" x14ac:dyDescent="0.15">
      <c r="M825" s="165"/>
      <c r="N825" s="165"/>
      <c r="O825" s="165"/>
      <c r="P825" s="165"/>
      <c r="Q825" s="165"/>
      <c r="R825" s="165"/>
      <c r="S825" s="166"/>
      <c r="T825" s="165"/>
      <c r="U825" s="166"/>
      <c r="W825" s="166"/>
      <c r="X825" s="166"/>
      <c r="Y825" s="166"/>
      <c r="Z825" s="167"/>
      <c r="AA825" s="165"/>
      <c r="AB825" s="167"/>
      <c r="AC825" s="167"/>
      <c r="AD825" s="167"/>
      <c r="AE825" s="167"/>
      <c r="AF825" s="167"/>
      <c r="AG825" s="137"/>
      <c r="AH825" s="137"/>
      <c r="AI825" s="137"/>
      <c r="AJ825" s="137"/>
      <c r="AK825" s="137"/>
    </row>
    <row r="826" spans="13:37" ht="13" x14ac:dyDescent="0.15">
      <c r="M826" s="165"/>
      <c r="N826" s="165"/>
      <c r="O826" s="165"/>
      <c r="P826" s="165"/>
      <c r="Q826" s="165"/>
      <c r="R826" s="165"/>
      <c r="S826" s="166"/>
      <c r="T826" s="165"/>
      <c r="U826" s="166"/>
      <c r="W826" s="166"/>
      <c r="X826" s="166"/>
      <c r="Y826" s="166"/>
      <c r="Z826" s="167"/>
      <c r="AA826" s="165"/>
      <c r="AB826" s="167"/>
      <c r="AC826" s="167"/>
      <c r="AD826" s="167"/>
      <c r="AE826" s="167"/>
      <c r="AF826" s="167"/>
      <c r="AG826" s="137"/>
      <c r="AH826" s="137"/>
      <c r="AI826" s="137"/>
      <c r="AJ826" s="137"/>
      <c r="AK826" s="137"/>
    </row>
    <row r="827" spans="13:37" ht="13" x14ac:dyDescent="0.15">
      <c r="M827" s="165"/>
      <c r="N827" s="165"/>
      <c r="O827" s="165"/>
      <c r="P827" s="165"/>
      <c r="Q827" s="165"/>
      <c r="R827" s="165"/>
      <c r="S827" s="166"/>
      <c r="T827" s="165"/>
      <c r="U827" s="166"/>
      <c r="W827" s="166"/>
      <c r="X827" s="166"/>
      <c r="Y827" s="166"/>
      <c r="Z827" s="167"/>
      <c r="AA827" s="165"/>
      <c r="AB827" s="167"/>
      <c r="AC827" s="167"/>
      <c r="AD827" s="167"/>
      <c r="AE827" s="167"/>
      <c r="AF827" s="167"/>
      <c r="AG827" s="137"/>
      <c r="AH827" s="137"/>
      <c r="AI827" s="137"/>
      <c r="AJ827" s="137"/>
      <c r="AK827" s="137"/>
    </row>
    <row r="828" spans="13:37" ht="13" x14ac:dyDescent="0.15">
      <c r="M828" s="165"/>
      <c r="N828" s="165"/>
      <c r="O828" s="165"/>
      <c r="P828" s="165"/>
      <c r="Q828" s="165"/>
      <c r="R828" s="165"/>
      <c r="S828" s="166"/>
      <c r="T828" s="165"/>
      <c r="U828" s="166"/>
      <c r="W828" s="166"/>
      <c r="X828" s="166"/>
      <c r="Y828" s="166"/>
      <c r="Z828" s="167"/>
      <c r="AA828" s="165"/>
      <c r="AB828" s="167"/>
      <c r="AC828" s="167"/>
      <c r="AD828" s="167"/>
      <c r="AE828" s="167"/>
      <c r="AF828" s="167"/>
      <c r="AG828" s="137"/>
      <c r="AH828" s="137"/>
      <c r="AI828" s="137"/>
      <c r="AJ828" s="137"/>
      <c r="AK828" s="137"/>
    </row>
    <row r="829" spans="13:37" ht="13" x14ac:dyDescent="0.15">
      <c r="M829" s="165"/>
      <c r="N829" s="165"/>
      <c r="O829" s="165"/>
      <c r="P829" s="165"/>
      <c r="Q829" s="165"/>
      <c r="R829" s="165"/>
      <c r="S829" s="166"/>
      <c r="T829" s="165"/>
      <c r="U829" s="166"/>
      <c r="W829" s="166"/>
      <c r="X829" s="166"/>
      <c r="Y829" s="166"/>
      <c r="Z829" s="167"/>
      <c r="AA829" s="165"/>
      <c r="AB829" s="167"/>
      <c r="AC829" s="167"/>
      <c r="AD829" s="167"/>
      <c r="AE829" s="167"/>
      <c r="AF829" s="167"/>
      <c r="AG829" s="137"/>
      <c r="AH829" s="137"/>
      <c r="AI829" s="137"/>
      <c r="AJ829" s="137"/>
      <c r="AK829" s="137"/>
    </row>
    <row r="830" spans="13:37" ht="13" x14ac:dyDescent="0.15">
      <c r="M830" s="165"/>
      <c r="N830" s="165"/>
      <c r="O830" s="165"/>
      <c r="P830" s="165"/>
      <c r="Q830" s="165"/>
      <c r="R830" s="165"/>
      <c r="S830" s="166"/>
      <c r="T830" s="165"/>
      <c r="U830" s="166"/>
      <c r="W830" s="166"/>
      <c r="X830" s="166"/>
      <c r="Y830" s="166"/>
      <c r="Z830" s="167"/>
      <c r="AA830" s="165"/>
      <c r="AB830" s="167"/>
      <c r="AC830" s="167"/>
      <c r="AD830" s="167"/>
      <c r="AE830" s="167"/>
      <c r="AF830" s="167"/>
      <c r="AG830" s="137"/>
      <c r="AH830" s="137"/>
      <c r="AI830" s="137"/>
      <c r="AJ830" s="137"/>
      <c r="AK830" s="137"/>
    </row>
    <row r="831" spans="13:37" ht="13" x14ac:dyDescent="0.15">
      <c r="M831" s="165"/>
      <c r="N831" s="165"/>
      <c r="O831" s="165"/>
      <c r="P831" s="165"/>
      <c r="Q831" s="165"/>
      <c r="R831" s="165"/>
      <c r="S831" s="166"/>
      <c r="T831" s="165"/>
      <c r="U831" s="166"/>
      <c r="W831" s="166"/>
      <c r="X831" s="166"/>
      <c r="Y831" s="166"/>
      <c r="Z831" s="167"/>
      <c r="AA831" s="165"/>
      <c r="AB831" s="167"/>
      <c r="AC831" s="167"/>
      <c r="AD831" s="167"/>
      <c r="AE831" s="167"/>
      <c r="AF831" s="167"/>
      <c r="AG831" s="137"/>
      <c r="AH831" s="137"/>
      <c r="AI831" s="137"/>
      <c r="AJ831" s="137"/>
      <c r="AK831" s="137"/>
    </row>
    <row r="832" spans="13:37" ht="13" x14ac:dyDescent="0.15">
      <c r="M832" s="165"/>
      <c r="N832" s="165"/>
      <c r="O832" s="165"/>
      <c r="P832" s="165"/>
      <c r="Q832" s="165"/>
      <c r="R832" s="165"/>
      <c r="S832" s="166"/>
      <c r="T832" s="165"/>
      <c r="U832" s="166"/>
      <c r="W832" s="166"/>
      <c r="X832" s="166"/>
      <c r="Y832" s="166"/>
      <c r="Z832" s="167"/>
      <c r="AA832" s="165"/>
      <c r="AB832" s="167"/>
      <c r="AC832" s="167"/>
      <c r="AD832" s="167"/>
      <c r="AE832" s="167"/>
      <c r="AF832" s="167"/>
      <c r="AG832" s="137"/>
      <c r="AH832" s="137"/>
      <c r="AI832" s="137"/>
      <c r="AJ832" s="137"/>
      <c r="AK832" s="137"/>
    </row>
    <row r="833" spans="13:37" ht="13" x14ac:dyDescent="0.15">
      <c r="M833" s="165"/>
      <c r="N833" s="165"/>
      <c r="O833" s="165"/>
      <c r="P833" s="165"/>
      <c r="Q833" s="165"/>
      <c r="R833" s="165"/>
      <c r="S833" s="166"/>
      <c r="T833" s="165"/>
      <c r="U833" s="166"/>
      <c r="W833" s="166"/>
      <c r="X833" s="166"/>
      <c r="Y833" s="166"/>
      <c r="Z833" s="167"/>
      <c r="AA833" s="165"/>
      <c r="AB833" s="167"/>
      <c r="AC833" s="167"/>
      <c r="AD833" s="167"/>
      <c r="AE833" s="167"/>
      <c r="AF833" s="167"/>
      <c r="AG833" s="137"/>
    </row>
    <row r="834" spans="13:37" ht="13" x14ac:dyDescent="0.15">
      <c r="M834" s="165"/>
      <c r="N834" s="165"/>
      <c r="O834" s="165"/>
      <c r="P834" s="165"/>
      <c r="Q834" s="165"/>
      <c r="R834" s="165"/>
      <c r="S834" s="166"/>
      <c r="T834" s="165"/>
      <c r="U834" s="166"/>
      <c r="W834" s="166"/>
      <c r="X834" s="166"/>
      <c r="Y834" s="166"/>
      <c r="Z834" s="167"/>
      <c r="AA834" s="165"/>
      <c r="AB834" s="167"/>
      <c r="AC834" s="167"/>
      <c r="AD834" s="167"/>
      <c r="AE834" s="167"/>
      <c r="AF834" s="167"/>
      <c r="AG834" s="137"/>
      <c r="AH834" s="137"/>
      <c r="AI834" s="137"/>
      <c r="AJ834" s="137"/>
      <c r="AK834" s="137"/>
    </row>
    <row r="835" spans="13:37" ht="13" x14ac:dyDescent="0.15">
      <c r="M835" s="165"/>
      <c r="N835" s="165"/>
      <c r="O835" s="165"/>
      <c r="P835" s="165"/>
      <c r="Q835" s="165"/>
      <c r="R835" s="165"/>
      <c r="S835" s="166"/>
      <c r="T835" s="165"/>
      <c r="U835" s="166"/>
      <c r="W835" s="166"/>
      <c r="X835" s="166"/>
      <c r="Y835" s="166"/>
      <c r="Z835" s="167"/>
      <c r="AA835" s="165"/>
      <c r="AB835" s="167"/>
      <c r="AC835" s="167"/>
      <c r="AD835" s="167"/>
      <c r="AE835" s="167"/>
      <c r="AF835" s="167"/>
      <c r="AG835" s="137"/>
      <c r="AH835" s="137"/>
      <c r="AI835" s="137"/>
      <c r="AJ835" s="137"/>
      <c r="AK835" s="137"/>
    </row>
    <row r="836" spans="13:37" ht="13" x14ac:dyDescent="0.15">
      <c r="M836" s="165"/>
      <c r="N836" s="165"/>
      <c r="O836" s="165"/>
      <c r="P836" s="165"/>
      <c r="Q836" s="165"/>
      <c r="R836" s="165"/>
      <c r="S836" s="168"/>
      <c r="T836" s="165"/>
      <c r="U836" s="166"/>
      <c r="W836" s="166"/>
      <c r="X836" s="166"/>
      <c r="Y836" s="166"/>
      <c r="Z836" s="167"/>
      <c r="AA836" s="165"/>
      <c r="AB836" s="167"/>
      <c r="AC836" s="167"/>
      <c r="AD836" s="167"/>
      <c r="AE836" s="167"/>
      <c r="AF836" s="167"/>
      <c r="AG836" s="137"/>
      <c r="AH836" s="137"/>
      <c r="AI836" s="137"/>
      <c r="AJ836" s="137"/>
      <c r="AK836" s="137"/>
    </row>
    <row r="837" spans="13:37" ht="13" x14ac:dyDescent="0.15">
      <c r="M837" s="165"/>
      <c r="N837" s="165"/>
      <c r="O837" s="165"/>
      <c r="P837" s="165"/>
      <c r="Q837" s="165"/>
      <c r="R837" s="165"/>
      <c r="S837" s="166"/>
      <c r="T837" s="165"/>
      <c r="U837" s="166"/>
      <c r="W837" s="166"/>
      <c r="X837" s="166"/>
      <c r="Y837" s="166"/>
      <c r="Z837" s="167"/>
      <c r="AA837" s="165"/>
      <c r="AB837" s="167"/>
      <c r="AC837" s="167"/>
      <c r="AD837" s="167"/>
      <c r="AE837" s="167"/>
      <c r="AF837" s="167"/>
      <c r="AG837" s="137"/>
      <c r="AH837" s="137"/>
      <c r="AI837" s="137"/>
      <c r="AJ837" s="137"/>
      <c r="AK837" s="137"/>
    </row>
    <row r="838" spans="13:37" ht="13" x14ac:dyDescent="0.15">
      <c r="M838" s="165"/>
      <c r="N838" s="165"/>
      <c r="O838" s="165"/>
      <c r="P838" s="165"/>
      <c r="Q838" s="165"/>
      <c r="R838" s="165"/>
      <c r="S838" s="166"/>
      <c r="T838" s="165"/>
      <c r="U838" s="166"/>
      <c r="W838" s="166"/>
      <c r="X838" s="166"/>
      <c r="Y838" s="166"/>
      <c r="Z838" s="167"/>
      <c r="AA838" s="165"/>
      <c r="AB838" s="167"/>
      <c r="AC838" s="167"/>
      <c r="AD838" s="167"/>
      <c r="AE838" s="167"/>
      <c r="AF838" s="167"/>
      <c r="AG838" s="137"/>
      <c r="AH838" s="137"/>
      <c r="AI838" s="137"/>
      <c r="AJ838" s="137"/>
      <c r="AK838" s="137"/>
    </row>
    <row r="839" spans="13:37" ht="13" x14ac:dyDescent="0.15">
      <c r="M839" s="165"/>
      <c r="N839" s="165"/>
      <c r="O839" s="165"/>
      <c r="P839" s="165"/>
      <c r="Q839" s="165"/>
      <c r="R839" s="165"/>
      <c r="S839" s="166"/>
      <c r="T839" s="166"/>
      <c r="U839" s="165"/>
      <c r="V839" s="165"/>
      <c r="W839" s="166"/>
      <c r="X839" s="166"/>
      <c r="Y839" s="166"/>
      <c r="Z839" s="166"/>
      <c r="AA839" s="165"/>
      <c r="AB839" s="167"/>
      <c r="AC839" s="167"/>
      <c r="AD839" s="167"/>
      <c r="AE839" s="167"/>
      <c r="AF839" s="167"/>
      <c r="AG839" s="137"/>
      <c r="AH839" s="167"/>
      <c r="AI839" s="167"/>
      <c r="AJ839" s="167"/>
      <c r="AK839" s="137"/>
    </row>
    <row r="840" spans="13:37" ht="13" x14ac:dyDescent="0.15">
      <c r="M840" s="165"/>
      <c r="N840" s="165"/>
      <c r="O840" s="165"/>
      <c r="P840" s="165"/>
      <c r="Q840" s="165"/>
      <c r="R840" s="165"/>
      <c r="S840" s="166"/>
      <c r="T840" s="165"/>
      <c r="U840" s="166"/>
      <c r="W840" s="166"/>
      <c r="X840" s="166"/>
      <c r="Y840" s="166"/>
      <c r="Z840" s="166"/>
      <c r="AA840" s="165"/>
      <c r="AB840" s="167"/>
      <c r="AC840" s="167"/>
      <c r="AD840" s="167"/>
      <c r="AE840" s="167"/>
      <c r="AF840" s="167"/>
      <c r="AG840" s="137"/>
      <c r="AH840" s="137"/>
      <c r="AI840" s="137"/>
      <c r="AJ840" s="137"/>
      <c r="AK840" s="137"/>
    </row>
    <row r="841" spans="13:37" ht="13" x14ac:dyDescent="0.15">
      <c r="M841" s="165"/>
      <c r="N841" s="165"/>
      <c r="O841" s="165"/>
      <c r="P841" s="165"/>
      <c r="Q841" s="165"/>
      <c r="R841" s="165"/>
      <c r="S841" s="168"/>
      <c r="T841" s="165"/>
      <c r="U841" s="166"/>
      <c r="W841" s="166"/>
      <c r="X841" s="166"/>
      <c r="Y841" s="166"/>
      <c r="Z841" s="167"/>
      <c r="AA841" s="165"/>
      <c r="AB841" s="167"/>
      <c r="AC841" s="167"/>
      <c r="AD841" s="167"/>
      <c r="AE841" s="167"/>
      <c r="AF841" s="167"/>
      <c r="AG841" s="137"/>
      <c r="AH841" s="137"/>
      <c r="AI841" s="137"/>
      <c r="AJ841" s="137"/>
      <c r="AK841" s="137"/>
    </row>
    <row r="842" spans="13:37" ht="13" x14ac:dyDescent="0.15">
      <c r="M842" s="165"/>
      <c r="N842" s="165"/>
      <c r="O842" s="165"/>
      <c r="P842" s="165"/>
      <c r="Q842" s="165"/>
      <c r="R842" s="165"/>
      <c r="S842" s="168"/>
      <c r="T842" s="165"/>
      <c r="U842" s="166"/>
      <c r="W842" s="166"/>
      <c r="X842" s="166"/>
      <c r="Y842" s="166"/>
      <c r="Z842" s="167"/>
      <c r="AA842" s="165"/>
      <c r="AB842" s="167"/>
      <c r="AC842" s="167"/>
      <c r="AD842" s="167"/>
      <c r="AE842" s="167"/>
      <c r="AF842" s="167"/>
      <c r="AG842" s="137"/>
      <c r="AH842" s="137"/>
      <c r="AI842" s="137"/>
      <c r="AJ842" s="137"/>
      <c r="AK842" s="137"/>
    </row>
    <row r="843" spans="13:37" ht="13" x14ac:dyDescent="0.15">
      <c r="M843" s="165"/>
      <c r="N843" s="165"/>
      <c r="O843" s="165"/>
      <c r="P843" s="165"/>
      <c r="Q843" s="165"/>
      <c r="R843" s="165"/>
      <c r="S843" s="166"/>
      <c r="T843" s="165"/>
      <c r="U843" s="166"/>
      <c r="W843" s="166"/>
      <c r="X843" s="166"/>
      <c r="Y843" s="166"/>
      <c r="Z843" s="167"/>
      <c r="AA843" s="165"/>
      <c r="AB843" s="167"/>
      <c r="AC843" s="167"/>
      <c r="AD843" s="167"/>
      <c r="AE843" s="167"/>
      <c r="AF843" s="167"/>
      <c r="AG843" s="137"/>
    </row>
    <row r="844" spans="13:37" ht="13" x14ac:dyDescent="0.15">
      <c r="M844" s="165"/>
      <c r="N844" s="165"/>
      <c r="O844" s="165"/>
      <c r="P844" s="165"/>
      <c r="Q844" s="165"/>
      <c r="R844" s="165"/>
      <c r="S844" s="166"/>
      <c r="T844" s="165"/>
      <c r="U844" s="166"/>
      <c r="W844" s="166"/>
      <c r="X844" s="166"/>
      <c r="Y844" s="166"/>
      <c r="Z844" s="167"/>
      <c r="AA844" s="165"/>
      <c r="AB844" s="167"/>
      <c r="AC844" s="167"/>
      <c r="AD844" s="167"/>
      <c r="AE844" s="167"/>
      <c r="AF844" s="167"/>
      <c r="AG844" s="137"/>
    </row>
    <row r="845" spans="13:37" ht="13" x14ac:dyDescent="0.15">
      <c r="O845" s="165"/>
      <c r="P845" s="165"/>
      <c r="Q845" s="165"/>
      <c r="R845" s="165"/>
      <c r="S845" s="166"/>
      <c r="T845" s="165"/>
      <c r="U845" s="166"/>
      <c r="V845" s="165"/>
      <c r="W845" s="166"/>
      <c r="X845" s="166"/>
      <c r="Y845" s="166"/>
      <c r="Z845" s="167"/>
      <c r="AA845" s="165"/>
      <c r="AB845" s="167"/>
      <c r="AC845" s="167"/>
      <c r="AD845" s="167"/>
      <c r="AE845" s="167"/>
      <c r="AF845" s="167"/>
      <c r="AG845" s="137"/>
      <c r="AH845" s="167"/>
      <c r="AI845" s="167"/>
      <c r="AJ845" s="167"/>
      <c r="AK845" s="137"/>
    </row>
    <row r="846" spans="13:37" ht="13" x14ac:dyDescent="0.15">
      <c r="M846" s="165"/>
      <c r="N846" s="165"/>
      <c r="O846" s="165"/>
      <c r="P846" s="165"/>
      <c r="Q846" s="165"/>
      <c r="R846" s="165"/>
      <c r="S846" s="166"/>
      <c r="T846" s="165"/>
      <c r="U846" s="166"/>
      <c r="W846" s="166"/>
      <c r="X846" s="166"/>
      <c r="Y846" s="166"/>
      <c r="Z846" s="167"/>
      <c r="AA846" s="165"/>
      <c r="AB846" s="167"/>
      <c r="AC846" s="167"/>
      <c r="AD846" s="167"/>
      <c r="AE846" s="167"/>
      <c r="AF846" s="167"/>
      <c r="AG846" s="137"/>
      <c r="AH846" s="137"/>
      <c r="AI846" s="137"/>
      <c r="AJ846" s="137"/>
      <c r="AK846" s="137"/>
    </row>
    <row r="847" spans="13:37" ht="13" x14ac:dyDescent="0.15">
      <c r="M847" s="165"/>
      <c r="N847" s="165"/>
      <c r="O847" s="165"/>
      <c r="P847" s="165"/>
      <c r="Q847" s="165"/>
      <c r="R847" s="165"/>
      <c r="S847" s="166"/>
      <c r="T847" s="165"/>
      <c r="U847" s="166"/>
      <c r="W847" s="166"/>
      <c r="X847" s="166"/>
      <c r="Y847" s="166"/>
      <c r="Z847" s="167"/>
      <c r="AA847" s="165"/>
      <c r="AB847" s="167"/>
      <c r="AC847" s="167"/>
      <c r="AD847" s="167"/>
      <c r="AE847" s="167"/>
      <c r="AF847" s="167"/>
      <c r="AG847" s="137"/>
      <c r="AH847" s="137"/>
      <c r="AI847" s="137"/>
      <c r="AJ847" s="137"/>
      <c r="AK847" s="137"/>
    </row>
    <row r="848" spans="13:37" ht="13" x14ac:dyDescent="0.15">
      <c r="M848" s="165"/>
      <c r="N848" s="165"/>
      <c r="O848" s="165"/>
      <c r="P848" s="165"/>
      <c r="Q848" s="165"/>
      <c r="R848" s="165"/>
      <c r="S848" s="166"/>
      <c r="T848" s="165"/>
      <c r="U848" s="166"/>
      <c r="W848" s="166"/>
      <c r="X848" s="166"/>
      <c r="Y848" s="166"/>
      <c r="Z848" s="167"/>
      <c r="AA848" s="165"/>
      <c r="AB848" s="167"/>
      <c r="AC848" s="167"/>
      <c r="AD848" s="167"/>
      <c r="AE848" s="167"/>
      <c r="AF848" s="167"/>
      <c r="AG848" s="137"/>
      <c r="AH848" s="137"/>
      <c r="AI848" s="137"/>
      <c r="AJ848" s="137"/>
      <c r="AK848" s="137"/>
    </row>
    <row r="849" spans="13:37" ht="13" x14ac:dyDescent="0.15">
      <c r="M849" s="165"/>
      <c r="N849" s="165"/>
      <c r="O849" s="165"/>
      <c r="P849" s="165"/>
      <c r="Q849" s="165"/>
      <c r="R849" s="165"/>
      <c r="S849" s="166"/>
      <c r="T849" s="165"/>
      <c r="U849" s="166"/>
      <c r="W849" s="166"/>
      <c r="X849" s="166"/>
      <c r="Y849" s="166"/>
      <c r="Z849" s="167"/>
      <c r="AA849" s="165"/>
      <c r="AB849" s="167"/>
      <c r="AC849" s="167"/>
      <c r="AD849" s="167"/>
      <c r="AE849" s="167"/>
      <c r="AF849" s="167"/>
      <c r="AG849" s="137"/>
      <c r="AH849" s="137"/>
      <c r="AI849" s="137"/>
      <c r="AJ849" s="137"/>
      <c r="AK849" s="137"/>
    </row>
    <row r="850" spans="13:37" ht="13" x14ac:dyDescent="0.15">
      <c r="M850" s="165"/>
      <c r="N850" s="165"/>
      <c r="O850" s="165"/>
      <c r="P850" s="165"/>
      <c r="Q850" s="165"/>
      <c r="R850" s="165"/>
      <c r="S850" s="166"/>
      <c r="T850" s="165"/>
      <c r="U850" s="166"/>
      <c r="W850" s="166"/>
      <c r="X850" s="166"/>
      <c r="Y850" s="166"/>
      <c r="Z850" s="167"/>
      <c r="AA850" s="165"/>
      <c r="AB850" s="167"/>
      <c r="AC850" s="167"/>
      <c r="AD850" s="167"/>
      <c r="AE850" s="167"/>
      <c r="AF850" s="167"/>
      <c r="AG850" s="137"/>
      <c r="AH850" s="137"/>
      <c r="AI850" s="137"/>
      <c r="AJ850" s="137"/>
      <c r="AK850" s="137"/>
    </row>
    <row r="851" spans="13:37" ht="13" x14ac:dyDescent="0.15">
      <c r="M851" s="165"/>
      <c r="N851" s="165"/>
      <c r="O851" s="165"/>
      <c r="P851" s="165"/>
      <c r="Q851" s="165"/>
      <c r="R851" s="165"/>
      <c r="S851" s="166"/>
      <c r="T851" s="165"/>
      <c r="U851" s="166"/>
      <c r="W851" s="166"/>
      <c r="X851" s="166"/>
      <c r="Y851" s="166"/>
      <c r="Z851" s="167"/>
      <c r="AA851" s="165"/>
      <c r="AB851" s="167"/>
      <c r="AC851" s="167"/>
      <c r="AD851" s="167"/>
      <c r="AE851" s="167"/>
      <c r="AF851" s="167"/>
      <c r="AG851" s="137"/>
      <c r="AH851" s="137"/>
      <c r="AI851" s="137"/>
      <c r="AJ851" s="137"/>
      <c r="AK851" s="137"/>
    </row>
    <row r="852" spans="13:37" ht="13" x14ac:dyDescent="0.15">
      <c r="M852" s="165"/>
      <c r="N852" s="165"/>
      <c r="O852" s="165"/>
      <c r="P852" s="165"/>
      <c r="Q852" s="165"/>
      <c r="R852" s="165"/>
      <c r="S852" s="166"/>
      <c r="T852" s="165"/>
      <c r="U852" s="166"/>
      <c r="W852" s="166"/>
      <c r="X852" s="166"/>
      <c r="Y852" s="166"/>
      <c r="Z852" s="167"/>
      <c r="AA852" s="165"/>
      <c r="AB852" s="167"/>
      <c r="AC852" s="167"/>
      <c r="AD852" s="167"/>
      <c r="AE852" s="167"/>
      <c r="AF852" s="167"/>
      <c r="AG852" s="137"/>
      <c r="AH852" s="137"/>
      <c r="AI852" s="137"/>
      <c r="AJ852" s="137"/>
      <c r="AK852" s="137"/>
    </row>
    <row r="853" spans="13:37" ht="13" x14ac:dyDescent="0.15">
      <c r="M853" s="165"/>
      <c r="N853" s="165"/>
      <c r="O853" s="165"/>
      <c r="P853" s="165"/>
      <c r="Q853" s="165"/>
      <c r="R853" s="165"/>
      <c r="S853" s="166"/>
      <c r="T853" s="165"/>
      <c r="U853" s="166"/>
      <c r="W853" s="166"/>
      <c r="X853" s="166"/>
      <c r="Y853" s="166"/>
      <c r="Z853" s="167"/>
      <c r="AA853" s="165"/>
      <c r="AB853" s="167"/>
      <c r="AC853" s="167"/>
      <c r="AD853" s="167"/>
      <c r="AE853" s="167"/>
      <c r="AF853" s="167"/>
      <c r="AG853" s="137"/>
      <c r="AH853" s="137"/>
      <c r="AI853" s="137"/>
      <c r="AJ853" s="137"/>
      <c r="AK853" s="137"/>
    </row>
    <row r="854" spans="13:37" ht="13" x14ac:dyDescent="0.15">
      <c r="M854" s="165"/>
      <c r="N854" s="165"/>
      <c r="O854" s="165"/>
      <c r="P854" s="165"/>
      <c r="Q854" s="165"/>
      <c r="R854" s="165"/>
      <c r="S854" s="166"/>
      <c r="T854" s="165"/>
      <c r="U854" s="166"/>
      <c r="W854" s="166"/>
      <c r="X854" s="166"/>
      <c r="Y854" s="166"/>
      <c r="Z854" s="167"/>
      <c r="AA854" s="165"/>
      <c r="AB854" s="167"/>
      <c r="AC854" s="167"/>
      <c r="AD854" s="167"/>
      <c r="AE854" s="167"/>
      <c r="AF854" s="167"/>
      <c r="AG854" s="137"/>
      <c r="AH854" s="137"/>
      <c r="AI854" s="137"/>
      <c r="AJ854" s="137"/>
      <c r="AK854" s="137"/>
    </row>
    <row r="855" spans="13:37" ht="13" x14ac:dyDescent="0.15">
      <c r="M855" s="165"/>
      <c r="N855" s="165"/>
      <c r="O855" s="165"/>
      <c r="P855" s="165"/>
      <c r="Q855" s="165"/>
      <c r="R855" s="165"/>
      <c r="S855" s="166"/>
      <c r="T855" s="165"/>
      <c r="U855" s="166"/>
      <c r="W855" s="166"/>
      <c r="X855" s="166"/>
      <c r="Y855" s="166"/>
      <c r="Z855" s="167"/>
      <c r="AA855" s="165"/>
      <c r="AB855" s="167"/>
      <c r="AC855" s="167"/>
      <c r="AD855" s="167"/>
      <c r="AE855" s="167"/>
      <c r="AF855" s="167"/>
      <c r="AG855" s="137"/>
      <c r="AH855" s="137"/>
      <c r="AI855" s="137"/>
      <c r="AJ855" s="137"/>
      <c r="AK855" s="137"/>
    </row>
    <row r="856" spans="13:37" ht="13" x14ac:dyDescent="0.15">
      <c r="M856" s="165"/>
      <c r="N856" s="165"/>
      <c r="O856" s="165"/>
      <c r="P856" s="165"/>
      <c r="Q856" s="165"/>
      <c r="R856" s="165"/>
      <c r="S856" s="166"/>
      <c r="T856" s="165"/>
      <c r="U856" s="166"/>
      <c r="W856" s="166"/>
      <c r="X856" s="166"/>
      <c r="Y856" s="166"/>
      <c r="Z856" s="167"/>
      <c r="AA856" s="165"/>
      <c r="AB856" s="167"/>
      <c r="AC856" s="167"/>
      <c r="AD856" s="167"/>
      <c r="AE856" s="167"/>
      <c r="AF856" s="167"/>
      <c r="AG856" s="137"/>
      <c r="AH856" s="137"/>
      <c r="AI856" s="137"/>
      <c r="AJ856" s="137"/>
      <c r="AK856" s="137"/>
    </row>
    <row r="857" spans="13:37" ht="13" x14ac:dyDescent="0.15">
      <c r="M857" s="165"/>
      <c r="N857" s="165"/>
      <c r="O857" s="165"/>
      <c r="P857" s="165"/>
      <c r="Q857" s="165"/>
      <c r="R857" s="165"/>
      <c r="S857" s="166"/>
      <c r="T857" s="165"/>
      <c r="U857" s="166"/>
      <c r="W857" s="166"/>
      <c r="X857" s="166"/>
      <c r="Y857" s="166"/>
      <c r="Z857" s="167"/>
      <c r="AA857" s="165"/>
      <c r="AB857" s="167"/>
      <c r="AC857" s="167"/>
      <c r="AD857" s="167"/>
      <c r="AE857" s="167"/>
      <c r="AF857" s="167"/>
      <c r="AG857" s="137"/>
      <c r="AH857" s="137"/>
      <c r="AI857" s="137"/>
      <c r="AJ857" s="137"/>
      <c r="AK857" s="137"/>
    </row>
    <row r="858" spans="13:37" ht="13" x14ac:dyDescent="0.15">
      <c r="M858" s="165"/>
      <c r="N858" s="165"/>
      <c r="O858" s="165"/>
      <c r="P858" s="165"/>
      <c r="Q858" s="165"/>
      <c r="R858" s="165"/>
      <c r="S858" s="166"/>
      <c r="T858" s="165"/>
      <c r="U858" s="166"/>
      <c r="W858" s="166"/>
      <c r="X858" s="166"/>
      <c r="Y858" s="166"/>
      <c r="Z858" s="167"/>
      <c r="AA858" s="165"/>
      <c r="AB858" s="167"/>
      <c r="AC858" s="167"/>
      <c r="AD858" s="167"/>
      <c r="AE858" s="167"/>
      <c r="AF858" s="167"/>
      <c r="AG858" s="137"/>
      <c r="AH858" s="137"/>
      <c r="AI858" s="137"/>
      <c r="AJ858" s="137"/>
      <c r="AK858" s="137"/>
    </row>
    <row r="859" spans="13:37" ht="13" x14ac:dyDescent="0.15">
      <c r="M859" s="165"/>
      <c r="N859" s="165"/>
      <c r="O859" s="165"/>
      <c r="P859" s="165"/>
      <c r="Q859" s="165"/>
      <c r="R859" s="165"/>
      <c r="S859" s="166"/>
      <c r="T859" s="165"/>
      <c r="U859" s="166"/>
      <c r="W859" s="166"/>
      <c r="X859" s="166"/>
      <c r="Y859" s="166"/>
      <c r="Z859" s="167"/>
      <c r="AA859" s="165"/>
      <c r="AB859" s="167"/>
      <c r="AC859" s="167"/>
      <c r="AD859" s="167"/>
      <c r="AE859" s="167"/>
      <c r="AF859" s="167"/>
      <c r="AG859" s="137"/>
      <c r="AH859" s="137"/>
      <c r="AI859" s="137"/>
      <c r="AJ859" s="137"/>
      <c r="AK859" s="137"/>
    </row>
    <row r="860" spans="13:37" ht="13" x14ac:dyDescent="0.15">
      <c r="O860" s="165"/>
      <c r="P860" s="165"/>
      <c r="Q860" s="165"/>
      <c r="R860" s="165"/>
      <c r="S860" s="166"/>
      <c r="T860" s="166"/>
      <c r="U860" s="165"/>
      <c r="V860" s="165"/>
      <c r="W860" s="166"/>
      <c r="X860" s="166"/>
      <c r="Y860" s="166"/>
      <c r="Z860" s="167"/>
      <c r="AA860" s="165"/>
      <c r="AB860" s="167"/>
      <c r="AC860" s="167"/>
      <c r="AD860" s="167"/>
      <c r="AE860" s="167"/>
      <c r="AF860" s="167"/>
      <c r="AG860" s="137"/>
      <c r="AH860" s="167"/>
      <c r="AI860" s="167"/>
      <c r="AJ860" s="167"/>
      <c r="AK860" s="137"/>
    </row>
    <row r="861" spans="13:37" ht="13" x14ac:dyDescent="0.15">
      <c r="M861" s="165"/>
      <c r="N861" s="165"/>
      <c r="O861" s="165"/>
      <c r="P861" s="165"/>
      <c r="Q861" s="165"/>
      <c r="R861" s="165"/>
      <c r="S861" s="166"/>
      <c r="T861" s="165"/>
      <c r="U861" s="166"/>
      <c r="W861" s="166"/>
      <c r="X861" s="166"/>
      <c r="Y861" s="166"/>
      <c r="Z861" s="167"/>
      <c r="AA861" s="165"/>
      <c r="AB861" s="167"/>
      <c r="AC861" s="167"/>
      <c r="AD861" s="167"/>
      <c r="AE861" s="167"/>
      <c r="AF861" s="167"/>
      <c r="AG861" s="137"/>
      <c r="AH861" s="137"/>
      <c r="AI861" s="137"/>
      <c r="AJ861" s="137"/>
      <c r="AK861" s="137"/>
    </row>
    <row r="862" spans="13:37" ht="13" x14ac:dyDescent="0.15">
      <c r="M862" s="165"/>
      <c r="N862" s="165"/>
      <c r="O862" s="165"/>
      <c r="P862" s="165"/>
      <c r="Q862" s="165"/>
      <c r="R862" s="165"/>
      <c r="S862" s="166"/>
      <c r="T862" s="165"/>
      <c r="U862" s="166"/>
      <c r="W862" s="166"/>
      <c r="X862" s="166"/>
      <c r="Y862" s="166"/>
      <c r="Z862" s="167"/>
      <c r="AA862" s="165"/>
      <c r="AB862" s="167"/>
      <c r="AC862" s="167"/>
      <c r="AD862" s="167"/>
      <c r="AE862" s="167"/>
      <c r="AF862" s="167"/>
      <c r="AG862" s="137"/>
      <c r="AH862" s="137"/>
      <c r="AI862" s="137"/>
      <c r="AJ862" s="137"/>
      <c r="AK862" s="137"/>
    </row>
    <row r="863" spans="13:37" ht="13" x14ac:dyDescent="0.15">
      <c r="M863" s="165"/>
      <c r="N863" s="165"/>
      <c r="O863" s="165"/>
      <c r="P863" s="165"/>
      <c r="Q863" s="165"/>
      <c r="R863" s="165"/>
      <c r="S863" s="166"/>
      <c r="T863" s="165"/>
      <c r="U863" s="166"/>
      <c r="W863" s="166"/>
      <c r="X863" s="166"/>
      <c r="Y863" s="166"/>
      <c r="Z863" s="167"/>
      <c r="AA863" s="165"/>
      <c r="AB863" s="167"/>
      <c r="AC863" s="167"/>
      <c r="AD863" s="167"/>
      <c r="AE863" s="167"/>
      <c r="AF863" s="167"/>
      <c r="AG863" s="137"/>
      <c r="AH863" s="137"/>
      <c r="AI863" s="137"/>
      <c r="AJ863" s="137"/>
      <c r="AK863" s="137"/>
    </row>
    <row r="864" spans="13:37" ht="13" x14ac:dyDescent="0.15">
      <c r="O864" s="165"/>
      <c r="P864" s="165"/>
      <c r="Q864" s="165"/>
      <c r="R864" s="165"/>
      <c r="S864" s="166"/>
      <c r="T864" s="165"/>
      <c r="U864" s="166"/>
      <c r="V864" s="165"/>
      <c r="W864" s="166"/>
      <c r="X864" s="166"/>
      <c r="Y864" s="166"/>
      <c r="Z864" s="167"/>
      <c r="AA864" s="165"/>
      <c r="AB864" s="167"/>
      <c r="AC864" s="167"/>
      <c r="AD864" s="167"/>
      <c r="AE864" s="167"/>
      <c r="AF864" s="167"/>
      <c r="AG864" s="137"/>
      <c r="AH864" s="167"/>
      <c r="AI864" s="167"/>
      <c r="AJ864" s="167"/>
      <c r="AK864" s="137"/>
    </row>
    <row r="865" spans="13:37" ht="13" x14ac:dyDescent="0.15">
      <c r="M865" s="165"/>
      <c r="N865" s="165"/>
      <c r="O865" s="165"/>
      <c r="P865" s="165"/>
      <c r="Q865" s="165"/>
      <c r="R865" s="165"/>
      <c r="S865" s="166"/>
      <c r="T865" s="165"/>
      <c r="U865" s="166"/>
      <c r="W865" s="166"/>
      <c r="X865" s="166"/>
      <c r="Y865" s="166"/>
      <c r="Z865" s="167"/>
      <c r="AA865" s="165"/>
      <c r="AB865" s="167"/>
      <c r="AC865" s="167"/>
      <c r="AD865" s="167"/>
      <c r="AE865" s="167"/>
      <c r="AF865" s="167"/>
      <c r="AG865" s="137"/>
      <c r="AH865" s="137"/>
      <c r="AI865" s="137"/>
      <c r="AJ865" s="137"/>
      <c r="AK865" s="137"/>
    </row>
    <row r="866" spans="13:37" ht="13" x14ac:dyDescent="0.15">
      <c r="N866" s="165"/>
      <c r="O866" s="165"/>
      <c r="P866" s="165"/>
      <c r="Q866" s="165"/>
      <c r="R866" s="165"/>
      <c r="S866" s="166"/>
      <c r="T866" s="165"/>
      <c r="U866" s="165"/>
      <c r="V866" s="165"/>
      <c r="W866" s="166"/>
      <c r="X866" s="166"/>
      <c r="Y866" s="166"/>
      <c r="Z866" s="167"/>
      <c r="AA866" s="165"/>
      <c r="AB866" s="167"/>
      <c r="AC866" s="167"/>
      <c r="AD866" s="167"/>
      <c r="AE866" s="167"/>
      <c r="AF866" s="167"/>
      <c r="AG866" s="137"/>
      <c r="AH866" s="167"/>
      <c r="AI866" s="167"/>
      <c r="AJ866" s="167"/>
      <c r="AK866" s="137"/>
    </row>
    <row r="867" spans="13:37" ht="13" x14ac:dyDescent="0.15">
      <c r="M867" s="165"/>
      <c r="N867" s="165"/>
      <c r="O867" s="165"/>
      <c r="P867" s="165"/>
      <c r="Q867" s="165"/>
      <c r="R867" s="165"/>
      <c r="S867" s="166"/>
      <c r="T867" s="165"/>
      <c r="U867" s="166"/>
      <c r="W867" s="166"/>
      <c r="X867" s="166"/>
      <c r="Y867" s="166"/>
      <c r="Z867" s="167"/>
      <c r="AA867" s="165"/>
      <c r="AB867" s="167"/>
      <c r="AC867" s="167"/>
      <c r="AD867" s="167"/>
      <c r="AE867" s="167"/>
      <c r="AF867" s="167"/>
      <c r="AG867" s="137"/>
      <c r="AH867" s="137"/>
      <c r="AI867" s="137"/>
      <c r="AJ867" s="137"/>
      <c r="AK867" s="137"/>
    </row>
    <row r="868" spans="13:37" ht="13" x14ac:dyDescent="0.15">
      <c r="M868" s="165"/>
      <c r="N868" s="165"/>
      <c r="O868" s="165"/>
      <c r="P868" s="165"/>
      <c r="Q868" s="165"/>
      <c r="R868" s="165"/>
      <c r="S868" s="166"/>
      <c r="T868" s="165"/>
      <c r="U868" s="166"/>
      <c r="W868" s="166"/>
      <c r="X868" s="166"/>
      <c r="Y868" s="166"/>
      <c r="Z868" s="167"/>
      <c r="AA868" s="165"/>
      <c r="AB868" s="167"/>
      <c r="AC868" s="167"/>
      <c r="AD868" s="167"/>
      <c r="AE868" s="167"/>
      <c r="AF868" s="167"/>
      <c r="AG868" s="137"/>
      <c r="AH868" s="137"/>
      <c r="AI868" s="137"/>
      <c r="AJ868" s="137"/>
      <c r="AK868" s="137"/>
    </row>
    <row r="869" spans="13:37" ht="13" x14ac:dyDescent="0.15">
      <c r="M869" s="165"/>
      <c r="N869" s="165"/>
      <c r="O869" s="165"/>
      <c r="P869" s="165"/>
      <c r="Q869" s="165"/>
      <c r="R869" s="165"/>
      <c r="S869" s="166"/>
      <c r="T869" s="165"/>
      <c r="U869" s="166"/>
      <c r="W869" s="166"/>
      <c r="X869" s="166"/>
      <c r="Y869" s="166"/>
      <c r="Z869" s="167"/>
      <c r="AA869" s="165"/>
      <c r="AB869" s="167"/>
      <c r="AC869" s="167"/>
      <c r="AD869" s="167"/>
      <c r="AE869" s="167"/>
      <c r="AF869" s="167"/>
      <c r="AG869" s="137"/>
      <c r="AH869" s="137"/>
      <c r="AI869" s="137"/>
      <c r="AJ869" s="137"/>
      <c r="AK869" s="137"/>
    </row>
    <row r="870" spans="13:37" ht="13" x14ac:dyDescent="0.15">
      <c r="M870" s="165"/>
      <c r="N870" s="165"/>
      <c r="O870" s="165"/>
      <c r="P870" s="165"/>
      <c r="Q870" s="165"/>
      <c r="R870" s="165"/>
      <c r="S870" s="166"/>
      <c r="T870" s="165"/>
      <c r="U870" s="166"/>
      <c r="W870" s="166"/>
      <c r="X870" s="166"/>
      <c r="Y870" s="166"/>
      <c r="Z870" s="167"/>
      <c r="AA870" s="165"/>
      <c r="AB870" s="167"/>
      <c r="AC870" s="167"/>
      <c r="AD870" s="167"/>
      <c r="AE870" s="167"/>
      <c r="AF870" s="167"/>
      <c r="AG870" s="137"/>
      <c r="AH870" s="137"/>
      <c r="AI870" s="137"/>
      <c r="AJ870" s="137"/>
      <c r="AK870" s="137"/>
    </row>
    <row r="871" spans="13:37" ht="13" x14ac:dyDescent="0.15">
      <c r="M871" s="165"/>
      <c r="N871" s="165"/>
      <c r="O871" s="165"/>
      <c r="P871" s="165"/>
      <c r="Q871" s="165"/>
      <c r="R871" s="165"/>
      <c r="S871" s="166"/>
      <c r="T871" s="165"/>
      <c r="U871" s="166"/>
      <c r="W871" s="166"/>
      <c r="X871" s="166"/>
      <c r="Y871" s="166"/>
      <c r="Z871" s="167"/>
      <c r="AA871" s="165"/>
      <c r="AB871" s="167"/>
      <c r="AC871" s="167"/>
      <c r="AD871" s="167"/>
      <c r="AE871" s="167"/>
      <c r="AF871" s="167"/>
      <c r="AG871" s="137"/>
      <c r="AH871" s="137"/>
      <c r="AI871" s="137"/>
      <c r="AJ871" s="137"/>
      <c r="AK871" s="137"/>
    </row>
    <row r="872" spans="13:37" ht="13" x14ac:dyDescent="0.15">
      <c r="M872" s="165"/>
      <c r="N872" s="165"/>
      <c r="O872" s="165"/>
      <c r="P872" s="165"/>
      <c r="Q872" s="165"/>
      <c r="R872" s="165"/>
      <c r="S872" s="166"/>
      <c r="T872" s="165"/>
      <c r="U872" s="166"/>
      <c r="W872" s="166"/>
      <c r="X872" s="166"/>
      <c r="Y872" s="166"/>
      <c r="Z872" s="167"/>
      <c r="AA872" s="165"/>
      <c r="AB872" s="167"/>
      <c r="AC872" s="167"/>
      <c r="AD872" s="167"/>
      <c r="AE872" s="167"/>
      <c r="AF872" s="167"/>
      <c r="AG872" s="137"/>
      <c r="AH872" s="137"/>
      <c r="AI872" s="137"/>
      <c r="AJ872" s="137"/>
      <c r="AK872" s="137"/>
    </row>
    <row r="873" spans="13:37" ht="13" x14ac:dyDescent="0.15">
      <c r="M873" s="165"/>
      <c r="N873" s="165"/>
      <c r="O873" s="165"/>
      <c r="P873" s="165"/>
      <c r="Q873" s="165"/>
      <c r="R873" s="165"/>
      <c r="S873" s="166"/>
      <c r="T873" s="165"/>
      <c r="U873" s="166"/>
      <c r="W873" s="166"/>
      <c r="X873" s="166"/>
      <c r="Y873" s="166"/>
      <c r="Z873" s="167"/>
      <c r="AA873" s="165"/>
      <c r="AB873" s="167"/>
      <c r="AC873" s="167"/>
      <c r="AD873" s="167"/>
      <c r="AE873" s="167"/>
      <c r="AF873" s="167"/>
      <c r="AG873" s="137"/>
      <c r="AH873" s="137"/>
      <c r="AI873" s="137"/>
      <c r="AJ873" s="137"/>
      <c r="AK873" s="137"/>
    </row>
    <row r="874" spans="13:37" ht="13" x14ac:dyDescent="0.15">
      <c r="M874" s="165"/>
      <c r="N874" s="165"/>
      <c r="O874" s="165"/>
      <c r="P874" s="165"/>
      <c r="Q874" s="165"/>
      <c r="R874" s="165"/>
      <c r="S874" s="166"/>
      <c r="T874" s="165"/>
      <c r="U874" s="166"/>
      <c r="W874" s="166"/>
      <c r="X874" s="166"/>
      <c r="Y874" s="166"/>
      <c r="Z874" s="167"/>
      <c r="AA874" s="165"/>
      <c r="AB874" s="167"/>
      <c r="AC874" s="167"/>
      <c r="AD874" s="167"/>
      <c r="AE874" s="167"/>
      <c r="AF874" s="167"/>
      <c r="AG874" s="137"/>
      <c r="AH874" s="137"/>
      <c r="AI874" s="137"/>
      <c r="AJ874" s="137"/>
      <c r="AK874" s="137"/>
    </row>
    <row r="875" spans="13:37" ht="13" x14ac:dyDescent="0.15">
      <c r="M875" s="165"/>
      <c r="N875" s="165"/>
      <c r="O875" s="165"/>
      <c r="P875" s="165"/>
      <c r="Q875" s="165"/>
      <c r="R875" s="165"/>
      <c r="S875" s="166"/>
      <c r="T875" s="165"/>
      <c r="U875" s="166"/>
      <c r="W875" s="166"/>
      <c r="X875" s="166"/>
      <c r="Y875" s="166"/>
      <c r="Z875" s="166"/>
      <c r="AA875" s="165"/>
      <c r="AB875" s="167"/>
      <c r="AC875" s="167"/>
      <c r="AD875" s="167"/>
      <c r="AE875" s="167"/>
      <c r="AF875" s="167"/>
      <c r="AG875" s="137"/>
      <c r="AH875" s="137"/>
      <c r="AI875" s="137"/>
      <c r="AJ875" s="137"/>
      <c r="AK875" s="137"/>
    </row>
    <row r="876" spans="13:37" ht="13" x14ac:dyDescent="0.15">
      <c r="M876" s="165"/>
      <c r="N876" s="165"/>
      <c r="O876" s="165"/>
      <c r="P876" s="165"/>
      <c r="Q876" s="165"/>
      <c r="R876" s="165"/>
      <c r="S876" s="166"/>
      <c r="T876" s="165"/>
      <c r="U876" s="166"/>
      <c r="W876" s="166"/>
      <c r="X876" s="166"/>
      <c r="Y876" s="166"/>
      <c r="Z876" s="166"/>
      <c r="AA876" s="165"/>
      <c r="AB876" s="167"/>
      <c r="AC876" s="167"/>
      <c r="AD876" s="167"/>
      <c r="AE876" s="167"/>
      <c r="AF876" s="167"/>
      <c r="AG876" s="137"/>
      <c r="AH876" s="137"/>
      <c r="AI876" s="137"/>
      <c r="AJ876" s="137"/>
      <c r="AK876" s="137"/>
    </row>
    <row r="877" spans="13:37" ht="13" x14ac:dyDescent="0.15">
      <c r="M877" s="165"/>
      <c r="N877" s="165"/>
      <c r="O877" s="165"/>
      <c r="P877" s="165"/>
      <c r="Q877" s="165"/>
      <c r="R877" s="165"/>
      <c r="S877" s="166"/>
      <c r="T877" s="165"/>
      <c r="U877" s="166"/>
      <c r="W877" s="166"/>
      <c r="X877" s="166"/>
      <c r="Y877" s="166"/>
      <c r="Z877" s="166"/>
      <c r="AA877" s="165"/>
      <c r="AB877" s="167"/>
      <c r="AC877" s="167"/>
      <c r="AD877" s="167"/>
      <c r="AE877" s="167"/>
      <c r="AF877" s="167"/>
      <c r="AG877" s="137"/>
      <c r="AH877" s="137"/>
      <c r="AI877" s="137"/>
      <c r="AJ877" s="137"/>
      <c r="AK877" s="137"/>
    </row>
    <row r="878" spans="13:37" ht="13" x14ac:dyDescent="0.15">
      <c r="M878" s="165"/>
      <c r="N878" s="165"/>
      <c r="O878" s="165"/>
      <c r="P878" s="165"/>
      <c r="Q878" s="165"/>
      <c r="R878" s="165"/>
      <c r="S878" s="165"/>
      <c r="T878" s="165"/>
      <c r="U878" s="166"/>
      <c r="V878" s="165"/>
      <c r="W878" s="166"/>
      <c r="X878" s="166"/>
      <c r="Y878" s="166"/>
      <c r="Z878" s="166"/>
      <c r="AA878" s="166"/>
      <c r="AB878" s="167"/>
      <c r="AC878" s="165"/>
      <c r="AD878" s="167"/>
      <c r="AE878" s="167"/>
      <c r="AF878" s="167"/>
      <c r="AG878" s="167"/>
      <c r="AI878" s="137"/>
      <c r="AJ878" s="137"/>
      <c r="AK878" s="137"/>
    </row>
    <row r="879" spans="13:37" ht="13" x14ac:dyDescent="0.15">
      <c r="M879" s="165"/>
      <c r="N879" s="165"/>
      <c r="O879" s="165"/>
      <c r="P879" s="165"/>
      <c r="Q879" s="165"/>
      <c r="R879" s="165"/>
      <c r="S879" s="166"/>
      <c r="T879" s="165"/>
      <c r="U879" s="166"/>
      <c r="W879" s="166"/>
      <c r="X879" s="166"/>
      <c r="Y879" s="166"/>
      <c r="Z879" s="167"/>
      <c r="AA879" s="165"/>
      <c r="AB879" s="167"/>
      <c r="AC879" s="167"/>
      <c r="AD879" s="167"/>
      <c r="AE879" s="167"/>
      <c r="AF879" s="167"/>
      <c r="AG879" s="137"/>
      <c r="AH879" s="137"/>
      <c r="AI879" s="137"/>
      <c r="AJ879" s="137"/>
      <c r="AK879" s="137"/>
    </row>
    <row r="880" spans="13:37" ht="13" x14ac:dyDescent="0.15">
      <c r="M880" s="165"/>
      <c r="N880" s="165"/>
      <c r="O880" s="165"/>
      <c r="P880" s="165"/>
      <c r="Q880" s="165"/>
      <c r="R880" s="165"/>
      <c r="S880" s="166"/>
      <c r="T880" s="165"/>
      <c r="U880" s="166"/>
      <c r="W880" s="166"/>
      <c r="X880" s="166"/>
      <c r="Y880" s="166"/>
      <c r="Z880" s="167"/>
      <c r="AA880" s="165"/>
      <c r="AB880" s="167"/>
      <c r="AC880" s="167"/>
      <c r="AD880" s="167"/>
      <c r="AE880" s="167"/>
      <c r="AF880" s="167"/>
      <c r="AG880" s="137"/>
      <c r="AH880" s="137"/>
      <c r="AI880" s="137"/>
      <c r="AJ880" s="137"/>
      <c r="AK880" s="137"/>
    </row>
    <row r="881" spans="13:37" ht="13" x14ac:dyDescent="0.15">
      <c r="M881" s="165"/>
      <c r="N881" s="165"/>
      <c r="O881" s="165"/>
      <c r="P881" s="165"/>
      <c r="Q881" s="165"/>
      <c r="R881" s="165"/>
      <c r="S881" s="166"/>
      <c r="T881" s="165"/>
      <c r="U881" s="166"/>
      <c r="W881" s="166"/>
      <c r="X881" s="166"/>
      <c r="Y881" s="166"/>
      <c r="Z881" s="167"/>
      <c r="AA881" s="165"/>
      <c r="AB881" s="167"/>
      <c r="AC881" s="167"/>
      <c r="AD881" s="167"/>
      <c r="AE881" s="167"/>
      <c r="AF881" s="167"/>
      <c r="AG881" s="137"/>
      <c r="AH881" s="137"/>
      <c r="AI881" s="137"/>
      <c r="AJ881" s="137"/>
      <c r="AK881" s="137"/>
    </row>
    <row r="882" spans="13:37" ht="13" x14ac:dyDescent="0.15">
      <c r="M882" s="165"/>
      <c r="N882" s="165"/>
      <c r="O882" s="165"/>
      <c r="P882" s="165"/>
      <c r="Q882" s="165"/>
      <c r="R882" s="165"/>
      <c r="S882" s="166"/>
      <c r="T882" s="165"/>
      <c r="U882" s="166"/>
      <c r="W882" s="166"/>
      <c r="X882" s="166"/>
      <c r="Y882" s="166"/>
      <c r="Z882" s="167"/>
      <c r="AA882" s="165"/>
      <c r="AB882" s="167"/>
      <c r="AC882" s="167"/>
      <c r="AD882" s="167"/>
      <c r="AE882" s="167"/>
      <c r="AF882" s="167"/>
      <c r="AG882" s="137"/>
      <c r="AH882" s="137"/>
      <c r="AI882" s="137"/>
      <c r="AJ882" s="137"/>
      <c r="AK882" s="137"/>
    </row>
    <row r="883" spans="13:37" ht="13" x14ac:dyDescent="0.15">
      <c r="M883" s="165"/>
      <c r="N883" s="165"/>
      <c r="O883" s="165"/>
      <c r="P883" s="165"/>
      <c r="Q883" s="165"/>
      <c r="R883" s="165"/>
      <c r="S883" s="166"/>
      <c r="T883" s="165"/>
      <c r="U883" s="166"/>
      <c r="W883" s="166"/>
      <c r="X883" s="166"/>
      <c r="Y883" s="166"/>
      <c r="Z883" s="167"/>
      <c r="AA883" s="165"/>
      <c r="AB883" s="167"/>
      <c r="AC883" s="167"/>
      <c r="AD883" s="167"/>
      <c r="AE883" s="167"/>
      <c r="AF883" s="167"/>
      <c r="AG883" s="137"/>
      <c r="AH883" s="137"/>
      <c r="AI883" s="137"/>
      <c r="AJ883" s="137"/>
      <c r="AK883" s="137"/>
    </row>
    <row r="884" spans="13:37" ht="13" x14ac:dyDescent="0.15">
      <c r="M884" s="165"/>
      <c r="N884" s="165"/>
      <c r="O884" s="165"/>
      <c r="P884" s="165"/>
      <c r="Q884" s="165"/>
      <c r="R884" s="165"/>
      <c r="S884" s="166"/>
      <c r="T884" s="165"/>
      <c r="U884" s="166"/>
      <c r="W884" s="166"/>
      <c r="X884" s="166"/>
      <c r="Y884" s="166"/>
      <c r="Z884" s="167"/>
      <c r="AA884" s="165"/>
      <c r="AB884" s="167"/>
      <c r="AC884" s="167"/>
      <c r="AD884" s="167"/>
      <c r="AE884" s="167"/>
      <c r="AF884" s="167"/>
      <c r="AG884" s="137"/>
      <c r="AH884" s="137"/>
      <c r="AI884" s="137"/>
      <c r="AJ884" s="137"/>
      <c r="AK884" s="137"/>
    </row>
    <row r="885" spans="13:37" ht="13" x14ac:dyDescent="0.15">
      <c r="M885" s="165"/>
      <c r="N885" s="165"/>
      <c r="O885" s="165"/>
      <c r="P885" s="165"/>
      <c r="Q885" s="165"/>
      <c r="R885" s="165"/>
      <c r="S885" s="166"/>
      <c r="T885" s="165"/>
      <c r="U885" s="166"/>
      <c r="W885" s="166"/>
      <c r="X885" s="166"/>
      <c r="Y885" s="166"/>
      <c r="Z885" s="167"/>
      <c r="AA885" s="165"/>
      <c r="AB885" s="167"/>
      <c r="AC885" s="167"/>
      <c r="AD885" s="167"/>
      <c r="AE885" s="167"/>
      <c r="AF885" s="167"/>
      <c r="AG885" s="137"/>
      <c r="AH885" s="137"/>
      <c r="AI885" s="137"/>
      <c r="AJ885" s="137"/>
      <c r="AK885" s="137"/>
    </row>
    <row r="886" spans="13:37" ht="13" x14ac:dyDescent="0.15">
      <c r="M886" s="165"/>
      <c r="N886" s="165"/>
      <c r="O886" s="165"/>
      <c r="P886" s="165"/>
      <c r="Q886" s="165"/>
      <c r="R886" s="165"/>
      <c r="S886" s="168"/>
      <c r="T886" s="165"/>
      <c r="U886" s="166"/>
      <c r="W886" s="166"/>
      <c r="X886" s="166"/>
      <c r="Y886" s="166"/>
      <c r="Z886" s="167"/>
      <c r="AA886" s="165"/>
      <c r="AB886" s="167"/>
      <c r="AC886" s="167"/>
      <c r="AD886" s="167"/>
      <c r="AE886" s="167"/>
      <c r="AF886" s="167"/>
      <c r="AG886" s="137"/>
      <c r="AH886" s="137"/>
      <c r="AI886" s="137"/>
      <c r="AJ886" s="137"/>
      <c r="AK886" s="137"/>
    </row>
    <row r="887" spans="13:37" ht="13" x14ac:dyDescent="0.15">
      <c r="M887" s="165"/>
      <c r="N887" s="165"/>
      <c r="O887" s="165"/>
      <c r="P887" s="165"/>
      <c r="Q887" s="165"/>
      <c r="R887" s="165"/>
      <c r="S887" s="168"/>
      <c r="T887" s="165"/>
      <c r="U887" s="166"/>
      <c r="W887" s="166"/>
      <c r="X887" s="166"/>
      <c r="Y887" s="166"/>
      <c r="Z887" s="167"/>
      <c r="AA887" s="165"/>
      <c r="AB887" s="167"/>
      <c r="AC887" s="167"/>
      <c r="AD887" s="167"/>
      <c r="AE887" s="167"/>
      <c r="AF887" s="167"/>
      <c r="AG887" s="137"/>
      <c r="AH887" s="137"/>
      <c r="AI887" s="137"/>
      <c r="AJ887" s="137"/>
      <c r="AK887" s="137"/>
    </row>
    <row r="888" spans="13:37" ht="13" x14ac:dyDescent="0.15">
      <c r="M888" s="165"/>
      <c r="N888" s="165"/>
      <c r="O888" s="165"/>
      <c r="P888" s="165"/>
      <c r="Q888" s="165"/>
      <c r="R888" s="165"/>
      <c r="S888" s="168"/>
      <c r="T888" s="165"/>
      <c r="U888" s="166"/>
      <c r="W888" s="166"/>
      <c r="X888" s="166"/>
      <c r="Y888" s="166"/>
      <c r="Z888" s="167"/>
      <c r="AA888" s="165"/>
      <c r="AB888" s="167"/>
      <c r="AC888" s="167"/>
      <c r="AD888" s="167"/>
      <c r="AE888" s="167"/>
      <c r="AF888" s="167"/>
      <c r="AG888" s="137"/>
      <c r="AH888" s="137"/>
      <c r="AI888" s="137"/>
      <c r="AJ888" s="137"/>
      <c r="AK888" s="137"/>
    </row>
    <row r="889" spans="13:37" ht="13" x14ac:dyDescent="0.15">
      <c r="M889" s="165"/>
      <c r="N889" s="165"/>
      <c r="O889" s="165"/>
      <c r="P889" s="165"/>
      <c r="Q889" s="165"/>
      <c r="R889" s="165"/>
      <c r="S889" s="166"/>
      <c r="T889" s="165"/>
      <c r="U889" s="166"/>
      <c r="W889" s="166"/>
      <c r="X889" s="166"/>
      <c r="Y889" s="166"/>
      <c r="Z889" s="167"/>
      <c r="AA889" s="165"/>
      <c r="AB889" s="167"/>
      <c r="AC889" s="167"/>
      <c r="AD889" s="167"/>
      <c r="AE889" s="167"/>
      <c r="AF889" s="167"/>
      <c r="AG889" s="137"/>
      <c r="AH889" s="137"/>
      <c r="AI889" s="137"/>
      <c r="AJ889" s="137"/>
      <c r="AK889" s="137"/>
    </row>
    <row r="890" spans="13:37" ht="13" x14ac:dyDescent="0.15">
      <c r="M890" s="165"/>
      <c r="N890" s="165"/>
      <c r="O890" s="165"/>
      <c r="P890" s="165"/>
      <c r="Q890" s="165"/>
      <c r="R890" s="165"/>
      <c r="S890" s="166"/>
      <c r="T890" s="165"/>
      <c r="U890" s="166"/>
      <c r="W890" s="166"/>
      <c r="X890" s="166"/>
      <c r="Y890" s="166"/>
      <c r="Z890" s="167"/>
      <c r="AA890" s="165"/>
      <c r="AB890" s="167"/>
      <c r="AC890" s="167"/>
      <c r="AD890" s="167"/>
      <c r="AE890" s="167"/>
      <c r="AF890" s="167"/>
      <c r="AG890" s="137"/>
      <c r="AH890" s="137"/>
      <c r="AI890" s="137"/>
      <c r="AJ890" s="137"/>
      <c r="AK890" s="137"/>
    </row>
    <row r="891" spans="13:37" ht="13" x14ac:dyDescent="0.15">
      <c r="M891" s="165"/>
      <c r="N891" s="165"/>
      <c r="O891" s="165"/>
      <c r="P891" s="165"/>
      <c r="Q891" s="165"/>
      <c r="R891" s="165"/>
      <c r="S891" s="166"/>
      <c r="T891" s="165"/>
      <c r="U891" s="166"/>
      <c r="W891" s="166"/>
      <c r="X891" s="166"/>
      <c r="Y891" s="166"/>
      <c r="Z891" s="167"/>
      <c r="AA891" s="165"/>
      <c r="AB891" s="167"/>
      <c r="AC891" s="167"/>
      <c r="AD891" s="167"/>
      <c r="AE891" s="167"/>
      <c r="AF891" s="167"/>
      <c r="AG891" s="137"/>
      <c r="AH891" s="137"/>
      <c r="AI891" s="137"/>
      <c r="AJ891" s="137"/>
      <c r="AK891" s="137"/>
    </row>
    <row r="892" spans="13:37" ht="13" x14ac:dyDescent="0.15">
      <c r="M892" s="165"/>
      <c r="N892" s="165"/>
      <c r="O892" s="165"/>
      <c r="P892" s="165"/>
      <c r="Q892" s="165"/>
      <c r="R892" s="165"/>
      <c r="S892" s="166"/>
      <c r="T892" s="165"/>
      <c r="U892" s="166"/>
      <c r="W892" s="166"/>
      <c r="X892" s="166"/>
      <c r="Y892" s="166"/>
      <c r="Z892" s="167"/>
      <c r="AA892" s="165"/>
      <c r="AB892" s="167"/>
      <c r="AC892" s="167"/>
      <c r="AD892" s="167"/>
      <c r="AE892" s="167"/>
      <c r="AF892" s="167"/>
      <c r="AG892" s="137"/>
      <c r="AH892" s="137"/>
      <c r="AI892" s="137"/>
      <c r="AJ892" s="137"/>
      <c r="AK892" s="137"/>
    </row>
    <row r="893" spans="13:37" ht="13" x14ac:dyDescent="0.15">
      <c r="M893" s="165"/>
      <c r="N893" s="165"/>
      <c r="O893" s="165"/>
      <c r="P893" s="165"/>
      <c r="Q893" s="165"/>
      <c r="R893" s="165"/>
      <c r="S893" s="166"/>
      <c r="T893" s="165"/>
      <c r="U893" s="166"/>
      <c r="W893" s="166"/>
      <c r="X893" s="166"/>
      <c r="Y893" s="166"/>
      <c r="Z893" s="167"/>
      <c r="AA893" s="165"/>
      <c r="AB893" s="167"/>
      <c r="AC893" s="167"/>
      <c r="AD893" s="167"/>
      <c r="AE893" s="167"/>
      <c r="AF893" s="167"/>
      <c r="AG893" s="137"/>
      <c r="AH893" s="137"/>
      <c r="AI893" s="137"/>
      <c r="AJ893" s="137"/>
      <c r="AK893" s="137"/>
    </row>
    <row r="894" spans="13:37" ht="13" x14ac:dyDescent="0.15">
      <c r="M894" s="165"/>
      <c r="N894" s="165"/>
      <c r="O894" s="165"/>
      <c r="P894" s="165"/>
      <c r="Q894" s="165"/>
      <c r="R894" s="165"/>
      <c r="S894" s="166"/>
      <c r="T894" s="165"/>
      <c r="U894" s="166"/>
      <c r="W894" s="166"/>
      <c r="X894" s="166"/>
      <c r="Y894" s="166"/>
      <c r="Z894" s="167"/>
      <c r="AA894" s="165"/>
      <c r="AB894" s="167"/>
      <c r="AC894" s="167"/>
      <c r="AD894" s="167"/>
      <c r="AE894" s="167"/>
      <c r="AF894" s="167"/>
      <c r="AG894" s="137"/>
      <c r="AH894" s="137"/>
      <c r="AI894" s="137"/>
      <c r="AJ894" s="137"/>
      <c r="AK894" s="137"/>
    </row>
    <row r="895" spans="13:37" ht="13" x14ac:dyDescent="0.15">
      <c r="M895" s="165"/>
      <c r="N895" s="165"/>
      <c r="O895" s="165"/>
      <c r="P895" s="165"/>
      <c r="Q895" s="165"/>
      <c r="R895" s="165"/>
      <c r="S895" s="166"/>
      <c r="T895" s="165"/>
      <c r="U895" s="166"/>
      <c r="W895" s="166"/>
      <c r="X895" s="166"/>
      <c r="Y895" s="166"/>
      <c r="Z895" s="167"/>
      <c r="AA895" s="165"/>
      <c r="AB895" s="167"/>
      <c r="AC895" s="167"/>
      <c r="AD895" s="167"/>
      <c r="AE895" s="167"/>
      <c r="AF895" s="167"/>
      <c r="AG895" s="137"/>
      <c r="AH895" s="137"/>
      <c r="AI895" s="137"/>
      <c r="AJ895" s="137"/>
      <c r="AK895" s="137"/>
    </row>
    <row r="896" spans="13:37" ht="13" x14ac:dyDescent="0.15">
      <c r="M896" s="165"/>
      <c r="N896" s="165"/>
      <c r="O896" s="165"/>
      <c r="P896" s="165"/>
      <c r="Q896" s="165"/>
      <c r="R896" s="165"/>
      <c r="S896" s="166"/>
      <c r="T896" s="165"/>
      <c r="U896" s="166"/>
      <c r="W896" s="166"/>
      <c r="X896" s="166"/>
      <c r="Y896" s="166"/>
      <c r="Z896" s="167"/>
      <c r="AA896" s="165"/>
      <c r="AB896" s="167"/>
      <c r="AC896" s="167"/>
      <c r="AD896" s="167"/>
      <c r="AE896" s="167"/>
      <c r="AF896" s="167"/>
      <c r="AG896" s="137"/>
      <c r="AH896" s="137"/>
      <c r="AI896" s="137"/>
      <c r="AJ896" s="137"/>
      <c r="AK896" s="137"/>
    </row>
    <row r="897" spans="13:37" ht="13" x14ac:dyDescent="0.15">
      <c r="M897" s="165"/>
      <c r="N897" s="165"/>
      <c r="P897" s="165"/>
      <c r="Q897" s="165"/>
      <c r="R897" s="165"/>
      <c r="S897" s="166"/>
      <c r="T897" s="165"/>
      <c r="U897" s="166"/>
      <c r="W897" s="166"/>
      <c r="X897" s="166"/>
      <c r="Y897" s="166"/>
      <c r="Z897" s="167"/>
      <c r="AA897" s="165"/>
      <c r="AB897" s="167"/>
      <c r="AC897" s="167"/>
      <c r="AD897" s="167"/>
      <c r="AE897" s="167"/>
      <c r="AF897" s="167"/>
      <c r="AG897" s="137"/>
      <c r="AH897" s="137"/>
      <c r="AI897" s="137"/>
      <c r="AJ897" s="137"/>
      <c r="AK897" s="137"/>
    </row>
    <row r="898" spans="13:37" ht="13" x14ac:dyDescent="0.15">
      <c r="M898" s="165"/>
      <c r="N898" s="165"/>
      <c r="P898" s="165"/>
      <c r="Q898" s="165"/>
      <c r="R898" s="165"/>
      <c r="S898" s="166"/>
      <c r="T898" s="165"/>
      <c r="U898" s="166"/>
      <c r="W898" s="166"/>
      <c r="X898" s="166"/>
      <c r="Y898" s="166"/>
      <c r="Z898" s="167"/>
      <c r="AA898" s="165"/>
      <c r="AB898" s="167"/>
      <c r="AC898" s="167"/>
      <c r="AD898" s="167"/>
      <c r="AE898" s="167"/>
      <c r="AF898" s="167"/>
      <c r="AG898" s="137"/>
      <c r="AH898" s="137"/>
      <c r="AI898" s="137"/>
      <c r="AJ898" s="137"/>
      <c r="AK898" s="137"/>
    </row>
    <row r="899" spans="13:37" ht="13" x14ac:dyDescent="0.15">
      <c r="M899" s="165"/>
      <c r="N899" s="165"/>
      <c r="P899" s="165"/>
      <c r="Q899" s="165"/>
      <c r="R899" s="165"/>
      <c r="S899" s="166"/>
      <c r="T899" s="165"/>
      <c r="U899" s="166"/>
      <c r="W899" s="166"/>
      <c r="X899" s="166"/>
      <c r="Y899" s="166"/>
      <c r="Z899" s="167"/>
      <c r="AA899" s="165"/>
      <c r="AB899" s="167"/>
      <c r="AC899" s="167"/>
      <c r="AD899" s="167"/>
      <c r="AE899" s="167"/>
      <c r="AF899" s="167"/>
      <c r="AG899" s="137"/>
      <c r="AH899" s="137"/>
      <c r="AI899" s="137"/>
      <c r="AJ899" s="137"/>
      <c r="AK899" s="137"/>
    </row>
    <row r="900" spans="13:37" ht="13" x14ac:dyDescent="0.15">
      <c r="M900" s="165"/>
      <c r="N900" s="165"/>
      <c r="P900" s="165"/>
      <c r="Q900" s="165"/>
      <c r="R900" s="165"/>
      <c r="S900" s="166"/>
      <c r="T900" s="165"/>
      <c r="U900" s="166"/>
      <c r="W900" s="166"/>
      <c r="X900" s="166"/>
      <c r="Y900" s="166"/>
      <c r="Z900" s="167"/>
      <c r="AA900" s="165"/>
      <c r="AB900" s="167"/>
      <c r="AC900" s="167"/>
      <c r="AD900" s="167"/>
      <c r="AE900" s="167"/>
      <c r="AF900" s="167"/>
      <c r="AG900" s="137"/>
      <c r="AH900" s="137"/>
      <c r="AI900" s="137"/>
      <c r="AJ900" s="137"/>
      <c r="AK900" s="137"/>
    </row>
    <row r="901" spans="13:37" ht="13" x14ac:dyDescent="0.15">
      <c r="M901" s="165"/>
      <c r="N901" s="165"/>
      <c r="P901" s="165"/>
      <c r="Q901" s="165"/>
      <c r="R901" s="165"/>
      <c r="S901" s="166"/>
      <c r="T901" s="165"/>
      <c r="U901" s="166"/>
      <c r="W901" s="166"/>
      <c r="X901" s="166"/>
      <c r="Y901" s="166"/>
      <c r="Z901" s="167"/>
      <c r="AA901" s="165"/>
      <c r="AB901" s="167"/>
      <c r="AC901" s="167"/>
      <c r="AD901" s="167"/>
      <c r="AE901" s="167"/>
      <c r="AF901" s="167"/>
      <c r="AG901" s="137"/>
      <c r="AH901" s="137"/>
      <c r="AI901" s="137"/>
      <c r="AJ901" s="137"/>
      <c r="AK901" s="137"/>
    </row>
    <row r="902" spans="13:37" ht="13" x14ac:dyDescent="0.15">
      <c r="M902" s="165"/>
      <c r="N902" s="165"/>
      <c r="P902" s="165"/>
      <c r="Q902" s="165"/>
      <c r="R902" s="165"/>
      <c r="S902" s="166"/>
      <c r="T902" s="165"/>
      <c r="U902" s="166"/>
      <c r="W902" s="166"/>
      <c r="X902" s="166"/>
      <c r="Y902" s="166"/>
      <c r="Z902" s="167"/>
      <c r="AA902" s="165"/>
      <c r="AB902" s="167"/>
      <c r="AC902" s="167"/>
      <c r="AD902" s="167"/>
      <c r="AE902" s="167"/>
      <c r="AF902" s="167"/>
      <c r="AG902" s="137"/>
      <c r="AH902" s="137"/>
      <c r="AI902" s="137"/>
      <c r="AJ902" s="137"/>
      <c r="AK902" s="137"/>
    </row>
    <row r="903" spans="13:37" ht="13" x14ac:dyDescent="0.15">
      <c r="M903" s="165"/>
      <c r="N903" s="165"/>
      <c r="P903" s="165"/>
      <c r="Q903" s="165"/>
      <c r="R903" s="165"/>
      <c r="S903" s="166"/>
      <c r="T903" s="165"/>
      <c r="U903" s="166"/>
      <c r="W903" s="166"/>
      <c r="X903" s="166"/>
      <c r="Y903" s="166"/>
      <c r="Z903" s="167"/>
      <c r="AA903" s="165"/>
      <c r="AB903" s="167"/>
      <c r="AC903" s="167"/>
      <c r="AD903" s="167"/>
      <c r="AE903" s="167"/>
      <c r="AF903" s="167"/>
      <c r="AG903" s="137"/>
      <c r="AH903" s="137"/>
      <c r="AI903" s="137"/>
      <c r="AJ903" s="137"/>
      <c r="AK903" s="137"/>
    </row>
    <row r="904" spans="13:37" ht="13" x14ac:dyDescent="0.15">
      <c r="M904" s="165"/>
      <c r="N904" s="165"/>
      <c r="P904" s="165"/>
      <c r="Q904" s="165"/>
      <c r="R904" s="165"/>
      <c r="S904" s="166"/>
      <c r="T904" s="165"/>
      <c r="U904" s="166"/>
      <c r="W904" s="166"/>
      <c r="X904" s="166"/>
      <c r="Y904" s="166"/>
      <c r="Z904" s="167"/>
      <c r="AA904" s="165"/>
      <c r="AB904" s="167"/>
      <c r="AC904" s="167"/>
      <c r="AD904" s="167"/>
      <c r="AE904" s="167"/>
      <c r="AF904" s="167"/>
      <c r="AG904" s="137"/>
      <c r="AH904" s="137"/>
      <c r="AI904" s="137"/>
      <c r="AJ904" s="137"/>
      <c r="AK904" s="137"/>
    </row>
    <row r="905" spans="13:37" ht="13" x14ac:dyDescent="0.15">
      <c r="M905" s="165"/>
      <c r="N905" s="165"/>
      <c r="P905" s="165"/>
      <c r="Q905" s="165"/>
      <c r="R905" s="165"/>
      <c r="S905" s="166"/>
      <c r="T905" s="165"/>
      <c r="U905" s="166"/>
      <c r="W905" s="166"/>
      <c r="X905" s="166"/>
      <c r="Y905" s="166"/>
      <c r="Z905" s="167"/>
      <c r="AA905" s="165"/>
      <c r="AB905" s="167"/>
      <c r="AC905" s="167"/>
      <c r="AD905" s="167"/>
      <c r="AE905" s="167"/>
      <c r="AF905" s="167"/>
      <c r="AG905" s="137"/>
      <c r="AH905" s="137"/>
      <c r="AI905" s="137"/>
      <c r="AJ905" s="137"/>
      <c r="AK905" s="137"/>
    </row>
    <row r="906" spans="13:37" ht="13" x14ac:dyDescent="0.15">
      <c r="M906" s="165"/>
      <c r="N906" s="165"/>
      <c r="P906" s="165"/>
      <c r="Q906" s="165"/>
      <c r="R906" s="165"/>
      <c r="S906" s="166"/>
      <c r="T906" s="165"/>
      <c r="U906" s="166"/>
      <c r="W906" s="166"/>
      <c r="X906" s="166"/>
      <c r="Y906" s="166"/>
      <c r="Z906" s="167"/>
      <c r="AA906" s="165"/>
      <c r="AB906" s="167"/>
      <c r="AC906" s="167"/>
      <c r="AD906" s="167"/>
      <c r="AE906" s="167"/>
      <c r="AF906" s="167"/>
      <c r="AG906" s="137"/>
      <c r="AH906" s="137"/>
      <c r="AI906" s="137"/>
      <c r="AJ906" s="137"/>
      <c r="AK906" s="137"/>
    </row>
    <row r="907" spans="13:37" ht="13" x14ac:dyDescent="0.15">
      <c r="M907" s="165"/>
      <c r="N907" s="165"/>
      <c r="O907" s="165"/>
      <c r="P907" s="165"/>
      <c r="Q907" s="165"/>
      <c r="R907" s="165"/>
      <c r="S907" s="166"/>
      <c r="T907" s="165"/>
      <c r="U907" s="166"/>
      <c r="W907" s="166"/>
      <c r="X907" s="166"/>
      <c r="Y907" s="166"/>
      <c r="Z907" s="167"/>
      <c r="AA907" s="165"/>
      <c r="AB907" s="167"/>
      <c r="AC907" s="167"/>
      <c r="AD907" s="167"/>
      <c r="AE907" s="167"/>
      <c r="AF907" s="167"/>
      <c r="AG907" s="137"/>
      <c r="AH907" s="137"/>
      <c r="AI907" s="137"/>
      <c r="AJ907" s="137"/>
      <c r="AK907" s="137"/>
    </row>
    <row r="908" spans="13:37" ht="13" x14ac:dyDescent="0.15">
      <c r="M908" s="165"/>
      <c r="N908" s="165"/>
      <c r="O908" s="165"/>
      <c r="P908" s="165"/>
      <c r="Q908" s="165"/>
      <c r="R908" s="165"/>
      <c r="S908" s="166"/>
      <c r="T908" s="165"/>
      <c r="U908" s="166"/>
      <c r="W908" s="166"/>
      <c r="X908" s="166"/>
      <c r="Y908" s="166"/>
      <c r="Z908" s="167"/>
      <c r="AA908" s="165"/>
      <c r="AB908" s="167"/>
      <c r="AC908" s="167"/>
      <c r="AD908" s="167"/>
      <c r="AE908" s="167"/>
      <c r="AF908" s="167"/>
      <c r="AG908" s="137"/>
      <c r="AH908" s="137"/>
      <c r="AI908" s="137"/>
      <c r="AJ908" s="137"/>
      <c r="AK908" s="137"/>
    </row>
    <row r="909" spans="13:37" ht="13" x14ac:dyDescent="0.15">
      <c r="M909" s="165"/>
      <c r="N909" s="165"/>
      <c r="O909" s="165"/>
      <c r="P909" s="165"/>
      <c r="Q909" s="165"/>
      <c r="R909" s="165"/>
      <c r="S909" s="166"/>
      <c r="T909" s="165"/>
      <c r="U909" s="166"/>
      <c r="W909" s="166"/>
      <c r="X909" s="166"/>
      <c r="Y909" s="166"/>
      <c r="Z909" s="167"/>
      <c r="AA909" s="165"/>
      <c r="AB909" s="167"/>
      <c r="AC909" s="167"/>
      <c r="AD909" s="167"/>
      <c r="AE909" s="167"/>
      <c r="AF909" s="167"/>
      <c r="AG909" s="137"/>
      <c r="AH909" s="137"/>
      <c r="AI909" s="137"/>
      <c r="AJ909" s="137"/>
      <c r="AK909" s="137"/>
    </row>
    <row r="910" spans="13:37" ht="13" x14ac:dyDescent="0.15">
      <c r="M910" s="165"/>
      <c r="N910" s="165"/>
      <c r="O910" s="165"/>
      <c r="P910" s="165"/>
      <c r="Q910" s="165"/>
      <c r="R910" s="165"/>
      <c r="S910" s="166"/>
      <c r="T910" s="165"/>
      <c r="U910" s="166"/>
      <c r="W910" s="166"/>
      <c r="X910" s="166"/>
      <c r="Y910" s="166"/>
      <c r="Z910" s="167"/>
      <c r="AA910" s="165"/>
      <c r="AB910" s="167"/>
      <c r="AC910" s="167"/>
      <c r="AD910" s="167"/>
      <c r="AE910" s="167"/>
      <c r="AF910" s="167"/>
      <c r="AG910" s="137"/>
      <c r="AH910" s="137"/>
      <c r="AI910" s="137"/>
      <c r="AJ910" s="137"/>
      <c r="AK910" s="137"/>
    </row>
    <row r="911" spans="13:37" ht="13" x14ac:dyDescent="0.15">
      <c r="M911" s="165"/>
      <c r="N911" s="165"/>
      <c r="O911" s="165"/>
      <c r="P911" s="165"/>
      <c r="Q911" s="165"/>
      <c r="R911" s="165"/>
      <c r="S911" s="168"/>
      <c r="T911" s="165"/>
      <c r="U911" s="166"/>
      <c r="W911" s="166"/>
      <c r="X911" s="166"/>
      <c r="Y911" s="166"/>
      <c r="Z911" s="167"/>
      <c r="AA911" s="165"/>
      <c r="AB911" s="167"/>
      <c r="AC911" s="167"/>
      <c r="AD911" s="165"/>
      <c r="AE911" s="167"/>
      <c r="AF911" s="167"/>
      <c r="AG911" s="137"/>
      <c r="AH911" s="137"/>
      <c r="AI911" s="137"/>
      <c r="AJ911" s="137"/>
      <c r="AK911" s="137"/>
    </row>
    <row r="912" spans="13:37" ht="13" x14ac:dyDescent="0.15">
      <c r="M912" s="165"/>
      <c r="N912" s="165"/>
      <c r="O912" s="165"/>
      <c r="P912" s="165"/>
      <c r="Q912" s="165"/>
      <c r="R912" s="165"/>
      <c r="S912" s="168"/>
      <c r="T912" s="165"/>
      <c r="U912" s="166"/>
      <c r="W912" s="166"/>
      <c r="X912" s="166"/>
      <c r="Y912" s="166"/>
      <c r="Z912" s="167"/>
      <c r="AA912" s="165"/>
      <c r="AB912" s="167"/>
      <c r="AC912" s="167"/>
      <c r="AD912" s="165"/>
      <c r="AE912" s="167"/>
      <c r="AF912" s="167"/>
      <c r="AG912" s="137"/>
      <c r="AH912" s="137"/>
      <c r="AI912" s="137"/>
      <c r="AJ912" s="137"/>
      <c r="AK912" s="137"/>
    </row>
    <row r="913" spans="13:37" ht="13" x14ac:dyDescent="0.15">
      <c r="M913" s="165"/>
      <c r="N913" s="165"/>
      <c r="O913" s="165"/>
      <c r="P913" s="165"/>
      <c r="Q913" s="165"/>
      <c r="R913" s="165"/>
      <c r="S913" s="168"/>
      <c r="T913" s="165"/>
      <c r="U913" s="166"/>
      <c r="W913" s="166"/>
      <c r="X913" s="166"/>
      <c r="Y913" s="166"/>
      <c r="Z913" s="167"/>
      <c r="AA913" s="165"/>
      <c r="AB913" s="167"/>
      <c r="AC913" s="167"/>
      <c r="AD913" s="165"/>
      <c r="AE913" s="167"/>
      <c r="AF913" s="167"/>
      <c r="AG913" s="137"/>
      <c r="AH913" s="137"/>
      <c r="AI913" s="137"/>
      <c r="AJ913" s="137"/>
      <c r="AK913" s="137"/>
    </row>
    <row r="914" spans="13:37" ht="13" x14ac:dyDescent="0.15">
      <c r="M914" s="165"/>
      <c r="N914" s="165"/>
      <c r="O914" s="165"/>
      <c r="P914" s="165"/>
      <c r="Q914" s="165"/>
      <c r="R914" s="165"/>
      <c r="S914" s="166"/>
      <c r="T914" s="165"/>
      <c r="U914" s="166"/>
      <c r="W914" s="166"/>
      <c r="X914" s="166"/>
      <c r="Y914" s="166"/>
      <c r="Z914" s="167"/>
      <c r="AA914" s="165"/>
      <c r="AB914" s="167"/>
      <c r="AC914" s="167"/>
      <c r="AD914" s="167"/>
      <c r="AE914" s="167"/>
      <c r="AF914" s="167"/>
      <c r="AG914" s="137"/>
      <c r="AH914" s="137"/>
      <c r="AI914" s="137"/>
      <c r="AJ914" s="137"/>
      <c r="AK914" s="137"/>
    </row>
    <row r="915" spans="13:37" ht="13" x14ac:dyDescent="0.15">
      <c r="M915" s="165"/>
      <c r="N915" s="165"/>
      <c r="O915" s="165"/>
      <c r="P915" s="165"/>
      <c r="Q915" s="165"/>
      <c r="R915" s="165"/>
      <c r="S915" s="166"/>
      <c r="T915" s="165"/>
      <c r="U915" s="166"/>
      <c r="W915" s="166"/>
      <c r="X915" s="166"/>
      <c r="Y915" s="166"/>
      <c r="Z915" s="167"/>
      <c r="AA915" s="165"/>
      <c r="AB915" s="167"/>
      <c r="AC915" s="167"/>
      <c r="AD915" s="167"/>
      <c r="AE915" s="167"/>
      <c r="AF915" s="167"/>
      <c r="AG915" s="137"/>
      <c r="AH915" s="137"/>
      <c r="AI915" s="137"/>
      <c r="AJ915" s="137"/>
      <c r="AK915" s="137"/>
    </row>
    <row r="916" spans="13:37" ht="13" x14ac:dyDescent="0.15">
      <c r="M916" s="165"/>
      <c r="N916" s="165"/>
      <c r="O916" s="165"/>
      <c r="P916" s="165"/>
      <c r="Q916" s="165"/>
      <c r="R916" s="165"/>
      <c r="S916" s="166"/>
      <c r="T916" s="165"/>
      <c r="U916" s="166"/>
      <c r="W916" s="166"/>
      <c r="X916" s="166"/>
      <c r="Y916" s="166"/>
      <c r="Z916" s="167"/>
      <c r="AA916" s="165"/>
      <c r="AB916" s="167"/>
      <c r="AC916" s="167"/>
      <c r="AD916" s="167"/>
      <c r="AE916" s="167"/>
      <c r="AF916" s="167"/>
      <c r="AG916" s="137"/>
      <c r="AH916" s="137"/>
      <c r="AI916" s="137"/>
      <c r="AJ916" s="137"/>
      <c r="AK916" s="137"/>
    </row>
    <row r="917" spans="13:37" ht="13" x14ac:dyDescent="0.15">
      <c r="M917" s="165"/>
      <c r="N917" s="165"/>
      <c r="O917" s="165"/>
      <c r="P917" s="165"/>
      <c r="Q917" s="165"/>
      <c r="R917" s="165"/>
      <c r="S917" s="166"/>
      <c r="T917" s="165"/>
      <c r="U917" s="166"/>
      <c r="W917" s="166"/>
      <c r="X917" s="166"/>
      <c r="Y917" s="166"/>
      <c r="Z917" s="167"/>
      <c r="AA917" s="165"/>
      <c r="AB917" s="167"/>
      <c r="AC917" s="167"/>
      <c r="AD917" s="167"/>
      <c r="AE917" s="167"/>
      <c r="AF917" s="167"/>
      <c r="AG917" s="137"/>
    </row>
    <row r="918" spans="13:37" ht="13" x14ac:dyDescent="0.15">
      <c r="M918" s="165"/>
      <c r="N918" s="165"/>
      <c r="O918" s="165"/>
      <c r="P918" s="165"/>
      <c r="Q918" s="165"/>
      <c r="R918" s="165"/>
      <c r="S918" s="166"/>
      <c r="W918" s="166"/>
      <c r="X918" s="166"/>
      <c r="Y918" s="166"/>
      <c r="Z918" s="167"/>
      <c r="AA918" s="165"/>
      <c r="AB918" s="167"/>
      <c r="AC918" s="167"/>
      <c r="AD918" s="167"/>
      <c r="AE918" s="167"/>
      <c r="AG918" s="137"/>
    </row>
    <row r="919" spans="13:37" ht="13" x14ac:dyDescent="0.15">
      <c r="M919" s="165"/>
      <c r="N919" s="165"/>
      <c r="O919" s="165"/>
      <c r="P919" s="165"/>
      <c r="Q919" s="165"/>
      <c r="R919" s="165"/>
      <c r="S919" s="166"/>
      <c r="W919" s="166"/>
      <c r="X919" s="166"/>
      <c r="Y919" s="166"/>
      <c r="Z919" s="167"/>
      <c r="AA919" s="165"/>
      <c r="AB919" s="167"/>
      <c r="AC919" s="167"/>
      <c r="AD919" s="167"/>
      <c r="AE919" s="167"/>
      <c r="AG919" s="137"/>
      <c r="AH919" s="137"/>
      <c r="AI919" s="137"/>
      <c r="AJ919" s="137"/>
      <c r="AK919" s="137"/>
    </row>
    <row r="920" spans="13:37" ht="13" x14ac:dyDescent="0.15">
      <c r="M920" s="165"/>
      <c r="N920" s="165"/>
      <c r="O920" s="165"/>
      <c r="P920" s="165"/>
      <c r="Q920" s="165"/>
      <c r="R920" s="165"/>
      <c r="S920" s="166"/>
      <c r="W920" s="166"/>
      <c r="X920" s="166"/>
      <c r="Y920" s="166"/>
      <c r="Z920" s="167"/>
      <c r="AA920" s="165"/>
      <c r="AB920" s="167"/>
      <c r="AC920" s="167"/>
      <c r="AD920" s="167"/>
      <c r="AE920" s="167"/>
      <c r="AG920" s="137"/>
      <c r="AH920" s="137"/>
      <c r="AI920" s="137"/>
      <c r="AJ920" s="137"/>
      <c r="AK920" s="137"/>
    </row>
    <row r="921" spans="13:37" ht="13" x14ac:dyDescent="0.15">
      <c r="M921" s="165"/>
      <c r="N921" s="165"/>
      <c r="O921" s="165"/>
      <c r="P921" s="165"/>
      <c r="Q921" s="165"/>
      <c r="R921" s="165"/>
      <c r="S921" s="166"/>
      <c r="W921" s="166"/>
      <c r="X921" s="166"/>
      <c r="Y921" s="166"/>
      <c r="Z921" s="167"/>
      <c r="AA921" s="165"/>
      <c r="AB921" s="167"/>
      <c r="AC921" s="167"/>
      <c r="AD921" s="167"/>
      <c r="AE921" s="167"/>
      <c r="AG921" s="137"/>
      <c r="AH921" s="137"/>
      <c r="AI921" s="137"/>
      <c r="AJ921" s="137"/>
      <c r="AK921" s="137"/>
    </row>
    <row r="922" spans="13:37" ht="13" x14ac:dyDescent="0.15">
      <c r="M922" s="165"/>
      <c r="N922" s="165"/>
      <c r="O922" s="165"/>
      <c r="P922" s="165"/>
      <c r="Q922" s="165"/>
      <c r="R922" s="165"/>
      <c r="S922" s="166"/>
      <c r="T922" s="165"/>
      <c r="U922" s="166"/>
      <c r="W922" s="166"/>
      <c r="X922" s="166"/>
      <c r="Y922" s="166"/>
      <c r="Z922" s="166"/>
      <c r="AA922" s="165"/>
      <c r="AB922" s="167"/>
      <c r="AC922" s="167"/>
      <c r="AD922" s="167"/>
      <c r="AE922" s="167"/>
      <c r="AF922" s="167"/>
      <c r="AG922" s="137"/>
      <c r="AH922" s="137"/>
      <c r="AI922" s="137"/>
      <c r="AJ922" s="137"/>
      <c r="AK922" s="137"/>
    </row>
    <row r="923" spans="13:37" ht="13" x14ac:dyDescent="0.15">
      <c r="M923" s="165"/>
      <c r="N923" s="165"/>
      <c r="O923" s="165"/>
      <c r="P923" s="165"/>
      <c r="Q923" s="165"/>
      <c r="R923" s="165"/>
      <c r="S923" s="166"/>
      <c r="T923" s="165"/>
      <c r="U923" s="166"/>
      <c r="W923" s="166"/>
      <c r="X923" s="166"/>
      <c r="Y923" s="166"/>
      <c r="Z923" s="166"/>
      <c r="AA923" s="165"/>
      <c r="AB923" s="167"/>
      <c r="AC923" s="167"/>
      <c r="AD923" s="167"/>
      <c r="AE923" s="167"/>
      <c r="AF923" s="167"/>
      <c r="AG923" s="137"/>
      <c r="AH923" s="137"/>
      <c r="AI923" s="137"/>
      <c r="AJ923" s="137"/>
      <c r="AK923" s="137"/>
    </row>
    <row r="924" spans="13:37" ht="13" x14ac:dyDescent="0.15">
      <c r="M924" s="165"/>
      <c r="N924" s="165"/>
      <c r="O924" s="165"/>
      <c r="P924" s="165"/>
      <c r="Q924" s="165"/>
      <c r="R924" s="165"/>
      <c r="S924" s="166"/>
      <c r="T924" s="165"/>
      <c r="U924" s="166"/>
      <c r="W924" s="166"/>
      <c r="X924" s="166"/>
      <c r="Y924" s="166"/>
      <c r="Z924" s="167"/>
      <c r="AA924" s="165"/>
      <c r="AB924" s="167"/>
      <c r="AC924" s="167"/>
      <c r="AD924" s="167"/>
      <c r="AE924" s="167"/>
      <c r="AF924" s="167"/>
      <c r="AG924" s="137"/>
      <c r="AH924" s="137"/>
      <c r="AI924" s="137"/>
      <c r="AJ924" s="137"/>
      <c r="AK924" s="137"/>
    </row>
    <row r="925" spans="13:37" ht="13" x14ac:dyDescent="0.15">
      <c r="M925" s="165"/>
      <c r="N925" s="165"/>
      <c r="O925" s="165"/>
      <c r="P925" s="165"/>
      <c r="Q925" s="165"/>
      <c r="R925" s="165"/>
      <c r="S925" s="166"/>
      <c r="T925" s="165"/>
      <c r="U925" s="166"/>
      <c r="W925" s="166"/>
      <c r="X925" s="166"/>
      <c r="Y925" s="166"/>
      <c r="Z925" s="167"/>
      <c r="AA925" s="165"/>
      <c r="AB925" s="167"/>
      <c r="AC925" s="167"/>
      <c r="AD925" s="167"/>
      <c r="AE925" s="167"/>
      <c r="AF925" s="167"/>
      <c r="AG925" s="137"/>
      <c r="AH925" s="137"/>
      <c r="AI925" s="137"/>
      <c r="AJ925" s="137"/>
      <c r="AK925" s="137"/>
    </row>
    <row r="926" spans="13:37" ht="13" x14ac:dyDescent="0.15">
      <c r="M926" s="165"/>
      <c r="N926" s="165"/>
      <c r="O926" s="165"/>
      <c r="P926" s="165"/>
      <c r="Q926" s="165"/>
      <c r="R926" s="165"/>
      <c r="S926" s="168"/>
      <c r="T926" s="165"/>
      <c r="U926" s="166"/>
      <c r="W926" s="166"/>
      <c r="X926" s="166"/>
      <c r="Y926" s="166"/>
      <c r="Z926" s="167"/>
      <c r="AA926" s="165"/>
      <c r="AB926" s="167"/>
      <c r="AC926" s="167"/>
      <c r="AD926" s="167"/>
      <c r="AE926" s="167"/>
      <c r="AF926" s="167"/>
      <c r="AG926" s="137"/>
    </row>
    <row r="927" spans="13:37" ht="13" x14ac:dyDescent="0.15">
      <c r="M927" s="165"/>
      <c r="N927" s="165"/>
      <c r="O927" s="165"/>
      <c r="P927" s="165"/>
      <c r="Q927" s="165"/>
      <c r="R927" s="165"/>
      <c r="S927" s="168"/>
      <c r="T927" s="165"/>
      <c r="U927" s="166"/>
      <c r="W927" s="166"/>
      <c r="X927" s="166"/>
      <c r="Y927" s="166"/>
      <c r="Z927" s="167"/>
      <c r="AA927" s="165"/>
      <c r="AB927" s="167"/>
      <c r="AC927" s="167"/>
      <c r="AD927" s="167"/>
      <c r="AE927" s="167"/>
      <c r="AF927" s="167"/>
      <c r="AG927" s="137"/>
    </row>
    <row r="928" spans="13:37" ht="13" x14ac:dyDescent="0.15">
      <c r="M928" s="165"/>
      <c r="N928" s="165"/>
      <c r="O928" s="165"/>
      <c r="P928" s="165"/>
      <c r="Q928" s="165"/>
      <c r="R928" s="165"/>
      <c r="S928" s="168"/>
      <c r="T928" s="165"/>
      <c r="U928" s="166"/>
      <c r="W928" s="166"/>
      <c r="X928" s="166"/>
      <c r="Y928" s="166"/>
      <c r="Z928" s="167"/>
      <c r="AA928" s="165"/>
      <c r="AB928" s="167"/>
      <c r="AC928" s="167"/>
      <c r="AD928" s="167"/>
      <c r="AE928" s="167"/>
      <c r="AF928" s="167"/>
      <c r="AG928" s="137"/>
    </row>
    <row r="929" spans="13:37" ht="13" x14ac:dyDescent="0.15">
      <c r="N929" s="165"/>
      <c r="O929" s="165"/>
      <c r="P929" s="165"/>
      <c r="Q929" s="165"/>
      <c r="R929" s="165"/>
      <c r="S929" s="166"/>
      <c r="T929" s="165"/>
      <c r="U929" s="166"/>
      <c r="V929" s="165"/>
      <c r="W929" s="166"/>
      <c r="X929" s="166"/>
      <c r="Y929" s="166"/>
      <c r="Z929" s="167"/>
      <c r="AA929" s="165"/>
      <c r="AB929" s="167"/>
      <c r="AC929" s="167"/>
      <c r="AD929" s="167"/>
      <c r="AE929" s="167"/>
      <c r="AF929" s="167"/>
      <c r="AG929" s="137"/>
      <c r="AH929" s="167"/>
      <c r="AI929" s="167"/>
      <c r="AJ929" s="167"/>
      <c r="AK929" s="137"/>
    </row>
    <row r="930" spans="13:37" ht="13" x14ac:dyDescent="0.15">
      <c r="M930" s="165"/>
      <c r="N930" s="165"/>
      <c r="O930" s="165"/>
      <c r="P930" s="165"/>
      <c r="Q930" s="165"/>
      <c r="R930" s="165"/>
      <c r="S930" s="166"/>
      <c r="T930" s="165"/>
      <c r="U930" s="166"/>
      <c r="W930" s="166"/>
      <c r="X930" s="166"/>
      <c r="Y930" s="166"/>
      <c r="Z930" s="167"/>
      <c r="AA930" s="165"/>
      <c r="AB930" s="167"/>
      <c r="AC930" s="167"/>
      <c r="AD930" s="167"/>
      <c r="AE930" s="167"/>
      <c r="AF930" s="167"/>
      <c r="AG930" s="137"/>
      <c r="AH930" s="137"/>
      <c r="AI930" s="137"/>
      <c r="AJ930" s="137"/>
      <c r="AK930" s="137"/>
    </row>
    <row r="931" spans="13:37" ht="13" x14ac:dyDescent="0.15">
      <c r="M931" s="165"/>
      <c r="N931" s="165"/>
      <c r="O931" s="165"/>
      <c r="P931" s="165"/>
      <c r="Q931" s="165"/>
      <c r="R931" s="165"/>
      <c r="S931" s="166"/>
      <c r="T931" s="165"/>
      <c r="U931" s="166"/>
      <c r="W931" s="166"/>
      <c r="X931" s="166"/>
      <c r="Y931" s="166"/>
      <c r="Z931" s="167"/>
      <c r="AA931" s="165"/>
      <c r="AB931" s="167"/>
      <c r="AC931" s="167"/>
      <c r="AD931" s="167"/>
      <c r="AE931" s="167"/>
      <c r="AF931" s="167"/>
      <c r="AG931" s="137"/>
      <c r="AH931" s="137"/>
      <c r="AI931" s="137"/>
      <c r="AJ931" s="137"/>
      <c r="AK931" s="137"/>
    </row>
    <row r="932" spans="13:37" ht="13" x14ac:dyDescent="0.15">
      <c r="M932" s="165"/>
      <c r="N932" s="165"/>
      <c r="O932" s="165"/>
      <c r="P932" s="165"/>
      <c r="Q932" s="165"/>
      <c r="R932" s="165"/>
      <c r="S932" s="166"/>
      <c r="T932" s="165"/>
      <c r="U932" s="166"/>
      <c r="W932" s="166"/>
      <c r="X932" s="166"/>
      <c r="Y932" s="166"/>
      <c r="Z932" s="167"/>
      <c r="AA932" s="165"/>
      <c r="AB932" s="167"/>
      <c r="AC932" s="167"/>
      <c r="AD932" s="167"/>
      <c r="AE932" s="167"/>
      <c r="AF932" s="167"/>
      <c r="AG932" s="137"/>
      <c r="AH932" s="137"/>
      <c r="AI932" s="137"/>
      <c r="AJ932" s="137"/>
      <c r="AK932" s="137"/>
    </row>
    <row r="933" spans="13:37" ht="13" x14ac:dyDescent="0.15">
      <c r="M933" s="165"/>
      <c r="N933" s="165"/>
      <c r="O933" s="165"/>
      <c r="P933" s="165"/>
      <c r="Q933" s="165"/>
      <c r="R933" s="165"/>
      <c r="S933" s="166"/>
      <c r="T933" s="165"/>
      <c r="U933" s="166"/>
      <c r="W933" s="166"/>
      <c r="X933" s="166"/>
      <c r="Y933" s="166"/>
      <c r="Z933" s="167"/>
      <c r="AA933" s="165"/>
      <c r="AB933" s="167"/>
      <c r="AC933" s="167"/>
      <c r="AD933" s="167"/>
      <c r="AE933" s="167"/>
      <c r="AF933" s="167"/>
      <c r="AG933" s="137"/>
      <c r="AH933" s="137"/>
      <c r="AI933" s="137"/>
      <c r="AJ933" s="137"/>
      <c r="AK933" s="137"/>
    </row>
    <row r="934" spans="13:37" ht="13" x14ac:dyDescent="0.15">
      <c r="M934" s="165"/>
      <c r="N934" s="165"/>
      <c r="O934" s="165"/>
      <c r="P934" s="165"/>
      <c r="Q934" s="165"/>
      <c r="R934" s="165"/>
      <c r="S934" s="166"/>
      <c r="T934" s="165"/>
      <c r="U934" s="166"/>
      <c r="W934" s="166"/>
      <c r="X934" s="166"/>
      <c r="Y934" s="166"/>
      <c r="Z934" s="167"/>
      <c r="AA934" s="165"/>
      <c r="AB934" s="167"/>
      <c r="AC934" s="167"/>
      <c r="AD934" s="167"/>
      <c r="AE934" s="167"/>
      <c r="AF934" s="167"/>
      <c r="AG934" s="137"/>
      <c r="AH934" s="137"/>
      <c r="AI934" s="137"/>
      <c r="AJ934" s="137"/>
      <c r="AK934" s="137"/>
    </row>
    <row r="935" spans="13:37" ht="13" x14ac:dyDescent="0.15">
      <c r="M935" s="165"/>
      <c r="N935" s="165"/>
      <c r="O935" s="165"/>
      <c r="P935" s="165"/>
      <c r="Q935" s="165"/>
      <c r="R935" s="165"/>
      <c r="S935" s="166"/>
      <c r="T935" s="165"/>
      <c r="U935" s="166"/>
      <c r="W935" s="166"/>
      <c r="X935" s="166"/>
      <c r="Y935" s="166"/>
      <c r="Z935" s="167"/>
      <c r="AA935" s="165"/>
      <c r="AB935" s="167"/>
      <c r="AC935" s="167"/>
      <c r="AD935" s="167"/>
      <c r="AE935" s="167"/>
      <c r="AF935" s="167"/>
      <c r="AG935" s="137"/>
      <c r="AH935" s="137"/>
      <c r="AI935" s="137"/>
      <c r="AJ935" s="137"/>
      <c r="AK935" s="137"/>
    </row>
    <row r="936" spans="13:37" ht="13" x14ac:dyDescent="0.15">
      <c r="M936" s="165"/>
      <c r="N936" s="165"/>
      <c r="O936" s="165"/>
      <c r="P936" s="165"/>
      <c r="Q936" s="165"/>
      <c r="R936" s="165"/>
      <c r="S936" s="166"/>
      <c r="T936" s="165"/>
      <c r="U936" s="166"/>
      <c r="W936" s="166"/>
      <c r="X936" s="166"/>
      <c r="Y936" s="166"/>
      <c r="Z936" s="167"/>
      <c r="AA936" s="165"/>
      <c r="AB936" s="167"/>
      <c r="AC936" s="167"/>
      <c r="AD936" s="167"/>
      <c r="AE936" s="167"/>
      <c r="AF936" s="167"/>
      <c r="AG936" s="137"/>
      <c r="AH936" s="137"/>
      <c r="AI936" s="137"/>
      <c r="AJ936" s="137"/>
      <c r="AK936" s="137"/>
    </row>
    <row r="937" spans="13:37" ht="13" x14ac:dyDescent="0.15">
      <c r="M937" s="165"/>
      <c r="N937" s="165"/>
      <c r="O937" s="165"/>
      <c r="P937" s="165"/>
      <c r="Q937" s="165"/>
      <c r="R937" s="165"/>
      <c r="S937" s="166"/>
      <c r="T937" s="165"/>
      <c r="U937" s="166"/>
      <c r="W937" s="166"/>
      <c r="X937" s="166"/>
      <c r="Y937" s="166"/>
      <c r="Z937" s="167"/>
      <c r="AA937" s="165"/>
      <c r="AB937" s="167"/>
      <c r="AC937" s="167"/>
      <c r="AD937" s="167"/>
      <c r="AE937" s="167"/>
      <c r="AF937" s="167"/>
      <c r="AG937" s="137"/>
      <c r="AH937" s="137"/>
      <c r="AI937" s="137"/>
      <c r="AJ937" s="137"/>
      <c r="AK937" s="137"/>
    </row>
    <row r="938" spans="13:37" ht="13" x14ac:dyDescent="0.15">
      <c r="M938" s="165"/>
      <c r="N938" s="165"/>
      <c r="O938" s="165"/>
      <c r="P938" s="165"/>
      <c r="Q938" s="165"/>
      <c r="R938" s="165"/>
      <c r="S938" s="166"/>
      <c r="T938" s="165"/>
      <c r="U938" s="166"/>
      <c r="W938" s="166"/>
      <c r="X938" s="166"/>
      <c r="Y938" s="166"/>
      <c r="Z938" s="167"/>
      <c r="AA938" s="165"/>
      <c r="AB938" s="167"/>
      <c r="AC938" s="167"/>
      <c r="AD938" s="167"/>
      <c r="AE938" s="167"/>
      <c r="AF938" s="167"/>
      <c r="AG938" s="137"/>
      <c r="AH938" s="137"/>
      <c r="AI938" s="137"/>
      <c r="AJ938" s="137"/>
      <c r="AK938" s="137"/>
    </row>
    <row r="939" spans="13:37" ht="13" x14ac:dyDescent="0.15">
      <c r="M939" s="165"/>
      <c r="N939" s="165"/>
      <c r="O939" s="165"/>
      <c r="P939" s="165"/>
      <c r="Q939" s="165"/>
      <c r="R939" s="165"/>
      <c r="S939" s="166"/>
      <c r="T939" s="165"/>
      <c r="U939" s="166"/>
      <c r="W939" s="166"/>
      <c r="X939" s="166"/>
      <c r="Y939" s="166"/>
      <c r="Z939" s="167"/>
      <c r="AA939" s="165"/>
      <c r="AB939" s="167"/>
      <c r="AC939" s="167"/>
      <c r="AD939" s="167"/>
      <c r="AE939" s="167"/>
      <c r="AF939" s="167"/>
      <c r="AG939" s="137"/>
      <c r="AH939" s="137"/>
      <c r="AI939" s="137"/>
      <c r="AJ939" s="137"/>
      <c r="AK939" s="137"/>
    </row>
    <row r="940" spans="13:37" ht="13" x14ac:dyDescent="0.15">
      <c r="M940" s="165"/>
      <c r="N940" s="165"/>
      <c r="O940" s="165"/>
      <c r="P940" s="165"/>
      <c r="Q940" s="165"/>
      <c r="R940" s="165"/>
      <c r="S940" s="166"/>
      <c r="T940" s="165"/>
      <c r="U940" s="166"/>
      <c r="W940" s="166"/>
      <c r="X940" s="166"/>
      <c r="Y940" s="166"/>
      <c r="Z940" s="167"/>
      <c r="AA940" s="165"/>
      <c r="AB940" s="167"/>
      <c r="AC940" s="167"/>
      <c r="AD940" s="167"/>
      <c r="AE940" s="167"/>
      <c r="AF940" s="167"/>
      <c r="AG940" s="137"/>
      <c r="AH940" s="137"/>
      <c r="AI940" s="137"/>
      <c r="AJ940" s="137"/>
      <c r="AK940" s="137"/>
    </row>
    <row r="941" spans="13:37" ht="13" x14ac:dyDescent="0.15">
      <c r="M941" s="165"/>
      <c r="N941" s="165"/>
      <c r="O941" s="165"/>
      <c r="P941" s="165"/>
      <c r="Q941" s="165"/>
      <c r="R941" s="165"/>
      <c r="S941" s="166"/>
      <c r="T941" s="165"/>
      <c r="U941" s="166"/>
      <c r="W941" s="166"/>
      <c r="X941" s="166"/>
      <c r="Y941" s="166"/>
      <c r="Z941" s="167"/>
      <c r="AA941" s="165"/>
      <c r="AB941" s="167"/>
      <c r="AC941" s="167"/>
      <c r="AD941" s="167"/>
      <c r="AE941" s="167"/>
      <c r="AF941" s="167"/>
      <c r="AG941" s="137"/>
    </row>
    <row r="942" spans="13:37" ht="13" x14ac:dyDescent="0.15">
      <c r="M942" s="165"/>
      <c r="N942" s="165"/>
      <c r="O942" s="165"/>
      <c r="P942" s="165"/>
      <c r="Q942" s="165"/>
      <c r="R942" s="165"/>
      <c r="S942" s="166"/>
      <c r="T942" s="165"/>
      <c r="U942" s="166"/>
      <c r="W942" s="166"/>
      <c r="X942" s="166"/>
      <c r="Y942" s="166"/>
      <c r="Z942" s="167"/>
      <c r="AA942" s="165"/>
      <c r="AB942" s="167"/>
      <c r="AC942" s="167"/>
      <c r="AD942" s="167"/>
      <c r="AE942" s="167"/>
      <c r="AF942" s="167"/>
      <c r="AG942" s="137"/>
    </row>
    <row r="943" spans="13:37" ht="13" x14ac:dyDescent="0.15">
      <c r="M943" s="165"/>
      <c r="N943" s="165"/>
      <c r="O943" s="165"/>
      <c r="P943" s="165"/>
      <c r="Q943" s="165"/>
      <c r="R943" s="165"/>
      <c r="S943" s="166"/>
      <c r="T943" s="165"/>
      <c r="U943" s="166"/>
      <c r="W943" s="166"/>
      <c r="X943" s="166"/>
      <c r="Y943" s="166"/>
      <c r="Z943" s="167"/>
      <c r="AA943" s="165"/>
      <c r="AB943" s="167"/>
      <c r="AC943" s="167"/>
      <c r="AD943" s="167"/>
      <c r="AE943" s="167"/>
      <c r="AF943" s="167"/>
      <c r="AG943" s="137"/>
    </row>
    <row r="944" spans="13:37" ht="13" x14ac:dyDescent="0.15">
      <c r="M944" s="165"/>
      <c r="N944" s="165"/>
      <c r="O944" s="165"/>
      <c r="P944" s="165"/>
      <c r="Q944" s="165"/>
      <c r="R944" s="165"/>
      <c r="S944" s="166"/>
      <c r="T944" s="165"/>
      <c r="U944" s="166"/>
      <c r="W944" s="166"/>
      <c r="X944" s="166"/>
      <c r="Y944" s="166"/>
      <c r="Z944" s="167"/>
      <c r="AA944" s="165"/>
      <c r="AB944" s="167"/>
      <c r="AC944" s="167"/>
      <c r="AD944" s="167"/>
      <c r="AE944" s="167"/>
      <c r="AF944" s="167"/>
      <c r="AG944" s="137"/>
      <c r="AH944" s="137"/>
      <c r="AI944" s="137"/>
      <c r="AJ944" s="137"/>
      <c r="AK944" s="137"/>
    </row>
    <row r="945" spans="13:37" ht="13" x14ac:dyDescent="0.15">
      <c r="M945" s="165"/>
      <c r="N945" s="165"/>
      <c r="O945" s="165"/>
      <c r="P945" s="165"/>
      <c r="Q945" s="165"/>
      <c r="R945" s="165"/>
      <c r="S945" s="166"/>
      <c r="T945" s="165"/>
      <c r="U945" s="166"/>
      <c r="W945" s="166"/>
      <c r="X945" s="166"/>
      <c r="Y945" s="166"/>
      <c r="Z945" s="167"/>
      <c r="AA945" s="165"/>
      <c r="AB945" s="167"/>
      <c r="AC945" s="167"/>
      <c r="AD945" s="167"/>
      <c r="AE945" s="167"/>
      <c r="AF945" s="167"/>
      <c r="AG945" s="137"/>
      <c r="AH945" s="137"/>
      <c r="AI945" s="137"/>
      <c r="AJ945" s="137"/>
      <c r="AK945" s="137"/>
    </row>
    <row r="946" spans="13:37" ht="13" x14ac:dyDescent="0.15">
      <c r="M946" s="165"/>
      <c r="N946" s="165"/>
      <c r="O946" s="165"/>
      <c r="P946" s="165"/>
      <c r="Q946" s="165"/>
      <c r="R946" s="165"/>
      <c r="S946" s="166"/>
      <c r="T946" s="165"/>
      <c r="U946" s="166"/>
      <c r="W946" s="166"/>
      <c r="X946" s="166"/>
      <c r="Y946" s="166"/>
      <c r="Z946" s="166"/>
      <c r="AA946" s="165"/>
      <c r="AB946" s="167"/>
      <c r="AC946" s="167"/>
      <c r="AD946" s="167"/>
      <c r="AE946" s="167"/>
      <c r="AF946" s="167"/>
      <c r="AG946" s="137"/>
      <c r="AH946" s="137"/>
      <c r="AI946" s="137"/>
      <c r="AJ946" s="137"/>
      <c r="AK946" s="137"/>
    </row>
    <row r="947" spans="13:37" ht="13" x14ac:dyDescent="0.15">
      <c r="M947" s="165"/>
      <c r="N947" s="165"/>
      <c r="O947" s="165"/>
      <c r="P947" s="165"/>
      <c r="Q947" s="165"/>
      <c r="R947" s="165"/>
      <c r="S947" s="166"/>
      <c r="T947" s="165"/>
      <c r="U947" s="166"/>
      <c r="W947" s="166"/>
      <c r="X947" s="166"/>
      <c r="Y947" s="166"/>
      <c r="Z947" s="166"/>
      <c r="AA947" s="165"/>
      <c r="AB947" s="167"/>
      <c r="AC947" s="167"/>
      <c r="AD947" s="167"/>
      <c r="AE947" s="167"/>
      <c r="AF947" s="167"/>
      <c r="AG947" s="137"/>
      <c r="AH947" s="137"/>
      <c r="AI947" s="137"/>
      <c r="AJ947" s="137"/>
      <c r="AK947" s="137"/>
    </row>
    <row r="948" spans="13:37" ht="13" x14ac:dyDescent="0.15">
      <c r="M948" s="165"/>
      <c r="N948" s="165"/>
      <c r="O948" s="165"/>
      <c r="P948" s="165"/>
      <c r="Q948" s="165"/>
      <c r="R948" s="165"/>
      <c r="S948" s="166"/>
      <c r="T948" s="165"/>
      <c r="U948" s="166"/>
      <c r="W948" s="166"/>
      <c r="X948" s="166"/>
      <c r="Y948" s="166"/>
      <c r="Z948" s="166"/>
      <c r="AA948" s="165"/>
      <c r="AB948" s="167"/>
      <c r="AC948" s="167"/>
      <c r="AD948" s="167"/>
      <c r="AE948" s="167"/>
      <c r="AF948" s="167"/>
      <c r="AG948" s="137"/>
      <c r="AH948" s="137"/>
      <c r="AI948" s="137"/>
      <c r="AJ948" s="137"/>
      <c r="AK948" s="137"/>
    </row>
    <row r="949" spans="13:37" ht="13" x14ac:dyDescent="0.15">
      <c r="M949" s="165"/>
      <c r="N949" s="165"/>
      <c r="O949" s="165"/>
      <c r="P949" s="165"/>
      <c r="Q949" s="165"/>
      <c r="R949" s="165"/>
      <c r="S949" s="166"/>
      <c r="T949" s="165"/>
      <c r="U949" s="166"/>
      <c r="W949" s="166"/>
      <c r="X949" s="166"/>
      <c r="Y949" s="166"/>
      <c r="Z949" s="166"/>
      <c r="AA949" s="165"/>
      <c r="AB949" s="167"/>
      <c r="AC949" s="167"/>
      <c r="AD949" s="167"/>
      <c r="AE949" s="167"/>
      <c r="AF949" s="167"/>
      <c r="AG949" s="137"/>
      <c r="AH949" s="137"/>
      <c r="AI949" s="137"/>
      <c r="AJ949" s="137"/>
      <c r="AK949" s="137"/>
    </row>
    <row r="950" spans="13:37" ht="13" x14ac:dyDescent="0.15">
      <c r="M950" s="165"/>
      <c r="N950" s="165"/>
      <c r="O950" s="165"/>
      <c r="P950" s="165"/>
      <c r="Q950" s="165"/>
      <c r="R950" s="165"/>
      <c r="S950" s="166"/>
      <c r="T950" s="165"/>
      <c r="U950" s="166"/>
      <c r="W950" s="166"/>
      <c r="X950" s="166"/>
      <c r="Y950" s="166"/>
      <c r="Z950" s="167"/>
      <c r="AA950" s="165"/>
      <c r="AB950" s="167"/>
      <c r="AC950" s="167"/>
      <c r="AD950" s="167"/>
      <c r="AE950" s="167"/>
      <c r="AF950" s="167"/>
      <c r="AG950" s="137"/>
      <c r="AH950" s="137"/>
      <c r="AI950" s="137"/>
      <c r="AJ950" s="137"/>
      <c r="AK950" s="137"/>
    </row>
    <row r="951" spans="13:37" ht="13" x14ac:dyDescent="0.15">
      <c r="M951" s="165"/>
      <c r="N951" s="165"/>
      <c r="O951" s="165"/>
      <c r="P951" s="165"/>
      <c r="Q951" s="165"/>
      <c r="R951" s="165"/>
      <c r="S951" s="166"/>
      <c r="T951" s="165"/>
      <c r="U951" s="166"/>
      <c r="W951" s="166"/>
      <c r="X951" s="166"/>
      <c r="Y951" s="166"/>
      <c r="Z951" s="167"/>
      <c r="AA951" s="165"/>
      <c r="AB951" s="167"/>
      <c r="AC951" s="167"/>
      <c r="AD951" s="167"/>
      <c r="AE951" s="167"/>
      <c r="AF951" s="167"/>
      <c r="AG951" s="137"/>
      <c r="AH951" s="137"/>
      <c r="AI951" s="137"/>
      <c r="AJ951" s="137"/>
      <c r="AK951" s="137"/>
    </row>
    <row r="952" spans="13:37" ht="13" x14ac:dyDescent="0.15">
      <c r="O952" s="165"/>
      <c r="P952" s="165"/>
      <c r="Q952" s="165"/>
      <c r="R952" s="165"/>
      <c r="S952" s="166"/>
      <c r="T952" s="165"/>
      <c r="U952" s="166"/>
      <c r="V952" s="165"/>
      <c r="W952" s="166"/>
      <c r="X952" s="166"/>
      <c r="Y952" s="166"/>
      <c r="Z952" s="167"/>
      <c r="AA952" s="165"/>
      <c r="AB952" s="167"/>
      <c r="AC952" s="167"/>
      <c r="AD952" s="167"/>
      <c r="AE952" s="167"/>
      <c r="AF952" s="167"/>
      <c r="AG952" s="137"/>
      <c r="AH952" s="167"/>
      <c r="AI952" s="167"/>
      <c r="AJ952" s="167"/>
      <c r="AK952" s="137"/>
    </row>
    <row r="953" spans="13:37" ht="13" x14ac:dyDescent="0.15">
      <c r="M953" s="165"/>
      <c r="N953" s="165"/>
      <c r="O953" s="165"/>
      <c r="P953" s="165"/>
      <c r="Q953" s="165"/>
      <c r="R953" s="165"/>
      <c r="S953" s="166"/>
      <c r="T953" s="165"/>
      <c r="U953" s="166"/>
      <c r="W953" s="166"/>
      <c r="X953" s="166"/>
      <c r="Y953" s="166"/>
      <c r="Z953" s="167"/>
      <c r="AA953" s="165"/>
      <c r="AB953" s="167"/>
      <c r="AC953" s="167"/>
      <c r="AD953" s="167"/>
      <c r="AE953" s="167"/>
      <c r="AF953" s="167"/>
      <c r="AG953" s="137"/>
      <c r="AH953" s="137"/>
      <c r="AI953" s="137"/>
      <c r="AJ953" s="137"/>
      <c r="AK953" s="137"/>
    </row>
    <row r="954" spans="13:37" ht="13" x14ac:dyDescent="0.15">
      <c r="M954" s="165"/>
      <c r="N954" s="165"/>
      <c r="O954" s="165"/>
      <c r="P954" s="165"/>
      <c r="Q954" s="165"/>
      <c r="R954" s="165"/>
      <c r="S954" s="166"/>
      <c r="T954" s="165"/>
      <c r="U954" s="166"/>
      <c r="W954" s="166"/>
      <c r="X954" s="166"/>
      <c r="Y954" s="166"/>
      <c r="Z954" s="167"/>
      <c r="AA954" s="165"/>
      <c r="AB954" s="167"/>
      <c r="AC954" s="167"/>
      <c r="AD954" s="167"/>
      <c r="AE954" s="167"/>
      <c r="AF954" s="167"/>
      <c r="AG954" s="137"/>
      <c r="AH954" s="137"/>
      <c r="AI954" s="137"/>
      <c r="AJ954" s="137"/>
      <c r="AK954" s="137"/>
    </row>
    <row r="955" spans="13:37" ht="13" x14ac:dyDescent="0.15">
      <c r="M955" s="165"/>
      <c r="N955" s="165"/>
      <c r="O955" s="165"/>
      <c r="P955" s="165"/>
      <c r="Q955" s="165"/>
      <c r="R955" s="165"/>
      <c r="S955" s="166"/>
      <c r="T955" s="165"/>
      <c r="U955" s="166"/>
      <c r="W955" s="166"/>
      <c r="X955" s="166"/>
      <c r="Y955" s="166"/>
      <c r="Z955" s="167"/>
      <c r="AA955" s="165"/>
      <c r="AB955" s="167"/>
      <c r="AC955" s="167"/>
      <c r="AD955" s="167"/>
      <c r="AE955" s="167"/>
      <c r="AF955" s="167"/>
      <c r="AG955" s="137"/>
      <c r="AH955" s="137"/>
      <c r="AI955" s="137"/>
      <c r="AJ955" s="137"/>
      <c r="AK955" s="137"/>
    </row>
    <row r="956" spans="13:37" ht="13" x14ac:dyDescent="0.15">
      <c r="M956" s="165"/>
      <c r="N956" s="165"/>
      <c r="O956" s="165"/>
      <c r="P956" s="165"/>
      <c r="Q956" s="165"/>
      <c r="R956" s="165"/>
      <c r="S956" s="166"/>
      <c r="T956" s="165"/>
      <c r="U956" s="166"/>
      <c r="W956" s="166"/>
      <c r="X956" s="166"/>
      <c r="Y956" s="166"/>
      <c r="Z956" s="167"/>
      <c r="AA956" s="165"/>
      <c r="AB956" s="167"/>
      <c r="AC956" s="167"/>
      <c r="AD956" s="167"/>
      <c r="AE956" s="167"/>
      <c r="AF956" s="167"/>
      <c r="AG956" s="137"/>
      <c r="AH956" s="137"/>
      <c r="AI956" s="137"/>
      <c r="AJ956" s="137"/>
      <c r="AK956" s="137"/>
    </row>
    <row r="957" spans="13:37" ht="13" x14ac:dyDescent="0.15">
      <c r="M957" s="165"/>
      <c r="N957" s="165"/>
      <c r="O957" s="165"/>
      <c r="P957" s="165"/>
      <c r="Q957" s="165"/>
      <c r="R957" s="165"/>
      <c r="S957" s="166"/>
      <c r="T957" s="165"/>
      <c r="U957" s="166"/>
      <c r="W957" s="166"/>
      <c r="X957" s="166"/>
      <c r="Y957" s="166"/>
      <c r="Z957" s="167"/>
      <c r="AA957" s="165"/>
      <c r="AB957" s="167"/>
      <c r="AC957" s="167"/>
      <c r="AD957" s="167"/>
      <c r="AE957" s="167"/>
      <c r="AF957" s="167"/>
      <c r="AG957" s="137"/>
      <c r="AH957" s="137"/>
      <c r="AI957" s="137"/>
      <c r="AJ957" s="137"/>
      <c r="AK957" s="137"/>
    </row>
    <row r="958" spans="13:37" ht="13" x14ac:dyDescent="0.15">
      <c r="M958" s="165"/>
      <c r="N958" s="165"/>
      <c r="O958" s="165"/>
      <c r="P958" s="165"/>
      <c r="Q958" s="165"/>
      <c r="R958" s="165"/>
      <c r="S958" s="166"/>
      <c r="T958" s="165"/>
      <c r="U958" s="166"/>
      <c r="W958" s="166"/>
      <c r="X958" s="166"/>
      <c r="Y958" s="166"/>
      <c r="Z958" s="167"/>
      <c r="AA958" s="165"/>
      <c r="AB958" s="167"/>
      <c r="AC958" s="167"/>
      <c r="AD958" s="167"/>
      <c r="AE958" s="167"/>
      <c r="AF958" s="167"/>
      <c r="AG958" s="137"/>
      <c r="AH958" s="137"/>
      <c r="AI958" s="137"/>
      <c r="AJ958" s="137"/>
      <c r="AK958" s="137"/>
    </row>
    <row r="959" spans="13:37" ht="13" x14ac:dyDescent="0.15">
      <c r="M959" s="165"/>
      <c r="N959" s="165"/>
      <c r="O959" s="165"/>
      <c r="P959" s="165"/>
      <c r="Q959" s="165"/>
      <c r="R959" s="165"/>
      <c r="S959" s="166"/>
      <c r="T959" s="165"/>
      <c r="U959" s="166"/>
      <c r="W959" s="166"/>
      <c r="X959" s="166"/>
      <c r="Y959" s="166"/>
      <c r="Z959" s="167"/>
      <c r="AA959" s="165"/>
      <c r="AB959" s="167"/>
      <c r="AC959" s="167"/>
      <c r="AD959" s="167"/>
      <c r="AE959" s="167"/>
      <c r="AF959" s="167"/>
      <c r="AG959" s="137"/>
      <c r="AH959" s="137"/>
      <c r="AI959" s="137"/>
      <c r="AJ959" s="137"/>
      <c r="AK959" s="137"/>
    </row>
    <row r="960" spans="13:37" ht="13" x14ac:dyDescent="0.15">
      <c r="M960" s="165"/>
      <c r="N960" s="165"/>
      <c r="O960" s="165"/>
      <c r="P960" s="165"/>
      <c r="Q960" s="165"/>
      <c r="R960" s="165"/>
      <c r="S960" s="166"/>
      <c r="T960" s="165"/>
      <c r="U960" s="166"/>
      <c r="W960" s="166"/>
      <c r="X960" s="166"/>
      <c r="Y960" s="166"/>
      <c r="Z960" s="167"/>
      <c r="AA960" s="165"/>
      <c r="AB960" s="167"/>
      <c r="AC960" s="167"/>
      <c r="AD960" s="167"/>
      <c r="AE960" s="167"/>
      <c r="AF960" s="167"/>
      <c r="AG960" s="137"/>
      <c r="AH960" s="137"/>
      <c r="AI960" s="137"/>
      <c r="AJ960" s="137"/>
      <c r="AK960" s="137"/>
    </row>
    <row r="961" spans="13:37" ht="13" x14ac:dyDescent="0.15">
      <c r="M961" s="165"/>
      <c r="N961" s="165"/>
      <c r="O961" s="165"/>
      <c r="P961" s="165"/>
      <c r="Q961" s="165"/>
      <c r="R961" s="165"/>
      <c r="S961" s="166"/>
      <c r="T961" s="165"/>
      <c r="U961" s="166"/>
      <c r="W961" s="166"/>
      <c r="X961" s="166"/>
      <c r="Y961" s="166"/>
      <c r="Z961" s="166"/>
      <c r="AA961" s="165"/>
      <c r="AB961" s="167"/>
      <c r="AC961" s="167"/>
      <c r="AD961" s="167"/>
      <c r="AE961" s="167"/>
      <c r="AF961" s="167"/>
      <c r="AG961" s="137"/>
      <c r="AH961" s="137"/>
      <c r="AI961" s="137"/>
      <c r="AJ961" s="137"/>
      <c r="AK961" s="137"/>
    </row>
    <row r="962" spans="13:37" ht="13" x14ac:dyDescent="0.15">
      <c r="M962" s="165"/>
      <c r="N962" s="165"/>
      <c r="O962" s="165"/>
      <c r="P962" s="165"/>
      <c r="Q962" s="165"/>
      <c r="R962" s="165"/>
      <c r="S962" s="166"/>
      <c r="T962" s="165"/>
      <c r="U962" s="166"/>
      <c r="W962" s="166"/>
      <c r="X962" s="166"/>
      <c r="Y962" s="166"/>
      <c r="Z962" s="167"/>
      <c r="AA962" s="165"/>
      <c r="AB962" s="167"/>
      <c r="AC962" s="167"/>
      <c r="AD962" s="167"/>
      <c r="AE962" s="167"/>
      <c r="AF962" s="167"/>
      <c r="AG962" s="137"/>
      <c r="AH962" s="137"/>
      <c r="AI962" s="137"/>
      <c r="AJ962" s="137"/>
      <c r="AK962" s="137"/>
    </row>
    <row r="963" spans="13:37" ht="13" x14ac:dyDescent="0.15">
      <c r="M963" s="165"/>
      <c r="N963" s="165"/>
      <c r="O963" s="165"/>
      <c r="P963" s="165"/>
      <c r="Q963" s="165"/>
      <c r="R963" s="165"/>
      <c r="S963" s="166"/>
      <c r="T963" s="165"/>
      <c r="U963" s="166"/>
      <c r="W963" s="166"/>
      <c r="X963" s="166"/>
      <c r="Y963" s="166"/>
      <c r="Z963" s="167"/>
      <c r="AA963" s="165"/>
      <c r="AB963" s="167"/>
      <c r="AC963" s="167"/>
      <c r="AD963" s="167"/>
      <c r="AE963" s="167"/>
      <c r="AF963" s="167"/>
      <c r="AG963" s="137"/>
      <c r="AH963" s="137"/>
      <c r="AI963" s="137"/>
      <c r="AJ963" s="137"/>
      <c r="AK963" s="137"/>
    </row>
    <row r="964" spans="13:37" ht="13" x14ac:dyDescent="0.15">
      <c r="M964" s="165"/>
      <c r="N964" s="165"/>
      <c r="O964" s="165"/>
      <c r="P964" s="165"/>
      <c r="Q964" s="165"/>
      <c r="R964" s="165"/>
      <c r="S964" s="166"/>
      <c r="T964" s="165"/>
      <c r="U964" s="166"/>
      <c r="W964" s="166"/>
      <c r="X964" s="166"/>
      <c r="Y964" s="166"/>
      <c r="Z964" s="167"/>
      <c r="AA964" s="165"/>
      <c r="AB964" s="167"/>
      <c r="AC964" s="167"/>
      <c r="AD964" s="167"/>
      <c r="AE964" s="167"/>
      <c r="AF964" s="167"/>
      <c r="AG964" s="137"/>
      <c r="AH964" s="137"/>
      <c r="AI964" s="137"/>
      <c r="AJ964" s="137"/>
      <c r="AK964" s="137"/>
    </row>
    <row r="965" spans="13:37" ht="13" x14ac:dyDescent="0.15">
      <c r="M965" s="165"/>
      <c r="N965" s="165"/>
      <c r="O965" s="165"/>
      <c r="P965" s="165"/>
      <c r="Q965" s="165"/>
      <c r="R965" s="165"/>
      <c r="S965" s="166"/>
      <c r="T965" s="165"/>
      <c r="U965" s="166"/>
      <c r="W965" s="166"/>
      <c r="X965" s="166"/>
      <c r="Y965" s="166"/>
      <c r="Z965" s="167"/>
      <c r="AA965" s="165"/>
      <c r="AB965" s="167"/>
      <c r="AC965" s="167"/>
      <c r="AD965" s="167"/>
      <c r="AE965" s="167"/>
      <c r="AF965" s="167"/>
      <c r="AG965" s="137"/>
      <c r="AH965" s="137"/>
      <c r="AI965" s="137"/>
      <c r="AJ965" s="137"/>
      <c r="AK965" s="137"/>
    </row>
    <row r="966" spans="13:37" ht="13" x14ac:dyDescent="0.15">
      <c r="M966" s="165"/>
      <c r="N966" s="165"/>
      <c r="O966" s="165"/>
      <c r="P966" s="165"/>
      <c r="Q966" s="165"/>
      <c r="R966" s="165"/>
      <c r="S966" s="166"/>
      <c r="T966" s="165"/>
      <c r="U966" s="166"/>
      <c r="W966" s="166"/>
      <c r="X966" s="166"/>
      <c r="Y966" s="166"/>
      <c r="Z966" s="167"/>
      <c r="AA966" s="165"/>
      <c r="AB966" s="167"/>
      <c r="AC966" s="167"/>
      <c r="AD966" s="167"/>
      <c r="AE966" s="167"/>
      <c r="AF966" s="167"/>
      <c r="AG966" s="137"/>
      <c r="AH966" s="137"/>
      <c r="AI966" s="137"/>
      <c r="AJ966" s="137"/>
      <c r="AK966" s="137"/>
    </row>
    <row r="967" spans="13:37" ht="13" x14ac:dyDescent="0.15">
      <c r="M967" s="165"/>
      <c r="N967" s="165"/>
      <c r="O967" s="165"/>
      <c r="P967" s="165"/>
      <c r="Q967" s="165"/>
      <c r="R967" s="165"/>
      <c r="S967" s="166"/>
      <c r="T967" s="165"/>
      <c r="U967" s="166"/>
      <c r="W967" s="166"/>
      <c r="X967" s="166"/>
      <c r="Y967" s="166"/>
      <c r="Z967" s="167"/>
      <c r="AA967" s="165"/>
      <c r="AB967" s="167"/>
      <c r="AC967" s="167"/>
      <c r="AD967" s="167"/>
      <c r="AE967" s="167"/>
      <c r="AF967" s="167"/>
      <c r="AG967" s="137"/>
      <c r="AH967" s="137"/>
      <c r="AI967" s="137"/>
      <c r="AJ967" s="137"/>
      <c r="AK967" s="137"/>
    </row>
    <row r="968" spans="13:37" ht="13" x14ac:dyDescent="0.15">
      <c r="M968" s="165"/>
      <c r="N968" s="165"/>
      <c r="O968" s="165"/>
      <c r="P968" s="165"/>
      <c r="Q968" s="165"/>
      <c r="R968" s="165"/>
      <c r="S968" s="166"/>
      <c r="T968" s="165"/>
      <c r="U968" s="166"/>
      <c r="W968" s="166"/>
      <c r="X968" s="166"/>
      <c r="Y968" s="166"/>
      <c r="Z968" s="167"/>
      <c r="AA968" s="165"/>
      <c r="AB968" s="167"/>
      <c r="AC968" s="167"/>
      <c r="AD968" s="167"/>
      <c r="AE968" s="167"/>
      <c r="AF968" s="167"/>
      <c r="AG968" s="137"/>
      <c r="AH968" s="137"/>
      <c r="AI968" s="137"/>
      <c r="AJ968" s="137"/>
      <c r="AK968" s="137"/>
    </row>
    <row r="969" spans="13:37" ht="13" x14ac:dyDescent="0.15">
      <c r="M969" s="165"/>
      <c r="N969" s="165"/>
      <c r="O969" s="165"/>
      <c r="P969" s="165"/>
      <c r="Q969" s="165"/>
      <c r="R969" s="165"/>
      <c r="S969" s="166"/>
      <c r="T969" s="165"/>
      <c r="U969" s="166"/>
      <c r="W969" s="166"/>
      <c r="X969" s="166"/>
      <c r="Y969" s="166"/>
      <c r="Z969" s="167"/>
      <c r="AA969" s="165"/>
      <c r="AB969" s="167"/>
      <c r="AC969" s="167"/>
      <c r="AD969" s="167"/>
      <c r="AE969" s="167"/>
      <c r="AF969" s="167"/>
      <c r="AG969" s="137"/>
      <c r="AH969" s="137"/>
      <c r="AI969" s="137"/>
      <c r="AJ969" s="137"/>
      <c r="AK969" s="137"/>
    </row>
    <row r="970" spans="13:37" ht="13" x14ac:dyDescent="0.15">
      <c r="M970" s="165"/>
      <c r="N970" s="165"/>
      <c r="O970" s="165"/>
      <c r="P970" s="165"/>
      <c r="Q970" s="165"/>
      <c r="R970" s="165"/>
      <c r="S970" s="166"/>
      <c r="T970" s="165"/>
      <c r="U970" s="166"/>
      <c r="W970" s="166"/>
      <c r="X970" s="166"/>
      <c r="Y970" s="166"/>
      <c r="Z970" s="167"/>
      <c r="AA970" s="165"/>
      <c r="AB970" s="167"/>
      <c r="AC970" s="167"/>
      <c r="AD970" s="167"/>
      <c r="AE970" s="167"/>
      <c r="AF970" s="167"/>
      <c r="AG970" s="137"/>
      <c r="AH970" s="137"/>
      <c r="AI970" s="137"/>
      <c r="AJ970" s="137"/>
      <c r="AK970" s="137"/>
    </row>
    <row r="971" spans="13:37" ht="13" x14ac:dyDescent="0.15">
      <c r="M971" s="165"/>
      <c r="N971" s="165"/>
      <c r="O971" s="165"/>
      <c r="P971" s="165"/>
      <c r="Q971" s="165"/>
      <c r="R971" s="165"/>
      <c r="S971" s="166"/>
      <c r="T971" s="165"/>
      <c r="U971" s="166"/>
      <c r="W971" s="166"/>
      <c r="X971" s="166"/>
      <c r="Y971" s="166"/>
      <c r="Z971" s="167"/>
      <c r="AA971" s="165"/>
      <c r="AB971" s="167"/>
      <c r="AC971" s="167"/>
      <c r="AD971" s="167"/>
      <c r="AE971" s="167"/>
      <c r="AF971" s="167"/>
      <c r="AG971" s="137"/>
      <c r="AH971" s="137"/>
      <c r="AI971" s="137"/>
      <c r="AJ971" s="137"/>
      <c r="AK971" s="137"/>
    </row>
    <row r="972" spans="13:37" ht="13" x14ac:dyDescent="0.15">
      <c r="M972" s="165"/>
      <c r="N972" s="165"/>
      <c r="O972" s="165"/>
      <c r="P972" s="165"/>
      <c r="Q972" s="165"/>
      <c r="R972" s="165"/>
      <c r="S972" s="166"/>
      <c r="T972" s="165"/>
      <c r="U972" s="166"/>
      <c r="W972" s="166"/>
      <c r="X972" s="166"/>
      <c r="Y972" s="166"/>
      <c r="Z972" s="167"/>
      <c r="AA972" s="165"/>
      <c r="AB972" s="167"/>
      <c r="AC972" s="167"/>
      <c r="AD972" s="167"/>
      <c r="AE972" s="167"/>
      <c r="AF972" s="167"/>
      <c r="AG972" s="137"/>
      <c r="AH972" s="137"/>
      <c r="AI972" s="137"/>
      <c r="AJ972" s="137"/>
      <c r="AK972" s="137"/>
    </row>
    <row r="973" spans="13:37" ht="13" x14ac:dyDescent="0.15">
      <c r="M973" s="165"/>
      <c r="N973" s="165"/>
      <c r="O973" s="165"/>
      <c r="P973" s="165"/>
      <c r="Q973" s="165"/>
      <c r="R973" s="165"/>
      <c r="S973" s="166"/>
      <c r="T973" s="165"/>
      <c r="U973" s="166"/>
      <c r="W973" s="166"/>
      <c r="X973" s="166"/>
      <c r="Y973" s="166"/>
      <c r="Z973" s="167"/>
      <c r="AA973" s="165"/>
      <c r="AB973" s="167"/>
      <c r="AC973" s="167"/>
      <c r="AD973" s="167"/>
      <c r="AE973" s="167"/>
      <c r="AF973" s="167"/>
      <c r="AG973" s="137"/>
      <c r="AH973" s="137"/>
      <c r="AI973" s="137"/>
      <c r="AJ973" s="137"/>
      <c r="AK973" s="137"/>
    </row>
    <row r="974" spans="13:37" ht="13" x14ac:dyDescent="0.15">
      <c r="M974" s="165"/>
      <c r="N974" s="165"/>
      <c r="O974" s="165"/>
      <c r="P974" s="165"/>
      <c r="Q974" s="165"/>
      <c r="R974" s="165"/>
      <c r="S974" s="166"/>
      <c r="T974" s="165"/>
      <c r="U974" s="166"/>
      <c r="W974" s="166"/>
      <c r="X974" s="166"/>
      <c r="Y974" s="166"/>
      <c r="Z974" s="167"/>
      <c r="AA974" s="165"/>
      <c r="AB974" s="167"/>
      <c r="AC974" s="167"/>
      <c r="AD974" s="167"/>
      <c r="AE974" s="167"/>
      <c r="AF974" s="167"/>
      <c r="AG974" s="137"/>
      <c r="AH974" s="137"/>
      <c r="AI974" s="137"/>
      <c r="AJ974" s="137"/>
      <c r="AK974" s="137"/>
    </row>
    <row r="975" spans="13:37" ht="13" x14ac:dyDescent="0.15">
      <c r="M975" s="165"/>
      <c r="N975" s="165"/>
      <c r="O975" s="165"/>
      <c r="P975" s="165"/>
      <c r="Q975" s="165"/>
      <c r="R975" s="165"/>
      <c r="S975" s="166"/>
      <c r="T975" s="165"/>
      <c r="U975" s="166"/>
      <c r="W975" s="166"/>
      <c r="X975" s="166"/>
      <c r="Y975" s="166"/>
      <c r="Z975" s="166"/>
      <c r="AA975" s="165"/>
      <c r="AB975" s="167"/>
      <c r="AC975" s="167"/>
      <c r="AD975" s="167"/>
      <c r="AE975" s="167"/>
      <c r="AF975" s="167"/>
      <c r="AG975" s="137"/>
      <c r="AH975" s="137"/>
      <c r="AI975" s="137"/>
      <c r="AJ975" s="137"/>
      <c r="AK975" s="137"/>
    </row>
    <row r="976" spans="13:37" ht="13" x14ac:dyDescent="0.15">
      <c r="M976" s="165"/>
      <c r="N976" s="165"/>
      <c r="O976" s="165"/>
      <c r="P976" s="165"/>
      <c r="Q976" s="165"/>
      <c r="R976" s="165"/>
      <c r="S976" s="166"/>
      <c r="T976" s="165"/>
      <c r="U976" s="166"/>
      <c r="W976" s="166"/>
      <c r="X976" s="166"/>
      <c r="Y976" s="166"/>
      <c r="Z976" s="167"/>
      <c r="AA976" s="165"/>
      <c r="AB976" s="167"/>
      <c r="AC976" s="167"/>
      <c r="AD976" s="167"/>
      <c r="AE976" s="167"/>
      <c r="AF976" s="167"/>
      <c r="AG976" s="137"/>
      <c r="AH976" s="137"/>
      <c r="AI976" s="137"/>
      <c r="AJ976" s="137"/>
      <c r="AK976" s="137"/>
    </row>
    <row r="977" spans="13:37" ht="13" x14ac:dyDescent="0.15">
      <c r="M977" s="165"/>
      <c r="N977" s="165"/>
      <c r="O977" s="165"/>
      <c r="P977" s="165"/>
      <c r="Q977" s="165"/>
      <c r="R977" s="165"/>
      <c r="S977" s="166"/>
      <c r="T977" s="165"/>
      <c r="U977" s="166"/>
      <c r="W977" s="166"/>
      <c r="X977" s="166"/>
      <c r="Y977" s="166"/>
      <c r="Z977" s="167"/>
      <c r="AA977" s="165"/>
      <c r="AB977" s="167"/>
      <c r="AC977" s="167"/>
      <c r="AD977" s="167"/>
      <c r="AE977" s="167"/>
      <c r="AF977" s="167"/>
      <c r="AG977" s="137"/>
      <c r="AH977" s="137"/>
      <c r="AI977" s="137"/>
      <c r="AJ977" s="137"/>
      <c r="AK977" s="137"/>
    </row>
    <row r="978" spans="13:37" ht="13" x14ac:dyDescent="0.15">
      <c r="M978" s="165"/>
      <c r="N978" s="165"/>
      <c r="O978" s="165"/>
      <c r="P978" s="165"/>
      <c r="Q978" s="165"/>
      <c r="R978" s="165"/>
      <c r="S978" s="166"/>
      <c r="T978" s="165"/>
      <c r="U978" s="166"/>
      <c r="W978" s="166"/>
      <c r="X978" s="166"/>
      <c r="Y978" s="166"/>
      <c r="Z978" s="166"/>
      <c r="AA978" s="165"/>
      <c r="AB978" s="167"/>
      <c r="AC978" s="167"/>
      <c r="AD978" s="167"/>
      <c r="AE978" s="167"/>
      <c r="AF978" s="167"/>
      <c r="AG978" s="137"/>
    </row>
    <row r="979" spans="13:37" ht="13" x14ac:dyDescent="0.15">
      <c r="M979" s="165"/>
      <c r="N979" s="165"/>
      <c r="O979" s="165"/>
      <c r="P979" s="165"/>
      <c r="Q979" s="165"/>
      <c r="R979" s="165"/>
      <c r="S979" s="166"/>
      <c r="T979" s="165"/>
      <c r="U979" s="166"/>
      <c r="W979" s="166"/>
      <c r="X979" s="166"/>
      <c r="Y979" s="166"/>
      <c r="Z979" s="167"/>
      <c r="AA979" s="165"/>
      <c r="AB979" s="167"/>
      <c r="AC979" s="167"/>
      <c r="AD979" s="167"/>
      <c r="AE979" s="167"/>
      <c r="AF979" s="167"/>
      <c r="AG979" s="137"/>
      <c r="AH979" s="137"/>
      <c r="AI979" s="137"/>
      <c r="AJ979" s="137"/>
      <c r="AK979" s="137"/>
    </row>
    <row r="980" spans="13:37" ht="13" x14ac:dyDescent="0.15">
      <c r="M980" s="165"/>
      <c r="N980" s="165"/>
      <c r="O980" s="165"/>
      <c r="P980" s="165"/>
      <c r="Q980" s="165"/>
      <c r="R980" s="165"/>
      <c r="S980" s="166"/>
      <c r="T980" s="165"/>
      <c r="U980" s="166"/>
      <c r="W980" s="166"/>
      <c r="X980" s="166"/>
      <c r="Y980" s="166"/>
      <c r="Z980" s="167"/>
      <c r="AA980" s="165"/>
      <c r="AB980" s="167"/>
      <c r="AC980" s="167"/>
      <c r="AD980" s="167"/>
      <c r="AE980" s="167"/>
      <c r="AF980" s="167"/>
      <c r="AG980" s="137"/>
      <c r="AH980" s="137"/>
      <c r="AI980" s="137"/>
      <c r="AJ980" s="137"/>
      <c r="AK980" s="137"/>
    </row>
    <row r="981" spans="13:37" ht="13" x14ac:dyDescent="0.15">
      <c r="M981" s="165"/>
      <c r="N981" s="165"/>
      <c r="O981" s="165"/>
      <c r="P981" s="165"/>
      <c r="Q981" s="165"/>
      <c r="R981" s="165"/>
      <c r="S981" s="166"/>
      <c r="T981" s="165"/>
      <c r="U981" s="166"/>
      <c r="W981" s="166"/>
      <c r="X981" s="166"/>
      <c r="Y981" s="166"/>
      <c r="Z981" s="167"/>
      <c r="AA981" s="165"/>
      <c r="AB981" s="167"/>
      <c r="AC981" s="167"/>
      <c r="AD981" s="167"/>
      <c r="AE981" s="167"/>
      <c r="AF981" s="167"/>
      <c r="AG981" s="137"/>
      <c r="AH981" s="137"/>
      <c r="AI981" s="137"/>
      <c r="AJ981" s="137"/>
      <c r="AK981" s="137"/>
    </row>
    <row r="982" spans="13:37" ht="13" x14ac:dyDescent="0.15">
      <c r="M982" s="165"/>
      <c r="N982" s="165"/>
      <c r="O982" s="165"/>
      <c r="P982" s="165"/>
      <c r="Q982" s="165"/>
      <c r="R982" s="165"/>
      <c r="S982" s="166"/>
      <c r="T982" s="165"/>
      <c r="U982" s="166"/>
      <c r="W982" s="166"/>
      <c r="X982" s="166"/>
      <c r="Y982" s="166"/>
      <c r="Z982" s="167"/>
      <c r="AA982" s="165"/>
      <c r="AB982" s="167"/>
      <c r="AC982" s="167"/>
      <c r="AD982" s="167"/>
      <c r="AE982" s="167"/>
      <c r="AF982" s="167"/>
      <c r="AG982" s="137"/>
    </row>
    <row r="983" spans="13:37" ht="13" x14ac:dyDescent="0.15">
      <c r="M983" s="165"/>
      <c r="N983" s="165"/>
      <c r="O983" s="165"/>
      <c r="P983" s="165"/>
      <c r="Q983" s="165"/>
      <c r="R983" s="165"/>
      <c r="S983" s="166"/>
      <c r="T983" s="165"/>
      <c r="U983" s="166"/>
      <c r="W983" s="166"/>
      <c r="X983" s="166"/>
      <c r="Y983" s="166"/>
      <c r="Z983" s="167"/>
      <c r="AA983" s="165"/>
      <c r="AB983" s="167"/>
      <c r="AC983" s="167"/>
      <c r="AD983" s="167"/>
      <c r="AE983" s="167"/>
      <c r="AF983" s="167"/>
      <c r="AG983" s="137"/>
    </row>
    <row r="984" spans="13:37" ht="13" x14ac:dyDescent="0.15">
      <c r="M984" s="165"/>
      <c r="N984" s="165"/>
      <c r="O984" s="165"/>
      <c r="P984" s="165"/>
      <c r="Q984" s="165"/>
      <c r="R984" s="165"/>
      <c r="S984" s="168"/>
      <c r="T984" s="165"/>
      <c r="U984" s="166"/>
      <c r="W984" s="166"/>
      <c r="X984" s="166"/>
      <c r="Y984" s="166"/>
      <c r="Z984" s="167"/>
      <c r="AA984" s="165"/>
      <c r="AB984" s="167"/>
      <c r="AC984" s="167"/>
      <c r="AD984" s="167"/>
      <c r="AE984" s="167"/>
      <c r="AF984" s="167"/>
      <c r="AG984" s="137"/>
    </row>
    <row r="985" spans="13:37" ht="13" x14ac:dyDescent="0.15">
      <c r="M985" s="165"/>
      <c r="N985" s="165"/>
      <c r="O985" s="165"/>
      <c r="P985" s="165"/>
      <c r="Q985" s="165"/>
      <c r="R985" s="165"/>
      <c r="S985" s="168"/>
      <c r="T985" s="165"/>
      <c r="U985" s="166"/>
      <c r="W985" s="166"/>
      <c r="X985" s="166"/>
      <c r="Y985" s="166"/>
      <c r="Z985" s="167"/>
      <c r="AA985" s="165"/>
      <c r="AB985" s="167"/>
      <c r="AC985" s="167"/>
      <c r="AD985" s="167"/>
      <c r="AE985" s="167"/>
      <c r="AF985" s="167"/>
      <c r="AG985" s="137"/>
    </row>
    <row r="986" spans="13:37" ht="13" x14ac:dyDescent="0.15">
      <c r="M986" s="165"/>
      <c r="N986" s="165"/>
      <c r="O986" s="165"/>
      <c r="P986" s="165"/>
      <c r="Q986" s="165"/>
      <c r="R986" s="165"/>
      <c r="S986" s="168"/>
      <c r="T986" s="165"/>
      <c r="U986" s="166"/>
      <c r="W986" s="166"/>
      <c r="X986" s="166"/>
      <c r="Y986" s="166"/>
      <c r="Z986" s="167"/>
      <c r="AA986" s="165"/>
      <c r="AB986" s="167"/>
      <c r="AC986" s="167"/>
      <c r="AD986" s="167"/>
      <c r="AE986" s="167"/>
      <c r="AF986" s="167"/>
      <c r="AG986" s="137"/>
    </row>
    <row r="987" spans="13:37" ht="13" x14ac:dyDescent="0.15">
      <c r="M987" s="165"/>
      <c r="N987" s="165"/>
      <c r="O987" s="165"/>
      <c r="P987" s="165"/>
      <c r="Q987" s="165"/>
      <c r="R987" s="165"/>
      <c r="S987" s="168"/>
      <c r="T987" s="165"/>
      <c r="U987" s="166"/>
      <c r="W987" s="166"/>
      <c r="X987" s="166"/>
      <c r="Y987" s="166"/>
      <c r="Z987" s="166"/>
      <c r="AA987" s="165"/>
      <c r="AB987" s="167"/>
      <c r="AC987" s="167"/>
      <c r="AD987" s="167"/>
      <c r="AE987" s="167"/>
      <c r="AF987" s="167"/>
      <c r="AG987" s="137"/>
      <c r="AH987" s="137"/>
      <c r="AI987" s="137"/>
      <c r="AJ987" s="137"/>
      <c r="AK987" s="137"/>
    </row>
    <row r="988" spans="13:37" ht="13" x14ac:dyDescent="0.15">
      <c r="M988" s="165"/>
      <c r="N988" s="165"/>
      <c r="O988" s="165"/>
      <c r="P988" s="165"/>
      <c r="Q988" s="165"/>
      <c r="R988" s="165"/>
      <c r="S988" s="166"/>
      <c r="T988" s="165"/>
      <c r="U988" s="166"/>
      <c r="W988" s="166"/>
      <c r="X988" s="166"/>
      <c r="Y988" s="166"/>
      <c r="Z988" s="167"/>
      <c r="AA988" s="165"/>
      <c r="AB988" s="167"/>
      <c r="AC988" s="167"/>
      <c r="AD988" s="167"/>
      <c r="AE988" s="167"/>
      <c r="AF988" s="167"/>
      <c r="AG988" s="137"/>
      <c r="AH988" s="137"/>
      <c r="AI988" s="137"/>
      <c r="AJ988" s="137"/>
      <c r="AK988" s="137"/>
    </row>
    <row r="989" spans="13:37" ht="13" x14ac:dyDescent="0.15">
      <c r="M989" s="165"/>
      <c r="N989" s="165"/>
      <c r="O989" s="165"/>
      <c r="P989" s="165"/>
      <c r="Q989" s="165"/>
      <c r="R989" s="165"/>
      <c r="S989" s="166"/>
      <c r="T989" s="165"/>
      <c r="U989" s="166"/>
      <c r="W989" s="166"/>
      <c r="X989" s="166"/>
      <c r="Y989" s="166"/>
      <c r="Z989" s="167"/>
      <c r="AA989" s="165"/>
      <c r="AB989" s="167"/>
      <c r="AC989" s="167"/>
      <c r="AD989" s="167"/>
      <c r="AE989" s="167"/>
      <c r="AF989" s="167"/>
      <c r="AG989" s="137"/>
      <c r="AH989" s="137"/>
      <c r="AI989" s="137"/>
      <c r="AJ989" s="137"/>
      <c r="AK989" s="137"/>
    </row>
    <row r="990" spans="13:37" ht="13" x14ac:dyDescent="0.15">
      <c r="M990" s="165"/>
      <c r="N990" s="165"/>
      <c r="O990" s="165"/>
      <c r="P990" s="165"/>
      <c r="Q990" s="165"/>
      <c r="R990" s="165"/>
      <c r="S990" s="166"/>
      <c r="T990" s="165"/>
      <c r="U990" s="166"/>
      <c r="W990" s="166"/>
      <c r="X990" s="166"/>
      <c r="Y990" s="166"/>
      <c r="Z990" s="167"/>
      <c r="AA990" s="167"/>
      <c r="AB990" s="165"/>
      <c r="AC990" s="167"/>
      <c r="AD990" s="167"/>
      <c r="AE990" s="167"/>
      <c r="AF990" s="167"/>
      <c r="AG990" s="137"/>
      <c r="AH990" s="137"/>
      <c r="AI990" s="137"/>
      <c r="AJ990" s="137"/>
      <c r="AK990" s="137"/>
    </row>
    <row r="991" spans="13:37" ht="13" x14ac:dyDescent="0.15">
      <c r="M991" s="165"/>
      <c r="N991" s="165"/>
      <c r="O991" s="165"/>
      <c r="P991" s="165"/>
      <c r="Q991" s="165"/>
      <c r="R991" s="165"/>
      <c r="S991" s="166"/>
      <c r="T991" s="165"/>
      <c r="U991" s="166"/>
      <c r="W991" s="166"/>
      <c r="X991" s="166"/>
      <c r="Y991" s="166"/>
      <c r="Z991" s="167"/>
      <c r="AA991" s="167"/>
      <c r="AB991" s="165"/>
      <c r="AC991" s="167"/>
      <c r="AD991" s="167"/>
      <c r="AE991" s="167"/>
      <c r="AF991" s="167"/>
      <c r="AG991" s="137"/>
      <c r="AH991" s="137"/>
      <c r="AI991" s="137"/>
      <c r="AJ991" s="137"/>
      <c r="AK991" s="137"/>
    </row>
    <row r="992" spans="13:37" ht="13" x14ac:dyDescent="0.15">
      <c r="M992" s="165"/>
      <c r="N992" s="165"/>
      <c r="O992" s="165"/>
      <c r="P992" s="165"/>
      <c r="Q992" s="165"/>
      <c r="R992" s="165"/>
      <c r="S992" s="166"/>
      <c r="T992" s="165"/>
      <c r="U992" s="166"/>
      <c r="W992" s="166"/>
      <c r="X992" s="166"/>
      <c r="Y992" s="166"/>
      <c r="Z992" s="166"/>
      <c r="AA992" s="165"/>
      <c r="AB992" s="167"/>
      <c r="AC992" s="167"/>
      <c r="AD992" s="167"/>
      <c r="AE992" s="167"/>
      <c r="AF992" s="167"/>
      <c r="AG992" s="137"/>
    </row>
    <row r="993" spans="13:37" ht="13" x14ac:dyDescent="0.15">
      <c r="M993" s="165"/>
      <c r="N993" s="165"/>
      <c r="O993" s="165"/>
      <c r="P993" s="165"/>
      <c r="Q993" s="165"/>
      <c r="R993" s="165"/>
      <c r="S993" s="166"/>
      <c r="T993" s="165"/>
      <c r="U993" s="166"/>
      <c r="W993" s="166"/>
      <c r="X993" s="166"/>
      <c r="Y993" s="166"/>
      <c r="Z993" s="166"/>
      <c r="AA993" s="165"/>
      <c r="AB993" s="167"/>
      <c r="AC993" s="167"/>
      <c r="AD993" s="167"/>
      <c r="AE993" s="167"/>
      <c r="AF993" s="167"/>
      <c r="AG993" s="137"/>
    </row>
    <row r="994" spans="13:37" ht="13" x14ac:dyDescent="0.15">
      <c r="M994" s="165"/>
      <c r="N994" s="165"/>
      <c r="O994" s="165"/>
      <c r="P994" s="165"/>
      <c r="Q994" s="165"/>
      <c r="R994" s="165"/>
      <c r="S994" s="166"/>
      <c r="T994" s="165"/>
      <c r="U994" s="166"/>
      <c r="W994" s="166"/>
      <c r="X994" s="166"/>
      <c r="Y994" s="166"/>
      <c r="Z994" s="166"/>
      <c r="AA994" s="165"/>
      <c r="AB994" s="167"/>
      <c r="AC994" s="167"/>
      <c r="AD994" s="167"/>
      <c r="AE994" s="167"/>
      <c r="AF994" s="167"/>
      <c r="AG994" s="137"/>
    </row>
    <row r="995" spans="13:37" ht="13" x14ac:dyDescent="0.15">
      <c r="M995" s="165"/>
      <c r="N995" s="165"/>
      <c r="O995" s="165"/>
      <c r="P995" s="165"/>
      <c r="Q995" s="165"/>
      <c r="R995" s="165"/>
      <c r="S995" s="168"/>
      <c r="T995" s="165"/>
      <c r="U995" s="166"/>
      <c r="W995" s="166"/>
      <c r="X995" s="166"/>
      <c r="Y995" s="166"/>
      <c r="Z995" s="167"/>
      <c r="AA995" s="165"/>
      <c r="AB995" s="167"/>
      <c r="AC995" s="167"/>
      <c r="AD995" s="167"/>
      <c r="AE995" s="167"/>
      <c r="AF995" s="167"/>
      <c r="AG995" s="137"/>
      <c r="AH995" s="137"/>
      <c r="AI995" s="137"/>
      <c r="AJ995" s="137"/>
      <c r="AK995" s="137"/>
    </row>
    <row r="996" spans="13:37" ht="13" x14ac:dyDescent="0.15">
      <c r="M996" s="165"/>
      <c r="N996" s="165"/>
      <c r="O996" s="165"/>
      <c r="P996" s="165"/>
      <c r="Q996" s="165"/>
      <c r="R996" s="165"/>
      <c r="S996" s="166"/>
      <c r="T996" s="165"/>
      <c r="U996" s="166"/>
      <c r="W996" s="166"/>
      <c r="X996" s="166"/>
      <c r="Y996" s="166"/>
      <c r="Z996" s="167"/>
      <c r="AA996" s="165"/>
      <c r="AB996" s="167"/>
      <c r="AC996" s="167"/>
      <c r="AD996" s="167"/>
      <c r="AE996" s="167"/>
      <c r="AF996" s="167"/>
      <c r="AG996" s="137"/>
      <c r="AH996" s="137"/>
      <c r="AI996" s="137"/>
      <c r="AJ996" s="137"/>
      <c r="AK996" s="137"/>
    </row>
    <row r="997" spans="13:37" ht="13" x14ac:dyDescent="0.15">
      <c r="M997" s="165"/>
      <c r="N997" s="165"/>
      <c r="O997" s="165"/>
      <c r="P997" s="165"/>
      <c r="Q997" s="165"/>
      <c r="R997" s="165"/>
      <c r="S997" s="166"/>
      <c r="T997" s="165"/>
      <c r="U997" s="166"/>
      <c r="W997" s="166"/>
      <c r="X997" s="166"/>
      <c r="Y997" s="166"/>
      <c r="Z997" s="167"/>
      <c r="AA997" s="165"/>
      <c r="AB997" s="167"/>
      <c r="AC997" s="167"/>
      <c r="AD997" s="167"/>
      <c r="AE997" s="167"/>
      <c r="AF997" s="167"/>
      <c r="AG997" s="137"/>
      <c r="AH997" s="137"/>
      <c r="AI997" s="137"/>
      <c r="AJ997" s="137"/>
      <c r="AK997" s="137"/>
    </row>
    <row r="998" spans="13:37" ht="13" x14ac:dyDescent="0.15">
      <c r="M998" s="165"/>
      <c r="N998" s="165"/>
      <c r="O998" s="165"/>
      <c r="P998" s="165"/>
      <c r="Q998" s="165"/>
      <c r="R998" s="165"/>
      <c r="S998" s="166"/>
      <c r="T998" s="165"/>
      <c r="U998" s="166"/>
      <c r="W998" s="166"/>
      <c r="X998" s="166"/>
      <c r="Y998" s="166"/>
      <c r="Z998" s="167"/>
      <c r="AA998" s="165"/>
      <c r="AB998" s="167"/>
      <c r="AC998" s="167"/>
      <c r="AD998" s="167"/>
      <c r="AE998" s="167"/>
      <c r="AF998" s="167"/>
      <c r="AG998" s="137"/>
      <c r="AH998" s="137"/>
      <c r="AI998" s="137"/>
      <c r="AJ998" s="137"/>
      <c r="AK998" s="137"/>
    </row>
    <row r="999" spans="13:37" ht="13" x14ac:dyDescent="0.15">
      <c r="M999" s="165"/>
      <c r="N999" s="165"/>
      <c r="O999" s="165"/>
      <c r="P999" s="165"/>
      <c r="Q999" s="165"/>
      <c r="R999" s="165"/>
      <c r="S999" s="166"/>
      <c r="T999" s="165"/>
      <c r="U999" s="166"/>
      <c r="W999" s="166"/>
      <c r="X999" s="166"/>
      <c r="Y999" s="166"/>
      <c r="Z999" s="167"/>
      <c r="AA999" s="165"/>
      <c r="AB999" s="167"/>
      <c r="AC999" s="167"/>
      <c r="AD999" s="167"/>
      <c r="AE999" s="167"/>
      <c r="AF999" s="167"/>
      <c r="AG999" s="137"/>
      <c r="AH999" s="137"/>
      <c r="AI999" s="137"/>
      <c r="AJ999" s="137"/>
      <c r="AK999" s="137"/>
    </row>
    <row r="1000" spans="13:37" ht="13" x14ac:dyDescent="0.15">
      <c r="M1000" s="165"/>
      <c r="N1000" s="165"/>
      <c r="O1000" s="165"/>
      <c r="P1000" s="165"/>
      <c r="Q1000" s="165"/>
      <c r="R1000" s="165"/>
      <c r="S1000" s="166"/>
      <c r="T1000" s="165"/>
      <c r="U1000" s="166"/>
      <c r="W1000" s="166"/>
      <c r="X1000" s="166"/>
      <c r="Y1000" s="166"/>
      <c r="Z1000" s="167"/>
      <c r="AA1000" s="165"/>
      <c r="AB1000" s="167"/>
      <c r="AC1000" s="167"/>
      <c r="AD1000" s="167"/>
      <c r="AE1000" s="167"/>
      <c r="AF1000" s="167"/>
      <c r="AG1000" s="137"/>
      <c r="AH1000" s="137"/>
      <c r="AI1000" s="137"/>
      <c r="AJ1000" s="137"/>
      <c r="AK1000" s="137"/>
    </row>
    <row r="1001" spans="13:37" ht="13" x14ac:dyDescent="0.15">
      <c r="M1001" s="165"/>
      <c r="N1001" s="165"/>
      <c r="O1001" s="165"/>
      <c r="P1001" s="165"/>
      <c r="Q1001" s="165"/>
      <c r="R1001" s="165"/>
      <c r="S1001" s="166"/>
      <c r="T1001" s="165"/>
      <c r="U1001" s="166"/>
      <c r="W1001" s="166"/>
      <c r="X1001" s="166"/>
      <c r="Y1001" s="166"/>
      <c r="Z1001" s="167"/>
      <c r="AA1001" s="165"/>
      <c r="AB1001" s="167"/>
      <c r="AC1001" s="167"/>
      <c r="AD1001" s="167"/>
      <c r="AE1001" s="167"/>
      <c r="AF1001" s="167"/>
      <c r="AG1001" s="137"/>
      <c r="AH1001" s="137"/>
      <c r="AI1001" s="137"/>
      <c r="AJ1001" s="137"/>
      <c r="AK1001" s="137"/>
    </row>
    <row r="1002" spans="13:37" ht="13" x14ac:dyDescent="0.15">
      <c r="M1002" s="165"/>
      <c r="N1002" s="165"/>
      <c r="O1002" s="165"/>
      <c r="P1002" s="165"/>
      <c r="Q1002" s="165"/>
      <c r="R1002" s="165"/>
      <c r="S1002" s="166"/>
      <c r="T1002" s="165"/>
      <c r="U1002" s="166"/>
      <c r="W1002" s="166"/>
      <c r="X1002" s="166"/>
      <c r="Y1002" s="166"/>
      <c r="Z1002" s="167"/>
      <c r="AA1002" s="165"/>
      <c r="AB1002" s="167"/>
      <c r="AC1002" s="167"/>
      <c r="AD1002" s="167"/>
      <c r="AE1002" s="167"/>
      <c r="AF1002" s="167"/>
      <c r="AG1002" s="137"/>
      <c r="AH1002" s="137"/>
      <c r="AI1002" s="137"/>
      <c r="AJ1002" s="137"/>
      <c r="AK1002" s="137"/>
    </row>
    <row r="1003" spans="13:37" ht="13" x14ac:dyDescent="0.15">
      <c r="M1003" s="165"/>
      <c r="N1003" s="165"/>
      <c r="O1003" s="165"/>
      <c r="P1003" s="165"/>
      <c r="Q1003" s="165"/>
      <c r="R1003" s="165"/>
      <c r="S1003" s="166"/>
      <c r="T1003" s="165"/>
      <c r="U1003" s="166"/>
      <c r="W1003" s="166"/>
      <c r="X1003" s="166"/>
      <c r="Y1003" s="166"/>
      <c r="Z1003" s="167"/>
      <c r="AA1003" s="165"/>
      <c r="AB1003" s="167"/>
      <c r="AC1003" s="167"/>
      <c r="AD1003" s="167"/>
      <c r="AE1003" s="167"/>
      <c r="AF1003" s="167"/>
      <c r="AG1003" s="137"/>
      <c r="AH1003" s="137"/>
      <c r="AI1003" s="137"/>
      <c r="AJ1003" s="137"/>
      <c r="AK1003" s="137"/>
    </row>
    <row r="1004" spans="13:37" ht="13" x14ac:dyDescent="0.15">
      <c r="M1004" s="165"/>
      <c r="N1004" s="165"/>
      <c r="O1004" s="165"/>
      <c r="P1004" s="165"/>
      <c r="Q1004" s="165"/>
      <c r="R1004" s="165"/>
      <c r="S1004" s="166"/>
      <c r="T1004" s="165"/>
      <c r="U1004" s="166"/>
      <c r="W1004" s="166"/>
      <c r="X1004" s="166"/>
      <c r="Y1004" s="166"/>
      <c r="Z1004" s="167"/>
      <c r="AA1004" s="165"/>
      <c r="AB1004" s="167"/>
      <c r="AC1004" s="167"/>
      <c r="AD1004" s="167"/>
      <c r="AE1004" s="167"/>
      <c r="AF1004" s="167"/>
      <c r="AG1004" s="137"/>
      <c r="AH1004" s="137"/>
      <c r="AI1004" s="137"/>
      <c r="AJ1004" s="137"/>
      <c r="AK1004" s="137"/>
    </row>
    <row r="1005" spans="13:37" ht="13" x14ac:dyDescent="0.15">
      <c r="M1005" s="165"/>
      <c r="N1005" s="165"/>
      <c r="O1005" s="165"/>
      <c r="P1005" s="165"/>
      <c r="Q1005" s="165"/>
      <c r="R1005" s="166"/>
      <c r="S1005" s="166"/>
      <c r="T1005" s="165"/>
      <c r="U1005" s="166"/>
      <c r="W1005" s="166"/>
      <c r="X1005" s="166"/>
      <c r="Y1005" s="166"/>
      <c r="Z1005" s="167"/>
      <c r="AA1005" s="167"/>
      <c r="AB1005" s="165"/>
      <c r="AC1005" s="167"/>
      <c r="AD1005" s="167"/>
      <c r="AE1005" s="167"/>
      <c r="AF1005" s="167"/>
      <c r="AG1005" s="137"/>
      <c r="AH1005" s="137"/>
      <c r="AI1005" s="137"/>
      <c r="AJ1005" s="137"/>
      <c r="AK1005" s="137"/>
    </row>
    <row r="1006" spans="13:37" ht="13" x14ac:dyDescent="0.15">
      <c r="M1006" s="165"/>
      <c r="N1006" s="165"/>
      <c r="O1006" s="165"/>
      <c r="P1006" s="165"/>
      <c r="Q1006" s="165"/>
      <c r="R1006" s="166"/>
      <c r="S1006" s="166"/>
      <c r="T1006" s="165"/>
      <c r="U1006" s="166"/>
      <c r="W1006" s="166"/>
      <c r="X1006" s="166"/>
      <c r="Y1006" s="166"/>
      <c r="Z1006" s="167"/>
      <c r="AA1006" s="167"/>
      <c r="AB1006" s="165"/>
      <c r="AC1006" s="167"/>
      <c r="AD1006" s="167"/>
      <c r="AE1006" s="167"/>
      <c r="AF1006" s="167"/>
      <c r="AG1006" s="137"/>
      <c r="AH1006" s="137"/>
      <c r="AI1006" s="137"/>
      <c r="AJ1006" s="137"/>
      <c r="AK1006" s="137"/>
    </row>
    <row r="1007" spans="13:37" ht="13" x14ac:dyDescent="0.15">
      <c r="M1007" s="165"/>
      <c r="N1007" s="165"/>
      <c r="O1007" s="165"/>
      <c r="P1007" s="165"/>
      <c r="Q1007" s="165"/>
      <c r="R1007" s="166"/>
      <c r="S1007" s="166"/>
      <c r="T1007" s="165"/>
      <c r="U1007" s="166"/>
      <c r="W1007" s="166"/>
      <c r="X1007" s="166"/>
      <c r="Y1007" s="166"/>
      <c r="Z1007" s="167"/>
      <c r="AA1007" s="167"/>
      <c r="AB1007" s="165"/>
      <c r="AC1007" s="167"/>
      <c r="AD1007" s="167"/>
      <c r="AE1007" s="167"/>
      <c r="AF1007" s="167"/>
      <c r="AG1007" s="137"/>
      <c r="AH1007" s="137"/>
      <c r="AI1007" s="137"/>
      <c r="AJ1007" s="137"/>
      <c r="AK1007" s="137"/>
    </row>
    <row r="1008" spans="13:37" ht="13" x14ac:dyDescent="0.15">
      <c r="M1008" s="165"/>
      <c r="N1008" s="165"/>
      <c r="O1008" s="165"/>
      <c r="P1008" s="165"/>
      <c r="Q1008" s="165"/>
      <c r="R1008" s="166"/>
      <c r="S1008" s="166"/>
      <c r="T1008" s="165"/>
      <c r="U1008" s="166"/>
      <c r="W1008" s="166"/>
      <c r="X1008" s="166"/>
      <c r="Y1008" s="166"/>
      <c r="Z1008" s="167"/>
      <c r="AA1008" s="167"/>
      <c r="AB1008" s="165"/>
      <c r="AC1008" s="167"/>
      <c r="AD1008" s="167"/>
      <c r="AE1008" s="167"/>
      <c r="AF1008" s="167"/>
      <c r="AG1008" s="137"/>
      <c r="AH1008" s="137"/>
      <c r="AI1008" s="137"/>
      <c r="AJ1008" s="137"/>
      <c r="AK1008" s="137"/>
    </row>
    <row r="1009" spans="13:37" ht="13" x14ac:dyDescent="0.15">
      <c r="M1009" s="165"/>
      <c r="N1009" s="165"/>
      <c r="O1009" s="165"/>
      <c r="P1009" s="165"/>
      <c r="Q1009" s="165"/>
      <c r="R1009" s="165"/>
      <c r="S1009" s="166"/>
      <c r="W1009" s="166"/>
      <c r="X1009" s="166"/>
      <c r="Y1009" s="166"/>
      <c r="Z1009" s="167"/>
      <c r="AA1009" s="167"/>
      <c r="AB1009" s="165"/>
      <c r="AC1009" s="167"/>
      <c r="AD1009" s="167"/>
      <c r="AE1009" s="167"/>
      <c r="AG1009" s="137"/>
    </row>
    <row r="1010" spans="13:37" ht="13" x14ac:dyDescent="0.15">
      <c r="M1010" s="165"/>
      <c r="N1010" s="165"/>
      <c r="O1010" s="165"/>
      <c r="P1010" s="165"/>
      <c r="Q1010" s="165"/>
      <c r="R1010" s="165"/>
      <c r="S1010" s="166"/>
      <c r="T1010" s="165"/>
      <c r="U1010" s="166"/>
      <c r="W1010" s="166"/>
      <c r="X1010" s="166"/>
      <c r="Y1010" s="166"/>
      <c r="Z1010" s="166"/>
      <c r="AA1010" s="165"/>
      <c r="AB1010" s="167"/>
      <c r="AC1010" s="167"/>
      <c r="AD1010" s="167"/>
      <c r="AE1010" s="167"/>
      <c r="AF1010" s="167"/>
      <c r="AG1010" s="137"/>
      <c r="AH1010" s="137"/>
      <c r="AI1010" s="137"/>
      <c r="AJ1010" s="137"/>
      <c r="AK1010" s="137"/>
    </row>
    <row r="1011" spans="13:37" ht="13" x14ac:dyDescent="0.15">
      <c r="M1011" s="165"/>
      <c r="N1011" s="165"/>
      <c r="O1011" s="165"/>
      <c r="P1011" s="165"/>
      <c r="Q1011" s="165"/>
      <c r="R1011" s="165"/>
      <c r="S1011" s="166"/>
      <c r="T1011" s="165"/>
      <c r="U1011" s="166"/>
      <c r="W1011" s="166"/>
      <c r="X1011" s="166"/>
      <c r="Y1011" s="166"/>
      <c r="Z1011" s="166"/>
      <c r="AA1011" s="165"/>
      <c r="AB1011" s="167"/>
      <c r="AC1011" s="167"/>
      <c r="AD1011" s="167"/>
      <c r="AE1011" s="167"/>
      <c r="AF1011" s="167"/>
      <c r="AG1011" s="137"/>
      <c r="AH1011" s="137"/>
      <c r="AI1011" s="137"/>
      <c r="AJ1011" s="137"/>
      <c r="AK1011" s="137"/>
    </row>
    <row r="1012" spans="13:37" ht="13" x14ac:dyDescent="0.15">
      <c r="M1012" s="165"/>
      <c r="N1012" s="165"/>
      <c r="O1012" s="165"/>
      <c r="P1012" s="165"/>
      <c r="Q1012" s="165"/>
      <c r="R1012" s="166"/>
      <c r="S1012" s="168"/>
      <c r="T1012" s="165"/>
      <c r="U1012" s="166"/>
      <c r="W1012" s="166"/>
      <c r="X1012" s="166"/>
      <c r="Y1012" s="166"/>
      <c r="Z1012" s="167"/>
      <c r="AA1012" s="167"/>
      <c r="AB1012" s="165"/>
      <c r="AC1012" s="167"/>
      <c r="AD1012" s="167"/>
      <c r="AE1012" s="167"/>
      <c r="AF1012" s="167"/>
      <c r="AG1012" s="137"/>
      <c r="AH1012" s="137"/>
      <c r="AI1012" s="137"/>
      <c r="AJ1012" s="137"/>
      <c r="AK1012" s="137"/>
    </row>
    <row r="1013" spans="13:37" ht="13" x14ac:dyDescent="0.15">
      <c r="M1013" s="165"/>
      <c r="N1013" s="165"/>
      <c r="O1013" s="165"/>
      <c r="P1013" s="165"/>
      <c r="Q1013" s="165"/>
      <c r="R1013" s="166"/>
      <c r="S1013" s="168"/>
      <c r="T1013" s="165"/>
      <c r="U1013" s="166"/>
      <c r="W1013" s="166"/>
      <c r="X1013" s="166"/>
      <c r="Y1013" s="166"/>
      <c r="Z1013" s="167"/>
      <c r="AA1013" s="167"/>
      <c r="AB1013" s="165"/>
      <c r="AC1013" s="167"/>
      <c r="AD1013" s="167"/>
      <c r="AE1013" s="167"/>
      <c r="AF1013" s="167"/>
      <c r="AG1013" s="137"/>
      <c r="AH1013" s="137"/>
      <c r="AI1013" s="137"/>
      <c r="AJ1013" s="137"/>
      <c r="AK1013" s="137"/>
    </row>
    <row r="1014" spans="13:37" ht="13" x14ac:dyDescent="0.15">
      <c r="M1014" s="165"/>
      <c r="N1014" s="165"/>
      <c r="O1014" s="165"/>
      <c r="P1014" s="165"/>
      <c r="Q1014" s="165"/>
      <c r="R1014" s="166"/>
      <c r="S1014" s="168"/>
      <c r="T1014" s="165"/>
      <c r="U1014" s="166"/>
      <c r="W1014" s="166"/>
      <c r="X1014" s="166"/>
      <c r="Y1014" s="166"/>
      <c r="Z1014" s="167"/>
      <c r="AA1014" s="167"/>
      <c r="AB1014" s="165"/>
      <c r="AC1014" s="167"/>
      <c r="AD1014" s="167"/>
      <c r="AE1014" s="167"/>
      <c r="AF1014" s="167"/>
      <c r="AG1014" s="137"/>
      <c r="AH1014" s="137"/>
      <c r="AI1014" s="137"/>
      <c r="AJ1014" s="137"/>
      <c r="AK1014" s="137"/>
    </row>
    <row r="1015" spans="13:37" ht="13" x14ac:dyDescent="0.15">
      <c r="M1015" s="165"/>
      <c r="N1015" s="165"/>
      <c r="O1015" s="165"/>
      <c r="P1015" s="165"/>
      <c r="Q1015" s="165"/>
      <c r="R1015" s="165"/>
      <c r="S1015" s="168"/>
      <c r="T1015" s="165"/>
      <c r="U1015" s="166"/>
      <c r="W1015" s="166"/>
      <c r="X1015" s="166"/>
      <c r="Y1015" s="166"/>
      <c r="Z1015" s="167"/>
      <c r="AA1015" s="167"/>
      <c r="AB1015" s="165"/>
      <c r="AC1015" s="167"/>
      <c r="AD1015" s="167"/>
      <c r="AE1015" s="167"/>
      <c r="AF1015" s="167"/>
      <c r="AG1015" s="137"/>
      <c r="AH1015" s="137"/>
      <c r="AI1015" s="137"/>
      <c r="AJ1015" s="137"/>
      <c r="AK1015" s="137"/>
    </row>
    <row r="1016" spans="13:37" ht="13" x14ac:dyDescent="0.15">
      <c r="M1016" s="165"/>
      <c r="N1016" s="165"/>
      <c r="O1016" s="165"/>
      <c r="P1016" s="165"/>
      <c r="Q1016" s="165"/>
      <c r="R1016" s="165"/>
      <c r="S1016" s="168"/>
      <c r="T1016" s="165"/>
      <c r="U1016" s="166"/>
      <c r="W1016" s="166"/>
      <c r="X1016" s="166"/>
      <c r="Y1016" s="166"/>
      <c r="Z1016" s="167"/>
      <c r="AA1016" s="167"/>
      <c r="AB1016" s="165"/>
      <c r="AC1016" s="167"/>
      <c r="AD1016" s="167"/>
      <c r="AE1016" s="167"/>
      <c r="AF1016" s="167"/>
      <c r="AG1016" s="137"/>
      <c r="AH1016" s="137"/>
      <c r="AI1016" s="137"/>
      <c r="AJ1016" s="137"/>
      <c r="AK1016" s="137"/>
    </row>
    <row r="1017" spans="13:37" ht="13" x14ac:dyDescent="0.15">
      <c r="M1017" s="165"/>
      <c r="N1017" s="165"/>
      <c r="O1017" s="165"/>
      <c r="P1017" s="165"/>
      <c r="Q1017" s="165"/>
      <c r="R1017" s="165"/>
      <c r="S1017" s="168"/>
      <c r="T1017" s="165"/>
      <c r="U1017" s="166"/>
      <c r="W1017" s="166"/>
      <c r="X1017" s="166"/>
      <c r="Y1017" s="166"/>
      <c r="Z1017" s="167"/>
      <c r="AA1017" s="167"/>
      <c r="AB1017" s="165"/>
      <c r="AC1017" s="167"/>
      <c r="AD1017" s="167"/>
      <c r="AE1017" s="167"/>
      <c r="AF1017" s="167"/>
      <c r="AG1017" s="137"/>
      <c r="AH1017" s="137"/>
      <c r="AI1017" s="137"/>
      <c r="AJ1017" s="137"/>
      <c r="AK1017" s="137"/>
    </row>
    <row r="1018" spans="13:37" ht="13" x14ac:dyDescent="0.15">
      <c r="M1018" s="165"/>
      <c r="N1018" s="165"/>
      <c r="O1018" s="165"/>
      <c r="P1018" s="165"/>
      <c r="Q1018" s="165"/>
      <c r="R1018" s="165"/>
      <c r="S1018" s="168"/>
      <c r="T1018" s="165"/>
      <c r="U1018" s="166"/>
      <c r="W1018" s="166"/>
      <c r="X1018" s="166"/>
      <c r="Y1018" s="166"/>
      <c r="Z1018" s="167"/>
      <c r="AA1018" s="167"/>
      <c r="AB1018" s="165"/>
      <c r="AC1018" s="167"/>
      <c r="AD1018" s="167"/>
      <c r="AE1018" s="167"/>
      <c r="AF1018" s="167"/>
      <c r="AG1018" s="137"/>
      <c r="AH1018" s="137"/>
      <c r="AI1018" s="137"/>
      <c r="AJ1018" s="137"/>
      <c r="AK1018" s="137"/>
    </row>
    <row r="1019" spans="13:37" ht="13" x14ac:dyDescent="0.15">
      <c r="M1019" s="165"/>
      <c r="N1019" s="165"/>
      <c r="O1019" s="165"/>
      <c r="P1019" s="165"/>
      <c r="Q1019" s="165"/>
      <c r="R1019" s="165"/>
      <c r="S1019" s="166"/>
      <c r="T1019" s="165"/>
      <c r="U1019" s="166"/>
      <c r="W1019" s="166"/>
      <c r="X1019" s="166"/>
      <c r="Y1019" s="166"/>
      <c r="Z1019" s="167"/>
      <c r="AA1019" s="165"/>
      <c r="AB1019" s="167"/>
      <c r="AC1019" s="167"/>
      <c r="AD1019" s="167"/>
      <c r="AE1019" s="167"/>
      <c r="AF1019" s="167"/>
      <c r="AG1019" s="137"/>
      <c r="AH1019" s="137"/>
      <c r="AI1019" s="137"/>
      <c r="AJ1019" s="137"/>
      <c r="AK1019" s="137"/>
    </row>
    <row r="1020" spans="13:37" ht="13" x14ac:dyDescent="0.15">
      <c r="M1020" s="165"/>
      <c r="N1020" s="165"/>
      <c r="O1020" s="165"/>
      <c r="P1020" s="165"/>
      <c r="Q1020" s="165"/>
      <c r="R1020" s="165"/>
      <c r="S1020" s="166"/>
      <c r="T1020" s="165"/>
      <c r="U1020" s="166"/>
      <c r="W1020" s="166"/>
      <c r="X1020" s="166"/>
      <c r="Y1020" s="166"/>
      <c r="Z1020" s="167"/>
      <c r="AA1020" s="165"/>
      <c r="AB1020" s="167"/>
      <c r="AC1020" s="167"/>
      <c r="AD1020" s="167"/>
      <c r="AE1020" s="167"/>
      <c r="AF1020" s="167"/>
      <c r="AG1020" s="137"/>
      <c r="AH1020" s="137"/>
      <c r="AI1020" s="137"/>
      <c r="AJ1020" s="137"/>
      <c r="AK1020" s="137"/>
    </row>
    <row r="1021" spans="13:37" ht="13" x14ac:dyDescent="0.15">
      <c r="O1021" s="165"/>
      <c r="P1021" s="165"/>
      <c r="Q1021" s="165"/>
      <c r="R1021" s="165"/>
      <c r="S1021" s="166"/>
      <c r="T1021" s="165"/>
      <c r="U1021" s="166"/>
      <c r="V1021" s="165"/>
      <c r="W1021" s="166"/>
      <c r="X1021" s="166"/>
      <c r="Y1021" s="166"/>
      <c r="Z1021" s="167"/>
      <c r="AA1021" s="165"/>
      <c r="AB1021" s="167"/>
      <c r="AC1021" s="167"/>
      <c r="AD1021" s="167"/>
      <c r="AE1021" s="167"/>
      <c r="AF1021" s="167"/>
      <c r="AG1021" s="137"/>
      <c r="AH1021" s="167"/>
      <c r="AI1021" s="167"/>
      <c r="AJ1021" s="167"/>
      <c r="AK1021" s="137"/>
    </row>
    <row r="1022" spans="13:37" ht="13" x14ac:dyDescent="0.15">
      <c r="M1022" s="165"/>
      <c r="N1022" s="165"/>
      <c r="O1022" s="165"/>
      <c r="P1022" s="165"/>
      <c r="Q1022" s="165"/>
      <c r="R1022" s="165"/>
      <c r="S1022" s="166"/>
      <c r="T1022" s="165"/>
      <c r="U1022" s="166"/>
      <c r="W1022" s="166"/>
      <c r="X1022" s="166"/>
      <c r="Y1022" s="166"/>
      <c r="Z1022" s="167"/>
      <c r="AA1022" s="165"/>
      <c r="AB1022" s="167"/>
      <c r="AC1022" s="167"/>
      <c r="AD1022" s="167"/>
      <c r="AE1022" s="167"/>
      <c r="AF1022" s="167"/>
      <c r="AG1022" s="137"/>
      <c r="AH1022" s="137"/>
      <c r="AI1022" s="137"/>
      <c r="AJ1022" s="137"/>
      <c r="AK1022" s="137"/>
    </row>
    <row r="1023" spans="13:37" ht="13" x14ac:dyDescent="0.15">
      <c r="M1023" s="165"/>
      <c r="N1023" s="165"/>
      <c r="O1023" s="165"/>
      <c r="P1023" s="165"/>
      <c r="Q1023" s="165"/>
      <c r="R1023" s="165"/>
      <c r="S1023" s="166"/>
      <c r="T1023" s="165"/>
      <c r="U1023" s="166"/>
      <c r="W1023" s="166"/>
      <c r="X1023" s="166"/>
      <c r="Y1023" s="166"/>
      <c r="Z1023" s="167"/>
      <c r="AA1023" s="165"/>
      <c r="AB1023" s="167"/>
      <c r="AC1023" s="167"/>
      <c r="AD1023" s="167"/>
      <c r="AE1023" s="167"/>
      <c r="AF1023" s="167"/>
      <c r="AG1023" s="137"/>
      <c r="AH1023" s="137"/>
      <c r="AI1023" s="137"/>
      <c r="AJ1023" s="137"/>
      <c r="AK1023" s="137"/>
    </row>
    <row r="1024" spans="13:37" ht="13" x14ac:dyDescent="0.15">
      <c r="M1024" s="165"/>
      <c r="N1024" s="165"/>
      <c r="O1024" s="165"/>
      <c r="P1024" s="165"/>
      <c r="Q1024" s="165"/>
      <c r="R1024" s="165"/>
      <c r="S1024" s="166"/>
      <c r="T1024" s="165"/>
      <c r="U1024" s="166"/>
      <c r="W1024" s="166"/>
      <c r="X1024" s="166"/>
      <c r="Y1024" s="166"/>
      <c r="Z1024" s="166"/>
      <c r="AA1024" s="165"/>
      <c r="AB1024" s="167"/>
      <c r="AC1024" s="167"/>
      <c r="AD1024" s="167"/>
      <c r="AE1024" s="167"/>
      <c r="AF1024" s="167"/>
      <c r="AG1024" s="137"/>
      <c r="AH1024" s="137"/>
      <c r="AI1024" s="137"/>
      <c r="AJ1024" s="137"/>
      <c r="AK1024" s="137"/>
    </row>
    <row r="1025" spans="13:37" ht="13" x14ac:dyDescent="0.15">
      <c r="M1025" s="165"/>
      <c r="N1025" s="165"/>
      <c r="O1025" s="165"/>
      <c r="P1025" s="165"/>
      <c r="Q1025" s="165"/>
      <c r="R1025" s="165"/>
      <c r="S1025" s="166"/>
      <c r="T1025" s="165"/>
      <c r="U1025" s="166"/>
      <c r="W1025" s="166"/>
      <c r="X1025" s="166"/>
      <c r="Y1025" s="166"/>
      <c r="Z1025" s="166"/>
      <c r="AA1025" s="165"/>
      <c r="AB1025" s="167"/>
      <c r="AC1025" s="167"/>
      <c r="AD1025" s="167"/>
      <c r="AE1025" s="167"/>
      <c r="AF1025" s="167"/>
      <c r="AG1025" s="137"/>
      <c r="AH1025" s="137"/>
      <c r="AI1025" s="137"/>
      <c r="AJ1025" s="137"/>
      <c r="AK1025" s="137"/>
    </row>
    <row r="1026" spans="13:37" ht="13" x14ac:dyDescent="0.15">
      <c r="M1026" s="165"/>
      <c r="N1026" s="165"/>
      <c r="O1026" s="165"/>
      <c r="P1026" s="165"/>
      <c r="Q1026" s="165"/>
      <c r="R1026" s="165"/>
      <c r="S1026" s="166"/>
      <c r="T1026" s="165"/>
      <c r="U1026" s="166"/>
      <c r="W1026" s="166"/>
      <c r="X1026" s="166"/>
      <c r="Y1026" s="166"/>
      <c r="Z1026" s="166"/>
      <c r="AA1026" s="165"/>
      <c r="AB1026" s="167"/>
      <c r="AC1026" s="167"/>
      <c r="AD1026" s="167"/>
      <c r="AE1026" s="167"/>
      <c r="AF1026" s="167"/>
      <c r="AG1026" s="137"/>
      <c r="AH1026" s="137"/>
      <c r="AI1026" s="137"/>
      <c r="AJ1026" s="137"/>
      <c r="AK1026" s="137"/>
    </row>
    <row r="1027" spans="13:37" ht="13" x14ac:dyDescent="0.15">
      <c r="M1027" s="165"/>
      <c r="N1027" s="165"/>
      <c r="O1027" s="165"/>
      <c r="P1027" s="165"/>
      <c r="Q1027" s="165"/>
      <c r="R1027" s="165"/>
      <c r="S1027" s="166"/>
      <c r="T1027" s="165"/>
      <c r="U1027" s="166"/>
      <c r="W1027" s="166"/>
      <c r="X1027" s="166"/>
      <c r="Y1027" s="166"/>
      <c r="Z1027" s="166"/>
      <c r="AA1027" s="165"/>
      <c r="AB1027" s="167"/>
      <c r="AC1027" s="167"/>
      <c r="AD1027" s="167"/>
      <c r="AE1027" s="167"/>
      <c r="AF1027" s="167"/>
      <c r="AG1027" s="137"/>
      <c r="AH1027" s="137"/>
      <c r="AI1027" s="137"/>
      <c r="AJ1027" s="137"/>
      <c r="AK1027" s="137"/>
    </row>
    <row r="1028" spans="13:37" ht="13" x14ac:dyDescent="0.15">
      <c r="M1028" s="165"/>
      <c r="N1028" s="165"/>
      <c r="O1028" s="165"/>
      <c r="P1028" s="165"/>
      <c r="Q1028" s="165"/>
      <c r="R1028" s="165"/>
      <c r="S1028" s="166"/>
      <c r="T1028" s="165"/>
      <c r="U1028" s="166"/>
      <c r="W1028" s="166"/>
      <c r="X1028" s="166"/>
      <c r="Y1028" s="166"/>
      <c r="Z1028" s="167"/>
      <c r="AA1028" s="165"/>
      <c r="AB1028" s="167"/>
      <c r="AC1028" s="167"/>
      <c r="AD1028" s="167"/>
      <c r="AE1028" s="167"/>
      <c r="AF1028" s="167"/>
      <c r="AG1028" s="137"/>
    </row>
    <row r="1029" spans="13:37" ht="13" x14ac:dyDescent="0.15">
      <c r="M1029" s="165"/>
      <c r="N1029" s="165"/>
      <c r="O1029" s="165"/>
      <c r="P1029" s="165"/>
      <c r="Q1029" s="165"/>
      <c r="R1029" s="165"/>
      <c r="S1029" s="166"/>
      <c r="T1029" s="165"/>
      <c r="U1029" s="166"/>
      <c r="W1029" s="166"/>
      <c r="X1029" s="166"/>
      <c r="Y1029" s="166"/>
      <c r="Z1029" s="167"/>
      <c r="AA1029" s="165"/>
      <c r="AB1029" s="167"/>
      <c r="AC1029" s="167"/>
      <c r="AD1029" s="167"/>
      <c r="AE1029" s="167"/>
      <c r="AF1029" s="167"/>
      <c r="AG1029" s="137"/>
    </row>
    <row r="1030" spans="13:37" ht="13" x14ac:dyDescent="0.15">
      <c r="M1030" s="165"/>
      <c r="N1030" s="165"/>
      <c r="O1030" s="165"/>
      <c r="P1030" s="165"/>
      <c r="Q1030" s="165"/>
      <c r="R1030" s="165"/>
      <c r="S1030" s="166"/>
      <c r="T1030" s="165"/>
      <c r="U1030" s="166"/>
      <c r="W1030" s="166"/>
      <c r="X1030" s="166"/>
      <c r="Y1030" s="166"/>
      <c r="Z1030" s="167"/>
      <c r="AA1030" s="165"/>
      <c r="AB1030" s="167"/>
      <c r="AC1030" s="167"/>
      <c r="AD1030" s="167"/>
      <c r="AE1030" s="167"/>
      <c r="AF1030" s="167"/>
      <c r="AG1030" s="137"/>
    </row>
    <row r="1031" spans="13:37" ht="13" x14ac:dyDescent="0.15">
      <c r="M1031" s="165"/>
      <c r="N1031" s="165"/>
      <c r="O1031" s="165"/>
      <c r="P1031" s="165"/>
      <c r="Q1031" s="165"/>
      <c r="R1031" s="165"/>
      <c r="S1031" s="166"/>
      <c r="T1031" s="165"/>
      <c r="U1031" s="166"/>
      <c r="W1031" s="166"/>
      <c r="X1031" s="166"/>
      <c r="Y1031" s="166"/>
      <c r="Z1031" s="166"/>
      <c r="AA1031" s="165"/>
      <c r="AB1031" s="167"/>
      <c r="AC1031" s="167"/>
      <c r="AD1031" s="167"/>
      <c r="AE1031" s="167"/>
      <c r="AF1031" s="167"/>
      <c r="AG1031" s="137"/>
    </row>
    <row r="1032" spans="13:37" ht="13" x14ac:dyDescent="0.15">
      <c r="M1032" s="165"/>
      <c r="N1032" s="165"/>
      <c r="O1032" s="165"/>
      <c r="P1032" s="165"/>
      <c r="Q1032" s="165"/>
      <c r="R1032" s="165"/>
      <c r="S1032" s="166"/>
      <c r="T1032" s="165"/>
      <c r="U1032" s="166"/>
      <c r="W1032" s="166"/>
      <c r="X1032" s="166"/>
      <c r="Y1032" s="166"/>
      <c r="Z1032" s="167"/>
      <c r="AA1032" s="165"/>
      <c r="AB1032" s="167"/>
      <c r="AC1032" s="167"/>
      <c r="AD1032" s="167"/>
      <c r="AE1032" s="167"/>
      <c r="AF1032" s="167"/>
      <c r="AG1032" s="137"/>
    </row>
    <row r="1033" spans="13:37" ht="13" x14ac:dyDescent="0.15">
      <c r="M1033" s="165"/>
      <c r="N1033" s="165"/>
      <c r="O1033" s="165"/>
      <c r="P1033" s="165"/>
      <c r="Q1033" s="165"/>
      <c r="R1033" s="165"/>
      <c r="S1033" s="166"/>
      <c r="T1033" s="165"/>
      <c r="U1033" s="166"/>
      <c r="W1033" s="166"/>
      <c r="X1033" s="166"/>
      <c r="Y1033" s="166"/>
      <c r="Z1033" s="166"/>
      <c r="AA1033" s="165"/>
      <c r="AB1033" s="167"/>
      <c r="AC1033" s="167"/>
      <c r="AD1033" s="167"/>
      <c r="AE1033" s="167"/>
      <c r="AF1033" s="167"/>
      <c r="AG1033" s="137"/>
      <c r="AH1033" s="137"/>
      <c r="AI1033" s="137"/>
      <c r="AJ1033" s="137"/>
      <c r="AK1033" s="137"/>
    </row>
    <row r="1034" spans="13:37" ht="13" x14ac:dyDescent="0.15">
      <c r="M1034" s="165"/>
      <c r="N1034" s="165"/>
      <c r="O1034" s="165"/>
      <c r="P1034" s="165"/>
      <c r="Q1034" s="165"/>
      <c r="R1034" s="165"/>
      <c r="S1034" s="166"/>
      <c r="T1034" s="165"/>
      <c r="U1034" s="166"/>
      <c r="W1034" s="166"/>
      <c r="X1034" s="166"/>
      <c r="Y1034" s="166"/>
      <c r="Z1034" s="166"/>
      <c r="AA1034" s="165"/>
      <c r="AB1034" s="167"/>
      <c r="AC1034" s="167"/>
      <c r="AD1034" s="167"/>
      <c r="AE1034" s="167"/>
      <c r="AF1034" s="167"/>
      <c r="AG1034" s="137"/>
      <c r="AH1034" s="137"/>
      <c r="AI1034" s="137"/>
      <c r="AJ1034" s="137"/>
      <c r="AK1034" s="137"/>
    </row>
    <row r="1035" spans="13:37" ht="13" x14ac:dyDescent="0.15">
      <c r="M1035" s="165"/>
      <c r="N1035" s="165"/>
      <c r="O1035" s="165"/>
      <c r="P1035" s="165"/>
      <c r="Q1035" s="165"/>
      <c r="R1035" s="165"/>
      <c r="S1035" s="166"/>
      <c r="T1035" s="165"/>
      <c r="U1035" s="166"/>
      <c r="W1035" s="166"/>
      <c r="X1035" s="166"/>
      <c r="Y1035" s="166"/>
      <c r="Z1035" s="166"/>
      <c r="AA1035" s="165"/>
      <c r="AB1035" s="167"/>
      <c r="AC1035" s="167"/>
      <c r="AD1035" s="167"/>
      <c r="AE1035" s="167"/>
      <c r="AF1035" s="167"/>
      <c r="AG1035" s="137"/>
      <c r="AH1035" s="137"/>
      <c r="AI1035" s="137"/>
      <c r="AJ1035" s="137"/>
      <c r="AK1035" s="137"/>
    </row>
    <row r="1036" spans="13:37" ht="13" x14ac:dyDescent="0.15">
      <c r="M1036" s="165"/>
      <c r="N1036" s="165"/>
      <c r="O1036" s="165"/>
      <c r="P1036" s="165"/>
      <c r="Q1036" s="165"/>
      <c r="R1036" s="165"/>
      <c r="S1036" s="166"/>
      <c r="T1036" s="165"/>
      <c r="U1036" s="166"/>
      <c r="W1036" s="166"/>
      <c r="X1036" s="166"/>
      <c r="Y1036" s="166"/>
      <c r="Z1036" s="167"/>
      <c r="AA1036" s="165"/>
      <c r="AB1036" s="167"/>
      <c r="AC1036" s="167"/>
      <c r="AD1036" s="167"/>
      <c r="AE1036" s="167"/>
      <c r="AF1036" s="167"/>
      <c r="AG1036" s="137"/>
    </row>
    <row r="1037" spans="13:37" ht="13" x14ac:dyDescent="0.15">
      <c r="M1037" s="165"/>
      <c r="N1037" s="165"/>
      <c r="O1037" s="165"/>
      <c r="P1037" s="165"/>
      <c r="Q1037" s="165"/>
      <c r="R1037" s="165"/>
      <c r="S1037" s="166"/>
      <c r="T1037" s="165"/>
      <c r="U1037" s="166"/>
      <c r="W1037" s="166"/>
      <c r="X1037" s="166"/>
      <c r="Y1037" s="166"/>
      <c r="Z1037" s="167"/>
      <c r="AA1037" s="165"/>
      <c r="AB1037" s="167"/>
      <c r="AC1037" s="167"/>
      <c r="AD1037" s="167"/>
      <c r="AE1037" s="167"/>
      <c r="AF1037" s="167"/>
      <c r="AG1037" s="137"/>
    </row>
    <row r="1038" spans="13:37" ht="13" x14ac:dyDescent="0.15">
      <c r="M1038" s="165"/>
      <c r="N1038" s="165"/>
      <c r="O1038" s="165"/>
      <c r="P1038" s="165"/>
      <c r="Q1038" s="165"/>
      <c r="R1038" s="165"/>
      <c r="S1038" s="166"/>
      <c r="T1038" s="165"/>
      <c r="U1038" s="166"/>
      <c r="W1038" s="166"/>
      <c r="X1038" s="166"/>
      <c r="Y1038" s="166"/>
      <c r="Z1038" s="167"/>
      <c r="AA1038" s="165"/>
      <c r="AB1038" s="167"/>
      <c r="AC1038" s="167"/>
      <c r="AD1038" s="167"/>
      <c r="AE1038" s="167"/>
      <c r="AF1038" s="167"/>
      <c r="AG1038" s="137"/>
    </row>
    <row r="1039" spans="13:37" ht="13" x14ac:dyDescent="0.15">
      <c r="M1039" s="165"/>
      <c r="N1039" s="165"/>
      <c r="O1039" s="165"/>
      <c r="P1039" s="165"/>
      <c r="Q1039" s="165"/>
      <c r="R1039" s="165"/>
      <c r="S1039" s="168"/>
      <c r="T1039" s="165"/>
      <c r="U1039" s="166"/>
      <c r="W1039" s="166"/>
      <c r="X1039" s="166"/>
      <c r="Y1039" s="166"/>
      <c r="Z1039" s="167"/>
      <c r="AA1039" s="165"/>
      <c r="AB1039" s="167"/>
      <c r="AC1039" s="167"/>
      <c r="AD1039" s="167"/>
      <c r="AE1039" s="167"/>
      <c r="AF1039" s="167"/>
      <c r="AG1039" s="137"/>
    </row>
    <row r="1040" spans="13:37" ht="13" x14ac:dyDescent="0.15">
      <c r="M1040" s="165"/>
      <c r="N1040" s="165"/>
      <c r="O1040" s="165"/>
      <c r="P1040" s="165"/>
      <c r="Q1040" s="165"/>
      <c r="R1040" s="165"/>
      <c r="S1040" s="168"/>
      <c r="T1040" s="165"/>
      <c r="U1040" s="166"/>
      <c r="W1040" s="166"/>
      <c r="X1040" s="166"/>
      <c r="Y1040" s="166"/>
      <c r="Z1040" s="167"/>
      <c r="AA1040" s="165"/>
      <c r="AB1040" s="167"/>
      <c r="AC1040" s="167"/>
      <c r="AD1040" s="167"/>
      <c r="AE1040" s="167"/>
      <c r="AF1040" s="167"/>
      <c r="AG1040" s="137"/>
    </row>
    <row r="1041" spans="13:37" ht="13" x14ac:dyDescent="0.15">
      <c r="M1041" s="165"/>
      <c r="N1041" s="165"/>
      <c r="O1041" s="165"/>
      <c r="P1041" s="165"/>
      <c r="Q1041" s="165"/>
      <c r="R1041" s="165"/>
      <c r="S1041" s="168"/>
      <c r="T1041" s="165"/>
      <c r="U1041" s="166"/>
      <c r="W1041" s="166"/>
      <c r="X1041" s="166"/>
      <c r="Y1041" s="166"/>
      <c r="Z1041" s="167"/>
      <c r="AA1041" s="165"/>
      <c r="AB1041" s="167"/>
      <c r="AC1041" s="167"/>
      <c r="AD1041" s="167"/>
      <c r="AE1041" s="167"/>
      <c r="AF1041" s="167"/>
      <c r="AG1041" s="137"/>
    </row>
    <row r="1042" spans="13:37" ht="13" x14ac:dyDescent="0.15">
      <c r="M1042" s="165"/>
      <c r="N1042" s="165"/>
      <c r="O1042" s="165"/>
      <c r="P1042" s="165"/>
      <c r="Q1042" s="165"/>
      <c r="R1042" s="165"/>
      <c r="S1042" s="166"/>
      <c r="T1042" s="165"/>
      <c r="U1042" s="166"/>
      <c r="W1042" s="166"/>
      <c r="X1042" s="166"/>
      <c r="Y1042" s="166"/>
      <c r="Z1042" s="167"/>
      <c r="AA1042" s="165"/>
      <c r="AB1042" s="167"/>
      <c r="AC1042" s="167"/>
      <c r="AD1042" s="167"/>
      <c r="AE1042" s="167"/>
      <c r="AF1042" s="167"/>
      <c r="AG1042" s="137"/>
      <c r="AH1042" s="137"/>
      <c r="AI1042" s="137"/>
      <c r="AJ1042" s="137"/>
      <c r="AK1042" s="137"/>
    </row>
    <row r="1043" spans="13:37" ht="13" x14ac:dyDescent="0.15">
      <c r="M1043" s="165"/>
      <c r="N1043" s="165"/>
      <c r="O1043" s="165"/>
      <c r="P1043" s="165"/>
      <c r="Q1043" s="165"/>
      <c r="R1043" s="165"/>
      <c r="S1043" s="166"/>
      <c r="T1043" s="165"/>
      <c r="U1043" s="166"/>
      <c r="W1043" s="166"/>
      <c r="X1043" s="166"/>
      <c r="Y1043" s="166"/>
      <c r="Z1043" s="167"/>
      <c r="AA1043" s="165"/>
      <c r="AB1043" s="167"/>
      <c r="AC1043" s="167"/>
      <c r="AD1043" s="167"/>
      <c r="AE1043" s="167"/>
      <c r="AF1043" s="167"/>
      <c r="AG1043" s="137"/>
      <c r="AH1043" s="137"/>
      <c r="AI1043" s="137"/>
      <c r="AJ1043" s="137"/>
      <c r="AK1043" s="137"/>
    </row>
    <row r="1044" spans="13:37" ht="13" x14ac:dyDescent="0.15">
      <c r="M1044" s="165"/>
      <c r="N1044" s="165"/>
      <c r="O1044" s="165"/>
      <c r="P1044" s="165"/>
      <c r="Q1044" s="165"/>
      <c r="R1044" s="165"/>
      <c r="S1044" s="166"/>
      <c r="T1044" s="165"/>
      <c r="U1044" s="166"/>
      <c r="W1044" s="166"/>
      <c r="X1044" s="166"/>
      <c r="Y1044" s="166"/>
      <c r="Z1044" s="167"/>
      <c r="AA1044" s="165"/>
      <c r="AB1044" s="167"/>
      <c r="AC1044" s="167"/>
      <c r="AD1044" s="167"/>
      <c r="AE1044" s="167"/>
      <c r="AF1044" s="167"/>
      <c r="AG1044" s="137"/>
      <c r="AH1044" s="137"/>
      <c r="AI1044" s="137"/>
      <c r="AJ1044" s="137"/>
      <c r="AK1044" s="137"/>
    </row>
    <row r="1045" spans="13:37" ht="13" x14ac:dyDescent="0.15">
      <c r="M1045" s="165"/>
      <c r="N1045" s="165"/>
      <c r="O1045" s="165"/>
      <c r="P1045" s="165"/>
      <c r="Q1045" s="165"/>
      <c r="R1045" s="165"/>
      <c r="S1045" s="166"/>
      <c r="T1045" s="165"/>
      <c r="U1045" s="166"/>
      <c r="W1045" s="166"/>
      <c r="X1045" s="166"/>
      <c r="Y1045" s="166"/>
      <c r="Z1045" s="167"/>
      <c r="AA1045" s="165"/>
      <c r="AB1045" s="167"/>
      <c r="AC1045" s="167"/>
      <c r="AD1045" s="167"/>
      <c r="AE1045" s="167"/>
      <c r="AF1045" s="167"/>
      <c r="AG1045" s="137"/>
      <c r="AH1045" s="137"/>
      <c r="AI1045" s="137"/>
      <c r="AJ1045" s="137"/>
      <c r="AK1045" s="137"/>
    </row>
    <row r="1046" spans="13:37" ht="13" x14ac:dyDescent="0.15">
      <c r="M1046" s="165"/>
      <c r="N1046" s="165"/>
      <c r="O1046" s="165"/>
      <c r="P1046" s="165"/>
      <c r="Q1046" s="165"/>
      <c r="R1046" s="165"/>
      <c r="S1046" s="166"/>
      <c r="T1046" s="165"/>
      <c r="U1046" s="166"/>
      <c r="W1046" s="166"/>
      <c r="X1046" s="166"/>
      <c r="Y1046" s="166"/>
      <c r="Z1046" s="167"/>
      <c r="AA1046" s="165"/>
      <c r="AB1046" s="167"/>
      <c r="AC1046" s="167"/>
      <c r="AD1046" s="167"/>
      <c r="AE1046" s="167"/>
      <c r="AF1046" s="167"/>
      <c r="AG1046" s="137"/>
      <c r="AH1046" s="137"/>
      <c r="AI1046" s="137"/>
      <c r="AJ1046" s="137"/>
      <c r="AK1046" s="137"/>
    </row>
    <row r="1047" spans="13:37" ht="13" x14ac:dyDescent="0.15">
      <c r="M1047" s="165"/>
      <c r="N1047" s="165"/>
      <c r="O1047" s="165"/>
      <c r="P1047" s="165"/>
      <c r="Q1047" s="165"/>
      <c r="R1047" s="165"/>
      <c r="S1047" s="166"/>
      <c r="T1047" s="165"/>
      <c r="U1047" s="166"/>
      <c r="W1047" s="166"/>
      <c r="X1047" s="166"/>
      <c r="Y1047" s="166"/>
      <c r="Z1047" s="167"/>
      <c r="AA1047" s="165"/>
      <c r="AB1047" s="167"/>
      <c r="AC1047" s="167"/>
      <c r="AD1047" s="167"/>
      <c r="AE1047" s="167"/>
      <c r="AF1047" s="167"/>
      <c r="AG1047" s="137"/>
      <c r="AH1047" s="137"/>
      <c r="AI1047" s="137"/>
      <c r="AJ1047" s="137"/>
      <c r="AK1047" s="137"/>
    </row>
    <row r="1048" spans="13:37" ht="13" x14ac:dyDescent="0.15">
      <c r="M1048" s="165"/>
      <c r="N1048" s="165"/>
      <c r="O1048" s="165"/>
      <c r="P1048" s="165"/>
      <c r="Q1048" s="165"/>
      <c r="R1048" s="165"/>
      <c r="S1048" s="166"/>
      <c r="T1048" s="165"/>
      <c r="U1048" s="166"/>
      <c r="W1048" s="166"/>
      <c r="X1048" s="166"/>
      <c r="Y1048" s="166"/>
      <c r="Z1048" s="167"/>
      <c r="AA1048" s="165"/>
      <c r="AB1048" s="167"/>
      <c r="AC1048" s="167"/>
      <c r="AD1048" s="167"/>
      <c r="AE1048" s="167"/>
      <c r="AF1048" s="167"/>
      <c r="AG1048" s="137"/>
      <c r="AH1048" s="137"/>
      <c r="AI1048" s="137"/>
      <c r="AJ1048" s="137"/>
      <c r="AK1048" s="137"/>
    </row>
    <row r="1049" spans="13:37" ht="13" x14ac:dyDescent="0.15">
      <c r="M1049" s="165"/>
      <c r="N1049" s="165"/>
      <c r="O1049" s="165"/>
      <c r="P1049" s="165"/>
      <c r="Q1049" s="165"/>
      <c r="R1049" s="165"/>
      <c r="S1049" s="166"/>
      <c r="T1049" s="165"/>
      <c r="U1049" s="166"/>
      <c r="W1049" s="166"/>
      <c r="X1049" s="166"/>
      <c r="Y1049" s="166"/>
      <c r="Z1049" s="167"/>
      <c r="AA1049" s="165"/>
      <c r="AB1049" s="167"/>
      <c r="AC1049" s="167"/>
      <c r="AD1049" s="167"/>
      <c r="AE1049" s="167"/>
      <c r="AF1049" s="167"/>
      <c r="AG1049" s="137"/>
      <c r="AH1049" s="137"/>
      <c r="AI1049" s="137"/>
      <c r="AJ1049" s="137"/>
      <c r="AK1049" s="137"/>
    </row>
    <row r="1050" spans="13:37" ht="13" x14ac:dyDescent="0.15">
      <c r="M1050" s="165"/>
      <c r="N1050" s="165"/>
      <c r="O1050" s="165"/>
      <c r="P1050" s="165"/>
      <c r="Q1050" s="165"/>
      <c r="R1050" s="165"/>
      <c r="S1050" s="166"/>
      <c r="T1050" s="165"/>
      <c r="U1050" s="166"/>
      <c r="W1050" s="166"/>
      <c r="X1050" s="166"/>
      <c r="Y1050" s="166"/>
      <c r="Z1050" s="167"/>
      <c r="AA1050" s="165"/>
      <c r="AB1050" s="167"/>
      <c r="AC1050" s="167"/>
      <c r="AD1050" s="167"/>
      <c r="AE1050" s="167"/>
      <c r="AF1050" s="167"/>
      <c r="AG1050" s="137"/>
      <c r="AH1050" s="137"/>
      <c r="AI1050" s="137"/>
      <c r="AJ1050" s="137"/>
      <c r="AK1050" s="137"/>
    </row>
    <row r="1051" spans="13:37" ht="13" x14ac:dyDescent="0.15">
      <c r="M1051" s="165"/>
      <c r="N1051" s="165"/>
      <c r="O1051" s="165"/>
      <c r="P1051" s="165"/>
      <c r="Q1051" s="165"/>
      <c r="R1051" s="165"/>
      <c r="S1051" s="166"/>
      <c r="T1051" s="165"/>
      <c r="U1051" s="166"/>
      <c r="W1051" s="166"/>
      <c r="X1051" s="166"/>
      <c r="Y1051" s="166"/>
      <c r="Z1051" s="167"/>
      <c r="AA1051" s="165"/>
      <c r="AB1051" s="167"/>
      <c r="AC1051" s="167"/>
      <c r="AD1051" s="167"/>
      <c r="AE1051" s="167"/>
      <c r="AF1051" s="167"/>
      <c r="AG1051" s="137"/>
      <c r="AH1051" s="137"/>
      <c r="AI1051" s="137"/>
      <c r="AJ1051" s="137"/>
      <c r="AK1051" s="137"/>
    </row>
    <row r="1052" spans="13:37" ht="13" x14ac:dyDescent="0.15">
      <c r="M1052" s="165"/>
      <c r="N1052" s="165"/>
      <c r="O1052" s="165"/>
      <c r="P1052" s="165"/>
      <c r="Q1052" s="165"/>
      <c r="R1052" s="165"/>
      <c r="S1052" s="166"/>
      <c r="T1052" s="165"/>
      <c r="U1052" s="166"/>
      <c r="W1052" s="166"/>
      <c r="X1052" s="166"/>
      <c r="Y1052" s="166"/>
      <c r="Z1052" s="167"/>
      <c r="AA1052" s="165"/>
      <c r="AB1052" s="167"/>
      <c r="AC1052" s="167"/>
      <c r="AD1052" s="167"/>
      <c r="AE1052" s="167"/>
      <c r="AF1052" s="167"/>
      <c r="AG1052" s="137"/>
      <c r="AH1052" s="137"/>
      <c r="AI1052" s="137"/>
      <c r="AJ1052" s="137"/>
      <c r="AK1052" s="137"/>
    </row>
    <row r="1053" spans="13:37" ht="13" x14ac:dyDescent="0.15">
      <c r="M1053" s="165"/>
      <c r="N1053" s="165"/>
      <c r="O1053" s="165"/>
      <c r="P1053" s="165"/>
      <c r="Q1053" s="165"/>
      <c r="R1053" s="165"/>
      <c r="S1053" s="166"/>
      <c r="T1053" s="165"/>
      <c r="U1053" s="166"/>
      <c r="W1053" s="166"/>
      <c r="X1053" s="166"/>
      <c r="Y1053" s="166"/>
      <c r="Z1053" s="167"/>
      <c r="AA1053" s="165"/>
      <c r="AB1053" s="167"/>
      <c r="AC1053" s="167"/>
      <c r="AD1053" s="167"/>
      <c r="AE1053" s="167"/>
      <c r="AF1053" s="167"/>
      <c r="AG1053" s="137"/>
      <c r="AH1053" s="137"/>
      <c r="AI1053" s="137"/>
      <c r="AJ1053" s="137"/>
      <c r="AK1053" s="137"/>
    </row>
    <row r="1054" spans="13:37" ht="13" x14ac:dyDescent="0.15">
      <c r="M1054" s="165"/>
      <c r="N1054" s="165"/>
      <c r="O1054" s="165"/>
      <c r="P1054" s="165"/>
      <c r="Q1054" s="165"/>
      <c r="R1054" s="165"/>
      <c r="S1054" s="166"/>
      <c r="T1054" s="165"/>
      <c r="U1054" s="166"/>
      <c r="W1054" s="166"/>
      <c r="X1054" s="166"/>
      <c r="Y1054" s="166"/>
      <c r="Z1054" s="167"/>
      <c r="AA1054" s="165"/>
      <c r="AB1054" s="167"/>
      <c r="AC1054" s="167"/>
      <c r="AD1054" s="167"/>
      <c r="AE1054" s="167"/>
      <c r="AF1054" s="167"/>
      <c r="AG1054" s="137"/>
      <c r="AH1054" s="137"/>
      <c r="AI1054" s="137"/>
      <c r="AJ1054" s="137"/>
      <c r="AK1054" s="137"/>
    </row>
    <row r="1055" spans="13:37" ht="13" x14ac:dyDescent="0.15">
      <c r="M1055" s="165"/>
      <c r="N1055" s="165"/>
      <c r="O1055" s="165"/>
      <c r="P1055" s="165"/>
      <c r="Q1055" s="165"/>
      <c r="R1055" s="165"/>
      <c r="S1055" s="166"/>
      <c r="T1055" s="165"/>
      <c r="U1055" s="166"/>
      <c r="W1055" s="166"/>
      <c r="X1055" s="166"/>
      <c r="Y1055" s="166"/>
      <c r="Z1055" s="167"/>
      <c r="AA1055" s="165"/>
      <c r="AB1055" s="167"/>
      <c r="AC1055" s="167"/>
      <c r="AD1055" s="167"/>
      <c r="AE1055" s="167"/>
      <c r="AF1055" s="167"/>
      <c r="AG1055" s="137"/>
      <c r="AH1055" s="137"/>
      <c r="AI1055" s="137"/>
      <c r="AJ1055" s="137"/>
      <c r="AK1055" s="137"/>
    </row>
    <row r="1056" spans="13:37" ht="13" x14ac:dyDescent="0.15">
      <c r="M1056" s="165"/>
      <c r="N1056" s="165"/>
      <c r="O1056" s="165"/>
      <c r="P1056" s="165"/>
      <c r="Q1056" s="165"/>
      <c r="R1056" s="165"/>
      <c r="S1056" s="166"/>
      <c r="T1056" s="165"/>
      <c r="U1056" s="166"/>
      <c r="W1056" s="166"/>
      <c r="X1056" s="166"/>
      <c r="Y1056" s="166"/>
      <c r="Z1056" s="167"/>
      <c r="AA1056" s="165"/>
      <c r="AB1056" s="167"/>
      <c r="AC1056" s="167"/>
      <c r="AD1056" s="167"/>
      <c r="AE1056" s="167"/>
      <c r="AF1056" s="167"/>
      <c r="AG1056" s="137"/>
      <c r="AH1056" s="137"/>
      <c r="AI1056" s="137"/>
      <c r="AJ1056" s="137"/>
      <c r="AK1056" s="137"/>
    </row>
    <row r="1057" spans="13:37" ht="13" x14ac:dyDescent="0.15">
      <c r="M1057" s="165"/>
      <c r="N1057" s="165"/>
      <c r="O1057" s="165"/>
      <c r="P1057" s="165"/>
      <c r="Q1057" s="165"/>
      <c r="R1057" s="165"/>
      <c r="S1057" s="166"/>
      <c r="T1057" s="165"/>
      <c r="U1057" s="166"/>
      <c r="W1057" s="166"/>
      <c r="X1057" s="166"/>
      <c r="Y1057" s="166"/>
      <c r="Z1057" s="167"/>
      <c r="AA1057" s="165"/>
      <c r="AB1057" s="167"/>
      <c r="AC1057" s="167"/>
      <c r="AD1057" s="167"/>
      <c r="AE1057" s="167"/>
      <c r="AF1057" s="167"/>
      <c r="AG1057" s="137"/>
      <c r="AH1057" s="137"/>
      <c r="AI1057" s="137"/>
      <c r="AJ1057" s="137"/>
      <c r="AK1057" s="137"/>
    </row>
    <row r="1058" spans="13:37" ht="13" x14ac:dyDescent="0.15">
      <c r="M1058" s="165"/>
      <c r="N1058" s="165"/>
      <c r="O1058" s="165"/>
      <c r="P1058" s="165"/>
      <c r="Q1058" s="165"/>
      <c r="R1058" s="165"/>
      <c r="S1058" s="168"/>
      <c r="T1058" s="165"/>
      <c r="U1058" s="166"/>
      <c r="W1058" s="166"/>
      <c r="X1058" s="166"/>
      <c r="Y1058" s="166"/>
      <c r="Z1058" s="167"/>
      <c r="AA1058" s="165"/>
      <c r="AB1058" s="167"/>
      <c r="AC1058" s="167"/>
      <c r="AD1058" s="167"/>
      <c r="AE1058" s="167"/>
      <c r="AF1058" s="167"/>
      <c r="AG1058" s="137"/>
      <c r="AH1058" s="137"/>
      <c r="AI1058" s="137"/>
      <c r="AJ1058" s="137"/>
      <c r="AK1058" s="137"/>
    </row>
    <row r="1059" spans="13:37" ht="13" x14ac:dyDescent="0.15">
      <c r="M1059" s="165"/>
      <c r="N1059" s="165"/>
      <c r="O1059" s="165"/>
      <c r="P1059" s="165"/>
      <c r="Q1059" s="165"/>
      <c r="R1059" s="165"/>
      <c r="S1059" s="166"/>
      <c r="T1059" s="165"/>
      <c r="U1059" s="166"/>
      <c r="W1059" s="166"/>
      <c r="X1059" s="166"/>
      <c r="Y1059" s="166"/>
      <c r="Z1059" s="167"/>
      <c r="AA1059" s="165"/>
      <c r="AB1059" s="167"/>
      <c r="AC1059" s="167"/>
      <c r="AD1059" s="167"/>
      <c r="AE1059" s="167"/>
      <c r="AF1059" s="167"/>
      <c r="AG1059" s="137"/>
      <c r="AH1059" s="137"/>
      <c r="AI1059" s="137"/>
      <c r="AJ1059" s="137"/>
      <c r="AK1059" s="137"/>
    </row>
    <row r="1060" spans="13:37" ht="13" x14ac:dyDescent="0.15">
      <c r="M1060" s="165"/>
      <c r="N1060" s="165"/>
      <c r="O1060" s="165"/>
      <c r="P1060" s="165"/>
      <c r="Q1060" s="165"/>
      <c r="R1060" s="165"/>
      <c r="S1060" s="166"/>
      <c r="T1060" s="165"/>
      <c r="U1060" s="166"/>
      <c r="W1060" s="166"/>
      <c r="X1060" s="166"/>
      <c r="Y1060" s="166"/>
      <c r="Z1060" s="167"/>
      <c r="AA1060" s="165"/>
      <c r="AB1060" s="167"/>
      <c r="AC1060" s="167"/>
      <c r="AD1060" s="167"/>
      <c r="AE1060" s="167"/>
      <c r="AF1060" s="167"/>
      <c r="AG1060" s="137"/>
      <c r="AH1060" s="137"/>
      <c r="AI1060" s="137"/>
      <c r="AJ1060" s="137"/>
      <c r="AK1060" s="137"/>
    </row>
    <row r="1061" spans="13:37" ht="13" x14ac:dyDescent="0.15">
      <c r="M1061" s="165"/>
      <c r="N1061" s="165"/>
      <c r="O1061" s="165"/>
      <c r="P1061" s="165"/>
      <c r="Q1061" s="165"/>
      <c r="R1061" s="165"/>
      <c r="S1061" s="166"/>
      <c r="T1061" s="165"/>
      <c r="U1061" s="166"/>
      <c r="W1061" s="166"/>
      <c r="X1061" s="166"/>
      <c r="Y1061" s="166"/>
      <c r="Z1061" s="167"/>
      <c r="AA1061" s="165"/>
      <c r="AB1061" s="167"/>
      <c r="AC1061" s="167"/>
      <c r="AD1061" s="167"/>
      <c r="AE1061" s="167"/>
      <c r="AF1061" s="167"/>
      <c r="AG1061" s="137"/>
      <c r="AH1061" s="137"/>
      <c r="AI1061" s="137"/>
      <c r="AJ1061" s="137"/>
      <c r="AK1061" s="137"/>
    </row>
    <row r="1062" spans="13:37" ht="13" x14ac:dyDescent="0.15">
      <c r="M1062" s="165"/>
      <c r="N1062" s="165"/>
      <c r="O1062" s="165"/>
      <c r="P1062" s="165"/>
      <c r="Q1062" s="165"/>
      <c r="R1062" s="165"/>
      <c r="S1062" s="166"/>
      <c r="T1062" s="165"/>
      <c r="U1062" s="166"/>
      <c r="W1062" s="166"/>
      <c r="X1062" s="166"/>
      <c r="Y1062" s="166"/>
      <c r="Z1062" s="167"/>
      <c r="AA1062" s="165"/>
      <c r="AB1062" s="167"/>
      <c r="AC1062" s="167"/>
      <c r="AD1062" s="167"/>
      <c r="AE1062" s="167"/>
      <c r="AF1062" s="167"/>
      <c r="AG1062" s="137"/>
      <c r="AH1062" s="137"/>
      <c r="AI1062" s="137"/>
      <c r="AJ1062" s="137"/>
      <c r="AK1062" s="137"/>
    </row>
    <row r="1063" spans="13:37" ht="13" x14ac:dyDescent="0.15">
      <c r="M1063" s="165"/>
      <c r="N1063" s="165"/>
      <c r="O1063" s="165"/>
      <c r="P1063" s="165"/>
      <c r="Q1063" s="165"/>
      <c r="R1063" s="165"/>
      <c r="S1063" s="166"/>
      <c r="T1063" s="165"/>
      <c r="U1063" s="166"/>
      <c r="W1063" s="166"/>
      <c r="X1063" s="166"/>
      <c r="Y1063" s="166"/>
      <c r="Z1063" s="167"/>
      <c r="AA1063" s="165"/>
      <c r="AB1063" s="167"/>
      <c r="AC1063" s="167"/>
      <c r="AD1063" s="167"/>
      <c r="AE1063" s="167"/>
      <c r="AF1063" s="167"/>
      <c r="AG1063" s="137"/>
      <c r="AH1063" s="137"/>
      <c r="AI1063" s="137"/>
      <c r="AJ1063" s="137"/>
      <c r="AK1063" s="137"/>
    </row>
    <row r="1064" spans="13:37" ht="13" x14ac:dyDescent="0.15">
      <c r="M1064" s="165"/>
      <c r="N1064" s="165"/>
      <c r="O1064" s="165"/>
      <c r="P1064" s="165"/>
      <c r="Q1064" s="165"/>
      <c r="R1064" s="165"/>
      <c r="S1064" s="166"/>
      <c r="T1064" s="165"/>
      <c r="U1064" s="166"/>
      <c r="W1064" s="166"/>
      <c r="X1064" s="166"/>
      <c r="Y1064" s="166"/>
      <c r="Z1064" s="167"/>
      <c r="AA1064" s="165"/>
      <c r="AB1064" s="167"/>
      <c r="AC1064" s="167"/>
      <c r="AD1064" s="167"/>
      <c r="AE1064" s="167"/>
      <c r="AF1064" s="167"/>
      <c r="AG1064" s="137"/>
      <c r="AH1064" s="137"/>
      <c r="AI1064" s="137"/>
      <c r="AJ1064" s="137"/>
      <c r="AK1064" s="137"/>
    </row>
    <row r="1065" spans="13:37" ht="13" x14ac:dyDescent="0.15">
      <c r="M1065" s="165"/>
      <c r="N1065" s="165"/>
      <c r="O1065" s="165"/>
      <c r="P1065" s="165"/>
      <c r="Q1065" s="165"/>
      <c r="R1065" s="165"/>
      <c r="S1065" s="166"/>
      <c r="T1065" s="165"/>
      <c r="U1065" s="166"/>
      <c r="W1065" s="166"/>
      <c r="X1065" s="166"/>
      <c r="Y1065" s="166"/>
      <c r="Z1065" s="167"/>
      <c r="AA1065" s="165"/>
      <c r="AB1065" s="167"/>
      <c r="AC1065" s="167"/>
      <c r="AD1065" s="167"/>
      <c r="AE1065" s="167"/>
      <c r="AF1065" s="167"/>
      <c r="AG1065" s="137"/>
      <c r="AI1065" s="137"/>
      <c r="AJ1065" s="137"/>
      <c r="AK1065" s="137"/>
    </row>
    <row r="1066" spans="13:37" ht="13" x14ac:dyDescent="0.15">
      <c r="M1066" s="165"/>
      <c r="N1066" s="165"/>
      <c r="O1066" s="165"/>
      <c r="P1066" s="165"/>
      <c r="Q1066" s="165"/>
      <c r="R1066" s="165"/>
      <c r="S1066" s="166"/>
      <c r="T1066" s="165"/>
      <c r="U1066" s="166"/>
      <c r="W1066" s="166"/>
      <c r="X1066" s="166"/>
      <c r="Y1066" s="166"/>
      <c r="Z1066" s="167"/>
      <c r="AA1066" s="165"/>
      <c r="AB1066" s="167"/>
      <c r="AC1066" s="167"/>
      <c r="AD1066" s="167"/>
      <c r="AE1066" s="167"/>
      <c r="AF1066" s="167"/>
      <c r="AG1066" s="137"/>
      <c r="AI1066" s="137"/>
      <c r="AJ1066" s="137"/>
      <c r="AK1066" s="137"/>
    </row>
    <row r="1067" spans="13:37" ht="13" x14ac:dyDescent="0.15">
      <c r="M1067" s="165"/>
      <c r="N1067" s="165"/>
      <c r="O1067" s="165"/>
      <c r="P1067" s="165"/>
      <c r="Q1067" s="165"/>
      <c r="R1067" s="165"/>
      <c r="S1067" s="166"/>
      <c r="T1067" s="165"/>
      <c r="U1067" s="166"/>
      <c r="W1067" s="166"/>
      <c r="X1067" s="166"/>
      <c r="Y1067" s="166"/>
      <c r="Z1067" s="167"/>
      <c r="AA1067" s="165"/>
      <c r="AB1067" s="167"/>
      <c r="AC1067" s="167"/>
      <c r="AD1067" s="167"/>
      <c r="AE1067" s="167"/>
      <c r="AF1067" s="167"/>
      <c r="AG1067" s="137"/>
      <c r="AH1067" s="137"/>
      <c r="AI1067" s="137"/>
      <c r="AJ1067" s="137"/>
      <c r="AK1067" s="137"/>
    </row>
    <row r="1068" spans="13:37" ht="13" x14ac:dyDescent="0.15">
      <c r="M1068" s="165"/>
      <c r="N1068" s="165"/>
      <c r="O1068" s="165"/>
      <c r="P1068" s="165"/>
      <c r="Q1068" s="165"/>
      <c r="R1068" s="165"/>
      <c r="S1068" s="166"/>
      <c r="T1068" s="165"/>
      <c r="U1068" s="166"/>
      <c r="W1068" s="166"/>
      <c r="X1068" s="166"/>
      <c r="Y1068" s="166"/>
      <c r="Z1068" s="167"/>
      <c r="AA1068" s="165"/>
      <c r="AB1068" s="167"/>
      <c r="AC1068" s="167"/>
      <c r="AD1068" s="167"/>
      <c r="AE1068" s="167"/>
      <c r="AF1068" s="167"/>
      <c r="AG1068" s="137"/>
    </row>
    <row r="1069" spans="13:37" ht="13" x14ac:dyDescent="0.15">
      <c r="M1069" s="165"/>
      <c r="N1069" s="165"/>
      <c r="O1069" s="165"/>
      <c r="P1069" s="165"/>
      <c r="Q1069" s="165"/>
      <c r="R1069" s="165"/>
      <c r="S1069" s="166"/>
      <c r="T1069" s="165"/>
      <c r="U1069" s="166"/>
      <c r="W1069" s="166"/>
      <c r="X1069" s="166"/>
      <c r="Y1069" s="166"/>
      <c r="Z1069" s="167"/>
      <c r="AA1069" s="165"/>
      <c r="AB1069" s="167"/>
      <c r="AC1069" s="167"/>
      <c r="AD1069" s="167"/>
      <c r="AE1069" s="167"/>
      <c r="AF1069" s="167"/>
      <c r="AG1069" s="137"/>
    </row>
    <row r="1070" spans="13:37" ht="13" x14ac:dyDescent="0.15">
      <c r="M1070" s="165"/>
      <c r="N1070" s="165"/>
      <c r="O1070" s="165"/>
      <c r="P1070" s="165"/>
      <c r="Q1070" s="165"/>
      <c r="R1070" s="165"/>
      <c r="S1070" s="166"/>
      <c r="T1070" s="165"/>
      <c r="U1070" s="166"/>
      <c r="W1070" s="166"/>
      <c r="X1070" s="166"/>
      <c r="Y1070" s="166"/>
      <c r="Z1070" s="167"/>
      <c r="AA1070" s="165"/>
      <c r="AB1070" s="167"/>
      <c r="AC1070" s="167"/>
      <c r="AD1070" s="167"/>
      <c r="AE1070" s="167"/>
      <c r="AF1070" s="167"/>
      <c r="AG1070" s="137"/>
    </row>
    <row r="1071" spans="13:37" ht="13" x14ac:dyDescent="0.15">
      <c r="M1071" s="165"/>
      <c r="N1071" s="165"/>
      <c r="O1071" s="165"/>
      <c r="P1071" s="165"/>
      <c r="Q1071" s="165"/>
      <c r="R1071" s="165"/>
      <c r="S1071" s="166"/>
      <c r="T1071" s="165"/>
      <c r="U1071" s="166"/>
      <c r="W1071" s="166"/>
      <c r="X1071" s="166"/>
      <c r="Y1071" s="166"/>
      <c r="Z1071" s="167"/>
      <c r="AA1071" s="165"/>
      <c r="AB1071" s="167"/>
      <c r="AC1071" s="167"/>
      <c r="AD1071" s="167"/>
      <c r="AE1071" s="167"/>
      <c r="AF1071" s="167"/>
      <c r="AG1071" s="137"/>
    </row>
    <row r="1072" spans="13:37" ht="13" x14ac:dyDescent="0.15">
      <c r="M1072" s="165"/>
      <c r="N1072" s="165"/>
      <c r="O1072" s="165"/>
      <c r="P1072" s="165"/>
      <c r="Q1072" s="165"/>
      <c r="R1072" s="165"/>
      <c r="S1072" s="166"/>
      <c r="T1072" s="165"/>
      <c r="U1072" s="166"/>
      <c r="W1072" s="166"/>
      <c r="X1072" s="166"/>
      <c r="Y1072" s="166"/>
      <c r="Z1072" s="167"/>
      <c r="AA1072" s="165"/>
      <c r="AB1072" s="167"/>
      <c r="AC1072" s="167"/>
      <c r="AD1072" s="167"/>
      <c r="AE1072" s="167"/>
      <c r="AF1072" s="167"/>
      <c r="AG1072" s="137"/>
      <c r="AH1072" s="137"/>
      <c r="AI1072" s="137"/>
      <c r="AJ1072" s="137"/>
      <c r="AK1072" s="137"/>
    </row>
    <row r="1073" spans="13:37" ht="13" x14ac:dyDescent="0.15">
      <c r="M1073" s="165"/>
      <c r="N1073" s="165"/>
      <c r="O1073" s="165"/>
      <c r="P1073" s="165"/>
      <c r="Q1073" s="165"/>
      <c r="R1073" s="165"/>
      <c r="S1073" s="166"/>
      <c r="T1073" s="165"/>
      <c r="U1073" s="166"/>
      <c r="W1073" s="166"/>
      <c r="X1073" s="166"/>
      <c r="Y1073" s="166"/>
      <c r="Z1073" s="167"/>
      <c r="AA1073" s="165"/>
      <c r="AB1073" s="167"/>
      <c r="AC1073" s="167"/>
      <c r="AD1073" s="167"/>
      <c r="AE1073" s="167"/>
      <c r="AF1073" s="167"/>
      <c r="AG1073" s="137"/>
      <c r="AH1073" s="137"/>
      <c r="AI1073" s="137"/>
      <c r="AJ1073" s="137"/>
      <c r="AK1073" s="137"/>
    </row>
    <row r="1074" spans="13:37" ht="13" x14ac:dyDescent="0.15">
      <c r="M1074" s="165"/>
      <c r="N1074" s="165"/>
      <c r="O1074" s="165"/>
      <c r="P1074" s="165"/>
      <c r="Q1074" s="165"/>
      <c r="R1074" s="165"/>
      <c r="S1074" s="166"/>
      <c r="T1074" s="165"/>
      <c r="U1074" s="166"/>
      <c r="W1074" s="166"/>
      <c r="X1074" s="166"/>
      <c r="Y1074" s="166"/>
      <c r="Z1074" s="167"/>
      <c r="AA1074" s="165"/>
      <c r="AB1074" s="167"/>
      <c r="AC1074" s="167"/>
      <c r="AD1074" s="167"/>
      <c r="AE1074" s="167"/>
      <c r="AF1074" s="167"/>
      <c r="AG1074" s="137"/>
      <c r="AH1074" s="137"/>
      <c r="AI1074" s="137"/>
      <c r="AJ1074" s="137"/>
      <c r="AK1074" s="137"/>
    </row>
    <row r="1075" spans="13:37" ht="13" x14ac:dyDescent="0.15">
      <c r="M1075" s="165"/>
      <c r="N1075" s="165"/>
      <c r="O1075" s="165"/>
      <c r="P1075" s="165"/>
      <c r="Q1075" s="165"/>
      <c r="R1075" s="165"/>
      <c r="S1075" s="166"/>
      <c r="T1075" s="165"/>
      <c r="U1075" s="166"/>
      <c r="W1075" s="166"/>
      <c r="X1075" s="166"/>
      <c r="Y1075" s="166"/>
      <c r="Z1075" s="167"/>
      <c r="AA1075" s="165"/>
      <c r="AB1075" s="167"/>
      <c r="AC1075" s="167"/>
      <c r="AD1075" s="167"/>
      <c r="AE1075" s="167"/>
      <c r="AF1075" s="167"/>
      <c r="AG1075" s="137"/>
      <c r="AH1075" s="137"/>
      <c r="AI1075" s="137"/>
      <c r="AJ1075" s="137"/>
      <c r="AK1075" s="137"/>
    </row>
    <row r="1076" spans="13:37" ht="13" x14ac:dyDescent="0.15">
      <c r="M1076" s="165"/>
      <c r="N1076" s="165"/>
      <c r="O1076" s="165"/>
      <c r="P1076" s="165"/>
      <c r="Q1076" s="165"/>
      <c r="R1076" s="165"/>
      <c r="S1076" s="166"/>
      <c r="T1076" s="165"/>
      <c r="U1076" s="166"/>
      <c r="W1076" s="166"/>
      <c r="X1076" s="166"/>
      <c r="Y1076" s="166"/>
      <c r="Z1076" s="166"/>
      <c r="AA1076" s="165"/>
      <c r="AB1076" s="167"/>
      <c r="AC1076" s="167"/>
      <c r="AD1076" s="167"/>
      <c r="AE1076" s="167"/>
      <c r="AF1076" s="167"/>
      <c r="AG1076" s="137"/>
      <c r="AH1076" s="137"/>
      <c r="AI1076" s="137"/>
      <c r="AJ1076" s="137"/>
      <c r="AK1076" s="137"/>
    </row>
    <row r="1077" spans="13:37" ht="13" x14ac:dyDescent="0.15">
      <c r="M1077" s="165"/>
      <c r="N1077" s="165"/>
      <c r="O1077" s="165"/>
      <c r="P1077" s="165"/>
      <c r="Q1077" s="165"/>
      <c r="R1077" s="165"/>
      <c r="S1077" s="166"/>
      <c r="T1077" s="165"/>
      <c r="U1077" s="166"/>
      <c r="W1077" s="166"/>
      <c r="X1077" s="166"/>
      <c r="Y1077" s="166"/>
      <c r="Z1077" s="166"/>
      <c r="AA1077" s="165"/>
      <c r="AB1077" s="167"/>
      <c r="AC1077" s="167"/>
      <c r="AD1077" s="167"/>
      <c r="AE1077" s="167"/>
      <c r="AF1077" s="167"/>
      <c r="AG1077" s="137"/>
      <c r="AH1077" s="137"/>
      <c r="AI1077" s="137"/>
      <c r="AJ1077" s="137"/>
      <c r="AK1077" s="137"/>
    </row>
    <row r="1078" spans="13:37" ht="13" x14ac:dyDescent="0.15">
      <c r="M1078" s="165"/>
      <c r="N1078" s="165"/>
      <c r="O1078" s="165"/>
      <c r="P1078" s="165"/>
      <c r="Q1078" s="165"/>
      <c r="R1078" s="165"/>
      <c r="S1078" s="166"/>
      <c r="T1078" s="165"/>
      <c r="U1078" s="166"/>
      <c r="W1078" s="166"/>
      <c r="X1078" s="166"/>
      <c r="Y1078" s="166"/>
      <c r="Z1078" s="166"/>
      <c r="AA1078" s="165"/>
      <c r="AB1078" s="167"/>
      <c r="AC1078" s="167"/>
      <c r="AD1078" s="167"/>
      <c r="AE1078" s="167"/>
      <c r="AF1078" s="167"/>
      <c r="AG1078" s="137"/>
      <c r="AH1078" s="137"/>
      <c r="AI1078" s="137"/>
      <c r="AJ1078" s="137"/>
      <c r="AK1078" s="137"/>
    </row>
    <row r="1079" spans="13:37" ht="13" x14ac:dyDescent="0.15">
      <c r="M1079" s="165"/>
      <c r="N1079" s="165"/>
      <c r="O1079" s="165"/>
      <c r="P1079" s="165"/>
      <c r="Q1079" s="165"/>
      <c r="R1079" s="165"/>
      <c r="S1079" s="166"/>
      <c r="T1079" s="165"/>
      <c r="U1079" s="166"/>
      <c r="W1079" s="166"/>
      <c r="X1079" s="166"/>
      <c r="Y1079" s="166"/>
      <c r="Z1079" s="166"/>
      <c r="AA1079" s="165"/>
      <c r="AB1079" s="167"/>
      <c r="AC1079" s="167"/>
      <c r="AD1079" s="167"/>
      <c r="AE1079" s="167"/>
      <c r="AF1079" s="167"/>
      <c r="AG1079" s="137"/>
      <c r="AH1079" s="137"/>
      <c r="AI1079" s="137"/>
      <c r="AJ1079" s="137"/>
      <c r="AK1079" s="137"/>
    </row>
    <row r="1080" spans="13:37" ht="13" x14ac:dyDescent="0.15">
      <c r="M1080" s="165"/>
      <c r="N1080" s="165"/>
      <c r="O1080" s="165"/>
      <c r="P1080" s="165"/>
      <c r="Q1080" s="165"/>
      <c r="R1080" s="165"/>
      <c r="S1080" s="166"/>
      <c r="T1080" s="165"/>
      <c r="U1080" s="166"/>
      <c r="W1080" s="166"/>
      <c r="X1080" s="166"/>
      <c r="Y1080" s="166"/>
      <c r="Z1080" s="167"/>
      <c r="AA1080" s="165"/>
      <c r="AB1080" s="167"/>
      <c r="AC1080" s="167"/>
      <c r="AD1080" s="167"/>
      <c r="AE1080" s="167"/>
      <c r="AF1080" s="167"/>
      <c r="AG1080" s="137"/>
      <c r="AH1080" s="137"/>
      <c r="AI1080" s="137"/>
      <c r="AJ1080" s="137"/>
      <c r="AK1080" s="137"/>
    </row>
    <row r="1081" spans="13:37" ht="13" x14ac:dyDescent="0.15">
      <c r="M1081" s="165"/>
      <c r="N1081" s="165"/>
      <c r="O1081" s="165"/>
      <c r="P1081" s="165"/>
      <c r="Q1081" s="165"/>
      <c r="R1081" s="165"/>
      <c r="S1081" s="166"/>
      <c r="T1081" s="165"/>
      <c r="U1081" s="166"/>
      <c r="W1081" s="166"/>
      <c r="X1081" s="166"/>
      <c r="Y1081" s="166"/>
      <c r="Z1081" s="167"/>
      <c r="AA1081" s="165"/>
      <c r="AB1081" s="167"/>
      <c r="AC1081" s="167"/>
      <c r="AD1081" s="167"/>
      <c r="AE1081" s="167"/>
      <c r="AF1081" s="167"/>
      <c r="AG1081" s="137"/>
      <c r="AH1081" s="137"/>
      <c r="AI1081" s="137"/>
      <c r="AJ1081" s="137"/>
      <c r="AK1081" s="137"/>
    </row>
    <row r="1082" spans="13:37" ht="13" x14ac:dyDescent="0.15">
      <c r="M1082" s="165"/>
      <c r="N1082" s="165"/>
      <c r="O1082" s="165"/>
      <c r="P1082" s="165"/>
      <c r="Q1082" s="165"/>
      <c r="R1082" s="165"/>
      <c r="S1082" s="166"/>
      <c r="T1082" s="165"/>
      <c r="U1082" s="166"/>
      <c r="W1082" s="166"/>
      <c r="X1082" s="166"/>
      <c r="Y1082" s="166"/>
      <c r="Z1082" s="167"/>
      <c r="AA1082" s="165"/>
      <c r="AB1082" s="167"/>
      <c r="AC1082" s="167"/>
      <c r="AD1082" s="167"/>
      <c r="AE1082" s="167"/>
      <c r="AF1082" s="167"/>
      <c r="AG1082" s="137"/>
      <c r="AH1082" s="137"/>
      <c r="AI1082" s="137"/>
      <c r="AJ1082" s="137"/>
      <c r="AK1082" s="137"/>
    </row>
    <row r="1083" spans="13:37" ht="13" x14ac:dyDescent="0.15">
      <c r="M1083" s="165"/>
      <c r="N1083" s="165"/>
      <c r="O1083" s="165"/>
      <c r="P1083" s="165"/>
      <c r="Q1083" s="165"/>
      <c r="R1083" s="165"/>
      <c r="S1083" s="166"/>
      <c r="T1083" s="165"/>
      <c r="U1083" s="166"/>
      <c r="W1083" s="166"/>
      <c r="X1083" s="166"/>
      <c r="Y1083" s="166"/>
      <c r="Z1083" s="167"/>
      <c r="AA1083" s="165"/>
      <c r="AB1083" s="167"/>
      <c r="AC1083" s="167"/>
      <c r="AD1083" s="167"/>
      <c r="AE1083" s="167"/>
      <c r="AF1083" s="167"/>
      <c r="AG1083" s="137"/>
      <c r="AH1083" s="137"/>
      <c r="AI1083" s="137"/>
      <c r="AJ1083" s="137"/>
      <c r="AK1083" s="137"/>
    </row>
    <row r="1084" spans="13:37" ht="13" x14ac:dyDescent="0.15">
      <c r="O1084" s="165"/>
      <c r="P1084" s="165"/>
      <c r="Q1084" s="165"/>
      <c r="R1084" s="165"/>
      <c r="S1084" s="166"/>
      <c r="T1084" s="165"/>
      <c r="U1084" s="166"/>
      <c r="V1084" s="165"/>
      <c r="W1084" s="166"/>
      <c r="X1084" s="166"/>
      <c r="Y1084" s="166"/>
      <c r="Z1084" s="167"/>
      <c r="AA1084" s="165"/>
      <c r="AB1084" s="167"/>
      <c r="AC1084" s="167"/>
      <c r="AD1084" s="167"/>
      <c r="AE1084" s="167"/>
      <c r="AF1084" s="167"/>
      <c r="AG1084" s="137"/>
      <c r="AH1084" s="167"/>
      <c r="AI1084" s="167"/>
      <c r="AJ1084" s="167"/>
      <c r="AK1084" s="137"/>
    </row>
    <row r="1085" spans="13:37" ht="13" x14ac:dyDescent="0.15">
      <c r="M1085" s="165"/>
      <c r="N1085" s="165"/>
      <c r="O1085" s="165"/>
      <c r="P1085" s="165"/>
      <c r="Q1085" s="165"/>
      <c r="R1085" s="165"/>
      <c r="S1085" s="166"/>
      <c r="T1085" s="165"/>
      <c r="U1085" s="166"/>
      <c r="W1085" s="166"/>
      <c r="X1085" s="166"/>
      <c r="Y1085" s="166"/>
      <c r="Z1085" s="167"/>
      <c r="AA1085" s="165"/>
      <c r="AB1085" s="167"/>
      <c r="AC1085" s="167"/>
      <c r="AD1085" s="167"/>
      <c r="AE1085" s="167"/>
      <c r="AF1085" s="167"/>
      <c r="AG1085" s="137"/>
      <c r="AH1085" s="137"/>
      <c r="AI1085" s="137"/>
      <c r="AJ1085" s="137"/>
      <c r="AK1085" s="137"/>
    </row>
    <row r="1086" spans="13:37" ht="13" x14ac:dyDescent="0.15">
      <c r="M1086" s="165"/>
      <c r="N1086" s="165"/>
      <c r="O1086" s="165"/>
      <c r="P1086" s="165"/>
      <c r="Q1086" s="165"/>
      <c r="R1086" s="165"/>
      <c r="S1086" s="166"/>
      <c r="T1086" s="165"/>
      <c r="U1086" s="166"/>
      <c r="W1086" s="166"/>
      <c r="X1086" s="166"/>
      <c r="Y1086" s="166"/>
      <c r="Z1086" s="167"/>
      <c r="AA1086" s="165"/>
      <c r="AB1086" s="167"/>
      <c r="AC1086" s="167"/>
      <c r="AD1086" s="167"/>
      <c r="AE1086" s="167"/>
      <c r="AF1086" s="167"/>
      <c r="AG1086" s="137"/>
      <c r="AH1086" s="137"/>
      <c r="AI1086" s="137"/>
      <c r="AJ1086" s="137"/>
      <c r="AK1086" s="137"/>
    </row>
    <row r="1087" spans="13:37" ht="13" x14ac:dyDescent="0.15">
      <c r="M1087" s="165"/>
      <c r="N1087" s="165"/>
      <c r="O1087" s="165"/>
      <c r="P1087" s="165"/>
      <c r="Q1087" s="165"/>
      <c r="R1087" s="165"/>
      <c r="S1087" s="166"/>
      <c r="T1087" s="165"/>
      <c r="U1087" s="166"/>
      <c r="W1087" s="166"/>
      <c r="X1087" s="166"/>
      <c r="Y1087" s="166"/>
      <c r="Z1087" s="167"/>
      <c r="AA1087" s="165"/>
      <c r="AB1087" s="167"/>
      <c r="AC1087" s="167"/>
      <c r="AD1087" s="167"/>
      <c r="AE1087" s="167"/>
      <c r="AF1087" s="167"/>
      <c r="AG1087" s="137"/>
      <c r="AH1087" s="137"/>
      <c r="AI1087" s="137"/>
      <c r="AJ1087" s="137"/>
      <c r="AK1087" s="137"/>
    </row>
    <row r="1088" spans="13:37" ht="13" x14ac:dyDescent="0.15">
      <c r="M1088" s="165"/>
      <c r="N1088" s="165"/>
      <c r="O1088" s="165"/>
      <c r="P1088" s="165"/>
      <c r="Q1088" s="165"/>
      <c r="R1088" s="165"/>
      <c r="S1088" s="166"/>
      <c r="T1088" s="165"/>
      <c r="U1088" s="166"/>
      <c r="W1088" s="166"/>
      <c r="X1088" s="166"/>
      <c r="Y1088" s="166"/>
      <c r="Z1088" s="167"/>
      <c r="AA1088" s="165"/>
      <c r="AB1088" s="167"/>
      <c r="AC1088" s="167"/>
      <c r="AD1088" s="167"/>
      <c r="AE1088" s="167"/>
      <c r="AF1088" s="167"/>
      <c r="AG1088" s="137"/>
      <c r="AH1088" s="137"/>
      <c r="AI1088" s="137"/>
      <c r="AJ1088" s="137"/>
      <c r="AK1088" s="137"/>
    </row>
    <row r="1089" spans="13:37" ht="13" x14ac:dyDescent="0.15">
      <c r="M1089" s="165"/>
      <c r="N1089" s="165"/>
      <c r="O1089" s="165"/>
      <c r="P1089" s="165"/>
      <c r="Q1089" s="165"/>
      <c r="R1089" s="165"/>
      <c r="S1089" s="166"/>
      <c r="T1089" s="165"/>
      <c r="U1089" s="166"/>
      <c r="W1089" s="166"/>
      <c r="X1089" s="166"/>
      <c r="Y1089" s="166"/>
      <c r="Z1089" s="167"/>
      <c r="AA1089" s="165"/>
      <c r="AB1089" s="167"/>
      <c r="AC1089" s="167"/>
      <c r="AD1089" s="167"/>
      <c r="AE1089" s="167"/>
      <c r="AF1089" s="167"/>
      <c r="AG1089" s="137"/>
      <c r="AH1089" s="137"/>
      <c r="AI1089" s="137"/>
      <c r="AJ1089" s="137"/>
      <c r="AK1089" s="137"/>
    </row>
    <row r="1090" spans="13:37" ht="13" x14ac:dyDescent="0.15">
      <c r="M1090" s="165"/>
      <c r="N1090" s="165"/>
      <c r="O1090" s="165"/>
      <c r="P1090" s="165"/>
      <c r="Q1090" s="165"/>
      <c r="R1090" s="165"/>
      <c r="S1090" s="166"/>
      <c r="T1090" s="165"/>
      <c r="U1090" s="166"/>
      <c r="W1090" s="166"/>
      <c r="X1090" s="166"/>
      <c r="Y1090" s="166"/>
      <c r="Z1090" s="167"/>
      <c r="AA1090" s="165"/>
      <c r="AB1090" s="167"/>
      <c r="AC1090" s="167"/>
      <c r="AD1090" s="167"/>
      <c r="AE1090" s="167"/>
      <c r="AF1090" s="167"/>
      <c r="AG1090" s="137"/>
      <c r="AH1090" s="137"/>
      <c r="AI1090" s="137"/>
      <c r="AJ1090" s="137"/>
      <c r="AK1090" s="137"/>
    </row>
    <row r="1091" spans="13:37" ht="13" x14ac:dyDescent="0.15">
      <c r="M1091" s="165"/>
      <c r="N1091" s="165"/>
      <c r="O1091" s="165"/>
      <c r="P1091" s="165"/>
      <c r="Q1091" s="165"/>
      <c r="R1091" s="165"/>
      <c r="S1091" s="166"/>
      <c r="T1091" s="165"/>
      <c r="U1091" s="166"/>
      <c r="V1091" s="165"/>
      <c r="W1091" s="166"/>
      <c r="X1091" s="166"/>
      <c r="Y1091" s="166"/>
      <c r="Z1091" s="167"/>
      <c r="AA1091" s="165"/>
      <c r="AB1091" s="167"/>
      <c r="AC1091" s="167"/>
      <c r="AD1091" s="167"/>
      <c r="AE1091" s="167"/>
      <c r="AF1091" s="167"/>
      <c r="AG1091" s="137"/>
      <c r="AH1091" s="167"/>
      <c r="AI1091" s="167"/>
      <c r="AJ1091" s="167"/>
      <c r="AK1091" s="137"/>
    </row>
    <row r="1092" spans="13:37" ht="13" x14ac:dyDescent="0.15">
      <c r="M1092" s="165"/>
      <c r="N1092" s="165"/>
      <c r="O1092" s="165"/>
      <c r="P1092" s="165"/>
      <c r="Q1092" s="165"/>
      <c r="R1092" s="165"/>
      <c r="S1092" s="168"/>
      <c r="T1092" s="165"/>
      <c r="U1092" s="166"/>
      <c r="W1092" s="166"/>
      <c r="X1092" s="166"/>
      <c r="Y1092" s="166"/>
      <c r="Z1092" s="167"/>
      <c r="AA1092" s="165"/>
      <c r="AB1092" s="167"/>
      <c r="AC1092" s="167"/>
      <c r="AD1092" s="167"/>
      <c r="AE1092" s="167"/>
      <c r="AF1092" s="167"/>
      <c r="AG1092" s="137"/>
    </row>
    <row r="1093" spans="13:37" ht="13" x14ac:dyDescent="0.15">
      <c r="M1093" s="165"/>
      <c r="N1093" s="165"/>
      <c r="O1093" s="165"/>
      <c r="P1093" s="165"/>
      <c r="Q1093" s="165"/>
      <c r="R1093" s="165"/>
      <c r="S1093" s="168"/>
      <c r="T1093" s="165"/>
      <c r="U1093" s="166"/>
      <c r="W1093" s="166"/>
      <c r="X1093" s="166"/>
      <c r="Y1093" s="166"/>
      <c r="Z1093" s="167"/>
      <c r="AA1093" s="165"/>
      <c r="AB1093" s="167"/>
      <c r="AC1093" s="167"/>
      <c r="AD1093" s="167"/>
      <c r="AE1093" s="167"/>
      <c r="AF1093" s="167"/>
      <c r="AG1093" s="137"/>
    </row>
    <row r="1094" spans="13:37" ht="13" x14ac:dyDescent="0.15">
      <c r="M1094" s="165"/>
      <c r="N1094" s="165"/>
      <c r="O1094" s="165"/>
      <c r="P1094" s="165"/>
      <c r="Q1094" s="165"/>
      <c r="R1094" s="165"/>
      <c r="S1094" s="166"/>
      <c r="T1094" s="165"/>
      <c r="U1094" s="166"/>
      <c r="W1094" s="166"/>
      <c r="X1094" s="166"/>
      <c r="Y1094" s="166"/>
      <c r="Z1094" s="166"/>
      <c r="AA1094" s="165"/>
      <c r="AB1094" s="167"/>
      <c r="AC1094" s="167"/>
      <c r="AD1094" s="167"/>
      <c r="AE1094" s="167"/>
      <c r="AF1094" s="167"/>
      <c r="AG1094" s="137"/>
      <c r="AH1094" s="137"/>
      <c r="AI1094" s="137"/>
      <c r="AJ1094" s="137"/>
      <c r="AK1094" s="137"/>
    </row>
    <row r="1095" spans="13:37" ht="13" x14ac:dyDescent="0.15">
      <c r="M1095" s="165"/>
      <c r="N1095" s="165"/>
      <c r="O1095" s="165"/>
      <c r="P1095" s="165"/>
      <c r="Q1095" s="165"/>
      <c r="R1095" s="165"/>
      <c r="S1095" s="166"/>
      <c r="T1095" s="165"/>
      <c r="U1095" s="166"/>
      <c r="W1095" s="166"/>
      <c r="X1095" s="166"/>
      <c r="Y1095" s="166"/>
      <c r="Z1095" s="166"/>
      <c r="AA1095" s="165"/>
      <c r="AB1095" s="167"/>
      <c r="AC1095" s="167"/>
      <c r="AD1095" s="167"/>
      <c r="AE1095" s="167"/>
      <c r="AF1095" s="167"/>
      <c r="AG1095" s="137"/>
      <c r="AH1095" s="137"/>
      <c r="AI1095" s="137"/>
      <c r="AJ1095" s="137"/>
      <c r="AK1095" s="137"/>
    </row>
    <row r="1096" spans="13:37" ht="13" x14ac:dyDescent="0.15">
      <c r="M1096" s="165"/>
      <c r="N1096" s="165"/>
      <c r="O1096" s="165"/>
      <c r="P1096" s="165"/>
      <c r="Q1096" s="165"/>
      <c r="R1096" s="165"/>
      <c r="S1096" s="166"/>
      <c r="T1096" s="165"/>
      <c r="U1096" s="166"/>
      <c r="W1096" s="166"/>
      <c r="X1096" s="166"/>
      <c r="Y1096" s="166"/>
      <c r="Z1096" s="167"/>
      <c r="AA1096" s="165"/>
      <c r="AB1096" s="167"/>
      <c r="AC1096" s="167"/>
      <c r="AD1096" s="167"/>
      <c r="AE1096" s="167"/>
      <c r="AF1096" s="167"/>
      <c r="AG1096" s="137"/>
      <c r="AH1096" s="137"/>
      <c r="AI1096" s="137"/>
      <c r="AJ1096" s="137"/>
      <c r="AK1096" s="137"/>
    </row>
    <row r="1097" spans="13:37" ht="13" x14ac:dyDescent="0.15">
      <c r="M1097" s="165"/>
      <c r="N1097" s="165"/>
      <c r="O1097" s="165"/>
      <c r="P1097" s="165"/>
      <c r="Q1097" s="165"/>
      <c r="R1097" s="165"/>
      <c r="S1097" s="166"/>
      <c r="T1097" s="165"/>
      <c r="U1097" s="166"/>
      <c r="W1097" s="166"/>
      <c r="X1097" s="166"/>
      <c r="Y1097" s="166"/>
      <c r="Z1097" s="167"/>
      <c r="AA1097" s="165"/>
      <c r="AB1097" s="167"/>
      <c r="AC1097" s="167"/>
      <c r="AD1097" s="167"/>
      <c r="AE1097" s="167"/>
      <c r="AF1097" s="167"/>
      <c r="AG1097" s="137"/>
      <c r="AH1097" s="137"/>
      <c r="AI1097" s="137"/>
      <c r="AJ1097" s="137"/>
      <c r="AK1097" s="137"/>
    </row>
    <row r="1098" spans="13:37" ht="13" x14ac:dyDescent="0.15">
      <c r="M1098" s="165"/>
      <c r="N1098" s="165"/>
      <c r="O1098" s="165"/>
      <c r="P1098" s="165"/>
      <c r="Q1098" s="165"/>
      <c r="R1098" s="165"/>
      <c r="S1098" s="166"/>
      <c r="W1098" s="166"/>
      <c r="X1098" s="166"/>
      <c r="Y1098" s="166"/>
      <c r="Z1098" s="167"/>
      <c r="AA1098" s="165"/>
      <c r="AB1098" s="167"/>
      <c r="AC1098" s="167"/>
      <c r="AD1098" s="167"/>
      <c r="AE1098" s="167"/>
      <c r="AG1098" s="137"/>
    </row>
    <row r="1099" spans="13:37" ht="13" x14ac:dyDescent="0.15">
      <c r="M1099" s="165"/>
      <c r="N1099" s="165"/>
      <c r="O1099" s="165"/>
      <c r="P1099" s="165"/>
      <c r="Q1099" s="165"/>
      <c r="R1099" s="165"/>
      <c r="S1099" s="166"/>
      <c r="W1099" s="166"/>
      <c r="X1099" s="166"/>
      <c r="Y1099" s="166"/>
      <c r="Z1099" s="167"/>
      <c r="AA1099" s="165"/>
      <c r="AB1099" s="167"/>
      <c r="AC1099" s="167"/>
      <c r="AD1099" s="167"/>
      <c r="AE1099" s="167"/>
      <c r="AG1099" s="137"/>
    </row>
    <row r="1100" spans="13:37" ht="13" x14ac:dyDescent="0.15">
      <c r="M1100" s="165"/>
      <c r="N1100" s="165"/>
      <c r="O1100" s="165"/>
      <c r="P1100" s="165"/>
      <c r="Q1100" s="165"/>
      <c r="R1100" s="165"/>
      <c r="S1100" s="166"/>
      <c r="T1100" s="165"/>
      <c r="U1100" s="166"/>
      <c r="W1100" s="166"/>
      <c r="X1100" s="166"/>
      <c r="Y1100" s="166"/>
      <c r="Z1100" s="167"/>
      <c r="AA1100" s="165"/>
      <c r="AB1100" s="167"/>
      <c r="AC1100" s="167"/>
      <c r="AD1100" s="167"/>
      <c r="AE1100" s="167"/>
      <c r="AF1100" s="167"/>
      <c r="AG1100" s="137"/>
    </row>
    <row r="1101" spans="13:37" ht="13" x14ac:dyDescent="0.15">
      <c r="M1101" s="165"/>
      <c r="N1101" s="165"/>
      <c r="O1101" s="165"/>
      <c r="P1101" s="165"/>
      <c r="Q1101" s="165"/>
      <c r="R1101" s="165"/>
      <c r="S1101" s="166"/>
      <c r="T1101" s="165"/>
      <c r="U1101" s="166"/>
      <c r="W1101" s="166"/>
      <c r="X1101" s="166"/>
      <c r="Y1101" s="166"/>
      <c r="Z1101" s="167"/>
      <c r="AA1101" s="165"/>
      <c r="AB1101" s="167"/>
      <c r="AC1101" s="167"/>
      <c r="AD1101" s="167"/>
      <c r="AE1101" s="167"/>
      <c r="AF1101" s="167"/>
      <c r="AG1101" s="137"/>
    </row>
    <row r="1102" spans="13:37" ht="13" x14ac:dyDescent="0.15">
      <c r="M1102" s="165"/>
      <c r="N1102" s="165"/>
      <c r="O1102" s="165"/>
      <c r="P1102" s="165"/>
      <c r="Q1102" s="165"/>
      <c r="R1102" s="165"/>
      <c r="S1102" s="166"/>
      <c r="T1102" s="165"/>
      <c r="U1102" s="166"/>
      <c r="W1102" s="166"/>
      <c r="X1102" s="166"/>
      <c r="Y1102" s="166"/>
      <c r="Z1102" s="167"/>
      <c r="AA1102" s="165"/>
      <c r="AB1102" s="167"/>
      <c r="AC1102" s="167"/>
      <c r="AD1102" s="167"/>
      <c r="AE1102" s="167"/>
      <c r="AF1102" s="167"/>
      <c r="AG1102" s="137"/>
      <c r="AH1102" s="137"/>
      <c r="AI1102" s="137"/>
      <c r="AJ1102" s="137"/>
      <c r="AK1102" s="137"/>
    </row>
    <row r="1103" spans="13:37" ht="13" x14ac:dyDescent="0.15">
      <c r="M1103" s="165"/>
      <c r="N1103" s="165"/>
      <c r="O1103" s="165"/>
      <c r="P1103" s="165"/>
      <c r="Q1103" s="165"/>
      <c r="R1103" s="165"/>
      <c r="S1103" s="166"/>
      <c r="T1103" s="165"/>
      <c r="U1103" s="166"/>
      <c r="W1103" s="166"/>
      <c r="X1103" s="166"/>
      <c r="Y1103" s="166"/>
      <c r="Z1103" s="167"/>
      <c r="AA1103" s="165"/>
      <c r="AB1103" s="167"/>
      <c r="AC1103" s="167"/>
      <c r="AD1103" s="167"/>
      <c r="AE1103" s="167"/>
      <c r="AF1103" s="167"/>
      <c r="AG1103" s="137"/>
      <c r="AH1103" s="137"/>
      <c r="AI1103" s="137"/>
      <c r="AJ1103" s="137"/>
      <c r="AK1103" s="137"/>
    </row>
    <row r="1104" spans="13:37" ht="13" x14ac:dyDescent="0.15">
      <c r="M1104" s="165"/>
      <c r="N1104" s="165"/>
      <c r="O1104" s="165"/>
      <c r="P1104" s="165"/>
      <c r="Q1104" s="165"/>
      <c r="R1104" s="165"/>
      <c r="S1104" s="166"/>
      <c r="T1104" s="165"/>
      <c r="U1104" s="166"/>
      <c r="W1104" s="166"/>
      <c r="X1104" s="166"/>
      <c r="Y1104" s="166"/>
      <c r="Z1104" s="167"/>
      <c r="AA1104" s="165"/>
      <c r="AB1104" s="167"/>
      <c r="AC1104" s="167"/>
      <c r="AD1104" s="167"/>
      <c r="AE1104" s="167"/>
      <c r="AF1104" s="167"/>
      <c r="AG1104" s="137"/>
      <c r="AH1104" s="137"/>
      <c r="AI1104" s="137"/>
      <c r="AJ1104" s="137"/>
      <c r="AK1104" s="137"/>
    </row>
    <row r="1105" spans="13:37" ht="13" x14ac:dyDescent="0.15">
      <c r="M1105" s="165"/>
      <c r="N1105" s="165"/>
      <c r="O1105" s="165"/>
      <c r="P1105" s="165"/>
      <c r="Q1105" s="165"/>
      <c r="R1105" s="165"/>
      <c r="S1105" s="166"/>
      <c r="T1105" s="165"/>
      <c r="U1105" s="166"/>
      <c r="W1105" s="166"/>
      <c r="X1105" s="166"/>
      <c r="Y1105" s="166"/>
      <c r="Z1105" s="167"/>
      <c r="AA1105" s="165"/>
      <c r="AB1105" s="167"/>
      <c r="AC1105" s="167"/>
      <c r="AD1105" s="167"/>
      <c r="AE1105" s="167"/>
      <c r="AF1105" s="167"/>
      <c r="AG1105" s="137"/>
      <c r="AH1105" s="137"/>
      <c r="AI1105" s="137"/>
      <c r="AJ1105" s="137"/>
      <c r="AK1105" s="137"/>
    </row>
    <row r="1106" spans="13:37" ht="13" x14ac:dyDescent="0.15">
      <c r="M1106" s="165"/>
      <c r="N1106" s="165"/>
      <c r="O1106" s="165"/>
      <c r="P1106" s="165"/>
      <c r="Q1106" s="165"/>
      <c r="R1106" s="165"/>
      <c r="S1106" s="166"/>
      <c r="T1106" s="165"/>
      <c r="U1106" s="166"/>
      <c r="W1106" s="166"/>
      <c r="X1106" s="166"/>
      <c r="Y1106" s="166"/>
      <c r="Z1106" s="167"/>
      <c r="AA1106" s="165"/>
      <c r="AB1106" s="167"/>
      <c r="AC1106" s="167"/>
      <c r="AD1106" s="167"/>
      <c r="AE1106" s="167"/>
      <c r="AF1106" s="167"/>
      <c r="AG1106" s="137"/>
      <c r="AH1106" s="137"/>
      <c r="AI1106" s="137"/>
      <c r="AJ1106" s="137"/>
      <c r="AK1106" s="137"/>
    </row>
    <row r="1107" spans="13:37" ht="13" x14ac:dyDescent="0.15">
      <c r="M1107" s="165"/>
      <c r="N1107" s="165"/>
      <c r="O1107" s="165"/>
      <c r="P1107" s="165"/>
      <c r="Q1107" s="165"/>
      <c r="R1107" s="165"/>
      <c r="S1107" s="166"/>
      <c r="T1107" s="165"/>
      <c r="U1107" s="166"/>
      <c r="W1107" s="166"/>
      <c r="X1107" s="166"/>
      <c r="Y1107" s="166"/>
      <c r="Z1107" s="167"/>
      <c r="AA1107" s="165"/>
      <c r="AB1107" s="167"/>
      <c r="AC1107" s="167"/>
      <c r="AD1107" s="167"/>
      <c r="AE1107" s="167"/>
      <c r="AF1107" s="167"/>
      <c r="AG1107" s="137"/>
      <c r="AH1107" s="137"/>
      <c r="AI1107" s="137"/>
      <c r="AJ1107" s="137"/>
      <c r="AK1107" s="137"/>
    </row>
    <row r="1108" spans="13:37" ht="13" x14ac:dyDescent="0.15">
      <c r="M1108" s="165"/>
      <c r="N1108" s="165"/>
      <c r="O1108" s="165"/>
      <c r="P1108" s="165"/>
      <c r="Q1108" s="165"/>
      <c r="R1108" s="165"/>
      <c r="S1108" s="166"/>
      <c r="T1108" s="165"/>
      <c r="U1108" s="166"/>
      <c r="W1108" s="166"/>
      <c r="X1108" s="166"/>
      <c r="Y1108" s="166"/>
      <c r="Z1108" s="167"/>
      <c r="AA1108" s="165"/>
      <c r="AB1108" s="167"/>
      <c r="AC1108" s="167"/>
      <c r="AD1108" s="167"/>
      <c r="AE1108" s="167"/>
      <c r="AF1108" s="167"/>
      <c r="AG1108" s="137"/>
      <c r="AH1108" s="137"/>
      <c r="AI1108" s="137"/>
      <c r="AJ1108" s="137"/>
      <c r="AK1108" s="137"/>
    </row>
    <row r="1109" spans="13:37" ht="13" x14ac:dyDescent="0.15">
      <c r="M1109" s="165"/>
      <c r="N1109" s="165"/>
      <c r="O1109" s="165"/>
      <c r="P1109" s="165"/>
      <c r="Q1109" s="165"/>
      <c r="R1109" s="165"/>
      <c r="S1109" s="166"/>
      <c r="T1109" s="165"/>
      <c r="U1109" s="166"/>
      <c r="W1109" s="166"/>
      <c r="X1109" s="166"/>
      <c r="Y1109" s="166"/>
      <c r="Z1109" s="167"/>
      <c r="AA1109" s="165"/>
      <c r="AB1109" s="167"/>
      <c r="AC1109" s="167"/>
      <c r="AD1109" s="167"/>
      <c r="AE1109" s="167"/>
      <c r="AF1109" s="167"/>
      <c r="AG1109" s="137"/>
      <c r="AH1109" s="137"/>
      <c r="AI1109" s="137"/>
      <c r="AJ1109" s="137"/>
      <c r="AK1109" s="137"/>
    </row>
    <row r="1110" spans="13:37" ht="13" x14ac:dyDescent="0.15">
      <c r="M1110" s="165"/>
      <c r="N1110" s="165"/>
      <c r="O1110" s="165"/>
      <c r="P1110" s="165"/>
      <c r="Q1110" s="165"/>
      <c r="R1110" s="165"/>
      <c r="S1110" s="166"/>
      <c r="T1110" s="165"/>
      <c r="U1110" s="166"/>
      <c r="W1110" s="166"/>
      <c r="X1110" s="166"/>
      <c r="Y1110" s="166"/>
      <c r="Z1110" s="167"/>
      <c r="AA1110" s="165"/>
      <c r="AB1110" s="167"/>
      <c r="AC1110" s="167"/>
      <c r="AD1110" s="167"/>
      <c r="AE1110" s="167"/>
      <c r="AF1110" s="167"/>
      <c r="AG1110" s="137"/>
      <c r="AH1110" s="137"/>
      <c r="AI1110" s="137"/>
      <c r="AJ1110" s="137"/>
      <c r="AK1110" s="137"/>
    </row>
    <row r="1111" spans="13:37" ht="13" x14ac:dyDescent="0.15">
      <c r="M1111" s="165"/>
      <c r="N1111" s="165"/>
      <c r="O1111" s="165"/>
      <c r="P1111" s="165"/>
      <c r="Q1111" s="165"/>
      <c r="R1111" s="165"/>
      <c r="S1111" s="166"/>
      <c r="T1111" s="165"/>
      <c r="U1111" s="166"/>
      <c r="W1111" s="166"/>
      <c r="X1111" s="166"/>
      <c r="Y1111" s="166"/>
      <c r="Z1111" s="167"/>
      <c r="AA1111" s="165"/>
      <c r="AB1111" s="167"/>
      <c r="AC1111" s="167"/>
      <c r="AD1111" s="167"/>
      <c r="AE1111" s="167"/>
      <c r="AF1111" s="167"/>
      <c r="AG1111" s="137"/>
      <c r="AH1111" s="137"/>
      <c r="AI1111" s="137"/>
      <c r="AJ1111" s="137"/>
      <c r="AK1111" s="137"/>
    </row>
    <row r="1112" spans="13:37" ht="13" x14ac:dyDescent="0.15">
      <c r="M1112" s="165"/>
      <c r="N1112" s="165"/>
      <c r="O1112" s="165"/>
      <c r="P1112" s="165"/>
      <c r="Q1112" s="165"/>
      <c r="R1112" s="165"/>
      <c r="S1112" s="166"/>
      <c r="T1112" s="165"/>
      <c r="U1112" s="166"/>
      <c r="W1112" s="166"/>
      <c r="X1112" s="166"/>
      <c r="Y1112" s="166"/>
      <c r="Z1112" s="167"/>
      <c r="AA1112" s="165"/>
      <c r="AB1112" s="167"/>
      <c r="AC1112" s="167"/>
      <c r="AD1112" s="167"/>
      <c r="AE1112" s="167"/>
      <c r="AF1112" s="167"/>
      <c r="AG1112" s="137"/>
      <c r="AH1112" s="137"/>
      <c r="AI1112" s="137"/>
      <c r="AJ1112" s="137"/>
      <c r="AK1112" s="137"/>
    </row>
    <row r="1113" spans="13:37" ht="13" x14ac:dyDescent="0.15">
      <c r="M1113" s="165"/>
      <c r="N1113" s="165"/>
      <c r="O1113" s="165"/>
      <c r="P1113" s="165"/>
      <c r="Q1113" s="165"/>
      <c r="R1113" s="165"/>
      <c r="S1113" s="166"/>
      <c r="T1113" s="165"/>
      <c r="U1113" s="166"/>
      <c r="W1113" s="166"/>
      <c r="X1113" s="166"/>
      <c r="Y1113" s="166"/>
      <c r="Z1113" s="167"/>
      <c r="AA1113" s="165"/>
      <c r="AB1113" s="167"/>
      <c r="AC1113" s="167"/>
      <c r="AD1113" s="167"/>
      <c r="AE1113" s="167"/>
      <c r="AF1113" s="167"/>
      <c r="AG1113" s="137"/>
      <c r="AH1113" s="137"/>
      <c r="AI1113" s="137"/>
      <c r="AJ1113" s="137"/>
      <c r="AK1113" s="137"/>
    </row>
    <row r="1114" spans="13:37" ht="13" x14ac:dyDescent="0.15">
      <c r="M1114" s="165"/>
      <c r="N1114" s="165"/>
      <c r="O1114" s="165"/>
      <c r="P1114" s="165"/>
      <c r="Q1114" s="165"/>
      <c r="R1114" s="165"/>
      <c r="S1114" s="166"/>
      <c r="T1114" s="165"/>
      <c r="U1114" s="166"/>
      <c r="W1114" s="166"/>
      <c r="X1114" s="166"/>
      <c r="Y1114" s="166"/>
      <c r="Z1114" s="167"/>
      <c r="AA1114" s="165"/>
      <c r="AB1114" s="167"/>
      <c r="AC1114" s="167"/>
      <c r="AD1114" s="167"/>
      <c r="AE1114" s="167"/>
      <c r="AF1114" s="167"/>
      <c r="AG1114" s="137"/>
      <c r="AH1114" s="137"/>
      <c r="AI1114" s="137"/>
      <c r="AJ1114" s="137"/>
      <c r="AK1114" s="137"/>
    </row>
    <row r="1115" spans="13:37" ht="13" x14ac:dyDescent="0.15">
      <c r="M1115" s="165"/>
      <c r="N1115" s="165"/>
      <c r="O1115" s="165"/>
      <c r="P1115" s="165"/>
      <c r="Q1115" s="165"/>
      <c r="R1115" s="165"/>
      <c r="S1115" s="166"/>
      <c r="T1115" s="165"/>
      <c r="U1115" s="166"/>
      <c r="W1115" s="166"/>
      <c r="X1115" s="166"/>
      <c r="Y1115" s="166"/>
      <c r="Z1115" s="167"/>
      <c r="AA1115" s="165"/>
      <c r="AB1115" s="167"/>
      <c r="AC1115" s="167"/>
      <c r="AD1115" s="167"/>
      <c r="AE1115" s="167"/>
      <c r="AF1115" s="167"/>
      <c r="AG1115" s="137"/>
      <c r="AH1115" s="137"/>
      <c r="AI1115" s="137"/>
      <c r="AJ1115" s="137"/>
      <c r="AK1115" s="137"/>
    </row>
    <row r="1116" spans="13:37" ht="13" x14ac:dyDescent="0.15">
      <c r="M1116" s="165"/>
      <c r="N1116" s="165"/>
      <c r="O1116" s="165"/>
      <c r="P1116" s="165"/>
      <c r="Q1116" s="165"/>
      <c r="R1116" s="165"/>
      <c r="S1116" s="166"/>
      <c r="T1116" s="165"/>
      <c r="U1116" s="166"/>
      <c r="W1116" s="166"/>
      <c r="X1116" s="166"/>
      <c r="Y1116" s="166"/>
      <c r="Z1116" s="167"/>
      <c r="AA1116" s="165"/>
      <c r="AB1116" s="167"/>
      <c r="AC1116" s="167"/>
      <c r="AD1116" s="167"/>
      <c r="AE1116" s="167"/>
      <c r="AF1116" s="167"/>
      <c r="AG1116" s="137"/>
      <c r="AH1116" s="137"/>
      <c r="AI1116" s="137"/>
      <c r="AJ1116" s="137"/>
      <c r="AK1116" s="137"/>
    </row>
    <row r="1117" spans="13:37" ht="13" x14ac:dyDescent="0.15">
      <c r="M1117" s="165"/>
      <c r="N1117" s="165"/>
      <c r="O1117" s="165"/>
      <c r="P1117" s="165"/>
      <c r="Q1117" s="165"/>
      <c r="R1117" s="165"/>
      <c r="S1117" s="168"/>
      <c r="T1117" s="165"/>
      <c r="U1117" s="166"/>
      <c r="W1117" s="166"/>
      <c r="X1117" s="166"/>
      <c r="Y1117" s="166"/>
      <c r="Z1117" s="166"/>
      <c r="AA1117" s="165"/>
      <c r="AB1117" s="167"/>
      <c r="AC1117" s="167"/>
      <c r="AD1117" s="167"/>
      <c r="AE1117" s="167"/>
      <c r="AF1117" s="167"/>
      <c r="AG1117" s="137"/>
      <c r="AH1117" s="137"/>
      <c r="AI1117" s="137"/>
      <c r="AJ1117" s="137"/>
      <c r="AK1117" s="137"/>
    </row>
    <row r="1118" spans="13:37" ht="13" x14ac:dyDescent="0.15">
      <c r="M1118" s="165"/>
      <c r="N1118" s="165"/>
      <c r="O1118" s="165"/>
      <c r="P1118" s="165"/>
      <c r="Q1118" s="165"/>
      <c r="R1118" s="165"/>
      <c r="S1118" s="168"/>
      <c r="T1118" s="165"/>
      <c r="U1118" s="166"/>
      <c r="W1118" s="166"/>
      <c r="X1118" s="166"/>
      <c r="Y1118" s="166"/>
      <c r="Z1118" s="166"/>
      <c r="AA1118" s="165"/>
      <c r="AB1118" s="167"/>
      <c r="AC1118" s="167"/>
      <c r="AD1118" s="167"/>
      <c r="AE1118" s="167"/>
      <c r="AF1118" s="167"/>
      <c r="AG1118" s="137"/>
      <c r="AH1118" s="137"/>
      <c r="AI1118" s="137"/>
      <c r="AJ1118" s="137"/>
      <c r="AK1118" s="137"/>
    </row>
    <row r="1119" spans="13:37" ht="13" x14ac:dyDescent="0.15">
      <c r="M1119" s="165"/>
      <c r="N1119" s="165"/>
      <c r="O1119" s="165"/>
      <c r="P1119" s="165"/>
      <c r="Q1119" s="165"/>
      <c r="R1119" s="165"/>
      <c r="S1119" s="166"/>
      <c r="T1119" s="165"/>
      <c r="U1119" s="166"/>
      <c r="W1119" s="166"/>
      <c r="X1119" s="166"/>
      <c r="Y1119" s="166"/>
      <c r="Z1119" s="167"/>
      <c r="AA1119" s="165"/>
      <c r="AB1119" s="167"/>
      <c r="AC1119" s="167"/>
      <c r="AD1119" s="167"/>
      <c r="AE1119" s="167"/>
      <c r="AF1119" s="167"/>
      <c r="AG1119" s="137"/>
      <c r="AH1119" s="137"/>
      <c r="AI1119" s="137"/>
      <c r="AJ1119" s="137"/>
      <c r="AK1119" s="137"/>
    </row>
    <row r="1120" spans="13:37" ht="13" x14ac:dyDescent="0.15">
      <c r="M1120" s="165"/>
      <c r="N1120" s="165"/>
      <c r="O1120" s="165"/>
      <c r="P1120" s="165"/>
      <c r="Q1120" s="165"/>
      <c r="R1120" s="165"/>
      <c r="S1120" s="166"/>
      <c r="T1120" s="165"/>
      <c r="U1120" s="166"/>
      <c r="W1120" s="166"/>
      <c r="X1120" s="166"/>
      <c r="Y1120" s="166"/>
      <c r="Z1120" s="167"/>
      <c r="AA1120" s="165"/>
      <c r="AB1120" s="167"/>
      <c r="AC1120" s="167"/>
      <c r="AD1120" s="167"/>
      <c r="AE1120" s="167"/>
      <c r="AF1120" s="167"/>
      <c r="AG1120" s="137"/>
      <c r="AH1120" s="137"/>
      <c r="AI1120" s="137"/>
      <c r="AJ1120" s="137"/>
      <c r="AK1120" s="137"/>
    </row>
    <row r="1121" spans="13:37" ht="13" x14ac:dyDescent="0.15">
      <c r="M1121" s="165"/>
      <c r="N1121" s="165"/>
      <c r="O1121" s="165"/>
      <c r="P1121" s="165"/>
      <c r="Q1121" s="165"/>
      <c r="R1121" s="165"/>
      <c r="S1121" s="166"/>
      <c r="T1121" s="165"/>
      <c r="U1121" s="166"/>
      <c r="W1121" s="166"/>
      <c r="X1121" s="166"/>
      <c r="Y1121" s="166"/>
      <c r="Z1121" s="167"/>
      <c r="AA1121" s="165"/>
      <c r="AB1121" s="167"/>
      <c r="AC1121" s="167"/>
      <c r="AD1121" s="167"/>
      <c r="AE1121" s="167"/>
      <c r="AF1121" s="167"/>
      <c r="AG1121" s="137"/>
      <c r="AH1121" s="137"/>
      <c r="AI1121" s="137"/>
      <c r="AJ1121" s="137"/>
      <c r="AK1121" s="137"/>
    </row>
    <row r="1122" spans="13:37" ht="13" x14ac:dyDescent="0.15">
      <c r="M1122" s="165"/>
      <c r="N1122" s="165"/>
      <c r="O1122" s="165"/>
      <c r="P1122" s="165"/>
      <c r="Q1122" s="165"/>
      <c r="R1122" s="165"/>
      <c r="S1122" s="166"/>
      <c r="T1122" s="165"/>
      <c r="U1122" s="166"/>
      <c r="W1122" s="166"/>
      <c r="X1122" s="166"/>
      <c r="Y1122" s="166"/>
      <c r="Z1122" s="167"/>
      <c r="AA1122" s="165"/>
      <c r="AB1122" s="167"/>
      <c r="AC1122" s="167"/>
      <c r="AD1122" s="167"/>
      <c r="AE1122" s="167"/>
      <c r="AF1122" s="167"/>
      <c r="AG1122" s="137"/>
      <c r="AH1122" s="137"/>
      <c r="AI1122" s="137"/>
      <c r="AJ1122" s="137"/>
      <c r="AK1122" s="137"/>
    </row>
    <row r="1123" spans="13:37" ht="13" x14ac:dyDescent="0.15">
      <c r="M1123" s="165"/>
      <c r="N1123" s="165"/>
      <c r="O1123" s="165"/>
      <c r="P1123" s="165"/>
      <c r="Q1123" s="165"/>
      <c r="R1123" s="165"/>
      <c r="S1123" s="166"/>
      <c r="T1123" s="165"/>
      <c r="U1123" s="166"/>
      <c r="W1123" s="166"/>
      <c r="X1123" s="166"/>
      <c r="Y1123" s="166"/>
      <c r="Z1123" s="167"/>
      <c r="AA1123" s="165"/>
      <c r="AB1123" s="167"/>
      <c r="AC1123" s="167"/>
      <c r="AD1123" s="167"/>
      <c r="AE1123" s="167"/>
      <c r="AF1123" s="167"/>
      <c r="AG1123" s="137"/>
      <c r="AH1123" s="137"/>
      <c r="AI1123" s="137"/>
      <c r="AJ1123" s="137"/>
      <c r="AK1123" s="137"/>
    </row>
    <row r="1124" spans="13:37" ht="13" x14ac:dyDescent="0.15">
      <c r="M1124" s="165"/>
      <c r="N1124" s="165"/>
      <c r="O1124" s="165"/>
      <c r="P1124" s="165"/>
      <c r="Q1124" s="165"/>
      <c r="R1124" s="165"/>
      <c r="S1124" s="166"/>
      <c r="T1124" s="165"/>
      <c r="U1124" s="166"/>
      <c r="W1124" s="166"/>
      <c r="X1124" s="166"/>
      <c r="Y1124" s="166"/>
      <c r="Z1124" s="167"/>
      <c r="AA1124" s="165"/>
      <c r="AB1124" s="167"/>
      <c r="AC1124" s="167"/>
      <c r="AD1124" s="167"/>
      <c r="AE1124" s="167"/>
      <c r="AF1124" s="167"/>
      <c r="AG1124" s="137"/>
      <c r="AH1124" s="137"/>
      <c r="AI1124" s="137"/>
      <c r="AJ1124" s="137"/>
      <c r="AK1124" s="137"/>
    </row>
    <row r="1125" spans="13:37" ht="13" x14ac:dyDescent="0.15">
      <c r="M1125" s="165"/>
      <c r="N1125" s="165"/>
      <c r="O1125" s="165"/>
      <c r="P1125" s="165"/>
      <c r="Q1125" s="165"/>
      <c r="R1125" s="165"/>
      <c r="S1125" s="166"/>
      <c r="T1125" s="165"/>
      <c r="U1125" s="166"/>
      <c r="W1125" s="166"/>
      <c r="X1125" s="166"/>
      <c r="Y1125" s="166"/>
      <c r="Z1125" s="167"/>
      <c r="AA1125" s="165"/>
      <c r="AB1125" s="167"/>
      <c r="AC1125" s="167"/>
      <c r="AD1125" s="167"/>
      <c r="AE1125" s="167"/>
      <c r="AF1125" s="167"/>
      <c r="AG1125" s="137"/>
      <c r="AH1125" s="137"/>
      <c r="AI1125" s="137"/>
      <c r="AJ1125" s="137"/>
      <c r="AK1125" s="137"/>
    </row>
    <row r="1126" spans="13:37" ht="13" x14ac:dyDescent="0.15">
      <c r="M1126" s="165"/>
      <c r="N1126" s="165"/>
      <c r="O1126" s="165"/>
      <c r="P1126" s="165"/>
      <c r="Q1126" s="165"/>
      <c r="R1126" s="165"/>
      <c r="S1126" s="166"/>
      <c r="T1126" s="165"/>
      <c r="U1126" s="166"/>
      <c r="W1126" s="166"/>
      <c r="X1126" s="166"/>
      <c r="Y1126" s="166"/>
      <c r="Z1126" s="167"/>
      <c r="AA1126" s="165"/>
      <c r="AB1126" s="167"/>
      <c r="AC1126" s="167"/>
      <c r="AD1126" s="167"/>
      <c r="AE1126" s="167"/>
      <c r="AF1126" s="167"/>
      <c r="AG1126" s="137"/>
      <c r="AH1126" s="137"/>
      <c r="AI1126" s="137"/>
      <c r="AJ1126" s="137"/>
      <c r="AK1126" s="137"/>
    </row>
    <row r="1127" spans="13:37" ht="13" x14ac:dyDescent="0.15">
      <c r="M1127" s="165"/>
      <c r="N1127" s="165"/>
      <c r="O1127" s="165"/>
      <c r="P1127" s="165"/>
      <c r="Q1127" s="165"/>
      <c r="R1127" s="165"/>
      <c r="S1127" s="166"/>
      <c r="T1127" s="165"/>
      <c r="U1127" s="166"/>
      <c r="W1127" s="166"/>
      <c r="X1127" s="166"/>
      <c r="Y1127" s="166"/>
      <c r="Z1127" s="167"/>
      <c r="AA1127" s="165"/>
      <c r="AB1127" s="167"/>
      <c r="AC1127" s="167"/>
      <c r="AD1127" s="167"/>
      <c r="AE1127" s="167"/>
      <c r="AF1127" s="167"/>
      <c r="AG1127" s="137"/>
      <c r="AH1127" s="137"/>
      <c r="AI1127" s="137"/>
      <c r="AJ1127" s="137"/>
      <c r="AK1127" s="137"/>
    </row>
    <row r="1128" spans="13:37" ht="13" x14ac:dyDescent="0.15">
      <c r="M1128" s="165"/>
      <c r="N1128" s="165"/>
      <c r="O1128" s="165"/>
      <c r="P1128" s="165"/>
      <c r="Q1128" s="165"/>
      <c r="R1128" s="165"/>
      <c r="S1128" s="166"/>
      <c r="T1128" s="165"/>
      <c r="U1128" s="166"/>
      <c r="W1128" s="166"/>
      <c r="X1128" s="166"/>
      <c r="Y1128" s="166"/>
      <c r="Z1128" s="167"/>
      <c r="AA1128" s="165"/>
      <c r="AB1128" s="167"/>
      <c r="AC1128" s="167"/>
      <c r="AD1128" s="167"/>
      <c r="AE1128" s="167"/>
      <c r="AF1128" s="167"/>
      <c r="AG1128" s="137"/>
      <c r="AH1128" s="137"/>
      <c r="AI1128" s="137"/>
      <c r="AJ1128" s="137"/>
      <c r="AK1128" s="137"/>
    </row>
    <row r="1129" spans="13:37" ht="13" x14ac:dyDescent="0.15">
      <c r="M1129" s="165"/>
      <c r="N1129" s="165"/>
      <c r="O1129" s="165"/>
      <c r="P1129" s="165"/>
      <c r="Q1129" s="165"/>
      <c r="R1129" s="165"/>
      <c r="S1129" s="166"/>
      <c r="T1129" s="165"/>
      <c r="U1129" s="166"/>
      <c r="W1129" s="166"/>
      <c r="X1129" s="166"/>
      <c r="Y1129" s="166"/>
      <c r="Z1129" s="167"/>
      <c r="AA1129" s="165"/>
      <c r="AB1129" s="167"/>
      <c r="AC1129" s="167"/>
      <c r="AD1129" s="167"/>
      <c r="AE1129" s="167"/>
      <c r="AF1129" s="167"/>
      <c r="AG1129" s="137"/>
      <c r="AH1129" s="137"/>
      <c r="AI1129" s="137"/>
      <c r="AJ1129" s="137"/>
      <c r="AK1129" s="137"/>
    </row>
    <row r="1130" spans="13:37" ht="13" x14ac:dyDescent="0.15">
      <c r="M1130" s="165"/>
      <c r="N1130" s="165"/>
      <c r="O1130" s="165"/>
      <c r="P1130" s="165"/>
      <c r="Q1130" s="165"/>
      <c r="R1130" s="165"/>
      <c r="S1130" s="166"/>
      <c r="T1130" s="165"/>
      <c r="U1130" s="166"/>
      <c r="W1130" s="166"/>
      <c r="X1130" s="166"/>
      <c r="Y1130" s="166"/>
      <c r="Z1130" s="166"/>
      <c r="AA1130" s="165"/>
      <c r="AB1130" s="167"/>
      <c r="AC1130" s="167"/>
      <c r="AD1130" s="167"/>
      <c r="AE1130" s="167"/>
      <c r="AF1130" s="167"/>
      <c r="AG1130" s="137"/>
      <c r="AH1130" s="137"/>
      <c r="AI1130" s="137"/>
      <c r="AJ1130" s="137"/>
      <c r="AK1130" s="137"/>
    </row>
    <row r="1131" spans="13:37" ht="13" x14ac:dyDescent="0.15">
      <c r="M1131" s="165"/>
      <c r="N1131" s="165"/>
      <c r="O1131" s="165"/>
      <c r="P1131" s="165"/>
      <c r="Q1131" s="165"/>
      <c r="R1131" s="165"/>
      <c r="S1131" s="166"/>
      <c r="T1131" s="165"/>
      <c r="U1131" s="166"/>
      <c r="W1131" s="166"/>
      <c r="X1131" s="166"/>
      <c r="Y1131" s="166"/>
      <c r="Z1131" s="166"/>
      <c r="AA1131" s="165"/>
      <c r="AB1131" s="167"/>
      <c r="AC1131" s="167"/>
      <c r="AD1131" s="167"/>
      <c r="AE1131" s="167"/>
      <c r="AF1131" s="167"/>
      <c r="AG1131" s="137"/>
      <c r="AH1131" s="137"/>
      <c r="AI1131" s="137"/>
      <c r="AJ1131" s="137"/>
      <c r="AK1131" s="137"/>
    </row>
    <row r="1132" spans="13:37" ht="13" x14ac:dyDescent="0.15">
      <c r="M1132" s="165"/>
      <c r="N1132" s="165"/>
      <c r="O1132" s="165"/>
      <c r="P1132" s="165"/>
      <c r="Q1132" s="165"/>
      <c r="R1132" s="165"/>
      <c r="S1132" s="166"/>
      <c r="T1132" s="165"/>
      <c r="U1132" s="166"/>
      <c r="W1132" s="166"/>
      <c r="X1132" s="166"/>
      <c r="Y1132" s="166"/>
      <c r="Z1132" s="166"/>
      <c r="AA1132" s="165"/>
      <c r="AB1132" s="167"/>
      <c r="AC1132" s="167"/>
      <c r="AD1132" s="167"/>
      <c r="AE1132" s="167"/>
      <c r="AF1132" s="167"/>
      <c r="AG1132" s="137"/>
      <c r="AH1132" s="137"/>
      <c r="AI1132" s="137"/>
      <c r="AJ1132" s="137"/>
      <c r="AK1132" s="137"/>
    </row>
    <row r="1133" spans="13:37" ht="13" x14ac:dyDescent="0.15">
      <c r="M1133" s="165"/>
      <c r="N1133" s="165"/>
      <c r="O1133" s="165"/>
      <c r="P1133" s="165"/>
      <c r="Q1133" s="165"/>
      <c r="R1133" s="165"/>
      <c r="S1133" s="166"/>
      <c r="T1133" s="165"/>
      <c r="U1133" s="166"/>
      <c r="W1133" s="166"/>
      <c r="X1133" s="166"/>
      <c r="Y1133" s="166"/>
      <c r="Z1133" s="166"/>
      <c r="AA1133" s="165"/>
      <c r="AB1133" s="167"/>
      <c r="AC1133" s="167"/>
      <c r="AD1133" s="167"/>
      <c r="AE1133" s="167"/>
      <c r="AF1133" s="167"/>
      <c r="AG1133" s="137"/>
      <c r="AH1133" s="137"/>
      <c r="AI1133" s="137"/>
      <c r="AJ1133" s="137"/>
      <c r="AK1133" s="137"/>
    </row>
    <row r="1134" spans="13:37" ht="13" x14ac:dyDescent="0.15">
      <c r="M1134" s="165"/>
      <c r="N1134" s="165"/>
      <c r="O1134" s="165"/>
      <c r="P1134" s="165"/>
      <c r="Q1134" s="165"/>
      <c r="R1134" s="165"/>
      <c r="S1134" s="166"/>
      <c r="T1134" s="165"/>
      <c r="U1134" s="166"/>
      <c r="W1134" s="166"/>
      <c r="X1134" s="166"/>
      <c r="Y1134" s="166"/>
      <c r="Z1134" s="167"/>
      <c r="AA1134" s="165"/>
      <c r="AB1134" s="167"/>
      <c r="AC1134" s="167"/>
      <c r="AD1134" s="167"/>
      <c r="AE1134" s="167"/>
      <c r="AF1134" s="167"/>
      <c r="AG1134" s="137"/>
      <c r="AH1134" s="137"/>
      <c r="AI1134" s="137"/>
      <c r="AJ1134" s="137"/>
      <c r="AK1134" s="137"/>
    </row>
    <row r="1135" spans="13:37" ht="13" x14ac:dyDescent="0.15">
      <c r="M1135" s="165"/>
      <c r="N1135" s="165"/>
      <c r="O1135" s="165"/>
      <c r="P1135" s="165"/>
      <c r="Q1135" s="165"/>
      <c r="R1135" s="165"/>
      <c r="S1135" s="166"/>
      <c r="T1135" s="165"/>
      <c r="U1135" s="166"/>
      <c r="W1135" s="166"/>
      <c r="X1135" s="166"/>
      <c r="Y1135" s="166"/>
      <c r="Z1135" s="167"/>
      <c r="AA1135" s="165"/>
      <c r="AB1135" s="167"/>
      <c r="AC1135" s="167"/>
      <c r="AD1135" s="167"/>
      <c r="AE1135" s="167"/>
      <c r="AF1135" s="167"/>
      <c r="AG1135" s="137"/>
      <c r="AH1135" s="137"/>
      <c r="AI1135" s="137"/>
      <c r="AJ1135" s="137"/>
      <c r="AK1135" s="137"/>
    </row>
    <row r="1136" spans="13:37" ht="13" x14ac:dyDescent="0.15">
      <c r="M1136" s="165"/>
      <c r="N1136" s="165"/>
      <c r="O1136" s="165"/>
      <c r="P1136" s="165"/>
      <c r="Q1136" s="165"/>
      <c r="R1136" s="165"/>
      <c r="S1136" s="166"/>
      <c r="T1136" s="165"/>
      <c r="U1136" s="166"/>
      <c r="W1136" s="166"/>
      <c r="X1136" s="166"/>
      <c r="Y1136" s="166"/>
      <c r="Z1136" s="166"/>
      <c r="AA1136" s="165"/>
      <c r="AB1136" s="167"/>
      <c r="AC1136" s="167"/>
      <c r="AD1136" s="167"/>
      <c r="AE1136" s="167"/>
      <c r="AF1136" s="167"/>
      <c r="AG1136" s="137"/>
      <c r="AH1136" s="137"/>
      <c r="AI1136" s="137"/>
      <c r="AJ1136" s="137"/>
      <c r="AK1136" s="137"/>
    </row>
    <row r="1137" spans="13:37" ht="13" x14ac:dyDescent="0.15">
      <c r="M1137" s="165"/>
      <c r="N1137" s="165"/>
      <c r="O1137" s="165"/>
      <c r="P1137" s="165"/>
      <c r="Q1137" s="165"/>
      <c r="R1137" s="165"/>
      <c r="S1137" s="166"/>
      <c r="T1137" s="165"/>
      <c r="U1137" s="166"/>
      <c r="W1137" s="166"/>
      <c r="X1137" s="166"/>
      <c r="Y1137" s="166"/>
      <c r="Z1137" s="166"/>
      <c r="AA1137" s="165"/>
      <c r="AB1137" s="167"/>
      <c r="AC1137" s="167"/>
      <c r="AD1137" s="167"/>
      <c r="AE1137" s="167"/>
      <c r="AF1137" s="167"/>
      <c r="AG1137" s="137"/>
      <c r="AH1137" s="137"/>
      <c r="AI1137" s="137"/>
      <c r="AJ1137" s="137"/>
      <c r="AK1137" s="137"/>
    </row>
    <row r="1138" spans="13:37" ht="13" x14ac:dyDescent="0.15">
      <c r="M1138" s="165"/>
      <c r="N1138" s="165"/>
      <c r="O1138" s="165"/>
      <c r="P1138" s="165"/>
      <c r="Q1138" s="165"/>
      <c r="R1138" s="165"/>
      <c r="S1138" s="166"/>
      <c r="T1138" s="165"/>
      <c r="U1138" s="166"/>
      <c r="W1138" s="166"/>
      <c r="X1138" s="166"/>
      <c r="Y1138" s="166"/>
      <c r="Z1138" s="166"/>
      <c r="AA1138" s="165"/>
      <c r="AB1138" s="167"/>
      <c r="AC1138" s="167"/>
      <c r="AD1138" s="167"/>
      <c r="AE1138" s="167"/>
      <c r="AF1138" s="167"/>
      <c r="AG1138" s="137"/>
      <c r="AH1138" s="137"/>
      <c r="AI1138" s="137"/>
      <c r="AJ1138" s="137"/>
      <c r="AK1138" s="137"/>
    </row>
    <row r="1139" spans="13:37" ht="13" x14ac:dyDescent="0.15">
      <c r="M1139" s="165"/>
      <c r="N1139" s="165"/>
      <c r="O1139" s="165"/>
      <c r="P1139" s="165"/>
      <c r="Q1139" s="165"/>
      <c r="R1139" s="165"/>
      <c r="S1139" s="166"/>
      <c r="T1139" s="165"/>
      <c r="U1139" s="166"/>
      <c r="W1139" s="166"/>
      <c r="X1139" s="166"/>
      <c r="Y1139" s="166"/>
      <c r="Z1139" s="166"/>
      <c r="AA1139" s="165"/>
      <c r="AB1139" s="167"/>
      <c r="AC1139" s="167"/>
      <c r="AD1139" s="167"/>
      <c r="AE1139" s="167"/>
      <c r="AF1139" s="167"/>
      <c r="AG1139" s="137"/>
      <c r="AH1139" s="137"/>
      <c r="AI1139" s="137"/>
      <c r="AJ1139" s="137"/>
      <c r="AK1139" s="137"/>
    </row>
    <row r="1140" spans="13:37" ht="13" x14ac:dyDescent="0.15">
      <c r="M1140" s="165"/>
      <c r="N1140" s="165"/>
      <c r="O1140" s="165"/>
      <c r="P1140" s="165"/>
      <c r="Q1140" s="165"/>
      <c r="R1140" s="165"/>
      <c r="S1140" s="166"/>
      <c r="T1140" s="165"/>
      <c r="U1140" s="166"/>
      <c r="W1140" s="166"/>
      <c r="X1140" s="166"/>
      <c r="Y1140" s="166"/>
      <c r="Z1140" s="166"/>
      <c r="AA1140" s="165"/>
      <c r="AB1140" s="167"/>
      <c r="AC1140" s="167"/>
      <c r="AD1140" s="167"/>
      <c r="AE1140" s="167"/>
      <c r="AF1140" s="167"/>
      <c r="AG1140" s="137"/>
      <c r="AH1140" s="137"/>
      <c r="AI1140" s="137"/>
      <c r="AJ1140" s="137"/>
      <c r="AK1140" s="137"/>
    </row>
    <row r="1141" spans="13:37" ht="13" x14ac:dyDescent="0.15">
      <c r="M1141" s="165"/>
      <c r="N1141" s="165"/>
      <c r="O1141" s="165"/>
      <c r="P1141" s="165"/>
      <c r="Q1141" s="165"/>
      <c r="R1141" s="165"/>
      <c r="S1141" s="166"/>
      <c r="T1141" s="165"/>
      <c r="U1141" s="166"/>
      <c r="W1141" s="166"/>
      <c r="X1141" s="166"/>
      <c r="Y1141" s="166"/>
      <c r="Z1141" s="166"/>
      <c r="AA1141" s="165"/>
      <c r="AB1141" s="167"/>
      <c r="AC1141" s="167"/>
      <c r="AD1141" s="167"/>
      <c r="AE1141" s="167"/>
      <c r="AF1141" s="167"/>
      <c r="AG1141" s="137"/>
      <c r="AH1141" s="137"/>
      <c r="AI1141" s="137"/>
      <c r="AJ1141" s="137"/>
      <c r="AK1141" s="137"/>
    </row>
    <row r="1142" spans="13:37" ht="13" x14ac:dyDescent="0.15">
      <c r="M1142" s="165"/>
      <c r="N1142" s="165"/>
      <c r="O1142" s="165"/>
      <c r="P1142" s="165"/>
      <c r="Q1142" s="165"/>
      <c r="R1142" s="165"/>
      <c r="S1142" s="166"/>
      <c r="T1142" s="165"/>
      <c r="U1142" s="166"/>
      <c r="W1142" s="166"/>
      <c r="X1142" s="166"/>
      <c r="Y1142" s="166"/>
      <c r="Z1142" s="166"/>
      <c r="AA1142" s="165"/>
      <c r="AB1142" s="167"/>
      <c r="AC1142" s="167"/>
      <c r="AD1142" s="167"/>
      <c r="AE1142" s="167"/>
      <c r="AF1142" s="167"/>
      <c r="AG1142" s="137"/>
      <c r="AH1142" s="137"/>
      <c r="AI1142" s="137"/>
      <c r="AJ1142" s="137"/>
      <c r="AK1142" s="137"/>
    </row>
    <row r="1143" spans="13:37" ht="13" x14ac:dyDescent="0.15">
      <c r="M1143" s="165"/>
      <c r="N1143" s="165"/>
      <c r="O1143" s="165"/>
      <c r="P1143" s="165"/>
      <c r="Q1143" s="165"/>
      <c r="R1143" s="165"/>
      <c r="S1143" s="166"/>
      <c r="T1143" s="165"/>
      <c r="U1143" s="166"/>
      <c r="W1143" s="166"/>
      <c r="X1143" s="166"/>
      <c r="Y1143" s="166"/>
      <c r="Z1143" s="167"/>
      <c r="AA1143" s="165"/>
      <c r="AB1143" s="167"/>
      <c r="AC1143" s="167"/>
      <c r="AD1143" s="167"/>
      <c r="AE1143" s="167"/>
      <c r="AF1143" s="167"/>
      <c r="AG1143" s="137"/>
      <c r="AH1143" s="137"/>
      <c r="AI1143" s="137"/>
      <c r="AJ1143" s="137"/>
      <c r="AK1143" s="137"/>
    </row>
    <row r="1144" spans="13:37" ht="13" x14ac:dyDescent="0.15">
      <c r="M1144" s="165"/>
      <c r="N1144" s="165"/>
      <c r="O1144" s="165"/>
      <c r="P1144" s="165"/>
      <c r="Q1144" s="165"/>
      <c r="R1144" s="165"/>
      <c r="S1144" s="166"/>
      <c r="T1144" s="165"/>
      <c r="U1144" s="166"/>
      <c r="W1144" s="166"/>
      <c r="X1144" s="166"/>
      <c r="Y1144" s="166"/>
      <c r="Z1144" s="167"/>
      <c r="AA1144" s="165"/>
      <c r="AB1144" s="167"/>
      <c r="AC1144" s="167"/>
      <c r="AD1144" s="167"/>
      <c r="AE1144" s="167"/>
      <c r="AF1144" s="167"/>
      <c r="AG1144" s="137"/>
      <c r="AH1144" s="137"/>
      <c r="AI1144" s="137"/>
      <c r="AJ1144" s="137"/>
      <c r="AK1144" s="137"/>
    </row>
    <row r="1145" spans="13:37" ht="13" x14ac:dyDescent="0.15">
      <c r="M1145" s="165"/>
      <c r="N1145" s="165"/>
      <c r="O1145" s="165"/>
      <c r="P1145" s="165"/>
      <c r="Q1145" s="165"/>
      <c r="R1145" s="165"/>
      <c r="S1145" s="166"/>
      <c r="T1145" s="165"/>
      <c r="U1145" s="166"/>
      <c r="W1145" s="166"/>
      <c r="X1145" s="166"/>
      <c r="Y1145" s="166"/>
      <c r="Z1145" s="167"/>
      <c r="AA1145" s="165"/>
      <c r="AB1145" s="167"/>
      <c r="AC1145" s="167"/>
      <c r="AD1145" s="167"/>
      <c r="AE1145" s="167"/>
      <c r="AF1145" s="167"/>
      <c r="AG1145" s="137"/>
      <c r="AH1145" s="137"/>
      <c r="AI1145" s="137"/>
      <c r="AJ1145" s="137"/>
      <c r="AK1145" s="137"/>
    </row>
    <row r="1146" spans="13:37" ht="13" x14ac:dyDescent="0.15">
      <c r="M1146" s="165"/>
      <c r="N1146" s="165"/>
      <c r="O1146" s="165"/>
      <c r="P1146" s="165"/>
      <c r="Q1146" s="165"/>
      <c r="R1146" s="165"/>
      <c r="S1146" s="166"/>
      <c r="T1146" s="165"/>
      <c r="U1146" s="166"/>
      <c r="W1146" s="166"/>
      <c r="X1146" s="166"/>
      <c r="Y1146" s="166"/>
      <c r="Z1146" s="167"/>
      <c r="AA1146" s="165"/>
      <c r="AB1146" s="167"/>
      <c r="AC1146" s="167"/>
      <c r="AD1146" s="167"/>
      <c r="AE1146" s="167"/>
      <c r="AF1146" s="167"/>
      <c r="AG1146" s="137"/>
      <c r="AH1146" s="137"/>
      <c r="AI1146" s="137"/>
      <c r="AJ1146" s="137"/>
      <c r="AK1146" s="137"/>
    </row>
    <row r="1147" spans="13:37" ht="13" x14ac:dyDescent="0.15">
      <c r="M1147" s="165"/>
      <c r="N1147" s="165"/>
      <c r="O1147" s="165"/>
      <c r="P1147" s="165"/>
      <c r="Q1147" s="165"/>
      <c r="R1147" s="165"/>
      <c r="S1147" s="166"/>
      <c r="T1147" s="165"/>
      <c r="U1147" s="166"/>
      <c r="W1147" s="166"/>
      <c r="X1147" s="166"/>
      <c r="Y1147" s="166"/>
      <c r="Z1147" s="167"/>
      <c r="AA1147" s="165"/>
      <c r="AB1147" s="167"/>
      <c r="AC1147" s="167"/>
      <c r="AD1147" s="167"/>
      <c r="AE1147" s="167"/>
      <c r="AF1147" s="167"/>
      <c r="AG1147" s="137"/>
      <c r="AH1147" s="137"/>
      <c r="AI1147" s="137"/>
      <c r="AJ1147" s="137"/>
      <c r="AK1147" s="137"/>
    </row>
    <row r="1148" spans="13:37" ht="13" x14ac:dyDescent="0.15">
      <c r="M1148" s="165"/>
      <c r="N1148" s="165"/>
      <c r="O1148" s="165"/>
      <c r="P1148" s="165"/>
      <c r="Q1148" s="165"/>
      <c r="R1148" s="165"/>
      <c r="S1148" s="166"/>
      <c r="T1148" s="165"/>
      <c r="U1148" s="166"/>
      <c r="W1148" s="166"/>
      <c r="X1148" s="166"/>
      <c r="Y1148" s="166"/>
      <c r="Z1148" s="167"/>
      <c r="AA1148" s="165"/>
      <c r="AB1148" s="167"/>
      <c r="AC1148" s="167"/>
      <c r="AD1148" s="167"/>
      <c r="AE1148" s="167"/>
      <c r="AF1148" s="167"/>
      <c r="AG1148" s="137"/>
      <c r="AH1148" s="137"/>
      <c r="AI1148" s="137"/>
      <c r="AJ1148" s="137"/>
      <c r="AK1148" s="137"/>
    </row>
    <row r="1149" spans="13:37" ht="13" x14ac:dyDescent="0.15">
      <c r="M1149" s="165"/>
      <c r="N1149" s="165"/>
      <c r="O1149" s="165"/>
      <c r="P1149" s="165"/>
      <c r="Q1149" s="165"/>
      <c r="R1149" s="165"/>
      <c r="S1149" s="166"/>
      <c r="T1149" s="165"/>
      <c r="U1149" s="166"/>
      <c r="W1149" s="166"/>
      <c r="X1149" s="166"/>
      <c r="Y1149" s="166"/>
      <c r="Z1149" s="167"/>
      <c r="AA1149" s="165"/>
      <c r="AB1149" s="167"/>
      <c r="AC1149" s="167"/>
      <c r="AD1149" s="167"/>
      <c r="AE1149" s="167"/>
      <c r="AF1149" s="167"/>
      <c r="AG1149" s="137"/>
      <c r="AH1149" s="137"/>
      <c r="AI1149" s="137"/>
      <c r="AJ1149" s="137"/>
      <c r="AK1149" s="137"/>
    </row>
    <row r="1150" spans="13:37" ht="13" x14ac:dyDescent="0.15">
      <c r="M1150" s="165"/>
      <c r="N1150" s="165"/>
      <c r="O1150" s="165"/>
      <c r="P1150" s="165"/>
      <c r="Q1150" s="165"/>
      <c r="R1150" s="165"/>
      <c r="S1150" s="166"/>
      <c r="T1150" s="165"/>
      <c r="U1150" s="166"/>
      <c r="W1150" s="166"/>
      <c r="X1150" s="166"/>
      <c r="Y1150" s="166"/>
      <c r="Z1150" s="167"/>
      <c r="AA1150" s="165"/>
      <c r="AB1150" s="167"/>
      <c r="AC1150" s="167"/>
      <c r="AD1150" s="167"/>
      <c r="AE1150" s="167"/>
      <c r="AF1150" s="167"/>
      <c r="AG1150" s="137"/>
      <c r="AH1150" s="137"/>
      <c r="AI1150" s="137"/>
      <c r="AJ1150" s="137"/>
      <c r="AK1150" s="137"/>
    </row>
    <row r="1151" spans="13:37" ht="13" x14ac:dyDescent="0.15">
      <c r="M1151" s="165"/>
      <c r="N1151" s="165"/>
      <c r="O1151" s="165"/>
      <c r="P1151" s="165"/>
      <c r="Q1151" s="165"/>
      <c r="R1151" s="165"/>
      <c r="S1151" s="166"/>
      <c r="T1151" s="165"/>
      <c r="U1151" s="166"/>
      <c r="W1151" s="166"/>
      <c r="X1151" s="166"/>
      <c r="Y1151" s="166"/>
      <c r="Z1151" s="167"/>
      <c r="AA1151" s="165"/>
      <c r="AB1151" s="167"/>
      <c r="AC1151" s="167"/>
      <c r="AD1151" s="167"/>
      <c r="AE1151" s="167"/>
      <c r="AF1151" s="167"/>
      <c r="AG1151" s="137"/>
      <c r="AH1151" s="137"/>
      <c r="AI1151" s="137"/>
      <c r="AJ1151" s="137"/>
      <c r="AK1151" s="137"/>
    </row>
    <row r="1152" spans="13:37" ht="13" x14ac:dyDescent="0.15">
      <c r="M1152" s="165"/>
      <c r="N1152" s="165"/>
      <c r="O1152" s="165"/>
      <c r="P1152" s="165"/>
      <c r="Q1152" s="165"/>
      <c r="R1152" s="165"/>
      <c r="S1152" s="166"/>
      <c r="W1152" s="166"/>
      <c r="X1152" s="166"/>
      <c r="Y1152" s="166"/>
      <c r="Z1152" s="166"/>
      <c r="AA1152" s="165"/>
      <c r="AB1152" s="167"/>
      <c r="AC1152" s="167"/>
      <c r="AD1152" s="167"/>
      <c r="AE1152" s="167"/>
      <c r="AG1152" s="137"/>
    </row>
    <row r="1153" spans="13:37" ht="13" x14ac:dyDescent="0.15">
      <c r="M1153" s="165"/>
      <c r="N1153" s="165"/>
      <c r="O1153" s="165"/>
      <c r="P1153" s="165"/>
      <c r="Q1153" s="165"/>
      <c r="R1153" s="165"/>
      <c r="S1153" s="166"/>
      <c r="T1153" s="165"/>
      <c r="U1153" s="166"/>
      <c r="W1153" s="166"/>
      <c r="X1153" s="166"/>
      <c r="Y1153" s="166"/>
      <c r="Z1153" s="166"/>
      <c r="AA1153" s="165"/>
      <c r="AB1153" s="167"/>
      <c r="AC1153" s="167"/>
      <c r="AD1153" s="167"/>
      <c r="AE1153" s="167"/>
      <c r="AF1153" s="167"/>
      <c r="AG1153" s="137"/>
    </row>
    <row r="1154" spans="13:37" ht="13" x14ac:dyDescent="0.15">
      <c r="M1154" s="165"/>
      <c r="N1154" s="165"/>
      <c r="O1154" s="165"/>
      <c r="P1154" s="165"/>
      <c r="Q1154" s="165"/>
      <c r="R1154" s="165"/>
      <c r="S1154" s="166"/>
      <c r="T1154" s="165"/>
      <c r="U1154" s="166"/>
      <c r="W1154" s="166"/>
      <c r="X1154" s="166"/>
      <c r="Y1154" s="166"/>
      <c r="Z1154" s="166"/>
      <c r="AA1154" s="165"/>
      <c r="AB1154" s="167"/>
      <c r="AC1154" s="167"/>
      <c r="AD1154" s="167"/>
      <c r="AE1154" s="167"/>
      <c r="AF1154" s="167"/>
      <c r="AG1154" s="137"/>
    </row>
    <row r="1155" spans="13:37" ht="13" x14ac:dyDescent="0.15">
      <c r="M1155" s="165"/>
      <c r="N1155" s="165"/>
      <c r="O1155" s="165"/>
      <c r="P1155" s="165"/>
      <c r="Q1155" s="165"/>
      <c r="R1155" s="165"/>
      <c r="S1155" s="166"/>
      <c r="T1155" s="165"/>
      <c r="U1155" s="166"/>
      <c r="W1155" s="166"/>
      <c r="X1155" s="166"/>
      <c r="Y1155" s="166"/>
      <c r="Z1155" s="166"/>
      <c r="AA1155" s="165"/>
      <c r="AB1155" s="167"/>
      <c r="AC1155" s="167"/>
      <c r="AD1155" s="167"/>
      <c r="AE1155" s="167"/>
      <c r="AF1155" s="167"/>
      <c r="AG1155" s="137"/>
    </row>
    <row r="1156" spans="13:37" ht="13" x14ac:dyDescent="0.15">
      <c r="M1156" s="165"/>
      <c r="N1156" s="165"/>
      <c r="O1156" s="165"/>
      <c r="P1156" s="165"/>
      <c r="Q1156" s="165"/>
      <c r="R1156" s="165"/>
      <c r="S1156" s="166"/>
      <c r="W1156" s="166"/>
      <c r="X1156" s="166"/>
      <c r="Y1156" s="166"/>
      <c r="Z1156" s="167"/>
      <c r="AA1156" s="165"/>
      <c r="AB1156" s="167"/>
      <c r="AC1156" s="167"/>
      <c r="AD1156" s="167"/>
      <c r="AE1156" s="167"/>
      <c r="AG1156" s="137"/>
    </row>
    <row r="1157" spans="13:37" ht="13" x14ac:dyDescent="0.15">
      <c r="M1157" s="165"/>
      <c r="N1157" s="165"/>
      <c r="O1157" s="165"/>
      <c r="P1157" s="165"/>
      <c r="Q1157" s="165"/>
      <c r="R1157" s="165"/>
      <c r="S1157" s="166"/>
      <c r="W1157" s="166"/>
      <c r="X1157" s="166"/>
      <c r="Y1157" s="166"/>
      <c r="Z1157" s="167"/>
      <c r="AA1157" s="165"/>
      <c r="AB1157" s="167"/>
      <c r="AC1157" s="167"/>
      <c r="AD1157" s="167"/>
      <c r="AE1157" s="167"/>
      <c r="AG1157" s="137"/>
    </row>
    <row r="1158" spans="13:37" ht="13" x14ac:dyDescent="0.15">
      <c r="M1158" s="165"/>
      <c r="N1158" s="165"/>
      <c r="O1158" s="165"/>
      <c r="P1158" s="165"/>
      <c r="Q1158" s="165"/>
      <c r="R1158" s="165"/>
      <c r="S1158" s="166"/>
      <c r="T1158" s="165"/>
      <c r="U1158" s="166"/>
      <c r="W1158" s="166"/>
      <c r="X1158" s="166"/>
      <c r="Y1158" s="166"/>
      <c r="Z1158" s="167"/>
      <c r="AA1158" s="165"/>
      <c r="AB1158" s="167"/>
      <c r="AC1158" s="167"/>
      <c r="AD1158" s="167"/>
      <c r="AE1158" s="167"/>
      <c r="AF1158" s="167"/>
      <c r="AG1158" s="137"/>
      <c r="AH1158" s="137"/>
      <c r="AI1158" s="137"/>
      <c r="AJ1158" s="137"/>
      <c r="AK1158" s="137"/>
    </row>
    <row r="1159" spans="13:37" ht="13" x14ac:dyDescent="0.15">
      <c r="M1159" s="165"/>
      <c r="N1159" s="165"/>
      <c r="O1159" s="165"/>
      <c r="P1159" s="165"/>
      <c r="Q1159" s="165"/>
      <c r="R1159" s="165"/>
      <c r="S1159" s="166"/>
      <c r="T1159" s="165"/>
      <c r="U1159" s="166"/>
      <c r="W1159" s="166"/>
      <c r="X1159" s="166"/>
      <c r="Y1159" s="166"/>
      <c r="Z1159" s="167"/>
      <c r="AA1159" s="165"/>
      <c r="AB1159" s="167"/>
      <c r="AC1159" s="167"/>
      <c r="AD1159" s="167"/>
      <c r="AE1159" s="167"/>
      <c r="AF1159" s="167"/>
      <c r="AG1159" s="137"/>
      <c r="AH1159" s="137"/>
      <c r="AI1159" s="137"/>
      <c r="AJ1159" s="137"/>
      <c r="AK1159" s="137"/>
    </row>
    <row r="1160" spans="13:37" ht="13" x14ac:dyDescent="0.15">
      <c r="M1160" s="165"/>
      <c r="N1160" s="165"/>
      <c r="O1160" s="165"/>
      <c r="P1160" s="165"/>
      <c r="Q1160" s="165"/>
      <c r="R1160" s="165"/>
      <c r="S1160" s="166"/>
      <c r="T1160" s="165"/>
      <c r="U1160" s="166"/>
      <c r="W1160" s="166"/>
      <c r="X1160" s="166"/>
      <c r="Y1160" s="166"/>
      <c r="Z1160" s="167"/>
      <c r="AA1160" s="165"/>
      <c r="AB1160" s="167"/>
      <c r="AC1160" s="167"/>
      <c r="AD1160" s="167"/>
      <c r="AE1160" s="167"/>
      <c r="AF1160" s="167"/>
      <c r="AG1160" s="137"/>
      <c r="AH1160" s="137"/>
      <c r="AI1160" s="137"/>
      <c r="AJ1160" s="137"/>
      <c r="AK1160" s="137"/>
    </row>
    <row r="1161" spans="13:37" ht="13" x14ac:dyDescent="0.15">
      <c r="M1161" s="165"/>
      <c r="N1161" s="165"/>
      <c r="O1161" s="165"/>
      <c r="P1161" s="165"/>
      <c r="Q1161" s="165"/>
      <c r="R1161" s="165"/>
      <c r="S1161" s="166"/>
      <c r="T1161" s="165"/>
      <c r="U1161" s="166"/>
      <c r="W1161" s="166"/>
      <c r="X1161" s="166"/>
      <c r="Y1161" s="166"/>
      <c r="Z1161" s="167"/>
      <c r="AA1161" s="165"/>
      <c r="AB1161" s="167"/>
      <c r="AC1161" s="167"/>
      <c r="AD1161" s="167"/>
      <c r="AE1161" s="167"/>
      <c r="AF1161" s="167"/>
      <c r="AG1161" s="137"/>
      <c r="AH1161" s="137"/>
      <c r="AI1161" s="137"/>
      <c r="AJ1161" s="137"/>
      <c r="AK1161" s="137"/>
    </row>
    <row r="1162" spans="13:37" ht="13" x14ac:dyDescent="0.15">
      <c r="M1162" s="165"/>
      <c r="N1162" s="165"/>
      <c r="O1162" s="165"/>
      <c r="P1162" s="165"/>
      <c r="Q1162" s="165"/>
      <c r="R1162" s="165"/>
      <c r="S1162" s="166"/>
      <c r="T1162" s="165"/>
      <c r="U1162" s="166"/>
      <c r="W1162" s="166"/>
      <c r="X1162" s="166"/>
      <c r="Y1162" s="166"/>
      <c r="Z1162" s="167"/>
      <c r="AA1162" s="165"/>
      <c r="AB1162" s="167"/>
      <c r="AC1162" s="167"/>
      <c r="AD1162" s="167"/>
      <c r="AE1162" s="167"/>
      <c r="AF1162" s="167"/>
      <c r="AG1162" s="137"/>
      <c r="AH1162" s="137"/>
      <c r="AI1162" s="137"/>
      <c r="AJ1162" s="137"/>
      <c r="AK1162" s="137"/>
    </row>
    <row r="1163" spans="13:37" ht="13" x14ac:dyDescent="0.15">
      <c r="M1163" s="165"/>
      <c r="N1163" s="165"/>
      <c r="O1163" s="165"/>
      <c r="P1163" s="165"/>
      <c r="Q1163" s="165"/>
      <c r="R1163" s="165"/>
      <c r="S1163" s="166"/>
      <c r="T1163" s="165"/>
      <c r="U1163" s="166"/>
      <c r="W1163" s="166"/>
      <c r="X1163" s="166"/>
      <c r="Y1163" s="166"/>
      <c r="Z1163" s="167"/>
      <c r="AA1163" s="165"/>
      <c r="AB1163" s="167"/>
      <c r="AC1163" s="167"/>
      <c r="AD1163" s="167"/>
      <c r="AE1163" s="167"/>
      <c r="AF1163" s="167"/>
      <c r="AG1163" s="137"/>
      <c r="AH1163" s="137"/>
      <c r="AI1163" s="137"/>
      <c r="AJ1163" s="137"/>
      <c r="AK1163" s="137"/>
    </row>
    <row r="1164" spans="13:37" ht="13" x14ac:dyDescent="0.15">
      <c r="M1164" s="165"/>
      <c r="N1164" s="165"/>
      <c r="O1164" s="165"/>
      <c r="P1164" s="165"/>
      <c r="Q1164" s="165"/>
      <c r="R1164" s="165"/>
      <c r="S1164" s="168"/>
      <c r="T1164" s="165"/>
      <c r="U1164" s="166"/>
      <c r="W1164" s="166"/>
      <c r="X1164" s="166"/>
      <c r="Y1164" s="166"/>
      <c r="Z1164" s="167"/>
      <c r="AA1164" s="165"/>
      <c r="AB1164" s="167"/>
      <c r="AC1164" s="167"/>
      <c r="AD1164" s="167"/>
      <c r="AE1164" s="167"/>
      <c r="AF1164" s="167"/>
      <c r="AG1164" s="137"/>
      <c r="AH1164" s="137"/>
      <c r="AI1164" s="137"/>
      <c r="AJ1164" s="137"/>
      <c r="AK1164" s="137"/>
    </row>
    <row r="1165" spans="13:37" ht="13" x14ac:dyDescent="0.15">
      <c r="M1165" s="165"/>
      <c r="N1165" s="165"/>
      <c r="O1165" s="165"/>
      <c r="P1165" s="165"/>
      <c r="Q1165" s="165"/>
      <c r="R1165" s="165"/>
      <c r="S1165" s="166"/>
      <c r="W1165" s="166"/>
      <c r="X1165" s="166"/>
      <c r="Y1165" s="166"/>
      <c r="Z1165" s="167"/>
      <c r="AA1165" s="165"/>
      <c r="AB1165" s="167"/>
      <c r="AC1165" s="167"/>
      <c r="AD1165" s="167"/>
      <c r="AE1165" s="167"/>
      <c r="AG1165" s="137"/>
    </row>
    <row r="1166" spans="13:37" ht="13" x14ac:dyDescent="0.15">
      <c r="M1166" s="165"/>
      <c r="N1166" s="165"/>
      <c r="O1166" s="165"/>
      <c r="P1166" s="165"/>
      <c r="Q1166" s="165"/>
      <c r="R1166" s="165"/>
      <c r="S1166" s="166"/>
      <c r="W1166" s="166"/>
      <c r="X1166" s="166"/>
      <c r="Y1166" s="166"/>
      <c r="Z1166" s="167"/>
      <c r="AA1166" s="165"/>
      <c r="AB1166" s="167"/>
      <c r="AC1166" s="167"/>
      <c r="AD1166" s="167"/>
      <c r="AE1166" s="167"/>
      <c r="AG1166" s="137"/>
    </row>
    <row r="1167" spans="13:37" ht="13" x14ac:dyDescent="0.15">
      <c r="M1167" s="165"/>
      <c r="N1167" s="165"/>
      <c r="O1167" s="165"/>
      <c r="P1167" s="165"/>
      <c r="Q1167" s="165"/>
      <c r="R1167" s="165"/>
      <c r="S1167" s="166"/>
      <c r="W1167" s="166"/>
      <c r="X1167" s="166"/>
      <c r="Y1167" s="166"/>
      <c r="Z1167" s="167"/>
      <c r="AA1167" s="165"/>
      <c r="AB1167" s="167"/>
      <c r="AC1167" s="167"/>
      <c r="AD1167" s="167"/>
      <c r="AE1167" s="167"/>
      <c r="AG1167" s="137"/>
    </row>
    <row r="1168" spans="13:37" ht="13" x14ac:dyDescent="0.15">
      <c r="M1168" s="165"/>
      <c r="N1168" s="165"/>
      <c r="O1168" s="165"/>
      <c r="P1168" s="165"/>
      <c r="Q1168" s="165"/>
      <c r="R1168" s="165"/>
      <c r="S1168" s="166"/>
      <c r="T1168" s="165"/>
      <c r="U1168" s="166"/>
      <c r="W1168" s="166"/>
      <c r="X1168" s="166"/>
      <c r="Y1168" s="166"/>
      <c r="Z1168" s="167"/>
      <c r="AA1168" s="165"/>
      <c r="AB1168" s="167"/>
      <c r="AC1168" s="167"/>
      <c r="AD1168" s="167"/>
      <c r="AE1168" s="167"/>
      <c r="AF1168" s="167"/>
      <c r="AG1168" s="137"/>
    </row>
    <row r="1169" spans="11:37" ht="13" x14ac:dyDescent="0.15">
      <c r="M1169" s="165"/>
      <c r="N1169" s="165"/>
      <c r="O1169" s="165"/>
      <c r="P1169" s="165"/>
      <c r="Q1169" s="165"/>
      <c r="R1169" s="165"/>
      <c r="S1169" s="166"/>
      <c r="T1169" s="165"/>
      <c r="U1169" s="166"/>
      <c r="W1169" s="166"/>
      <c r="X1169" s="166"/>
      <c r="Y1169" s="166"/>
      <c r="Z1169" s="167"/>
      <c r="AA1169" s="165"/>
      <c r="AB1169" s="167"/>
      <c r="AC1169" s="167"/>
      <c r="AD1169" s="167"/>
      <c r="AE1169" s="167"/>
      <c r="AF1169" s="167"/>
      <c r="AG1169" s="137"/>
    </row>
    <row r="1170" spans="11:37" ht="13" x14ac:dyDescent="0.15">
      <c r="M1170" s="165"/>
      <c r="N1170" s="165"/>
      <c r="O1170" s="165"/>
      <c r="P1170" s="165"/>
      <c r="Q1170" s="165"/>
      <c r="R1170" s="165"/>
      <c r="S1170" s="166"/>
      <c r="T1170" s="165"/>
      <c r="U1170" s="166"/>
      <c r="W1170" s="166"/>
      <c r="X1170" s="166"/>
      <c r="Y1170" s="166"/>
      <c r="Z1170" s="167"/>
      <c r="AA1170" s="165"/>
      <c r="AB1170" s="167"/>
      <c r="AC1170" s="167"/>
      <c r="AD1170" s="167"/>
      <c r="AE1170" s="167"/>
      <c r="AF1170" s="167"/>
      <c r="AG1170" s="137"/>
    </row>
    <row r="1171" spans="11:37" ht="13" x14ac:dyDescent="0.15">
      <c r="M1171" s="165"/>
      <c r="N1171" s="165"/>
      <c r="O1171" s="165"/>
      <c r="P1171" s="165"/>
      <c r="Q1171" s="165"/>
      <c r="R1171" s="165"/>
      <c r="S1171" s="166"/>
      <c r="T1171" s="165"/>
      <c r="U1171" s="166"/>
      <c r="W1171" s="166"/>
      <c r="X1171" s="166"/>
      <c r="Y1171" s="166"/>
      <c r="Z1171" s="166"/>
      <c r="AA1171" s="165"/>
      <c r="AB1171" s="167"/>
      <c r="AC1171" s="167"/>
      <c r="AD1171" s="167"/>
      <c r="AE1171" s="167"/>
      <c r="AF1171" s="167"/>
      <c r="AG1171" s="137"/>
      <c r="AH1171" s="137"/>
      <c r="AI1171" s="137"/>
      <c r="AJ1171" s="137"/>
      <c r="AK1171" s="137"/>
    </row>
    <row r="1172" spans="11:37" ht="13" x14ac:dyDescent="0.15">
      <c r="M1172" s="165"/>
      <c r="N1172" s="165"/>
      <c r="O1172" s="165"/>
      <c r="P1172" s="165"/>
      <c r="Q1172" s="165"/>
      <c r="R1172" s="165"/>
      <c r="S1172" s="166"/>
      <c r="T1172" s="165"/>
      <c r="U1172" s="166"/>
      <c r="W1172" s="166"/>
      <c r="X1172" s="166"/>
      <c r="Y1172" s="166"/>
      <c r="Z1172" s="167"/>
      <c r="AA1172" s="165"/>
      <c r="AB1172" s="167"/>
      <c r="AC1172" s="167"/>
      <c r="AD1172" s="167"/>
      <c r="AE1172" s="167"/>
      <c r="AF1172" s="167"/>
      <c r="AG1172" s="137"/>
      <c r="AH1172" s="137"/>
      <c r="AI1172" s="137"/>
      <c r="AJ1172" s="137"/>
      <c r="AK1172" s="137"/>
    </row>
    <row r="1173" spans="11:37" ht="13" x14ac:dyDescent="0.15">
      <c r="M1173" s="165"/>
      <c r="N1173" s="165"/>
      <c r="O1173" s="165"/>
      <c r="P1173" s="165"/>
      <c r="Q1173" s="165"/>
      <c r="R1173" s="165"/>
      <c r="S1173" s="166"/>
      <c r="T1173" s="165"/>
      <c r="U1173" s="166"/>
      <c r="W1173" s="166"/>
      <c r="X1173" s="166"/>
      <c r="Y1173" s="166"/>
      <c r="Z1173" s="167"/>
      <c r="AA1173" s="165"/>
      <c r="AB1173" s="167"/>
      <c r="AC1173" s="167"/>
      <c r="AD1173" s="167"/>
      <c r="AE1173" s="167"/>
      <c r="AF1173" s="167"/>
      <c r="AG1173" s="137"/>
      <c r="AH1173" s="137"/>
      <c r="AI1173" s="137"/>
      <c r="AJ1173" s="137"/>
      <c r="AK1173" s="137"/>
    </row>
    <row r="1174" spans="11:37" ht="13" x14ac:dyDescent="0.15">
      <c r="M1174" s="165"/>
      <c r="N1174" s="165"/>
      <c r="O1174" s="165"/>
      <c r="P1174" s="165"/>
      <c r="Q1174" s="165"/>
      <c r="R1174" s="165"/>
      <c r="S1174" s="166"/>
      <c r="T1174" s="165"/>
      <c r="U1174" s="166"/>
      <c r="W1174" s="166"/>
      <c r="X1174" s="166"/>
      <c r="Y1174" s="166"/>
      <c r="Z1174" s="167"/>
      <c r="AA1174" s="165"/>
      <c r="AB1174" s="167"/>
      <c r="AC1174" s="167"/>
      <c r="AD1174" s="167"/>
      <c r="AE1174" s="167"/>
      <c r="AF1174" s="167"/>
      <c r="AG1174" s="137"/>
      <c r="AH1174" s="137"/>
      <c r="AI1174" s="137"/>
      <c r="AJ1174" s="137"/>
      <c r="AK1174" s="137"/>
    </row>
    <row r="1175" spans="11:37" ht="13" x14ac:dyDescent="0.15">
      <c r="M1175" s="165"/>
      <c r="N1175" s="165"/>
      <c r="O1175" s="165"/>
      <c r="P1175" s="165"/>
      <c r="Q1175" s="165"/>
      <c r="R1175" s="165"/>
      <c r="S1175" s="166"/>
      <c r="T1175" s="165"/>
      <c r="U1175" s="166"/>
      <c r="W1175" s="166"/>
      <c r="X1175" s="166"/>
      <c r="Y1175" s="166"/>
      <c r="Z1175" s="167"/>
      <c r="AA1175" s="165"/>
      <c r="AB1175" s="167"/>
      <c r="AC1175" s="167"/>
      <c r="AD1175" s="167"/>
      <c r="AE1175" s="167"/>
      <c r="AF1175" s="167"/>
      <c r="AG1175" s="137"/>
      <c r="AH1175" s="137"/>
      <c r="AI1175" s="137"/>
      <c r="AJ1175" s="137"/>
      <c r="AK1175" s="137"/>
    </row>
    <row r="1176" spans="11:37" ht="13" x14ac:dyDescent="0.15">
      <c r="M1176" s="165"/>
      <c r="N1176" s="165"/>
      <c r="O1176" s="165"/>
      <c r="P1176" s="165"/>
      <c r="Q1176" s="165"/>
      <c r="R1176" s="165"/>
      <c r="S1176" s="166"/>
      <c r="T1176" s="165"/>
      <c r="U1176" s="166"/>
      <c r="W1176" s="166"/>
      <c r="X1176" s="166"/>
      <c r="Y1176" s="166"/>
      <c r="Z1176" s="167"/>
      <c r="AA1176" s="165"/>
      <c r="AB1176" s="167"/>
      <c r="AC1176" s="167"/>
      <c r="AD1176" s="167"/>
      <c r="AE1176" s="167"/>
      <c r="AF1176" s="167"/>
      <c r="AG1176" s="137"/>
      <c r="AH1176" s="137"/>
      <c r="AI1176" s="137"/>
      <c r="AJ1176" s="137"/>
      <c r="AK1176" s="137"/>
    </row>
    <row r="1177" spans="11:37" ht="13" x14ac:dyDescent="0.15">
      <c r="M1177" s="165"/>
      <c r="N1177" s="165"/>
      <c r="O1177" s="165"/>
      <c r="P1177" s="165"/>
      <c r="Q1177" s="165"/>
      <c r="R1177" s="167"/>
      <c r="S1177" s="168"/>
      <c r="W1177" s="166"/>
      <c r="X1177" s="166"/>
      <c r="Y1177" s="166"/>
      <c r="Z1177" s="167"/>
      <c r="AA1177" s="165"/>
      <c r="AB1177" s="167"/>
      <c r="AC1177" s="167"/>
      <c r="AD1177" s="167"/>
      <c r="AE1177" s="167"/>
      <c r="AG1177" s="137"/>
    </row>
    <row r="1178" spans="11:37" ht="13" x14ac:dyDescent="0.15">
      <c r="M1178" s="165"/>
      <c r="N1178" s="165"/>
      <c r="O1178" s="165"/>
      <c r="P1178" s="165"/>
      <c r="Q1178" s="165"/>
      <c r="R1178" s="165"/>
      <c r="S1178" s="168"/>
      <c r="T1178" s="165"/>
      <c r="U1178" s="166"/>
      <c r="W1178" s="166"/>
      <c r="X1178" s="166"/>
      <c r="Y1178" s="166"/>
      <c r="Z1178" s="167"/>
      <c r="AA1178" s="165"/>
      <c r="AB1178" s="167"/>
      <c r="AC1178" s="167"/>
      <c r="AD1178" s="167"/>
      <c r="AE1178" s="167"/>
      <c r="AF1178" s="167"/>
      <c r="AG1178" s="137"/>
      <c r="AH1178" s="137"/>
      <c r="AI1178" s="137"/>
      <c r="AJ1178" s="137"/>
      <c r="AK1178" s="137"/>
    </row>
    <row r="1179" spans="11:37" ht="13" x14ac:dyDescent="0.15">
      <c r="M1179" s="165"/>
      <c r="N1179" s="165"/>
      <c r="O1179" s="165"/>
      <c r="P1179" s="165"/>
      <c r="Q1179" s="165"/>
      <c r="R1179" s="165"/>
      <c r="S1179" s="168"/>
      <c r="T1179" s="165"/>
      <c r="U1179" s="166"/>
      <c r="W1179" s="166"/>
      <c r="X1179" s="166"/>
      <c r="Y1179" s="166"/>
      <c r="Z1179" s="167"/>
      <c r="AA1179" s="165"/>
      <c r="AB1179" s="167"/>
      <c r="AC1179" s="167"/>
      <c r="AD1179" s="167"/>
      <c r="AE1179" s="167"/>
      <c r="AF1179" s="167"/>
      <c r="AG1179" s="137"/>
      <c r="AH1179" s="137"/>
      <c r="AI1179" s="137"/>
      <c r="AJ1179" s="137"/>
      <c r="AK1179" s="137"/>
    </row>
    <row r="1180" spans="11:37" ht="13" x14ac:dyDescent="0.15">
      <c r="K1180" s="165"/>
      <c r="M1180" s="165"/>
      <c r="N1180" s="165"/>
      <c r="O1180" s="165"/>
      <c r="P1180" s="165"/>
      <c r="Q1180" s="165"/>
      <c r="R1180" s="165"/>
      <c r="S1180" s="166"/>
      <c r="T1180" s="165"/>
      <c r="U1180" s="166"/>
      <c r="W1180" s="166"/>
      <c r="X1180" s="166"/>
      <c r="Y1180" s="166"/>
      <c r="Z1180" s="166"/>
      <c r="AA1180" s="165"/>
      <c r="AB1180" s="167"/>
      <c r="AC1180" s="167"/>
      <c r="AD1180" s="167"/>
      <c r="AE1180" s="167"/>
      <c r="AF1180" s="167"/>
      <c r="AG1180" s="137"/>
      <c r="AH1180" s="137"/>
      <c r="AI1180" s="137"/>
      <c r="AJ1180" s="137"/>
      <c r="AK1180" s="137"/>
    </row>
    <row r="1181" spans="11:37" ht="13" x14ac:dyDescent="0.15">
      <c r="O1181" s="165"/>
      <c r="P1181" s="165"/>
      <c r="Q1181" s="165"/>
      <c r="R1181" s="165"/>
      <c r="S1181" s="166"/>
      <c r="T1181" s="165"/>
      <c r="U1181" s="166"/>
      <c r="V1181" s="165"/>
      <c r="W1181" s="166"/>
      <c r="X1181" s="166"/>
      <c r="Y1181" s="166"/>
      <c r="Z1181" s="166"/>
      <c r="AA1181" s="165"/>
      <c r="AB1181" s="167"/>
      <c r="AC1181" s="167"/>
      <c r="AD1181" s="167"/>
      <c r="AE1181" s="167"/>
      <c r="AF1181" s="167"/>
      <c r="AG1181" s="137"/>
      <c r="AH1181" s="167"/>
      <c r="AI1181" s="167"/>
      <c r="AJ1181" s="167"/>
      <c r="AK1181" s="137"/>
    </row>
    <row r="1182" spans="11:37" ht="13" x14ac:dyDescent="0.15">
      <c r="O1182" s="165"/>
      <c r="P1182" s="165"/>
      <c r="Q1182" s="165"/>
      <c r="R1182" s="165"/>
      <c r="S1182" s="166"/>
      <c r="T1182" s="165"/>
      <c r="U1182" s="166"/>
      <c r="V1182" s="165"/>
      <c r="W1182" s="166"/>
      <c r="X1182" s="166"/>
      <c r="Y1182" s="166"/>
      <c r="Z1182" s="166"/>
      <c r="AA1182" s="165"/>
      <c r="AB1182" s="167"/>
      <c r="AC1182" s="167"/>
      <c r="AD1182" s="167"/>
      <c r="AE1182" s="167"/>
      <c r="AF1182" s="167"/>
      <c r="AG1182" s="137"/>
      <c r="AH1182" s="167"/>
      <c r="AI1182" s="167"/>
      <c r="AJ1182" s="167"/>
      <c r="AK1182" s="137"/>
    </row>
    <row r="1183" spans="11:37" ht="13" x14ac:dyDescent="0.15">
      <c r="O1183" s="165"/>
      <c r="P1183" s="165"/>
      <c r="Q1183" s="165"/>
      <c r="R1183" s="165"/>
      <c r="S1183" s="166"/>
      <c r="T1183" s="165"/>
      <c r="U1183" s="166"/>
      <c r="V1183" s="165"/>
      <c r="W1183" s="166"/>
      <c r="X1183" s="166"/>
      <c r="Y1183" s="166"/>
      <c r="Z1183" s="166"/>
      <c r="AA1183" s="165"/>
      <c r="AB1183" s="167"/>
      <c r="AC1183" s="167"/>
      <c r="AD1183" s="167"/>
      <c r="AE1183" s="167"/>
      <c r="AF1183" s="167"/>
      <c r="AG1183" s="137"/>
      <c r="AH1183" s="167"/>
      <c r="AI1183" s="167"/>
      <c r="AJ1183" s="167"/>
      <c r="AK1183" s="137"/>
    </row>
    <row r="1184" spans="11:37" ht="13" x14ac:dyDescent="0.15">
      <c r="M1184" s="165"/>
      <c r="N1184" s="165"/>
      <c r="O1184" s="165"/>
      <c r="P1184" s="165"/>
      <c r="Q1184" s="165"/>
      <c r="R1184" s="165"/>
      <c r="S1184" s="166"/>
      <c r="T1184" s="165"/>
      <c r="U1184" s="166"/>
      <c r="W1184" s="166"/>
      <c r="X1184" s="166"/>
      <c r="Y1184" s="166"/>
      <c r="Z1184" s="166"/>
      <c r="AA1184" s="165"/>
      <c r="AB1184" s="167"/>
      <c r="AC1184" s="167"/>
      <c r="AD1184" s="167"/>
      <c r="AE1184" s="167"/>
      <c r="AF1184" s="167"/>
      <c r="AG1184" s="137"/>
      <c r="AH1184" s="137"/>
      <c r="AI1184" s="137"/>
      <c r="AJ1184" s="137"/>
      <c r="AK1184" s="137"/>
    </row>
    <row r="1185" spans="11:37" ht="13" x14ac:dyDescent="0.15">
      <c r="M1185" s="165"/>
      <c r="N1185" s="165"/>
      <c r="O1185" s="165"/>
      <c r="P1185" s="165"/>
      <c r="Q1185" s="165"/>
      <c r="R1185" s="165"/>
      <c r="S1185" s="166"/>
      <c r="T1185" s="165"/>
      <c r="U1185" s="166"/>
      <c r="W1185" s="166"/>
      <c r="X1185" s="166"/>
      <c r="Y1185" s="166"/>
      <c r="Z1185" s="166"/>
      <c r="AA1185" s="165"/>
      <c r="AB1185" s="167"/>
      <c r="AC1185" s="167"/>
      <c r="AD1185" s="167"/>
      <c r="AE1185" s="167"/>
      <c r="AF1185" s="167"/>
      <c r="AG1185" s="137"/>
      <c r="AH1185" s="137"/>
      <c r="AI1185" s="137"/>
      <c r="AJ1185" s="137"/>
      <c r="AK1185" s="137"/>
    </row>
    <row r="1186" spans="11:37" ht="13" x14ac:dyDescent="0.15">
      <c r="M1186" s="165"/>
      <c r="N1186" s="165"/>
      <c r="O1186" s="165"/>
      <c r="P1186" s="165"/>
      <c r="Q1186" s="165"/>
      <c r="R1186" s="165"/>
      <c r="S1186" s="166"/>
      <c r="T1186" s="165"/>
      <c r="U1186" s="166"/>
      <c r="W1186" s="166"/>
      <c r="X1186" s="166"/>
      <c r="Y1186" s="166"/>
      <c r="Z1186" s="166"/>
      <c r="AA1186" s="165"/>
      <c r="AB1186" s="167"/>
      <c r="AC1186" s="167"/>
      <c r="AD1186" s="167"/>
      <c r="AE1186" s="167"/>
      <c r="AF1186" s="167"/>
      <c r="AG1186" s="137"/>
      <c r="AH1186" s="137"/>
      <c r="AI1186" s="137"/>
      <c r="AJ1186" s="137"/>
      <c r="AK1186" s="137"/>
    </row>
    <row r="1187" spans="11:37" ht="13" x14ac:dyDescent="0.15">
      <c r="K1187" s="165"/>
      <c r="M1187" s="165"/>
      <c r="N1187" s="165"/>
      <c r="O1187" s="165"/>
      <c r="P1187" s="165"/>
      <c r="Q1187" s="165"/>
      <c r="R1187" s="165"/>
      <c r="S1187" s="166"/>
      <c r="T1187" s="165"/>
      <c r="U1187" s="166"/>
      <c r="W1187" s="166"/>
      <c r="X1187" s="166"/>
      <c r="Y1187" s="166"/>
      <c r="Z1187" s="166"/>
      <c r="AA1187" s="165"/>
      <c r="AB1187" s="167"/>
      <c r="AC1187" s="167"/>
      <c r="AD1187" s="167"/>
      <c r="AE1187" s="167"/>
      <c r="AF1187" s="167"/>
      <c r="AG1187" s="137"/>
      <c r="AH1187" s="137"/>
      <c r="AI1187" s="137"/>
      <c r="AJ1187" s="137"/>
      <c r="AK1187" s="137"/>
    </row>
    <row r="1188" spans="11:37" ht="13" x14ac:dyDescent="0.15">
      <c r="M1188" s="165"/>
      <c r="N1188" s="165"/>
      <c r="O1188" s="165"/>
      <c r="P1188" s="165"/>
      <c r="Q1188" s="165"/>
      <c r="R1188" s="165"/>
      <c r="S1188" s="168"/>
      <c r="T1188" s="165"/>
      <c r="U1188" s="166"/>
      <c r="W1188" s="166"/>
      <c r="X1188" s="166"/>
      <c r="Y1188" s="166"/>
      <c r="Z1188" s="167"/>
      <c r="AA1188" s="165"/>
      <c r="AB1188" s="167"/>
      <c r="AC1188" s="167"/>
      <c r="AD1188" s="167"/>
      <c r="AE1188" s="167"/>
      <c r="AF1188" s="167"/>
      <c r="AG1188" s="137"/>
      <c r="AH1188" s="137"/>
      <c r="AI1188" s="137"/>
      <c r="AJ1188" s="137"/>
      <c r="AK1188" s="137"/>
    </row>
    <row r="1189" spans="11:37" ht="13" x14ac:dyDescent="0.15">
      <c r="M1189" s="165"/>
      <c r="N1189" s="165"/>
      <c r="O1189" s="165"/>
      <c r="P1189" s="165"/>
      <c r="Q1189" s="165"/>
      <c r="R1189" s="165"/>
      <c r="S1189" s="168"/>
      <c r="T1189" s="165"/>
      <c r="U1189" s="166"/>
      <c r="W1189" s="166"/>
      <c r="X1189" s="166"/>
      <c r="Y1189" s="166"/>
      <c r="Z1189" s="167"/>
      <c r="AA1189" s="165"/>
      <c r="AB1189" s="167"/>
      <c r="AC1189" s="167"/>
      <c r="AD1189" s="167"/>
      <c r="AE1189" s="167"/>
      <c r="AF1189" s="167"/>
      <c r="AG1189" s="137"/>
      <c r="AH1189" s="137"/>
      <c r="AI1189" s="137"/>
      <c r="AJ1189" s="137"/>
      <c r="AK1189" s="137"/>
    </row>
    <row r="1190" spans="11:37" ht="13" x14ac:dyDescent="0.15">
      <c r="M1190" s="165"/>
      <c r="N1190" s="165"/>
      <c r="O1190" s="165"/>
      <c r="P1190" s="165"/>
      <c r="Q1190" s="165"/>
      <c r="R1190" s="165"/>
      <c r="S1190" s="168"/>
      <c r="T1190" s="165"/>
      <c r="U1190" s="166"/>
      <c r="W1190" s="166"/>
      <c r="X1190" s="166"/>
      <c r="Y1190" s="166"/>
      <c r="Z1190" s="167"/>
      <c r="AA1190" s="165"/>
      <c r="AB1190" s="167"/>
      <c r="AC1190" s="167"/>
      <c r="AD1190" s="167"/>
      <c r="AE1190" s="167"/>
      <c r="AF1190" s="167"/>
      <c r="AG1190" s="137"/>
      <c r="AH1190" s="137"/>
      <c r="AI1190" s="137"/>
      <c r="AJ1190" s="137"/>
      <c r="AK1190" s="137"/>
    </row>
    <row r="1191" spans="11:37" ht="13" x14ac:dyDescent="0.15">
      <c r="M1191" s="165"/>
      <c r="N1191" s="165"/>
      <c r="O1191" s="165"/>
      <c r="P1191" s="165"/>
      <c r="Q1191" s="165"/>
      <c r="R1191" s="165"/>
      <c r="S1191" s="168"/>
      <c r="T1191" s="165"/>
      <c r="U1191" s="166"/>
      <c r="W1191" s="166"/>
      <c r="X1191" s="166"/>
      <c r="Y1191" s="166"/>
      <c r="Z1191" s="167"/>
      <c r="AA1191" s="165"/>
      <c r="AB1191" s="167"/>
      <c r="AC1191" s="167"/>
      <c r="AD1191" s="167"/>
      <c r="AE1191" s="167"/>
      <c r="AF1191" s="167"/>
      <c r="AG1191" s="137"/>
      <c r="AH1191" s="137"/>
      <c r="AI1191" s="137"/>
      <c r="AJ1191" s="137"/>
      <c r="AK1191" s="137"/>
    </row>
    <row r="1192" spans="11:37" ht="13" x14ac:dyDescent="0.15">
      <c r="M1192" s="165"/>
      <c r="N1192" s="165"/>
      <c r="O1192" s="165"/>
      <c r="P1192" s="165"/>
      <c r="Q1192" s="165"/>
      <c r="R1192" s="165"/>
      <c r="S1192" s="168"/>
      <c r="T1192" s="165"/>
      <c r="U1192" s="166"/>
      <c r="W1192" s="166"/>
      <c r="X1192" s="166"/>
      <c r="Y1192" s="166"/>
      <c r="Z1192" s="167"/>
      <c r="AA1192" s="165"/>
      <c r="AB1192" s="167"/>
      <c r="AC1192" s="167"/>
      <c r="AD1192" s="167"/>
      <c r="AE1192" s="167"/>
      <c r="AF1192" s="167"/>
      <c r="AG1192" s="137"/>
      <c r="AH1192" s="137"/>
      <c r="AI1192" s="137"/>
      <c r="AJ1192" s="137"/>
      <c r="AK1192" s="137"/>
    </row>
    <row r="1193" spans="11:37" ht="13" x14ac:dyDescent="0.15">
      <c r="M1193" s="165"/>
      <c r="N1193" s="165"/>
      <c r="O1193" s="165"/>
      <c r="P1193" s="165"/>
      <c r="Q1193" s="165"/>
      <c r="R1193" s="165"/>
      <c r="S1193" s="166"/>
      <c r="T1193" s="165"/>
      <c r="U1193" s="166"/>
      <c r="W1193" s="166"/>
      <c r="X1193" s="166"/>
      <c r="Y1193" s="166"/>
      <c r="Z1193" s="167"/>
      <c r="AA1193" s="165"/>
      <c r="AB1193" s="167"/>
      <c r="AC1193" s="167"/>
      <c r="AD1193" s="167"/>
      <c r="AE1193" s="167"/>
      <c r="AF1193" s="167"/>
      <c r="AG1193" s="137"/>
      <c r="AH1193" s="137"/>
      <c r="AI1193" s="137"/>
      <c r="AJ1193" s="137"/>
      <c r="AK1193" s="137"/>
    </row>
    <row r="1194" spans="11:37" ht="13" x14ac:dyDescent="0.15">
      <c r="M1194" s="165"/>
      <c r="N1194" s="165"/>
      <c r="O1194" s="165"/>
      <c r="P1194" s="165"/>
      <c r="Q1194" s="165"/>
      <c r="R1194" s="165"/>
      <c r="S1194" s="166"/>
      <c r="W1194" s="166"/>
      <c r="X1194" s="166"/>
      <c r="Y1194" s="166"/>
      <c r="Z1194" s="167"/>
      <c r="AA1194" s="165"/>
      <c r="AB1194" s="167"/>
      <c r="AC1194" s="167"/>
      <c r="AD1194" s="167"/>
      <c r="AE1194" s="167"/>
      <c r="AG1194" s="137"/>
    </row>
    <row r="1195" spans="11:37" ht="13" x14ac:dyDescent="0.15">
      <c r="M1195" s="165"/>
      <c r="N1195" s="165"/>
      <c r="O1195" s="165"/>
      <c r="P1195" s="165"/>
      <c r="Q1195" s="165"/>
      <c r="R1195" s="165"/>
      <c r="S1195" s="166"/>
      <c r="W1195" s="166"/>
      <c r="X1195" s="166"/>
      <c r="Y1195" s="166"/>
      <c r="Z1195" s="167"/>
      <c r="AA1195" s="165"/>
      <c r="AB1195" s="167"/>
      <c r="AC1195" s="167"/>
      <c r="AD1195" s="167"/>
      <c r="AE1195" s="167"/>
      <c r="AG1195" s="137"/>
    </row>
    <row r="1196" spans="11:37" ht="13" x14ac:dyDescent="0.15">
      <c r="M1196" s="165"/>
      <c r="N1196" s="165"/>
      <c r="O1196" s="165"/>
      <c r="P1196" s="165"/>
      <c r="Q1196" s="165"/>
      <c r="R1196" s="165"/>
      <c r="S1196" s="166"/>
      <c r="T1196" s="165"/>
      <c r="U1196" s="166"/>
      <c r="W1196" s="166"/>
      <c r="X1196" s="166"/>
      <c r="Y1196" s="166"/>
      <c r="Z1196" s="166"/>
      <c r="AA1196" s="165"/>
      <c r="AB1196" s="167"/>
      <c r="AC1196" s="167"/>
      <c r="AD1196" s="167"/>
      <c r="AE1196" s="167"/>
      <c r="AF1196" s="167"/>
      <c r="AG1196" s="137"/>
    </row>
    <row r="1197" spans="11:37" ht="13" x14ac:dyDescent="0.15">
      <c r="M1197" s="165"/>
      <c r="N1197" s="165"/>
      <c r="O1197" s="165"/>
      <c r="P1197" s="165"/>
      <c r="Q1197" s="165"/>
      <c r="R1197" s="165"/>
      <c r="S1197" s="166"/>
      <c r="T1197" s="165"/>
      <c r="U1197" s="166"/>
      <c r="W1197" s="166"/>
      <c r="X1197" s="166"/>
      <c r="Y1197" s="166"/>
      <c r="Z1197" s="166"/>
      <c r="AA1197" s="165"/>
      <c r="AB1197" s="167"/>
      <c r="AC1197" s="167"/>
      <c r="AD1197" s="167"/>
      <c r="AE1197" s="167"/>
      <c r="AF1197" s="167"/>
      <c r="AG1197" s="137"/>
    </row>
    <row r="1198" spans="11:37" ht="13" x14ac:dyDescent="0.15">
      <c r="M1198" s="165"/>
      <c r="N1198" s="165"/>
      <c r="O1198" s="165"/>
      <c r="P1198" s="165"/>
      <c r="Q1198" s="165"/>
      <c r="R1198" s="165"/>
      <c r="S1198" s="166"/>
      <c r="T1198" s="165"/>
      <c r="U1198" s="166"/>
      <c r="W1198" s="166"/>
      <c r="X1198" s="166"/>
      <c r="Y1198" s="166"/>
      <c r="Z1198" s="166"/>
      <c r="AA1198" s="165"/>
      <c r="AB1198" s="167"/>
      <c r="AC1198" s="167"/>
      <c r="AD1198" s="167"/>
      <c r="AE1198" s="167"/>
      <c r="AF1198" s="167"/>
      <c r="AG1198" s="137"/>
    </row>
  </sheetData>
  <mergeCells count="1">
    <mergeCell ref="A1:J1"/>
  </mergeCells>
  <hyperlinks>
    <hyperlink ref="L81" r:id="rId1" xr:uid="{00000000-0004-0000-0400-000000000000}"/>
    <hyperlink ref="L190" r:id="rId2" xr:uid="{00000000-0004-0000-0400-000001000000}"/>
    <hyperlink ref="L321" r:id="rId3" xr:uid="{00000000-0004-0000-0400-000002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DI</vt:lpstr>
      <vt:lpstr>DII</vt:lpstr>
      <vt:lpstr>DIII</vt:lpstr>
      <vt:lpstr>JC</vt:lpstr>
      <vt:lpstr>NAIA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Lynne Klingelsmith</dc:creator>
  <cp:lastModifiedBy>Microsoft Office User</cp:lastModifiedBy>
  <dcterms:created xsi:type="dcterms:W3CDTF">2020-03-04T21:38:18Z</dcterms:created>
  <dcterms:modified xsi:type="dcterms:W3CDTF">2020-09-28T17:17:28Z</dcterms:modified>
</cp:coreProperties>
</file>